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Users\u647088\Desktop\"/>
    </mc:Choice>
  </mc:AlternateContent>
  <bookViews>
    <workbookView xWindow="0" yWindow="0" windowWidth="23970" windowHeight="11430" tabRatio="891" firstSheet="4" activeTab="5"/>
  </bookViews>
  <sheets>
    <sheet name="Sheet1" sheetId="1" state="hidden" r:id="rId1"/>
    <sheet name="データフロー_backup" sheetId="174" r:id="rId2"/>
    <sheet name="データフロー_enroll" sheetId="176" r:id="rId3"/>
    <sheet name="データフロー_mt" sheetId="177" r:id="rId4"/>
    <sheet name="データフロー_base" sheetId="178" r:id="rId5"/>
    <sheet name="データフロー_work" sheetId="384" r:id="rId6"/>
    <sheet name="データフロー_select" sheetId="385" r:id="rId7"/>
    <sheet name="データフロー_deli" sheetId="410" r:id="rId8"/>
    <sheet name="エンティティ一覧" sheetId="25" r:id="rId9"/>
    <sheet name="バックアップ_処方データ_組入れ第一条件" sheetId="332" r:id="rId10"/>
    <sheet name="バックアップ_患者マスタ_組入れ第一条件" sheetId="331" r:id="rId11"/>
    <sheet name="バックアップ_処方データ" sheetId="236" r:id="rId12"/>
    <sheet name="バックアップ_診療行為データ" sheetId="237" r:id="rId13"/>
    <sheet name="バックアップ_疾患データ" sheetId="238" r:id="rId14"/>
    <sheet name="バックアップ_疾患診療科データ" sheetId="239" r:id="rId15"/>
    <sheet name="バックアップ_入院退院データ" sheetId="240" r:id="rId16"/>
    <sheet name="バックアップ_二次利用DB登録患者データ" sheetId="241" r:id="rId17"/>
    <sheet name="バックアップ_二次利用DB登録患者データ_DPC" sheetId="242" r:id="rId18"/>
    <sheet name="バックアップ_二次利用DB登録患者データ_レセプト" sheetId="243" r:id="rId19"/>
    <sheet name="バックアップ_二次利用DB登録患者データ_MML" sheetId="244" r:id="rId20"/>
    <sheet name="バックアップ_二次利用DB登録患者紐付けデータ" sheetId="245" r:id="rId21"/>
    <sheet name="バックアップ_エラー患者データ" sheetId="247" r:id="rId22"/>
    <sheet name="バックアップ_患者基本データ" sheetId="248" r:id="rId23"/>
    <sheet name="バックアップ_施設属性マスタ取込用" sheetId="249" r:id="rId24"/>
    <sheet name="バックアップ_二次医療圏マスタ取込用" sheetId="250" r:id="rId25"/>
    <sheet name="バックアップ_新旧医薬品コードマスタ取込用" sheetId="251" r:id="rId26"/>
    <sheet name="バックアップ_DPC6ICD10対応表マスタ取込用" sheetId="252" r:id="rId27"/>
    <sheet name="バックアップ_修飾語マスタ取込用" sheetId="253" r:id="rId28"/>
    <sheet name="バックアップ_コメントマスタ取込用" sheetId="254" r:id="rId29"/>
    <sheet name="バックアップ_成分量マスタ取込用" sheetId="255" r:id="rId30"/>
    <sheet name="バックアップ_成分名マスタ取込用" sheetId="256" r:id="rId31"/>
    <sheet name="バックアップ_単位マスタ取込用" sheetId="257" r:id="rId32"/>
    <sheet name="バックアップ_適応病名レセ病名組み合わせ関係リンクマスタ取込用" sheetId="258" r:id="rId33"/>
    <sheet name="BK_適応病名レセ病名組み合わせ関係リンク親子マスタ取込用" sheetId="259" r:id="rId34"/>
    <sheet name="バックアップ_適用病名マスタ取込用" sheetId="260" r:id="rId35"/>
    <sheet name="バックアップ_ＹＪコード医薬品コードリンクマスタ取込用" sheetId="261" r:id="rId36"/>
    <sheet name="バックアップ_診療行為付加情報マスタ取込用" sheetId="262" r:id="rId37"/>
    <sheet name="バックアップ_処理対象施設マスタ" sheetId="263" r:id="rId38"/>
    <sheet name="バックアップ_処理対象施設マスタ管理" sheetId="264" r:id="rId39"/>
    <sheet name="バックアップ_医薬品マスタ" sheetId="311" r:id="rId40"/>
    <sheet name="バックアップ_医薬品ブランドマスタ" sheetId="312" r:id="rId41"/>
    <sheet name="バックアップ_医薬品一般名マスタ" sheetId="313" r:id="rId42"/>
    <sheet name="バックアップ_医薬品販売会社マスタ" sheetId="314" r:id="rId43"/>
    <sheet name="バックアップ_メーカマスタ" sheetId="315" r:id="rId44"/>
    <sheet name="バックアップ_薬価マスタ" sheetId="316" r:id="rId45"/>
    <sheet name="バックアップ_薬効ATC分類1マスタ" sheetId="317" r:id="rId46"/>
    <sheet name="バックアップ_薬効ATC分類2マスタ" sheetId="318" r:id="rId47"/>
    <sheet name="バックアップ_薬効ATC分類3マスタ" sheetId="319" r:id="rId48"/>
    <sheet name="バックアップ_薬効ATC分類4マスタ" sheetId="320" r:id="rId49"/>
    <sheet name="バックアップ_薬効ATC分類5マスタ" sheetId="321" r:id="rId50"/>
    <sheet name="バックアップ_疾病マスタ" sheetId="322" r:id="rId51"/>
    <sheet name="バックアップ_ICD10大分類マスタ" sheetId="323" r:id="rId52"/>
    <sheet name="バックアップ_ICD10中分類マスタ" sheetId="324" r:id="rId53"/>
    <sheet name="バックアップ_ICD10小分類マスタ" sheetId="325" r:id="rId54"/>
    <sheet name="バックアップ_ICD10細分類マスタ" sheetId="326" r:id="rId55"/>
    <sheet name="バックアップ_DPC2桁マスタ" sheetId="327" r:id="rId56"/>
    <sheet name="バックアップ_DPC6桁マスタ" sheetId="328" r:id="rId57"/>
    <sheet name="バックアップ_郵便番号マスタ" sheetId="329" r:id="rId58"/>
    <sheet name="バックアップ_特定機材マスタ" sheetId="330" r:id="rId59"/>
    <sheet name="バックアップ_年度マスタ" sheetId="265" r:id="rId60"/>
    <sheet name="バックアップ_都道府県地方コードマスタ" sheetId="266" r:id="rId61"/>
    <sheet name="バックアップ_施設属性マスタ" sheetId="267" r:id="rId62"/>
    <sheet name="バックアップ_二次医療圏マスタ" sheetId="268" r:id="rId63"/>
    <sheet name="バックアップ_施設ID対応マスタ" sheetId="269" r:id="rId64"/>
    <sheet name="バックアップ_医薬品関連マスタ" sheetId="271" r:id="rId65"/>
    <sheet name="バックアップ_薬価関連マスタ" sheetId="272" r:id="rId66"/>
    <sheet name="バックアップ_診療行為関連マスタ" sheetId="273" r:id="rId67"/>
    <sheet name="バックアップ_特定器材関連マスタ" sheetId="274" r:id="rId68"/>
    <sheet name="バックアップ_DPC関連マスタ" sheetId="275" r:id="rId69"/>
    <sheet name="バックアップ_疾患関連マスタ" sheetId="276" r:id="rId70"/>
    <sheet name="バックアップ_医薬品成分関連マスタ" sheetId="277" r:id="rId71"/>
    <sheet name="バックアップ_医薬品適用病名関連マスタ" sheetId="278" r:id="rId72"/>
    <sheet name="バックアップ_MML共通" sheetId="309" r:id="rId73"/>
    <sheet name="バックアップ_MML_診断履歴情報モジュール_本文" sheetId="279" r:id="rId74"/>
    <sheet name="バックアップ_MML_診断履歴情報モジュール_病名" sheetId="280" r:id="rId75"/>
    <sheet name="バックアップ_MML_診断履歴情報モジュール_カテゴリ名" sheetId="281" r:id="rId76"/>
    <sheet name="バックアップ_MML_検歴情報モジュール_本文" sheetId="359" r:id="rId77"/>
    <sheet name="バックアップ_MML_検歴情報モジュール_報告コメント" sheetId="360" r:id="rId78"/>
    <sheet name="バックアップ_MML_検歴情報モジュール_検体検査結果情報" sheetId="361" r:id="rId79"/>
    <sheet name="バックアップ_MML_検歴情報モジュール_検体コメント" sheetId="362" r:id="rId80"/>
    <sheet name="バックアップ_MML_検歴情報モジュール_検査項目" sheetId="363" r:id="rId81"/>
    <sheet name="バックアップ_MML_検歴情報モジュール_検査項目コメント" sheetId="364" r:id="rId82"/>
    <sheet name="バックアップ_MML_処方箋モジュール_本文" sheetId="282" r:id="rId83"/>
    <sheet name="バックアップ_MML_処方箋モジュール_投薬" sheetId="283" r:id="rId84"/>
    <sheet name="バックアップ_MML_処方箋モジュール_薬剤" sheetId="284" r:id="rId85"/>
    <sheet name="バックアップ_MML_注射記録モジュール_本文" sheetId="285" r:id="rId86"/>
    <sheet name="バックアップ_MML_注射記録モジュール_投薬" sheetId="286" r:id="rId87"/>
    <sheet name="バックアップ_MML_注射記録モジュール_薬剤" sheetId="287" r:id="rId88"/>
    <sheet name="バックアップ_MML_手術モジュール_手術項目" sheetId="288" r:id="rId89"/>
    <sheet name="バックアップ_MML_手術モジュール_診療科情報" sheetId="289" r:id="rId90"/>
    <sheet name="バックアップ_MML_手術モジュール_診断履歴情報" sheetId="290" r:id="rId91"/>
    <sheet name="バックアップ_MML_手術モジュール_病名" sheetId="291" r:id="rId92"/>
    <sheet name="バックアップ_MML_手術モジュール_カテゴリ名" sheetId="292" r:id="rId93"/>
    <sheet name="バックアップ_MML_手術モジュール_手術法" sheetId="293" r:id="rId94"/>
    <sheet name="バックアップ_MML_手術モジュール_手術要素" sheetId="294" r:id="rId95"/>
    <sheet name="バックアップ_MML_手術モジュール_麻酔法" sheetId="295" r:id="rId96"/>
    <sheet name="バックアップ_MML_報告書情報モジュール_本文" sheetId="296" r:id="rId97"/>
    <sheet name="バックアップ_MML_報告書情報モジュール_検査コメント" sheetId="297" r:id="rId98"/>
    <sheet name="バックアップ_MML_生活習慣情報モジュール_本文" sheetId="310" r:id="rId99"/>
    <sheet name="バックアップ_MML_紹介状モジュール_本文" sheetId="298" r:id="rId100"/>
    <sheet name="バックアップ_MML_紹介状モジュール_注射記録" sheetId="299" r:id="rId101"/>
    <sheet name="バックアップ_MML_紹介状モジュール_注射記録投薬" sheetId="300" r:id="rId102"/>
    <sheet name="バックアップ_MML_紹介状モジュール_注射記録薬剤" sheetId="301" r:id="rId103"/>
    <sheet name="バックアップ_MML_紹介状モジュール_患者情報" sheetId="302" r:id="rId104"/>
    <sheet name="バックアップ_MML_紹介状モジュール_患者情報住所" sheetId="303" r:id="rId105"/>
    <sheet name="バックアップ_MML_紹介状モジュール_処方箋" sheetId="304" r:id="rId106"/>
    <sheet name="バックアップ_MML_紹介状モジュール_処方箋投薬" sheetId="305" r:id="rId107"/>
    <sheet name="バックアップ_MML_紹介状モジュール_処方箋薬剤" sheetId="306" r:id="rId108"/>
    <sheet name="BK_MML_紹介状モジュール_臨床サマリー情報経過記録" sheetId="307" r:id="rId109"/>
    <sheet name="バックアップ_MML_紹介状モジュール_診療科情報" sheetId="308" r:id="rId110"/>
    <sheet name="バックアップ_DPC調査データ_Dファイル" sheetId="172" r:id="rId111"/>
    <sheet name="バックアップ_DPC調査データ_入院EF統合ファイル" sheetId="179" r:id="rId112"/>
    <sheet name="バックアップ_DPC調査データ_外来EF統合ファイル" sheetId="181" r:id="rId113"/>
    <sheet name="バックアップ_DPC調査データ_Hファイル" sheetId="182" r:id="rId114"/>
    <sheet name="バックアップ_DPC調査データ_様式1" sheetId="185" r:id="rId115"/>
    <sheet name="バックアップ_DPC調査データ_様式1_診断情報_併存症" sheetId="186" r:id="rId116"/>
    <sheet name="バックアップ_DPC調査データ_様式1_診断情報_続発症" sheetId="187" r:id="rId117"/>
    <sheet name="バックアップ_医科レセプト_医療機関情報レコード" sheetId="197" r:id="rId118"/>
    <sheet name="バックアップ_医科レセプト_レセプト共通レコード" sheetId="198" r:id="rId119"/>
    <sheet name="バックアップ_医科レセプト_傷病名レコード" sheetId="199" r:id="rId120"/>
    <sheet name="バックアップ_医科レセプト_診療行為レコード" sheetId="200" r:id="rId121"/>
    <sheet name="バックアップ_医科レセプト_診療行為レコード_算定日情報" sheetId="201" r:id="rId122"/>
    <sheet name="バックアップ_医科レセプト_医薬品レコード" sheetId="202" r:id="rId123"/>
    <sheet name="バックアップ_医科レセプト_医薬品レコード_算定日情報" sheetId="203" r:id="rId124"/>
    <sheet name="バックアップ_医科レセプト_臓器提供者レセプト情報レコード" sheetId="204" r:id="rId125"/>
    <sheet name="バックアップ_DPCレセプト_医療機関情報レコード" sheetId="205" r:id="rId126"/>
    <sheet name="バックアップ_DPCレセプト_レセプト共通レコード" sheetId="206" r:id="rId127"/>
    <sheet name="バックアップ_DPCレセプト_診断群分類レコード" sheetId="207" r:id="rId128"/>
    <sheet name="バックアップ_DPCレセプト_傷病レコード" sheetId="208" r:id="rId129"/>
    <sheet name="バックアップ_DPCレセプト_傷病名レコード" sheetId="209" r:id="rId130"/>
    <sheet name="バックアップ_DPCレセプト_診療行為レコード" sheetId="210" r:id="rId131"/>
    <sheet name="バックアップ_DPCレセプト_診療行為レコード_算定日情報" sheetId="211" r:id="rId132"/>
    <sheet name="バックアップ_DPCレセプト_医薬品レコード" sheetId="212" r:id="rId133"/>
    <sheet name="バックアップ_DPCレセプト_医薬品レコード_算定日情報" sheetId="213" r:id="rId134"/>
    <sheet name="バックアップ_DPCレセプト_臓器提供者レセプト情報レコード" sheetId="214" r:id="rId135"/>
    <sheet name="バックアップ_患者情報モジュール_患者情報" sheetId="215" r:id="rId136"/>
    <sheet name="バックアップ_診断履歴情報モジュール_診断履歴情報レコード" sheetId="216" r:id="rId137"/>
    <sheet name="バックアップ_診断履歴情報モジュール_診断病名レコード" sheetId="217" r:id="rId138"/>
    <sheet name="バックアップ_診断履歴情報モジュール_診断分類レコード" sheetId="218" r:id="rId139"/>
    <sheet name="バックアップ_経過記録情報モジュール_経過記録情報レコード" sheetId="219" r:id="rId140"/>
    <sheet name="バックアップ_経過記録情報モジュール_プロブレムレコード" sheetId="220" r:id="rId141"/>
    <sheet name="バックアップ_経過記録情報モジュール_身体所見レコード" sheetId="221" r:id="rId142"/>
    <sheet name="バックアップ_経過記録情報モジュール_アセスメントレコード" sheetId="222" r:id="rId143"/>
    <sheet name="バックアップ_経過記録情報モジュール_外部参照レコード" sheetId="223" r:id="rId144"/>
    <sheet name="バックアップ_臨床サマリーモジュール_臨床サマリー情報レコード" sheetId="224" r:id="rId145"/>
    <sheet name="バックアップ_臨床サマリーモジュール_外来受診レコード" sheetId="225" r:id="rId146"/>
    <sheet name="バックアップ_臨床サマリーモジュール_入院レコード" sheetId="226" r:id="rId147"/>
    <sheet name="バックアップ_臨床サマリーモジュール_経過記録レコード" sheetId="227" r:id="rId148"/>
    <sheet name="バックアップ_臨床サマリーモジュール_検査結果レコード" sheetId="228" r:id="rId149"/>
    <sheet name="バックアップ_検歴情報モジュール_検歴情報" sheetId="229" r:id="rId150"/>
    <sheet name="バックアップ_検歴情報モジュール_検歴検体材料" sheetId="230" r:id="rId151"/>
    <sheet name="バックアップ_検歴情報モジュール_検歴項目情報" sheetId="231" r:id="rId152"/>
    <sheet name="バックアップ_バイタルサインモジュール_バイタルサイン" sheetId="232" r:id="rId153"/>
    <sheet name="バックアップ_バイタルサインモジュール_記録項目" sheetId="233" r:id="rId154"/>
    <sheet name="バックアップ_体温表モジュール_バイタルサイン" sheetId="234" r:id="rId155"/>
    <sheet name="バックアップ_体温表モジュール_記録項目" sheetId="235" r:id="rId156"/>
    <sheet name="組入れ_対象施設" sheetId="358" r:id="rId157"/>
    <sheet name="組入れ_対象疾患" sheetId="371" r:id="rId158"/>
    <sheet name="組入れ_対象処方" sheetId="189" r:id="rId159"/>
    <sheet name="組入れ_対象患者" sheetId="188" r:id="rId160"/>
    <sheet name="患者ID一覧マスタ" sheetId="373" r:id="rId161"/>
    <sheet name="施設マスタ" sheetId="372" r:id="rId162"/>
    <sheet name="患者マスタ" sheetId="190" r:id="rId163"/>
    <sheet name="疾患マスタ" sheetId="191" r:id="rId164"/>
    <sheet name="薬剤マスタ" sheetId="374" r:id="rId165"/>
    <sheet name="診療行為マスタ" sheetId="377" r:id="rId166"/>
    <sheet name="検体検査マスタ" sheetId="378" r:id="rId167"/>
    <sheet name="ベース_処方データ" sheetId="348" r:id="rId168"/>
    <sheet name="ベース_診療行為データ" sheetId="349" r:id="rId169"/>
    <sheet name="ベース_疾患データ" sheetId="379" r:id="rId170"/>
    <sheet name="ベース_入院退院データ" sheetId="350" r:id="rId171"/>
    <sheet name="ベース_患者基本データ" sheetId="351" r:id="rId172"/>
    <sheet name="ベース_MML共通" sheetId="352" r:id="rId173"/>
    <sheet name="ベース_MML_診断履歴情報モジュール_本文" sheetId="353" r:id="rId174"/>
    <sheet name="ベース_MML_診断履歴情報モジュール_病名" sheetId="354" r:id="rId175"/>
    <sheet name="ベース_MML_検歴情報モジュール_本文" sheetId="365" r:id="rId176"/>
    <sheet name="ベース_MML_検歴情報モジュール_報告コメント" sheetId="366" r:id="rId177"/>
    <sheet name="ベース_MML_検歴情報モジュール_検体検査結果情報" sheetId="367" r:id="rId178"/>
    <sheet name="ベース_MML_検歴情報モジュール_検体コメント" sheetId="368" r:id="rId179"/>
    <sheet name="ベース_MML_検歴情報モジュール_検査項目" sheetId="369" r:id="rId180"/>
    <sheet name="ベース_MML_検歴情報モジュール_検査項目コメント" sheetId="370" r:id="rId181"/>
    <sheet name="ベース_MML_処方箋モジュール_本文" sheetId="355" r:id="rId182"/>
    <sheet name="ベース_MML_処方箋モジュール_投薬" sheetId="356" r:id="rId183"/>
    <sheet name="ベース_MML_処方箋モジュール_薬剤" sheetId="357" r:id="rId184"/>
    <sheet name="ベース_DPC調査データ_入院EF統合ファイル" sheetId="192" r:id="rId185"/>
    <sheet name="ベース_DPC調査データ_外来EF統合ファイル" sheetId="193" r:id="rId186"/>
    <sheet name="ベース_DPC調査データ_様式1" sheetId="194" r:id="rId187"/>
    <sheet name="ベース_DPC調査データ_様式1_診断情報_併存症" sheetId="195" r:id="rId188"/>
    <sheet name="ベース_DPC調査データ_様式1_診断情報_続発症" sheetId="196" r:id="rId189"/>
    <sheet name="ベース_診断履歴情報モジュール_診断履歴情報レコード" sheetId="333" r:id="rId190"/>
    <sheet name="ベース_診断履歴情報モジュール_診断病名レコード" sheetId="334" r:id="rId191"/>
    <sheet name="ベース_経過記録情報モジュール_経過記録情報レコード" sheetId="335" r:id="rId192"/>
    <sheet name="ベース_経過記録情報モジュール_プロブレムレコード" sheetId="336" r:id="rId193"/>
    <sheet name="ベース_経過記録情報モジュール_身体所見レコード" sheetId="337" r:id="rId194"/>
    <sheet name="ベース_経過記録情報モジュール_アセスメントレコード" sheetId="338" r:id="rId195"/>
    <sheet name="ベース_経過記録情報モジュール_外部参照レコード" sheetId="339" r:id="rId196"/>
    <sheet name="ベース_臨床サマリーモジュール_臨床サマリー情報レコード" sheetId="340" r:id="rId197"/>
    <sheet name="ベース_臨床サマリーモジュール_外来受診レコード" sheetId="341" r:id="rId198"/>
    <sheet name="ベース_臨床サマリーモジュール_入院レコード" sheetId="342" r:id="rId199"/>
    <sheet name="ベース_臨床サマリーモジュール_経過記録レコード" sheetId="343" r:id="rId200"/>
    <sheet name="ベース_臨床サマリーモジュール_検査結果レコード" sheetId="344" r:id="rId201"/>
    <sheet name="ベース_検歴情報モジュール_検歴情報" sheetId="345" r:id="rId202"/>
    <sheet name="ベース_検歴情報モジュール_検歴検体材料" sheetId="346" r:id="rId203"/>
    <sheet name="ベース_検歴情報モジュール_検歴項目情報" sheetId="347" r:id="rId204"/>
    <sheet name="ベース_バイタルサインモジュール_バイタルサイン" sheetId="380" r:id="rId205"/>
    <sheet name="ベース_バイタルサインモジュール_記録項目" sheetId="381" r:id="rId206"/>
    <sheet name="ベース_体温表モジュール_バイタルサイン" sheetId="382" r:id="rId207"/>
    <sheet name="ベース_体温表モジュール_記録項目" sheetId="383" r:id="rId208"/>
    <sheet name="ワーク_患者基本データ" sheetId="386" r:id="rId209"/>
    <sheet name="ワーク_look_back" sheetId="387" r:id="rId210"/>
    <sheet name="ワーク_疾患データ_DPC" sheetId="388" r:id="rId211"/>
    <sheet name="ワーク_処方データ" sheetId="393" r:id="rId212"/>
    <sheet name="ワーク_バイタル_DPC" sheetId="390" r:id="rId213"/>
    <sheet name="ワーク_バイタル_MML" sheetId="391" r:id="rId214"/>
    <sheet name="ワーク_バイタル" sheetId="392" r:id="rId215"/>
    <sheet name="ワーク_診療行為データ" sheetId="394" r:id="rId216"/>
    <sheet name="ワーク_検体検査データ_スキーマ2" sheetId="395" r:id="rId217"/>
    <sheet name="ワーク_検体検査データ_スキーマ4" sheetId="396" r:id="rId218"/>
    <sheet name="ワーク_検体検査データ" sheetId="397" r:id="rId219"/>
    <sheet name="ワーク_テキスト情報_一時" sheetId="398" r:id="rId220"/>
    <sheet name="ワーク_テキスト情報" sheetId="399" r:id="rId221"/>
    <sheet name="ワーク_処方データ_index" sheetId="409" r:id="rId222"/>
    <sheet name="セレクト_患者データ" sheetId="400" r:id="rId223"/>
    <sheet name="セレクト_検査データ" sheetId="401" r:id="rId224"/>
    <sheet name="セレクト_検査データ_患者背景用" sheetId="402" r:id="rId225"/>
    <sheet name="セレクト_検査データ_カリウム" sheetId="403" r:id="rId226"/>
    <sheet name="セレクト_併用薬データ_患者背景用" sheetId="404" r:id="rId227"/>
    <sheet name="セレクト_合併症有無_CKD_患者背景用" sheetId="405" r:id="rId228"/>
    <sheet name="セレクト_合併症有無_CKD以外_患者背景用" sheetId="406" r:id="rId229"/>
    <sheet name="セレクト_透析有無_患者背景用" sheetId="407" r:id="rId230"/>
    <sheet name="セレクト_バイタル" sheetId="408" r:id="rId231"/>
    <sheet name="デリバリ_患者背景" sheetId="411" r:id="rId232"/>
    <sheet name="デリバリ_患者背景_サマリ" sheetId="412" r:id="rId233"/>
    <sheet name="デリバリ_カリウム平均推移_日別" sheetId="413" r:id="rId234"/>
    <sheet name="デリバリ_カリウム平均推移_日別_lb30以上" sheetId="414" r:id="rId235"/>
    <sheet name="デリバリ_カリウム平均推移_週別" sheetId="415" r:id="rId236"/>
    <sheet name="デリバリ_カリウム平均推移_週別_lb30以上" sheetId="416" r:id="rId237"/>
    <sheet name="デリバリ_カリウム平均推移_月別" sheetId="417" r:id="rId238"/>
    <sheet name="デリバリ_カリウム平均推移_月別_lb30以上" sheetId="418" r:id="rId239"/>
    <sheet name="デリバリ_カリウム平均推移_日別_全患者" sheetId="419" r:id="rId240"/>
    <sheet name="デリバリ_カリウム平均推移_日別_全患者_lb30以上" sheetId="420" r:id="rId241"/>
    <sheet name="デリバリ_カリウム平均推移_週別_全患者" sheetId="421" r:id="rId242"/>
    <sheet name="デリバリ_カリウム平均推移_週別_全患者_lb30以上" sheetId="422" r:id="rId243"/>
    <sheet name="デリバリ_カリウム平均推移_月別_全患者" sheetId="423" r:id="rId244"/>
    <sheet name="デリバリ_カリウム平均推移_月別_全患者_lb30以上" sheetId="424" r:id="rId245"/>
    <sheet name="デリバリ_カリウム平均推移_週別_処方期間別" sheetId="425" r:id="rId246"/>
    <sheet name="デリバリ_カリウム平均推移_週別_処方期間別_lbなし" sheetId="426" r:id="rId247"/>
    <sheet name="デリバリ_カリウム平均推移_週別_処方期間別_lbあり" sheetId="427" r:id="rId248"/>
    <sheet name="デリバリ_カリウム平均推移_週別_処方期間別_lbなし2" sheetId="429" r:id="rId249"/>
    <sheet name="デリバリ_カリウム平均推移_週別_処方期間別_lbあり2" sheetId="430" r:id="rId250"/>
    <sheet name="デリバリ_患者_BMI" sheetId="428" r:id="rId251"/>
  </sheets>
  <definedNames>
    <definedName name="_xlnm._FilterDatabase" localSheetId="8" hidden="1">エンティティ一覧!$A$4:$BT$4</definedName>
    <definedName name="_xlnm.Print_Titles" localSheetId="8">エンティティ一覧!$4:$5</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280" i="410" l="1"/>
  <c r="E277" i="410"/>
  <c r="E274" i="410"/>
  <c r="T271" i="410"/>
  <c r="E271" i="410"/>
  <c r="C269" i="410"/>
  <c r="W269" i="410" s="1"/>
  <c r="C268" i="410"/>
  <c r="W268" i="410" s="1"/>
  <c r="W267" i="410"/>
  <c r="E263" i="410"/>
  <c r="E260" i="410"/>
  <c r="E257" i="410"/>
  <c r="T254" i="410"/>
  <c r="E254" i="410"/>
  <c r="C252" i="410"/>
  <c r="W252" i="410" s="1"/>
  <c r="C251" i="410"/>
  <c r="W251" i="410" s="1"/>
  <c r="W250" i="410"/>
  <c r="AJ17" i="430"/>
  <c r="T17" i="430"/>
  <c r="S17" i="430"/>
  <c r="R17" i="430"/>
  <c r="G17" i="430"/>
  <c r="Q17" i="430" s="1"/>
  <c r="B17" i="430"/>
  <c r="P17" i="430" s="1"/>
  <c r="AJ16" i="430"/>
  <c r="T16" i="430"/>
  <c r="S16" i="430"/>
  <c r="R16" i="430"/>
  <c r="G16" i="430"/>
  <c r="Q16" i="430" s="1"/>
  <c r="B16" i="430"/>
  <c r="P16" i="430" s="1"/>
  <c r="AJ15" i="430"/>
  <c r="T15" i="430"/>
  <c r="S15" i="430"/>
  <c r="R15" i="430"/>
  <c r="G15" i="430"/>
  <c r="Q15" i="430" s="1"/>
  <c r="B15" i="430"/>
  <c r="P15" i="430" s="1"/>
  <c r="AJ14" i="430"/>
  <c r="T14" i="430"/>
  <c r="S14" i="430"/>
  <c r="R14" i="430"/>
  <c r="G14" i="430"/>
  <c r="Q14" i="430" s="1"/>
  <c r="B14" i="430"/>
  <c r="P14" i="430" s="1"/>
  <c r="AJ13" i="430"/>
  <c r="T13" i="430"/>
  <c r="S13" i="430"/>
  <c r="R13" i="430"/>
  <c r="G13" i="430"/>
  <c r="Q13" i="430" s="1"/>
  <c r="B13" i="430"/>
  <c r="P13" i="430" s="1"/>
  <c r="AJ17" i="429"/>
  <c r="T17" i="429"/>
  <c r="S17" i="429"/>
  <c r="R17" i="429"/>
  <c r="G17" i="429"/>
  <c r="Q17" i="429" s="1"/>
  <c r="B17" i="429"/>
  <c r="P17" i="429" s="1"/>
  <c r="AJ16" i="429"/>
  <c r="T16" i="429"/>
  <c r="S16" i="429"/>
  <c r="R16" i="429"/>
  <c r="G16" i="429"/>
  <c r="Q16" i="429" s="1"/>
  <c r="B16" i="429"/>
  <c r="P16" i="429" s="1"/>
  <c r="AJ15" i="429"/>
  <c r="T15" i="429"/>
  <c r="S15" i="429"/>
  <c r="R15" i="429"/>
  <c r="G15" i="429"/>
  <c r="Q15" i="429" s="1"/>
  <c r="B15" i="429"/>
  <c r="P15" i="429" s="1"/>
  <c r="AJ14" i="429"/>
  <c r="T14" i="429"/>
  <c r="S14" i="429"/>
  <c r="R14" i="429"/>
  <c r="G14" i="429"/>
  <c r="Q14" i="429" s="1"/>
  <c r="B14" i="429"/>
  <c r="P14" i="429" s="1"/>
  <c r="AJ13" i="429"/>
  <c r="T13" i="429"/>
  <c r="S13" i="429"/>
  <c r="R13" i="429"/>
  <c r="G13" i="429"/>
  <c r="Q13" i="429" s="1"/>
  <c r="B13" i="429"/>
  <c r="P13" i="429" s="1"/>
  <c r="B246" i="25"/>
  <c r="O246" i="25" s="1"/>
  <c r="BK246" i="25" s="1"/>
  <c r="A246" i="25"/>
  <c r="B245" i="25"/>
  <c r="O245" i="25" s="1"/>
  <c r="BK245" i="25" s="1"/>
  <c r="A245" i="25"/>
  <c r="C30" i="385"/>
  <c r="W30" i="385" s="1"/>
  <c r="C29" i="385"/>
  <c r="W29" i="385" s="1"/>
  <c r="C43" i="385"/>
  <c r="E35" i="385"/>
  <c r="T32" i="385"/>
  <c r="E32" i="385"/>
  <c r="W28" i="385"/>
  <c r="AM246" i="25"/>
  <c r="AM245" i="25"/>
  <c r="AJ15" i="388" l="1"/>
  <c r="AJ16" i="388"/>
  <c r="AJ21" i="412" l="1"/>
  <c r="AJ22" i="412"/>
  <c r="AJ23" i="412"/>
  <c r="AJ24" i="412"/>
  <c r="AJ25" i="412"/>
  <c r="AJ26" i="412"/>
  <c r="AJ27" i="412"/>
  <c r="AJ28" i="412"/>
  <c r="AJ29" i="412"/>
  <c r="AJ30" i="412"/>
  <c r="AJ31" i="412"/>
  <c r="AJ32" i="412"/>
  <c r="AJ33" i="412"/>
  <c r="AJ34" i="412"/>
  <c r="AJ35" i="412"/>
  <c r="AJ36" i="412"/>
  <c r="AJ37" i="412"/>
  <c r="AJ38" i="412"/>
  <c r="AJ39" i="412"/>
  <c r="AJ40" i="412"/>
  <c r="B17" i="409" l="1"/>
  <c r="P17" i="409" s="1"/>
  <c r="G17" i="409"/>
  <c r="Q17" i="409" s="1"/>
  <c r="R17" i="409"/>
  <c r="S17" i="409"/>
  <c r="T17" i="409"/>
  <c r="AJ17" i="409"/>
  <c r="B18" i="409"/>
  <c r="P18" i="409" s="1"/>
  <c r="G18" i="409"/>
  <c r="Q18" i="409" s="1"/>
  <c r="R18" i="409"/>
  <c r="S18" i="409"/>
  <c r="T18" i="409"/>
  <c r="AJ18" i="409"/>
  <c r="B15" i="409"/>
  <c r="P15" i="409" s="1"/>
  <c r="G15" i="409"/>
  <c r="Q15" i="409" s="1"/>
  <c r="R15" i="409"/>
  <c r="S15" i="409"/>
  <c r="T15" i="409"/>
  <c r="AJ15" i="409"/>
  <c r="AJ17" i="391" l="1"/>
  <c r="T17" i="391"/>
  <c r="S17" i="391"/>
  <c r="R17" i="391"/>
  <c r="G17" i="391"/>
  <c r="Q17" i="391" s="1"/>
  <c r="B17" i="391"/>
  <c r="P17" i="391" s="1"/>
  <c r="AJ16" i="391"/>
  <c r="T16" i="391"/>
  <c r="S16" i="391"/>
  <c r="R16" i="391"/>
  <c r="G16" i="391"/>
  <c r="Q16" i="391" s="1"/>
  <c r="B16" i="391"/>
  <c r="P16" i="391" s="1"/>
  <c r="AJ15" i="391"/>
  <c r="T15" i="391"/>
  <c r="S15" i="391"/>
  <c r="R15" i="391"/>
  <c r="G15" i="391"/>
  <c r="Q15" i="391" s="1"/>
  <c r="B15" i="391"/>
  <c r="P15" i="391" s="1"/>
  <c r="AJ14" i="391"/>
  <c r="T14" i="391"/>
  <c r="S14" i="391"/>
  <c r="R14" i="391"/>
  <c r="G14" i="391"/>
  <c r="Q14" i="391" s="1"/>
  <c r="B14" i="391"/>
  <c r="P14" i="391" s="1"/>
  <c r="AJ13" i="391"/>
  <c r="T13" i="391"/>
  <c r="S13" i="391"/>
  <c r="R13" i="391"/>
  <c r="G13" i="391"/>
  <c r="Q13" i="391" s="1"/>
  <c r="B13" i="391"/>
  <c r="P13" i="391" s="1"/>
  <c r="AJ17" i="390"/>
  <c r="T17" i="390"/>
  <c r="S17" i="390"/>
  <c r="R17" i="390"/>
  <c r="G17" i="390"/>
  <c r="Q17" i="390" s="1"/>
  <c r="B17" i="390"/>
  <c r="P17" i="390" s="1"/>
  <c r="AJ16" i="390"/>
  <c r="T16" i="390"/>
  <c r="S16" i="390"/>
  <c r="R16" i="390"/>
  <c r="G16" i="390"/>
  <c r="Q16" i="390" s="1"/>
  <c r="B16" i="390"/>
  <c r="P16" i="390" s="1"/>
  <c r="AJ15" i="390"/>
  <c r="T15" i="390"/>
  <c r="S15" i="390"/>
  <c r="R15" i="390"/>
  <c r="G15" i="390"/>
  <c r="Q15" i="390" s="1"/>
  <c r="B15" i="390"/>
  <c r="P15" i="390" s="1"/>
  <c r="AJ14" i="390"/>
  <c r="T14" i="390"/>
  <c r="S14" i="390"/>
  <c r="R14" i="390"/>
  <c r="G14" i="390"/>
  <c r="Q14" i="390" s="1"/>
  <c r="B14" i="390"/>
  <c r="P14" i="390" s="1"/>
  <c r="AJ13" i="390"/>
  <c r="T13" i="390"/>
  <c r="S13" i="390"/>
  <c r="R13" i="390"/>
  <c r="G13" i="390"/>
  <c r="Q13" i="390" s="1"/>
  <c r="B13" i="390"/>
  <c r="P13" i="390" s="1"/>
  <c r="T7" i="384" l="1"/>
  <c r="E7" i="384"/>
  <c r="E295" i="384"/>
  <c r="J317" i="384" l="1"/>
  <c r="T314" i="384"/>
  <c r="J306" i="384"/>
  <c r="E314" i="384"/>
  <c r="E303" i="384"/>
  <c r="T303" i="384"/>
  <c r="T292" i="384"/>
  <c r="E292" i="384"/>
  <c r="E283" i="384"/>
  <c r="T283" i="384"/>
  <c r="T274" i="384"/>
  <c r="E274" i="384"/>
  <c r="E265" i="384"/>
  <c r="T265" i="384"/>
  <c r="T256" i="384"/>
  <c r="E256" i="384"/>
  <c r="E247" i="384"/>
  <c r="T247" i="384"/>
  <c r="T238" i="384"/>
  <c r="E238" i="384"/>
  <c r="E229" i="384"/>
  <c r="T229" i="384"/>
  <c r="T220" i="384"/>
  <c r="E220" i="384"/>
  <c r="E211" i="384"/>
  <c r="T211" i="384"/>
  <c r="T202" i="384"/>
  <c r="E202" i="384"/>
  <c r="E193" i="384"/>
  <c r="T193" i="384"/>
  <c r="T184" i="384"/>
  <c r="E184" i="384"/>
  <c r="T172" i="384"/>
  <c r="E175" i="384"/>
  <c r="E172" i="384"/>
  <c r="E160" i="384"/>
  <c r="E157" i="384"/>
  <c r="J163" i="384"/>
  <c r="J154" i="384"/>
  <c r="J150" i="384"/>
  <c r="T144" i="384"/>
  <c r="E147" i="384"/>
  <c r="E144" i="384"/>
  <c r="J135" i="384"/>
  <c r="J132" i="384"/>
  <c r="J129" i="384"/>
  <c r="J126" i="384"/>
  <c r="J123" i="384"/>
  <c r="J120" i="384"/>
  <c r="E117" i="384"/>
  <c r="T117" i="384"/>
  <c r="T105" i="384"/>
  <c r="J108" i="384"/>
  <c r="E105" i="384"/>
  <c r="T93" i="384"/>
  <c r="E96" i="384"/>
  <c r="E93" i="384"/>
  <c r="T78" i="384"/>
  <c r="J84" i="384"/>
  <c r="E81" i="384"/>
  <c r="E78" i="384"/>
  <c r="T69" i="384"/>
  <c r="E69" i="384"/>
  <c r="J60" i="384"/>
  <c r="T57" i="384"/>
  <c r="E57" i="384"/>
  <c r="J48" i="384"/>
  <c r="E45" i="384"/>
  <c r="E42" i="384"/>
  <c r="E34" i="384"/>
  <c r="E31" i="384"/>
  <c r="E28" i="384"/>
  <c r="T28" i="384"/>
  <c r="T16" i="384"/>
  <c r="E19" i="384"/>
  <c r="E16" i="384"/>
  <c r="C312" i="384" l="1"/>
  <c r="W312" i="384" s="1"/>
  <c r="C311" i="384"/>
  <c r="W311" i="384" s="1"/>
  <c r="W310" i="384"/>
  <c r="C301" i="384"/>
  <c r="W301" i="384" s="1"/>
  <c r="C300" i="384"/>
  <c r="W300" i="384" s="1"/>
  <c r="W299" i="384"/>
  <c r="C290" i="384"/>
  <c r="W290" i="384" s="1"/>
  <c r="C289" i="384"/>
  <c r="W289" i="384" s="1"/>
  <c r="W288" i="384"/>
  <c r="C281" i="384"/>
  <c r="W281" i="384" s="1"/>
  <c r="C280" i="384"/>
  <c r="W280" i="384" s="1"/>
  <c r="W279" i="384"/>
  <c r="C272" i="384"/>
  <c r="W272" i="384" s="1"/>
  <c r="C271" i="384"/>
  <c r="W271" i="384" s="1"/>
  <c r="W270" i="384"/>
  <c r="C263" i="384"/>
  <c r="W263" i="384" s="1"/>
  <c r="C262" i="384"/>
  <c r="W262" i="384" s="1"/>
  <c r="W261" i="384"/>
  <c r="C254" i="384"/>
  <c r="W254" i="384" s="1"/>
  <c r="C253" i="384"/>
  <c r="W253" i="384" s="1"/>
  <c r="W252" i="384"/>
  <c r="C245" i="384"/>
  <c r="W245" i="384" s="1"/>
  <c r="C244" i="384"/>
  <c r="W244" i="384" s="1"/>
  <c r="W243" i="384"/>
  <c r="C236" i="384"/>
  <c r="W236" i="384" s="1"/>
  <c r="C235" i="384"/>
  <c r="W235" i="384" s="1"/>
  <c r="W234" i="384"/>
  <c r="C227" i="384"/>
  <c r="W227" i="384" s="1"/>
  <c r="C226" i="384"/>
  <c r="W226" i="384" s="1"/>
  <c r="W225" i="384"/>
  <c r="C218" i="384"/>
  <c r="W218" i="384" s="1"/>
  <c r="C217" i="384"/>
  <c r="W217" i="384" s="1"/>
  <c r="W216" i="384"/>
  <c r="C209" i="384"/>
  <c r="W209" i="384" s="1"/>
  <c r="C208" i="384"/>
  <c r="W208" i="384" s="1"/>
  <c r="W207" i="384"/>
  <c r="C200" i="384"/>
  <c r="W200" i="384" s="1"/>
  <c r="C199" i="384"/>
  <c r="W199" i="384" s="1"/>
  <c r="W198" i="384"/>
  <c r="C191" i="384"/>
  <c r="W191" i="384" s="1"/>
  <c r="C190" i="384"/>
  <c r="W190" i="384" s="1"/>
  <c r="W189" i="384"/>
  <c r="C182" i="384"/>
  <c r="W182" i="384" s="1"/>
  <c r="C181" i="384"/>
  <c r="W181" i="384" s="1"/>
  <c r="W180" i="384"/>
  <c r="C170" i="384"/>
  <c r="W170" i="384" s="1"/>
  <c r="C169" i="384"/>
  <c r="W169" i="384" s="1"/>
  <c r="W168" i="384"/>
  <c r="C142" i="384"/>
  <c r="W142" i="384" s="1"/>
  <c r="C141" i="384"/>
  <c r="W141" i="384" s="1"/>
  <c r="W140" i="384"/>
  <c r="C115" i="384"/>
  <c r="W115" i="384" s="1"/>
  <c r="C114" i="384"/>
  <c r="W114" i="384" s="1"/>
  <c r="W113" i="384"/>
  <c r="C103" i="384"/>
  <c r="W103" i="384" s="1"/>
  <c r="C102" i="384"/>
  <c r="W102" i="384" s="1"/>
  <c r="W101" i="384"/>
  <c r="C91" i="384"/>
  <c r="W91" i="384" s="1"/>
  <c r="C90" i="384"/>
  <c r="W90" i="384" s="1"/>
  <c r="W89" i="384"/>
  <c r="C76" i="384"/>
  <c r="W76" i="384" s="1"/>
  <c r="C75" i="384"/>
  <c r="W75" i="384" s="1"/>
  <c r="W74" i="384"/>
  <c r="C67" i="384"/>
  <c r="W67" i="384" s="1"/>
  <c r="C66" i="384"/>
  <c r="W66" i="384" s="1"/>
  <c r="W65" i="384"/>
  <c r="C55" i="384"/>
  <c r="W55" i="384" s="1"/>
  <c r="C54" i="384"/>
  <c r="W54" i="384" s="1"/>
  <c r="W53" i="384"/>
  <c r="C26" i="384"/>
  <c r="W26" i="384" s="1"/>
  <c r="C25" i="384"/>
  <c r="W25" i="384" s="1"/>
  <c r="W24" i="384"/>
  <c r="C14" i="384"/>
  <c r="W14" i="384" s="1"/>
  <c r="C13" i="384"/>
  <c r="W13" i="384" s="1"/>
  <c r="W12" i="384"/>
  <c r="C5" i="384"/>
  <c r="W5" i="384" s="1"/>
  <c r="C4" i="384"/>
  <c r="W4" i="384" s="1"/>
  <c r="W3" i="384"/>
  <c r="E40" i="176"/>
  <c r="T31" i="176"/>
  <c r="E31" i="176"/>
  <c r="E22" i="176"/>
  <c r="T19" i="176"/>
  <c r="E19" i="176"/>
  <c r="T7" i="176"/>
  <c r="E7" i="176"/>
  <c r="W38" i="176"/>
  <c r="W37" i="176"/>
  <c r="W36" i="176"/>
  <c r="C29" i="176"/>
  <c r="W29" i="176" s="1"/>
  <c r="C28" i="176"/>
  <c r="W28" i="176" s="1"/>
  <c r="W27" i="176"/>
  <c r="C17" i="176"/>
  <c r="W17" i="176" s="1"/>
  <c r="C16" i="176"/>
  <c r="W16" i="176" s="1"/>
  <c r="W15" i="176"/>
  <c r="C5" i="176"/>
  <c r="W5" i="176" s="1"/>
  <c r="C4" i="176"/>
  <c r="W4" i="176" s="1"/>
  <c r="W3" i="176"/>
  <c r="C286" i="410" l="1"/>
  <c r="W286" i="410" s="1"/>
  <c r="T288" i="410"/>
  <c r="E288" i="410"/>
  <c r="C285" i="410"/>
  <c r="W285" i="410" s="1"/>
  <c r="W284" i="410"/>
  <c r="AJ16" i="428"/>
  <c r="T16" i="428"/>
  <c r="S16" i="428"/>
  <c r="R16" i="428"/>
  <c r="G16" i="428"/>
  <c r="Q16" i="428" s="1"/>
  <c r="B16" i="428"/>
  <c r="P16" i="428" s="1"/>
  <c r="AJ17" i="428"/>
  <c r="T17" i="428"/>
  <c r="S17" i="428"/>
  <c r="R17" i="428"/>
  <c r="G17" i="428"/>
  <c r="Q17" i="428" s="1"/>
  <c r="B17" i="428"/>
  <c r="P17" i="428" s="1"/>
  <c r="AJ15" i="428"/>
  <c r="T15" i="428"/>
  <c r="S15" i="428"/>
  <c r="R15" i="428"/>
  <c r="G15" i="428"/>
  <c r="Q15" i="428" s="1"/>
  <c r="B15" i="428"/>
  <c r="P15" i="428" s="1"/>
  <c r="AJ14" i="428"/>
  <c r="T14" i="428"/>
  <c r="S14" i="428"/>
  <c r="R14" i="428"/>
  <c r="G14" i="428"/>
  <c r="Q14" i="428" s="1"/>
  <c r="B14" i="428"/>
  <c r="P14" i="428" s="1"/>
  <c r="AJ13" i="428"/>
  <c r="T13" i="428"/>
  <c r="S13" i="428"/>
  <c r="R13" i="428"/>
  <c r="G13" i="428"/>
  <c r="Q13" i="428" s="1"/>
  <c r="B13" i="428"/>
  <c r="P13" i="428" s="1"/>
  <c r="AJ18" i="427"/>
  <c r="T18" i="427"/>
  <c r="S18" i="427"/>
  <c r="R18" i="427"/>
  <c r="G18" i="427"/>
  <c r="Q18" i="427" s="1"/>
  <c r="B18" i="427"/>
  <c r="P18" i="427" s="1"/>
  <c r="AJ17" i="427"/>
  <c r="T17" i="427"/>
  <c r="S17" i="427"/>
  <c r="R17" i="427"/>
  <c r="G17" i="427"/>
  <c r="Q17" i="427" s="1"/>
  <c r="B17" i="427"/>
  <c r="P17" i="427" s="1"/>
  <c r="AJ16" i="427"/>
  <c r="T16" i="427"/>
  <c r="S16" i="427"/>
  <c r="R16" i="427"/>
  <c r="G16" i="427"/>
  <c r="Q16" i="427" s="1"/>
  <c r="B16" i="427"/>
  <c r="P16" i="427" s="1"/>
  <c r="AJ15" i="427"/>
  <c r="T15" i="427"/>
  <c r="S15" i="427"/>
  <c r="R15" i="427"/>
  <c r="G15" i="427"/>
  <c r="Q15" i="427" s="1"/>
  <c r="B15" i="427"/>
  <c r="P15" i="427" s="1"/>
  <c r="AJ14" i="427"/>
  <c r="T14" i="427"/>
  <c r="S14" i="427"/>
  <c r="R14" i="427"/>
  <c r="G14" i="427"/>
  <c r="Q14" i="427" s="1"/>
  <c r="B14" i="427"/>
  <c r="P14" i="427" s="1"/>
  <c r="AJ13" i="427"/>
  <c r="T13" i="427"/>
  <c r="S13" i="427"/>
  <c r="R13" i="427"/>
  <c r="G13" i="427"/>
  <c r="Q13" i="427" s="1"/>
  <c r="B13" i="427"/>
  <c r="P13" i="427" s="1"/>
  <c r="E246" i="410"/>
  <c r="E243" i="410"/>
  <c r="E240" i="410"/>
  <c r="T237" i="410"/>
  <c r="E237" i="410"/>
  <c r="C235" i="410"/>
  <c r="W235" i="410" s="1"/>
  <c r="C234" i="410"/>
  <c r="W234" i="410" s="1"/>
  <c r="W233" i="410"/>
  <c r="AJ18" i="426"/>
  <c r="T18" i="426"/>
  <c r="S18" i="426"/>
  <c r="R18" i="426"/>
  <c r="G18" i="426"/>
  <c r="Q18" i="426" s="1"/>
  <c r="B18" i="426"/>
  <c r="P18" i="426" s="1"/>
  <c r="AJ17" i="426"/>
  <c r="T17" i="426"/>
  <c r="S17" i="426"/>
  <c r="R17" i="426"/>
  <c r="G17" i="426"/>
  <c r="Q17" i="426" s="1"/>
  <c r="B17" i="426"/>
  <c r="P17" i="426" s="1"/>
  <c r="AJ16" i="426"/>
  <c r="T16" i="426"/>
  <c r="S16" i="426"/>
  <c r="R16" i="426"/>
  <c r="G16" i="426"/>
  <c r="Q16" i="426" s="1"/>
  <c r="B16" i="426"/>
  <c r="P16" i="426" s="1"/>
  <c r="AJ15" i="426"/>
  <c r="T15" i="426"/>
  <c r="S15" i="426"/>
  <c r="R15" i="426"/>
  <c r="G15" i="426"/>
  <c r="Q15" i="426" s="1"/>
  <c r="B15" i="426"/>
  <c r="P15" i="426" s="1"/>
  <c r="AJ14" i="426"/>
  <c r="T14" i="426"/>
  <c r="S14" i="426"/>
  <c r="R14" i="426"/>
  <c r="G14" i="426"/>
  <c r="Q14" i="426" s="1"/>
  <c r="B14" i="426"/>
  <c r="P14" i="426" s="1"/>
  <c r="AJ13" i="426"/>
  <c r="T13" i="426"/>
  <c r="S13" i="426"/>
  <c r="R13" i="426"/>
  <c r="G13" i="426"/>
  <c r="Q13" i="426" s="1"/>
  <c r="B13" i="426"/>
  <c r="P13" i="426" s="1"/>
  <c r="E229" i="410"/>
  <c r="E226" i="410"/>
  <c r="E223" i="410"/>
  <c r="T220" i="410"/>
  <c r="E220" i="410"/>
  <c r="C218" i="410"/>
  <c r="W218" i="410" s="1"/>
  <c r="C217" i="410"/>
  <c r="W217" i="410" s="1"/>
  <c r="W216" i="410"/>
  <c r="E212" i="410"/>
  <c r="E209" i="410"/>
  <c r="T206" i="410"/>
  <c r="E206" i="410"/>
  <c r="C204" i="410"/>
  <c r="W204" i="410" s="1"/>
  <c r="C203" i="410"/>
  <c r="W203" i="410" s="1"/>
  <c r="W202" i="410"/>
  <c r="B247" i="25"/>
  <c r="O247" i="25" s="1"/>
  <c r="BK247" i="25" s="1"/>
  <c r="A247" i="25"/>
  <c r="B244" i="25"/>
  <c r="O244" i="25" s="1"/>
  <c r="BK244" i="25" s="1"/>
  <c r="A244" i="25"/>
  <c r="AJ17" i="425"/>
  <c r="T17" i="425"/>
  <c r="S17" i="425"/>
  <c r="R17" i="425"/>
  <c r="G17" i="425"/>
  <c r="Q17" i="425" s="1"/>
  <c r="B17" i="425"/>
  <c r="P17" i="425" s="1"/>
  <c r="AJ16" i="425"/>
  <c r="T16" i="425"/>
  <c r="S16" i="425"/>
  <c r="R16" i="425"/>
  <c r="G16" i="425"/>
  <c r="Q16" i="425" s="1"/>
  <c r="B16" i="425"/>
  <c r="P16" i="425" s="1"/>
  <c r="AJ15" i="425"/>
  <c r="T15" i="425"/>
  <c r="S15" i="425"/>
  <c r="R15" i="425"/>
  <c r="G15" i="425"/>
  <c r="Q15" i="425" s="1"/>
  <c r="B15" i="425"/>
  <c r="P15" i="425" s="1"/>
  <c r="AJ14" i="425"/>
  <c r="T14" i="425"/>
  <c r="S14" i="425"/>
  <c r="R14" i="425"/>
  <c r="G14" i="425"/>
  <c r="Q14" i="425" s="1"/>
  <c r="B14" i="425"/>
  <c r="P14" i="425" s="1"/>
  <c r="AJ13" i="425"/>
  <c r="T13" i="425"/>
  <c r="S13" i="425"/>
  <c r="R13" i="425"/>
  <c r="G13" i="425"/>
  <c r="Q13" i="425" s="1"/>
  <c r="B13" i="425"/>
  <c r="P13" i="425" s="1"/>
  <c r="E198" i="410"/>
  <c r="E195" i="410"/>
  <c r="T192" i="410"/>
  <c r="E192" i="410"/>
  <c r="C190" i="410"/>
  <c r="W190" i="410" s="1"/>
  <c r="C189" i="410"/>
  <c r="W189" i="410" s="1"/>
  <c r="W188" i="410"/>
  <c r="E184" i="410"/>
  <c r="E181" i="410"/>
  <c r="T178" i="410"/>
  <c r="E178" i="410"/>
  <c r="C176" i="410"/>
  <c r="W176" i="410" s="1"/>
  <c r="C175" i="410"/>
  <c r="W175" i="410" s="1"/>
  <c r="W174" i="410"/>
  <c r="AJ17" i="424"/>
  <c r="T17" i="424"/>
  <c r="S17" i="424"/>
  <c r="R17" i="424"/>
  <c r="G17" i="424"/>
  <c r="Q17" i="424" s="1"/>
  <c r="B17" i="424"/>
  <c r="P17" i="424" s="1"/>
  <c r="AJ16" i="424"/>
  <c r="T16" i="424"/>
  <c r="S16" i="424"/>
  <c r="R16" i="424"/>
  <c r="G16" i="424"/>
  <c r="Q16" i="424" s="1"/>
  <c r="B16" i="424"/>
  <c r="P16" i="424" s="1"/>
  <c r="AJ15" i="424"/>
  <c r="T15" i="424"/>
  <c r="S15" i="424"/>
  <c r="R15" i="424"/>
  <c r="G15" i="424"/>
  <c r="Q15" i="424" s="1"/>
  <c r="B15" i="424"/>
  <c r="P15" i="424" s="1"/>
  <c r="AJ14" i="424"/>
  <c r="T14" i="424"/>
  <c r="S14" i="424"/>
  <c r="R14" i="424"/>
  <c r="G14" i="424"/>
  <c r="Q14" i="424" s="1"/>
  <c r="B14" i="424"/>
  <c r="P14" i="424" s="1"/>
  <c r="AJ13" i="424"/>
  <c r="T13" i="424"/>
  <c r="S13" i="424"/>
  <c r="R13" i="424"/>
  <c r="G13" i="424"/>
  <c r="Q13" i="424" s="1"/>
  <c r="B13" i="424"/>
  <c r="P13" i="424" s="1"/>
  <c r="AJ17" i="423"/>
  <c r="T17" i="423"/>
  <c r="S17" i="423"/>
  <c r="R17" i="423"/>
  <c r="G17" i="423"/>
  <c r="Q17" i="423" s="1"/>
  <c r="B17" i="423"/>
  <c r="P17" i="423" s="1"/>
  <c r="AJ16" i="423"/>
  <c r="T16" i="423"/>
  <c r="S16" i="423"/>
  <c r="R16" i="423"/>
  <c r="G16" i="423"/>
  <c r="Q16" i="423" s="1"/>
  <c r="B16" i="423"/>
  <c r="P16" i="423" s="1"/>
  <c r="AJ15" i="423"/>
  <c r="T15" i="423"/>
  <c r="S15" i="423"/>
  <c r="R15" i="423"/>
  <c r="G15" i="423"/>
  <c r="Q15" i="423" s="1"/>
  <c r="B15" i="423"/>
  <c r="P15" i="423" s="1"/>
  <c r="AJ14" i="423"/>
  <c r="T14" i="423"/>
  <c r="S14" i="423"/>
  <c r="R14" i="423"/>
  <c r="G14" i="423"/>
  <c r="Q14" i="423" s="1"/>
  <c r="B14" i="423"/>
  <c r="P14" i="423" s="1"/>
  <c r="AJ13" i="423"/>
  <c r="T13" i="423"/>
  <c r="S13" i="423"/>
  <c r="R13" i="423"/>
  <c r="G13" i="423"/>
  <c r="Q13" i="423" s="1"/>
  <c r="B13" i="423"/>
  <c r="P13" i="423" s="1"/>
  <c r="E170" i="410"/>
  <c r="E167" i="410"/>
  <c r="T164" i="410"/>
  <c r="E164" i="410"/>
  <c r="C162" i="410"/>
  <c r="W162" i="410" s="1"/>
  <c r="C161" i="410"/>
  <c r="W161" i="410" s="1"/>
  <c r="W160" i="410"/>
  <c r="E156" i="410"/>
  <c r="E153" i="410"/>
  <c r="T150" i="410"/>
  <c r="E150" i="410"/>
  <c r="C148" i="410"/>
  <c r="W148" i="410" s="1"/>
  <c r="C147" i="410"/>
  <c r="W147" i="410" s="1"/>
  <c r="W146" i="410"/>
  <c r="AJ17" i="422"/>
  <c r="T17" i="422"/>
  <c r="S17" i="422"/>
  <c r="R17" i="422"/>
  <c r="G17" i="422"/>
  <c r="Q17" i="422" s="1"/>
  <c r="B17" i="422"/>
  <c r="P17" i="422" s="1"/>
  <c r="AJ16" i="422"/>
  <c r="T16" i="422"/>
  <c r="S16" i="422"/>
  <c r="R16" i="422"/>
  <c r="G16" i="422"/>
  <c r="Q16" i="422" s="1"/>
  <c r="B16" i="422"/>
  <c r="P16" i="422" s="1"/>
  <c r="AJ15" i="422"/>
  <c r="T15" i="422"/>
  <c r="S15" i="422"/>
  <c r="R15" i="422"/>
  <c r="G15" i="422"/>
  <c r="Q15" i="422" s="1"/>
  <c r="B15" i="422"/>
  <c r="P15" i="422" s="1"/>
  <c r="AJ14" i="422"/>
  <c r="T14" i="422"/>
  <c r="S14" i="422"/>
  <c r="R14" i="422"/>
  <c r="G14" i="422"/>
  <c r="Q14" i="422" s="1"/>
  <c r="B14" i="422"/>
  <c r="P14" i="422" s="1"/>
  <c r="AJ13" i="422"/>
  <c r="T13" i="422"/>
  <c r="S13" i="422"/>
  <c r="R13" i="422"/>
  <c r="G13" i="422"/>
  <c r="Q13" i="422" s="1"/>
  <c r="B13" i="422"/>
  <c r="P13" i="422" s="1"/>
  <c r="AJ17" i="421"/>
  <c r="T17" i="421"/>
  <c r="S17" i="421"/>
  <c r="R17" i="421"/>
  <c r="G17" i="421"/>
  <c r="Q17" i="421" s="1"/>
  <c r="B17" i="421"/>
  <c r="P17" i="421" s="1"/>
  <c r="AJ16" i="421"/>
  <c r="T16" i="421"/>
  <c r="S16" i="421"/>
  <c r="R16" i="421"/>
  <c r="G16" i="421"/>
  <c r="Q16" i="421" s="1"/>
  <c r="B16" i="421"/>
  <c r="P16" i="421" s="1"/>
  <c r="AJ15" i="421"/>
  <c r="T15" i="421"/>
  <c r="S15" i="421"/>
  <c r="R15" i="421"/>
  <c r="G15" i="421"/>
  <c r="Q15" i="421" s="1"/>
  <c r="B15" i="421"/>
  <c r="P15" i="421" s="1"/>
  <c r="AJ14" i="421"/>
  <c r="T14" i="421"/>
  <c r="S14" i="421"/>
  <c r="R14" i="421"/>
  <c r="G14" i="421"/>
  <c r="Q14" i="421" s="1"/>
  <c r="B14" i="421"/>
  <c r="P14" i="421" s="1"/>
  <c r="AJ13" i="421"/>
  <c r="T13" i="421"/>
  <c r="S13" i="421"/>
  <c r="R13" i="421"/>
  <c r="G13" i="421"/>
  <c r="Q13" i="421" s="1"/>
  <c r="B13" i="421"/>
  <c r="P13" i="421" s="1"/>
  <c r="E142" i="410"/>
  <c r="E139" i="410"/>
  <c r="T136" i="410"/>
  <c r="E136" i="410"/>
  <c r="C134" i="410"/>
  <c r="W134" i="410" s="1"/>
  <c r="C133" i="410"/>
  <c r="W133" i="410" s="1"/>
  <c r="W132" i="410"/>
  <c r="AJ17" i="420"/>
  <c r="T17" i="420"/>
  <c r="S17" i="420"/>
  <c r="R17" i="420"/>
  <c r="G17" i="420"/>
  <c r="Q17" i="420" s="1"/>
  <c r="B17" i="420"/>
  <c r="P17" i="420" s="1"/>
  <c r="AJ16" i="420"/>
  <c r="T16" i="420"/>
  <c r="S16" i="420"/>
  <c r="R16" i="420"/>
  <c r="G16" i="420"/>
  <c r="Q16" i="420" s="1"/>
  <c r="B16" i="420"/>
  <c r="P16" i="420" s="1"/>
  <c r="AJ15" i="420"/>
  <c r="T15" i="420"/>
  <c r="S15" i="420"/>
  <c r="R15" i="420"/>
  <c r="G15" i="420"/>
  <c r="Q15" i="420" s="1"/>
  <c r="B15" i="420"/>
  <c r="P15" i="420" s="1"/>
  <c r="AJ14" i="420"/>
  <c r="T14" i="420"/>
  <c r="S14" i="420"/>
  <c r="R14" i="420"/>
  <c r="G14" i="420"/>
  <c r="Q14" i="420" s="1"/>
  <c r="B14" i="420"/>
  <c r="P14" i="420" s="1"/>
  <c r="AJ13" i="420"/>
  <c r="T13" i="420"/>
  <c r="S13" i="420"/>
  <c r="R13" i="420"/>
  <c r="G13" i="420"/>
  <c r="Q13" i="420" s="1"/>
  <c r="B13" i="420"/>
  <c r="P13" i="420" s="1"/>
  <c r="B243" i="25"/>
  <c r="O243" i="25" s="1"/>
  <c r="BK243" i="25" s="1"/>
  <c r="A243" i="25"/>
  <c r="B242" i="25"/>
  <c r="O242" i="25" s="1"/>
  <c r="BK242" i="25" s="1"/>
  <c r="A242" i="25"/>
  <c r="B241" i="25"/>
  <c r="O241" i="25" s="1"/>
  <c r="BK241" i="25" s="1"/>
  <c r="A241" i="25"/>
  <c r="B240" i="25"/>
  <c r="O240" i="25" s="1"/>
  <c r="BK240" i="25" s="1"/>
  <c r="A240" i="25"/>
  <c r="B239" i="25"/>
  <c r="O239" i="25" s="1"/>
  <c r="BK239" i="25" s="1"/>
  <c r="A239" i="25"/>
  <c r="B238" i="25"/>
  <c r="O238" i="25" s="1"/>
  <c r="BK238" i="25" s="1"/>
  <c r="A238" i="25"/>
  <c r="E128" i="410"/>
  <c r="E125" i="410"/>
  <c r="T122" i="410"/>
  <c r="E122" i="410"/>
  <c r="C120" i="410"/>
  <c r="W120" i="410" s="1"/>
  <c r="C119" i="410"/>
  <c r="W119" i="410" s="1"/>
  <c r="W118" i="410"/>
  <c r="AJ17" i="419"/>
  <c r="T17" i="419"/>
  <c r="S17" i="419"/>
  <c r="R17" i="419"/>
  <c r="G17" i="419"/>
  <c r="Q17" i="419" s="1"/>
  <c r="B17" i="419"/>
  <c r="P17" i="419" s="1"/>
  <c r="AJ16" i="419"/>
  <c r="T16" i="419"/>
  <c r="S16" i="419"/>
  <c r="R16" i="419"/>
  <c r="G16" i="419"/>
  <c r="Q16" i="419" s="1"/>
  <c r="B16" i="419"/>
  <c r="P16" i="419" s="1"/>
  <c r="AJ15" i="419"/>
  <c r="T15" i="419"/>
  <c r="S15" i="419"/>
  <c r="R15" i="419"/>
  <c r="G15" i="419"/>
  <c r="Q15" i="419" s="1"/>
  <c r="B15" i="419"/>
  <c r="P15" i="419" s="1"/>
  <c r="AJ14" i="419"/>
  <c r="T14" i="419"/>
  <c r="S14" i="419"/>
  <c r="R14" i="419"/>
  <c r="G14" i="419"/>
  <c r="Q14" i="419" s="1"/>
  <c r="B14" i="419"/>
  <c r="P14" i="419" s="1"/>
  <c r="AJ13" i="419"/>
  <c r="T13" i="419"/>
  <c r="S13" i="419"/>
  <c r="R13" i="419"/>
  <c r="G13" i="419"/>
  <c r="Q13" i="419" s="1"/>
  <c r="B13" i="419"/>
  <c r="P13" i="419" s="1"/>
  <c r="E114" i="410"/>
  <c r="E111" i="410"/>
  <c r="T108" i="410"/>
  <c r="E108" i="410"/>
  <c r="C106" i="410"/>
  <c r="W106" i="410" s="1"/>
  <c r="C105" i="410"/>
  <c r="W105" i="410" s="1"/>
  <c r="W104" i="410"/>
  <c r="AJ17" i="418"/>
  <c r="T17" i="418"/>
  <c r="S17" i="418"/>
  <c r="R17" i="418"/>
  <c r="G17" i="418"/>
  <c r="Q17" i="418" s="1"/>
  <c r="B17" i="418"/>
  <c r="P17" i="418" s="1"/>
  <c r="AJ16" i="418"/>
  <c r="T16" i="418"/>
  <c r="S16" i="418"/>
  <c r="R16" i="418"/>
  <c r="G16" i="418"/>
  <c r="Q16" i="418" s="1"/>
  <c r="B16" i="418"/>
  <c r="P16" i="418" s="1"/>
  <c r="AJ15" i="418"/>
  <c r="T15" i="418"/>
  <c r="S15" i="418"/>
  <c r="R15" i="418"/>
  <c r="G15" i="418"/>
  <c r="Q15" i="418" s="1"/>
  <c r="B15" i="418"/>
  <c r="P15" i="418" s="1"/>
  <c r="AJ14" i="418"/>
  <c r="T14" i="418"/>
  <c r="S14" i="418"/>
  <c r="R14" i="418"/>
  <c r="G14" i="418"/>
  <c r="Q14" i="418" s="1"/>
  <c r="B14" i="418"/>
  <c r="P14" i="418" s="1"/>
  <c r="AJ13" i="418"/>
  <c r="T13" i="418"/>
  <c r="S13" i="418"/>
  <c r="R13" i="418"/>
  <c r="G13" i="418"/>
  <c r="Q13" i="418" s="1"/>
  <c r="B13" i="418"/>
  <c r="P13" i="418" s="1"/>
  <c r="E100" i="410"/>
  <c r="E97" i="410"/>
  <c r="T94" i="410"/>
  <c r="E94" i="410"/>
  <c r="C92" i="410"/>
  <c r="W92" i="410" s="1"/>
  <c r="C91" i="410"/>
  <c r="W91" i="410" s="1"/>
  <c r="W90" i="410"/>
  <c r="AJ17" i="417"/>
  <c r="T17" i="417"/>
  <c r="S17" i="417"/>
  <c r="R17" i="417"/>
  <c r="G17" i="417"/>
  <c r="Q17" i="417" s="1"/>
  <c r="B17" i="417"/>
  <c r="P17" i="417" s="1"/>
  <c r="AJ16" i="417"/>
  <c r="T16" i="417"/>
  <c r="S16" i="417"/>
  <c r="R16" i="417"/>
  <c r="G16" i="417"/>
  <c r="Q16" i="417" s="1"/>
  <c r="B16" i="417"/>
  <c r="P16" i="417" s="1"/>
  <c r="AJ15" i="417"/>
  <c r="T15" i="417"/>
  <c r="S15" i="417"/>
  <c r="R15" i="417"/>
  <c r="G15" i="417"/>
  <c r="Q15" i="417" s="1"/>
  <c r="B15" i="417"/>
  <c r="P15" i="417" s="1"/>
  <c r="AJ14" i="417"/>
  <c r="T14" i="417"/>
  <c r="S14" i="417"/>
  <c r="R14" i="417"/>
  <c r="G14" i="417"/>
  <c r="Q14" i="417" s="1"/>
  <c r="B14" i="417"/>
  <c r="P14" i="417" s="1"/>
  <c r="AJ13" i="417"/>
  <c r="T13" i="417"/>
  <c r="S13" i="417"/>
  <c r="R13" i="417"/>
  <c r="G13" i="417"/>
  <c r="Q13" i="417" s="1"/>
  <c r="B13" i="417"/>
  <c r="P13" i="417" s="1"/>
  <c r="E86" i="410"/>
  <c r="E83" i="410"/>
  <c r="T80" i="410"/>
  <c r="E80" i="410"/>
  <c r="C78" i="410"/>
  <c r="W78" i="410" s="1"/>
  <c r="C77" i="410"/>
  <c r="W77" i="410" s="1"/>
  <c r="W76" i="410"/>
  <c r="AJ17" i="416"/>
  <c r="T17" i="416"/>
  <c r="S17" i="416"/>
  <c r="R17" i="416"/>
  <c r="G17" i="416"/>
  <c r="Q17" i="416" s="1"/>
  <c r="B17" i="416"/>
  <c r="P17" i="416" s="1"/>
  <c r="AJ16" i="416"/>
  <c r="T16" i="416"/>
  <c r="S16" i="416"/>
  <c r="R16" i="416"/>
  <c r="G16" i="416"/>
  <c r="Q16" i="416" s="1"/>
  <c r="B16" i="416"/>
  <c r="P16" i="416" s="1"/>
  <c r="AJ15" i="416"/>
  <c r="T15" i="416"/>
  <c r="S15" i="416"/>
  <c r="R15" i="416"/>
  <c r="G15" i="416"/>
  <c r="Q15" i="416" s="1"/>
  <c r="B15" i="416"/>
  <c r="P15" i="416" s="1"/>
  <c r="AJ14" i="416"/>
  <c r="T14" i="416"/>
  <c r="S14" i="416"/>
  <c r="R14" i="416"/>
  <c r="G14" i="416"/>
  <c r="Q14" i="416" s="1"/>
  <c r="B14" i="416"/>
  <c r="P14" i="416" s="1"/>
  <c r="AJ13" i="416"/>
  <c r="T13" i="416"/>
  <c r="S13" i="416"/>
  <c r="R13" i="416"/>
  <c r="G13" i="416"/>
  <c r="Q13" i="416" s="1"/>
  <c r="B13" i="416"/>
  <c r="P13" i="416" s="1"/>
  <c r="AJ17" i="415"/>
  <c r="T17" i="415"/>
  <c r="S17" i="415"/>
  <c r="R17" i="415"/>
  <c r="G17" i="415"/>
  <c r="Q17" i="415" s="1"/>
  <c r="B17" i="415"/>
  <c r="P17" i="415" s="1"/>
  <c r="AJ16" i="415"/>
  <c r="T16" i="415"/>
  <c r="S16" i="415"/>
  <c r="R16" i="415"/>
  <c r="G16" i="415"/>
  <c r="Q16" i="415" s="1"/>
  <c r="B16" i="415"/>
  <c r="P16" i="415" s="1"/>
  <c r="AJ15" i="415"/>
  <c r="T15" i="415"/>
  <c r="S15" i="415"/>
  <c r="R15" i="415"/>
  <c r="G15" i="415"/>
  <c r="Q15" i="415" s="1"/>
  <c r="B15" i="415"/>
  <c r="P15" i="415" s="1"/>
  <c r="AJ14" i="415"/>
  <c r="T14" i="415"/>
  <c r="S14" i="415"/>
  <c r="R14" i="415"/>
  <c r="G14" i="415"/>
  <c r="Q14" i="415" s="1"/>
  <c r="B14" i="415"/>
  <c r="P14" i="415" s="1"/>
  <c r="AJ13" i="415"/>
  <c r="T13" i="415"/>
  <c r="S13" i="415"/>
  <c r="R13" i="415"/>
  <c r="G13" i="415"/>
  <c r="Q13" i="415" s="1"/>
  <c r="B13" i="415"/>
  <c r="P13" i="415" s="1"/>
  <c r="E72" i="410"/>
  <c r="E69" i="410"/>
  <c r="T66" i="410"/>
  <c r="E66" i="410"/>
  <c r="C64" i="410"/>
  <c r="W64" i="410" s="1"/>
  <c r="C63" i="410"/>
  <c r="W63" i="410" s="1"/>
  <c r="W62" i="410"/>
  <c r="E58" i="410"/>
  <c r="E55" i="410"/>
  <c r="T52" i="410"/>
  <c r="E52" i="410"/>
  <c r="C50" i="410"/>
  <c r="W50" i="410" s="1"/>
  <c r="C49" i="410"/>
  <c r="W49" i="410" s="1"/>
  <c r="W48" i="410"/>
  <c r="AJ17" i="414"/>
  <c r="T17" i="414"/>
  <c r="S17" i="414"/>
  <c r="R17" i="414"/>
  <c r="G17" i="414"/>
  <c r="Q17" i="414" s="1"/>
  <c r="B17" i="414"/>
  <c r="P17" i="414" s="1"/>
  <c r="AJ16" i="414"/>
  <c r="T16" i="414"/>
  <c r="S16" i="414"/>
  <c r="R16" i="414"/>
  <c r="G16" i="414"/>
  <c r="Q16" i="414" s="1"/>
  <c r="B16" i="414"/>
  <c r="P16" i="414" s="1"/>
  <c r="AJ15" i="414"/>
  <c r="T15" i="414"/>
  <c r="S15" i="414"/>
  <c r="R15" i="414"/>
  <c r="G15" i="414"/>
  <c r="Q15" i="414" s="1"/>
  <c r="B15" i="414"/>
  <c r="P15" i="414" s="1"/>
  <c r="AJ14" i="414"/>
  <c r="T14" i="414"/>
  <c r="S14" i="414"/>
  <c r="R14" i="414"/>
  <c r="G14" i="414"/>
  <c r="Q14" i="414" s="1"/>
  <c r="B14" i="414"/>
  <c r="P14" i="414" s="1"/>
  <c r="AJ13" i="414"/>
  <c r="T13" i="414"/>
  <c r="S13" i="414"/>
  <c r="R13" i="414"/>
  <c r="G13" i="414"/>
  <c r="Q13" i="414" s="1"/>
  <c r="B13" i="414"/>
  <c r="P13" i="414" s="1"/>
  <c r="C36" i="410"/>
  <c r="W36" i="410" s="1"/>
  <c r="E44" i="410"/>
  <c r="E41" i="410"/>
  <c r="T38" i="410"/>
  <c r="E38" i="410"/>
  <c r="C35" i="410"/>
  <c r="W35" i="410" s="1"/>
  <c r="W34" i="410"/>
  <c r="AJ17" i="413"/>
  <c r="T17" i="413"/>
  <c r="S17" i="413"/>
  <c r="R17" i="413"/>
  <c r="G17" i="413"/>
  <c r="Q17" i="413" s="1"/>
  <c r="B17" i="413"/>
  <c r="P17" i="413" s="1"/>
  <c r="AJ16" i="413"/>
  <c r="T16" i="413"/>
  <c r="S16" i="413"/>
  <c r="R16" i="413"/>
  <c r="G16" i="413"/>
  <c r="Q16" i="413" s="1"/>
  <c r="B16" i="413"/>
  <c r="P16" i="413" s="1"/>
  <c r="AJ15" i="413"/>
  <c r="T15" i="413"/>
  <c r="S15" i="413"/>
  <c r="R15" i="413"/>
  <c r="G15" i="413"/>
  <c r="Q15" i="413" s="1"/>
  <c r="B15" i="413"/>
  <c r="P15" i="413" s="1"/>
  <c r="AJ14" i="413"/>
  <c r="T14" i="413"/>
  <c r="S14" i="413"/>
  <c r="R14" i="413"/>
  <c r="G14" i="413"/>
  <c r="Q14" i="413" s="1"/>
  <c r="B14" i="413"/>
  <c r="P14" i="413" s="1"/>
  <c r="AJ13" i="413"/>
  <c r="T13" i="413"/>
  <c r="S13" i="413"/>
  <c r="R13" i="413"/>
  <c r="G13" i="413"/>
  <c r="Q13" i="413" s="1"/>
  <c r="B13" i="413"/>
  <c r="P13" i="413" s="1"/>
  <c r="B237" i="25"/>
  <c r="O237" i="25" s="1"/>
  <c r="BK237" i="25" s="1"/>
  <c r="A237" i="25"/>
  <c r="B236" i="25"/>
  <c r="O236" i="25" s="1"/>
  <c r="BK236" i="25" s="1"/>
  <c r="A236" i="25"/>
  <c r="B235" i="25"/>
  <c r="O235" i="25" s="1"/>
  <c r="BK235" i="25" s="1"/>
  <c r="A235" i="25"/>
  <c r="B234" i="25"/>
  <c r="O234" i="25" s="1"/>
  <c r="BK234" i="25" s="1"/>
  <c r="A234" i="25"/>
  <c r="B233" i="25"/>
  <c r="O233" i="25" s="1"/>
  <c r="BK233" i="25" s="1"/>
  <c r="A233" i="25"/>
  <c r="B232" i="25"/>
  <c r="O232" i="25" s="1"/>
  <c r="BK232" i="25" s="1"/>
  <c r="A232" i="25"/>
  <c r="B231" i="25"/>
  <c r="O231" i="25" s="1"/>
  <c r="BK231" i="25" s="1"/>
  <c r="A231" i="25"/>
  <c r="B230" i="25"/>
  <c r="O230" i="25" s="1"/>
  <c r="BK230" i="25" s="1"/>
  <c r="A230" i="25"/>
  <c r="A248" i="25"/>
  <c r="B248" i="25"/>
  <c r="O248" i="25"/>
  <c r="BK248" i="25"/>
  <c r="AM232" i="25"/>
  <c r="AM233" i="25"/>
  <c r="AM230" i="25"/>
  <c r="AM247" i="25"/>
  <c r="AE248" i="25"/>
  <c r="AM242" i="25"/>
  <c r="AM244" i="25"/>
  <c r="AM248" i="25"/>
  <c r="AM243" i="25"/>
  <c r="AM234" i="25"/>
  <c r="AM240" i="25"/>
  <c r="AM235" i="25"/>
  <c r="AM238" i="25"/>
  <c r="AM236" i="25"/>
  <c r="AM237" i="25"/>
  <c r="AM239" i="25"/>
  <c r="AM241" i="25"/>
  <c r="C13" i="410" l="1"/>
  <c r="E21" i="410"/>
  <c r="E24" i="410"/>
  <c r="E30" i="410"/>
  <c r="E27" i="410"/>
  <c r="T39" i="412"/>
  <c r="S39" i="412"/>
  <c r="R39" i="412"/>
  <c r="G39" i="412"/>
  <c r="Q39" i="412" s="1"/>
  <c r="B39" i="412"/>
  <c r="P39" i="412" s="1"/>
  <c r="T38" i="412"/>
  <c r="S38" i="412"/>
  <c r="R38" i="412"/>
  <c r="G38" i="412"/>
  <c r="Q38" i="412" s="1"/>
  <c r="B38" i="412"/>
  <c r="P38" i="412" s="1"/>
  <c r="T37" i="412"/>
  <c r="S37" i="412"/>
  <c r="R37" i="412"/>
  <c r="G37" i="412"/>
  <c r="Q37" i="412" s="1"/>
  <c r="B37" i="412"/>
  <c r="P37" i="412" s="1"/>
  <c r="T36" i="412"/>
  <c r="S36" i="412"/>
  <c r="R36" i="412"/>
  <c r="G36" i="412"/>
  <c r="Q36" i="412" s="1"/>
  <c r="B36" i="412"/>
  <c r="P36" i="412" s="1"/>
  <c r="T35" i="412"/>
  <c r="S35" i="412"/>
  <c r="R35" i="412"/>
  <c r="G35" i="412"/>
  <c r="Q35" i="412" s="1"/>
  <c r="B35" i="412"/>
  <c r="P35" i="412" s="1"/>
  <c r="T34" i="412"/>
  <c r="S34" i="412"/>
  <c r="R34" i="412"/>
  <c r="G34" i="412"/>
  <c r="Q34" i="412" s="1"/>
  <c r="B34" i="412"/>
  <c r="P34" i="412" s="1"/>
  <c r="T33" i="412"/>
  <c r="S33" i="412"/>
  <c r="R33" i="412"/>
  <c r="G33" i="412"/>
  <c r="Q33" i="412" s="1"/>
  <c r="B33" i="412"/>
  <c r="P33" i="412" s="1"/>
  <c r="T32" i="412"/>
  <c r="S32" i="412"/>
  <c r="R32" i="412"/>
  <c r="G32" i="412"/>
  <c r="Q32" i="412" s="1"/>
  <c r="B32" i="412"/>
  <c r="P32" i="412" s="1"/>
  <c r="T31" i="412"/>
  <c r="S31" i="412"/>
  <c r="R31" i="412"/>
  <c r="G31" i="412"/>
  <c r="Q31" i="412" s="1"/>
  <c r="B31" i="412"/>
  <c r="P31" i="412" s="1"/>
  <c r="T30" i="412"/>
  <c r="S30" i="412"/>
  <c r="R30" i="412"/>
  <c r="G30" i="412"/>
  <c r="Q30" i="412" s="1"/>
  <c r="B30" i="412"/>
  <c r="P30" i="412" s="1"/>
  <c r="T29" i="412"/>
  <c r="S29" i="412"/>
  <c r="R29" i="412"/>
  <c r="G29" i="412"/>
  <c r="Q29" i="412" s="1"/>
  <c r="B29" i="412"/>
  <c r="P29" i="412" s="1"/>
  <c r="T28" i="412"/>
  <c r="S28" i="412"/>
  <c r="R28" i="412"/>
  <c r="G28" i="412"/>
  <c r="Q28" i="412" s="1"/>
  <c r="B28" i="412"/>
  <c r="P28" i="412" s="1"/>
  <c r="T27" i="412"/>
  <c r="S27" i="412"/>
  <c r="R27" i="412"/>
  <c r="G27" i="412"/>
  <c r="Q27" i="412" s="1"/>
  <c r="B27" i="412"/>
  <c r="P27" i="412" s="1"/>
  <c r="T26" i="412"/>
  <c r="S26" i="412"/>
  <c r="R26" i="412"/>
  <c r="G26" i="412"/>
  <c r="Q26" i="412" s="1"/>
  <c r="B26" i="412"/>
  <c r="P26" i="412" s="1"/>
  <c r="T25" i="412"/>
  <c r="S25" i="412"/>
  <c r="R25" i="412"/>
  <c r="G25" i="412"/>
  <c r="Q25" i="412" s="1"/>
  <c r="B25" i="412"/>
  <c r="P25" i="412" s="1"/>
  <c r="T24" i="412"/>
  <c r="S24" i="412"/>
  <c r="R24" i="412"/>
  <c r="G24" i="412"/>
  <c r="Q24" i="412" s="1"/>
  <c r="B24" i="412"/>
  <c r="P24" i="412" s="1"/>
  <c r="T22" i="412"/>
  <c r="S22" i="412"/>
  <c r="R22" i="412"/>
  <c r="G22" i="412"/>
  <c r="Q22" i="412" s="1"/>
  <c r="B22" i="412"/>
  <c r="P22" i="412" s="1"/>
  <c r="T40" i="412"/>
  <c r="S40" i="412"/>
  <c r="R40" i="412"/>
  <c r="G40" i="412"/>
  <c r="Q40" i="412" s="1"/>
  <c r="B40" i="412"/>
  <c r="P40" i="412" s="1"/>
  <c r="T23" i="412"/>
  <c r="S23" i="412"/>
  <c r="R23" i="412"/>
  <c r="G23" i="412"/>
  <c r="Q23" i="412" s="1"/>
  <c r="B23" i="412"/>
  <c r="P23" i="412" s="1"/>
  <c r="T21" i="412"/>
  <c r="S21" i="412"/>
  <c r="R21" i="412"/>
  <c r="G21" i="412"/>
  <c r="Q21" i="412" s="1"/>
  <c r="B21" i="412"/>
  <c r="P21" i="412" s="1"/>
  <c r="AJ20" i="412"/>
  <c r="T20" i="412"/>
  <c r="S20" i="412"/>
  <c r="R20" i="412"/>
  <c r="G20" i="412"/>
  <c r="Q20" i="412" s="1"/>
  <c r="B20" i="412"/>
  <c r="P20" i="412" s="1"/>
  <c r="AJ19" i="412"/>
  <c r="T19" i="412"/>
  <c r="S19" i="412"/>
  <c r="R19" i="412"/>
  <c r="G19" i="412"/>
  <c r="Q19" i="412" s="1"/>
  <c r="B19" i="412"/>
  <c r="P19" i="412" s="1"/>
  <c r="AJ18" i="412"/>
  <c r="T18" i="412"/>
  <c r="S18" i="412"/>
  <c r="R18" i="412"/>
  <c r="G18" i="412"/>
  <c r="Q18" i="412" s="1"/>
  <c r="B18" i="412"/>
  <c r="P18" i="412" s="1"/>
  <c r="AJ17" i="412"/>
  <c r="T17" i="412"/>
  <c r="S17" i="412"/>
  <c r="R17" i="412"/>
  <c r="G17" i="412"/>
  <c r="Q17" i="412" s="1"/>
  <c r="B17" i="412"/>
  <c r="P17" i="412" s="1"/>
  <c r="AJ16" i="412"/>
  <c r="T16" i="412"/>
  <c r="S16" i="412"/>
  <c r="R16" i="412"/>
  <c r="G16" i="412"/>
  <c r="Q16" i="412" s="1"/>
  <c r="B16" i="412"/>
  <c r="P16" i="412" s="1"/>
  <c r="AJ15" i="412"/>
  <c r="T15" i="412"/>
  <c r="S15" i="412"/>
  <c r="R15" i="412"/>
  <c r="G15" i="412"/>
  <c r="Q15" i="412" s="1"/>
  <c r="B15" i="412"/>
  <c r="P15" i="412" s="1"/>
  <c r="AJ14" i="412"/>
  <c r="T14" i="412"/>
  <c r="S14" i="412"/>
  <c r="R14" i="412"/>
  <c r="G14" i="412"/>
  <c r="Q14" i="412" s="1"/>
  <c r="B14" i="412"/>
  <c r="P14" i="412" s="1"/>
  <c r="AJ13" i="412"/>
  <c r="T13" i="412"/>
  <c r="S13" i="412"/>
  <c r="R13" i="412"/>
  <c r="G13" i="412"/>
  <c r="Q13" i="412" s="1"/>
  <c r="B13" i="412"/>
  <c r="P13" i="412" s="1"/>
  <c r="C5" i="410"/>
  <c r="W5" i="410" s="1"/>
  <c r="AJ22" i="411"/>
  <c r="T22" i="411"/>
  <c r="S22" i="411"/>
  <c r="R22" i="411"/>
  <c r="G22" i="411"/>
  <c r="Q22" i="411" s="1"/>
  <c r="B22" i="411"/>
  <c r="P22" i="411" s="1"/>
  <c r="AJ21" i="411"/>
  <c r="T21" i="411"/>
  <c r="S21" i="411"/>
  <c r="R21" i="411"/>
  <c r="G21" i="411"/>
  <c r="Q21" i="411" s="1"/>
  <c r="B21" i="411"/>
  <c r="P21" i="411" s="1"/>
  <c r="AJ20" i="411"/>
  <c r="T20" i="411"/>
  <c r="S20" i="411"/>
  <c r="R20" i="411"/>
  <c r="G20" i="411"/>
  <c r="Q20" i="411" s="1"/>
  <c r="B20" i="411"/>
  <c r="P20" i="411" s="1"/>
  <c r="AJ19" i="411"/>
  <c r="T19" i="411"/>
  <c r="S19" i="411"/>
  <c r="R19" i="411"/>
  <c r="G19" i="411"/>
  <c r="Q19" i="411" s="1"/>
  <c r="B19" i="411"/>
  <c r="P19" i="411" s="1"/>
  <c r="AJ18" i="411"/>
  <c r="T18" i="411"/>
  <c r="S18" i="411"/>
  <c r="R18" i="411"/>
  <c r="G18" i="411"/>
  <c r="Q18" i="411" s="1"/>
  <c r="B18" i="411"/>
  <c r="P18" i="411" s="1"/>
  <c r="AJ17" i="411"/>
  <c r="T17" i="411"/>
  <c r="S17" i="411"/>
  <c r="R17" i="411"/>
  <c r="G17" i="411"/>
  <c r="Q17" i="411" s="1"/>
  <c r="B17" i="411"/>
  <c r="P17" i="411" s="1"/>
  <c r="AJ16" i="411"/>
  <c r="T16" i="411"/>
  <c r="S16" i="411"/>
  <c r="R16" i="411"/>
  <c r="G16" i="411"/>
  <c r="Q16" i="411" s="1"/>
  <c r="B16" i="411"/>
  <c r="P16" i="411" s="1"/>
  <c r="AJ15" i="411"/>
  <c r="T15" i="411"/>
  <c r="S15" i="411"/>
  <c r="R15" i="411"/>
  <c r="G15" i="411"/>
  <c r="Q15" i="411" s="1"/>
  <c r="B15" i="411"/>
  <c r="P15" i="411" s="1"/>
  <c r="AJ24" i="411"/>
  <c r="T24" i="411"/>
  <c r="S24" i="411"/>
  <c r="R24" i="411"/>
  <c r="G24" i="411"/>
  <c r="Q24" i="411" s="1"/>
  <c r="B24" i="411"/>
  <c r="P24" i="411" s="1"/>
  <c r="AJ23" i="411"/>
  <c r="T23" i="411"/>
  <c r="S23" i="411"/>
  <c r="R23" i="411"/>
  <c r="G23" i="411"/>
  <c r="Q23" i="411" s="1"/>
  <c r="B23" i="411"/>
  <c r="P23" i="411" s="1"/>
  <c r="AJ14" i="411"/>
  <c r="T14" i="411"/>
  <c r="S14" i="411"/>
  <c r="R14" i="411"/>
  <c r="G14" i="411"/>
  <c r="Q14" i="411" s="1"/>
  <c r="B14" i="411"/>
  <c r="P14" i="411" s="1"/>
  <c r="AJ13" i="411"/>
  <c r="T13" i="411"/>
  <c r="S13" i="411"/>
  <c r="R13" i="411"/>
  <c r="G13" i="411"/>
  <c r="Q13" i="411" s="1"/>
  <c r="B13" i="411"/>
  <c r="P13" i="411" s="1"/>
  <c r="B229" i="25"/>
  <c r="O229" i="25" s="1"/>
  <c r="BK229" i="25" s="1"/>
  <c r="A229" i="25"/>
  <c r="B228" i="25"/>
  <c r="O228" i="25" s="1"/>
  <c r="A228" i="25"/>
  <c r="E18" i="410"/>
  <c r="T15" i="410"/>
  <c r="E15" i="410"/>
  <c r="W13" i="410"/>
  <c r="C12" i="410"/>
  <c r="W12" i="410" s="1"/>
  <c r="W11" i="410"/>
  <c r="T7" i="410"/>
  <c r="E7" i="410"/>
  <c r="C4" i="410"/>
  <c r="W4" i="410" s="1"/>
  <c r="W3" i="410"/>
  <c r="E141" i="385"/>
  <c r="E138" i="385"/>
  <c r="E153" i="385"/>
  <c r="T150" i="385"/>
  <c r="E150" i="385"/>
  <c r="C148" i="385"/>
  <c r="W148" i="385" s="1"/>
  <c r="C147" i="385"/>
  <c r="W147" i="385" s="1"/>
  <c r="W146" i="385"/>
  <c r="E74" i="385"/>
  <c r="E63" i="385"/>
  <c r="C5" i="385"/>
  <c r="AJ19" i="409"/>
  <c r="T19" i="409"/>
  <c r="S19" i="409"/>
  <c r="R19" i="409"/>
  <c r="G19" i="409"/>
  <c r="Q19" i="409" s="1"/>
  <c r="B19" i="409"/>
  <c r="P19" i="409" s="1"/>
  <c r="AJ16" i="409"/>
  <c r="T16" i="409"/>
  <c r="S16" i="409"/>
  <c r="R16" i="409"/>
  <c r="G16" i="409"/>
  <c r="Q16" i="409" s="1"/>
  <c r="B16" i="409"/>
  <c r="P16" i="409" s="1"/>
  <c r="AJ14" i="409"/>
  <c r="T14" i="409"/>
  <c r="S14" i="409"/>
  <c r="R14" i="409"/>
  <c r="G14" i="409"/>
  <c r="Q14" i="409" s="1"/>
  <c r="B14" i="409"/>
  <c r="P14" i="409" s="1"/>
  <c r="AJ13" i="409"/>
  <c r="T13" i="409"/>
  <c r="S13" i="409"/>
  <c r="R13" i="409"/>
  <c r="G13" i="409"/>
  <c r="Q13" i="409" s="1"/>
  <c r="B13" i="409"/>
  <c r="P13" i="409" s="1"/>
  <c r="AJ20" i="378"/>
  <c r="T20" i="378"/>
  <c r="S20" i="378"/>
  <c r="R20" i="378"/>
  <c r="G20" i="378"/>
  <c r="Q20" i="378" s="1"/>
  <c r="B20" i="378"/>
  <c r="P20" i="378" s="1"/>
  <c r="AM229" i="25"/>
  <c r="AM228" i="25"/>
  <c r="BK228" i="25" l="1"/>
  <c r="G15" i="401" l="1"/>
  <c r="G17" i="403"/>
  <c r="AJ31" i="399"/>
  <c r="AJ30" i="399"/>
  <c r="AJ29" i="399"/>
  <c r="AJ28" i="399"/>
  <c r="AJ27" i="399"/>
  <c r="AJ26" i="399"/>
  <c r="AJ25" i="399"/>
  <c r="AJ24" i="399"/>
  <c r="AJ23" i="399"/>
  <c r="AJ22" i="399"/>
  <c r="AJ21" i="399"/>
  <c r="AJ20" i="399"/>
  <c r="AJ19" i="399"/>
  <c r="AJ18" i="399"/>
  <c r="AJ17" i="399"/>
  <c r="AJ16" i="399"/>
  <c r="AJ15" i="399"/>
  <c r="AJ23" i="397"/>
  <c r="AJ22" i="397"/>
  <c r="AJ21" i="397"/>
  <c r="AJ20" i="397"/>
  <c r="AJ19" i="397"/>
  <c r="AJ18" i="397"/>
  <c r="AJ17" i="397"/>
  <c r="AJ16" i="397"/>
  <c r="AJ15" i="397"/>
  <c r="AJ23" i="396"/>
  <c r="AJ22" i="396"/>
  <c r="AJ21" i="396"/>
  <c r="AJ20" i="396"/>
  <c r="AJ19" i="396"/>
  <c r="AJ18" i="396"/>
  <c r="AJ17" i="396"/>
  <c r="AJ16" i="396"/>
  <c r="AJ15" i="396"/>
  <c r="AJ23" i="395"/>
  <c r="AJ22" i="395"/>
  <c r="AJ21" i="395"/>
  <c r="AJ20" i="395"/>
  <c r="AJ19" i="395"/>
  <c r="AJ18" i="395"/>
  <c r="AJ17" i="395"/>
  <c r="AJ16" i="395"/>
  <c r="AJ15" i="395"/>
  <c r="AJ15" i="394"/>
  <c r="AJ16" i="394"/>
  <c r="T30" i="399" l="1"/>
  <c r="S30" i="399"/>
  <c r="R30" i="399"/>
  <c r="G30" i="399"/>
  <c r="Q30" i="399" s="1"/>
  <c r="B30" i="399"/>
  <c r="P30" i="399" s="1"/>
  <c r="AJ28" i="398"/>
  <c r="T28" i="398"/>
  <c r="S28" i="398"/>
  <c r="R28" i="398"/>
  <c r="G28" i="398"/>
  <c r="Q28" i="398" s="1"/>
  <c r="B28" i="398"/>
  <c r="P28" i="398" s="1"/>
  <c r="AJ14" i="399"/>
  <c r="T14" i="399"/>
  <c r="S14" i="399"/>
  <c r="R14" i="399"/>
  <c r="G14" i="399"/>
  <c r="Q14" i="399" s="1"/>
  <c r="B14" i="399"/>
  <c r="P14" i="399" s="1"/>
  <c r="AJ13" i="399"/>
  <c r="T13" i="399"/>
  <c r="S13" i="399"/>
  <c r="R13" i="399"/>
  <c r="G13" i="399"/>
  <c r="Q13" i="399" s="1"/>
  <c r="B13" i="399"/>
  <c r="P13" i="399" s="1"/>
  <c r="AJ14" i="397"/>
  <c r="T14" i="397"/>
  <c r="S14" i="397"/>
  <c r="R14" i="397"/>
  <c r="G14" i="397"/>
  <c r="Q14" i="397" s="1"/>
  <c r="B14" i="397"/>
  <c r="P14" i="397" s="1"/>
  <c r="AJ13" i="397"/>
  <c r="T13" i="397"/>
  <c r="S13" i="397"/>
  <c r="R13" i="397"/>
  <c r="G13" i="397"/>
  <c r="Q13" i="397" s="1"/>
  <c r="B13" i="397"/>
  <c r="P13" i="397" s="1"/>
  <c r="AJ14" i="396"/>
  <c r="T14" i="396"/>
  <c r="S14" i="396"/>
  <c r="R14" i="396"/>
  <c r="G14" i="396"/>
  <c r="Q14" i="396" s="1"/>
  <c r="B14" i="396"/>
  <c r="P14" i="396" s="1"/>
  <c r="AJ13" i="396"/>
  <c r="T13" i="396"/>
  <c r="S13" i="396"/>
  <c r="R13" i="396"/>
  <c r="G13" i="396"/>
  <c r="Q13" i="396" s="1"/>
  <c r="B13" i="396"/>
  <c r="P13" i="396" s="1"/>
  <c r="AJ14" i="395"/>
  <c r="T14" i="395"/>
  <c r="S14" i="395"/>
  <c r="R14" i="395"/>
  <c r="G14" i="395"/>
  <c r="Q14" i="395" s="1"/>
  <c r="B14" i="395"/>
  <c r="P14" i="395" s="1"/>
  <c r="AJ13" i="395"/>
  <c r="T13" i="395"/>
  <c r="S13" i="395"/>
  <c r="R13" i="395"/>
  <c r="G13" i="395"/>
  <c r="Q13" i="395" s="1"/>
  <c r="B13" i="395"/>
  <c r="P13" i="395" s="1"/>
  <c r="AJ14" i="394"/>
  <c r="T14" i="394"/>
  <c r="S14" i="394"/>
  <c r="R14" i="394"/>
  <c r="G14" i="394"/>
  <c r="Q14" i="394" s="1"/>
  <c r="B14" i="394"/>
  <c r="P14" i="394" s="1"/>
  <c r="AJ13" i="394"/>
  <c r="T13" i="394"/>
  <c r="S13" i="394"/>
  <c r="R13" i="394"/>
  <c r="G13" i="394"/>
  <c r="Q13" i="394" s="1"/>
  <c r="B13" i="394"/>
  <c r="P13" i="394" s="1"/>
  <c r="AJ14" i="388"/>
  <c r="T14" i="388"/>
  <c r="S14" i="388"/>
  <c r="R14" i="388"/>
  <c r="G14" i="388"/>
  <c r="Q14" i="388" s="1"/>
  <c r="B14" i="388"/>
  <c r="P14" i="388" s="1"/>
  <c r="AJ13" i="388"/>
  <c r="T13" i="388"/>
  <c r="S13" i="388"/>
  <c r="R13" i="388"/>
  <c r="G13" i="388"/>
  <c r="Q13" i="388" s="1"/>
  <c r="B13" i="388"/>
  <c r="P13" i="388" s="1"/>
  <c r="C44" i="385" l="1"/>
  <c r="B212" i="25"/>
  <c r="B162" i="25" l="1"/>
  <c r="B161" i="25"/>
  <c r="AJ14" i="408" l="1"/>
  <c r="T14" i="408"/>
  <c r="S14" i="408"/>
  <c r="R14" i="408"/>
  <c r="G14" i="408"/>
  <c r="Q14" i="408" s="1"/>
  <c r="B14" i="408"/>
  <c r="P14" i="408" s="1"/>
  <c r="AJ16" i="408"/>
  <c r="T16" i="408"/>
  <c r="S16" i="408"/>
  <c r="R16" i="408"/>
  <c r="G16" i="408"/>
  <c r="Q16" i="408" s="1"/>
  <c r="B16" i="408"/>
  <c r="P16" i="408" s="1"/>
  <c r="AJ15" i="408"/>
  <c r="T15" i="408"/>
  <c r="S15" i="408"/>
  <c r="R15" i="408"/>
  <c r="G15" i="408"/>
  <c r="Q15" i="408" s="1"/>
  <c r="B15" i="408"/>
  <c r="P15" i="408" s="1"/>
  <c r="AJ13" i="408"/>
  <c r="T13" i="408"/>
  <c r="S13" i="408"/>
  <c r="R13" i="408"/>
  <c r="G13" i="408"/>
  <c r="Q13" i="408" s="1"/>
  <c r="B13" i="408"/>
  <c r="P13" i="408" s="1"/>
  <c r="AJ15" i="407"/>
  <c r="T15" i="407"/>
  <c r="S15" i="407"/>
  <c r="R15" i="407"/>
  <c r="G15" i="407"/>
  <c r="Q15" i="407" s="1"/>
  <c r="B15" i="407"/>
  <c r="P15" i="407" s="1"/>
  <c r="AJ14" i="407"/>
  <c r="T14" i="407"/>
  <c r="S14" i="407"/>
  <c r="R14" i="407"/>
  <c r="G14" i="407"/>
  <c r="Q14" i="407" s="1"/>
  <c r="B14" i="407"/>
  <c r="P14" i="407" s="1"/>
  <c r="AJ13" i="407"/>
  <c r="T13" i="407"/>
  <c r="S13" i="407"/>
  <c r="R13" i="407"/>
  <c r="G13" i="407"/>
  <c r="Q13" i="407" s="1"/>
  <c r="B13" i="407"/>
  <c r="P13" i="407" s="1"/>
  <c r="AJ17" i="406"/>
  <c r="T17" i="406"/>
  <c r="S17" i="406"/>
  <c r="R17" i="406"/>
  <c r="G17" i="406"/>
  <c r="Q17" i="406" s="1"/>
  <c r="B17" i="406"/>
  <c r="P17" i="406" s="1"/>
  <c r="AJ16" i="406"/>
  <c r="T16" i="406"/>
  <c r="S16" i="406"/>
  <c r="R16" i="406"/>
  <c r="G16" i="406"/>
  <c r="Q16" i="406" s="1"/>
  <c r="B16" i="406"/>
  <c r="P16" i="406" s="1"/>
  <c r="AJ15" i="406"/>
  <c r="T15" i="406"/>
  <c r="S15" i="406"/>
  <c r="R15" i="406"/>
  <c r="G15" i="406"/>
  <c r="Q15" i="406" s="1"/>
  <c r="B15" i="406"/>
  <c r="P15" i="406" s="1"/>
  <c r="AJ14" i="406"/>
  <c r="T14" i="406"/>
  <c r="S14" i="406"/>
  <c r="R14" i="406"/>
  <c r="G14" i="406"/>
  <c r="Q14" i="406" s="1"/>
  <c r="B14" i="406"/>
  <c r="P14" i="406" s="1"/>
  <c r="AJ13" i="406"/>
  <c r="T13" i="406"/>
  <c r="S13" i="406"/>
  <c r="R13" i="406"/>
  <c r="G13" i="406"/>
  <c r="Q13" i="406" s="1"/>
  <c r="B13" i="406"/>
  <c r="P13" i="406" s="1"/>
  <c r="AJ15" i="405"/>
  <c r="T15" i="405"/>
  <c r="S15" i="405"/>
  <c r="R15" i="405"/>
  <c r="G15" i="405"/>
  <c r="Q15" i="405" s="1"/>
  <c r="B15" i="405"/>
  <c r="P15" i="405" s="1"/>
  <c r="AJ14" i="405"/>
  <c r="T14" i="405"/>
  <c r="S14" i="405"/>
  <c r="R14" i="405"/>
  <c r="G14" i="405"/>
  <c r="Q14" i="405" s="1"/>
  <c r="B14" i="405"/>
  <c r="P14" i="405" s="1"/>
  <c r="AJ13" i="405"/>
  <c r="T13" i="405"/>
  <c r="S13" i="405"/>
  <c r="R13" i="405"/>
  <c r="G13" i="405"/>
  <c r="Q13" i="405" s="1"/>
  <c r="B13" i="405"/>
  <c r="P13" i="405" s="1"/>
  <c r="AJ23" i="404"/>
  <c r="T23" i="404"/>
  <c r="S23" i="404"/>
  <c r="R23" i="404"/>
  <c r="G23" i="404"/>
  <c r="Q23" i="404" s="1"/>
  <c r="B23" i="404"/>
  <c r="P23" i="404" s="1"/>
  <c r="AJ22" i="404"/>
  <c r="T22" i="404"/>
  <c r="S22" i="404"/>
  <c r="R22" i="404"/>
  <c r="G22" i="404"/>
  <c r="Q22" i="404" s="1"/>
  <c r="B22" i="404"/>
  <c r="P22" i="404" s="1"/>
  <c r="AJ21" i="404"/>
  <c r="T21" i="404"/>
  <c r="S21" i="404"/>
  <c r="R21" i="404"/>
  <c r="G21" i="404"/>
  <c r="Q21" i="404" s="1"/>
  <c r="B21" i="404"/>
  <c r="P21" i="404" s="1"/>
  <c r="AJ24" i="404"/>
  <c r="T24" i="404"/>
  <c r="S24" i="404"/>
  <c r="R24" i="404"/>
  <c r="G24" i="404"/>
  <c r="Q24" i="404" s="1"/>
  <c r="B24" i="404"/>
  <c r="P24" i="404" s="1"/>
  <c r="AJ20" i="404"/>
  <c r="T20" i="404"/>
  <c r="S20" i="404"/>
  <c r="R20" i="404"/>
  <c r="G20" i="404"/>
  <c r="Q20" i="404" s="1"/>
  <c r="B20" i="404"/>
  <c r="P20" i="404" s="1"/>
  <c r="AJ19" i="404"/>
  <c r="T19" i="404"/>
  <c r="S19" i="404"/>
  <c r="R19" i="404"/>
  <c r="G19" i="404"/>
  <c r="Q19" i="404" s="1"/>
  <c r="B19" i="404"/>
  <c r="P19" i="404" s="1"/>
  <c r="AJ18" i="404"/>
  <c r="T18" i="404"/>
  <c r="S18" i="404"/>
  <c r="R18" i="404"/>
  <c r="G18" i="404"/>
  <c r="Q18" i="404" s="1"/>
  <c r="B18" i="404"/>
  <c r="P18" i="404" s="1"/>
  <c r="AJ17" i="404"/>
  <c r="T17" i="404"/>
  <c r="S17" i="404"/>
  <c r="R17" i="404"/>
  <c r="G17" i="404"/>
  <c r="Q17" i="404" s="1"/>
  <c r="B17" i="404"/>
  <c r="P17" i="404" s="1"/>
  <c r="AJ16" i="404"/>
  <c r="T16" i="404"/>
  <c r="S16" i="404"/>
  <c r="R16" i="404"/>
  <c r="G16" i="404"/>
  <c r="Q16" i="404" s="1"/>
  <c r="B16" i="404"/>
  <c r="P16" i="404" s="1"/>
  <c r="AJ25" i="404"/>
  <c r="T25" i="404"/>
  <c r="S25" i="404"/>
  <c r="R25" i="404"/>
  <c r="G25" i="404"/>
  <c r="Q25" i="404" s="1"/>
  <c r="B25" i="404"/>
  <c r="P25" i="404" s="1"/>
  <c r="AJ15" i="404"/>
  <c r="T15" i="404"/>
  <c r="S15" i="404"/>
  <c r="R15" i="404"/>
  <c r="G15" i="404"/>
  <c r="Q15" i="404" s="1"/>
  <c r="B15" i="404"/>
  <c r="P15" i="404" s="1"/>
  <c r="AJ14" i="404"/>
  <c r="T14" i="404"/>
  <c r="S14" i="404"/>
  <c r="R14" i="404"/>
  <c r="G14" i="404"/>
  <c r="Q14" i="404" s="1"/>
  <c r="B14" i="404"/>
  <c r="P14" i="404" s="1"/>
  <c r="AJ13" i="404"/>
  <c r="T13" i="404"/>
  <c r="S13" i="404"/>
  <c r="R13" i="404"/>
  <c r="G13" i="404"/>
  <c r="Q13" i="404" s="1"/>
  <c r="B13" i="404"/>
  <c r="P13" i="404" s="1"/>
  <c r="AJ20" i="403"/>
  <c r="T20" i="403"/>
  <c r="S20" i="403"/>
  <c r="R20" i="403"/>
  <c r="G20" i="403"/>
  <c r="Q20" i="403" s="1"/>
  <c r="B20" i="403"/>
  <c r="P20" i="403" s="1"/>
  <c r="AJ19" i="403"/>
  <c r="T19" i="403"/>
  <c r="S19" i="403"/>
  <c r="R19" i="403"/>
  <c r="G19" i="403"/>
  <c r="Q19" i="403" s="1"/>
  <c r="B19" i="403"/>
  <c r="P19" i="403" s="1"/>
  <c r="AJ18" i="403"/>
  <c r="T18" i="403"/>
  <c r="S18" i="403"/>
  <c r="R18" i="403"/>
  <c r="G18" i="403"/>
  <c r="Q18" i="403" s="1"/>
  <c r="B18" i="403"/>
  <c r="P18" i="403" s="1"/>
  <c r="AJ17" i="403"/>
  <c r="T17" i="403"/>
  <c r="S17" i="403"/>
  <c r="R17" i="403"/>
  <c r="Q17" i="403"/>
  <c r="B17" i="403"/>
  <c r="P17" i="403" s="1"/>
  <c r="AJ16" i="403"/>
  <c r="T16" i="403"/>
  <c r="S16" i="403"/>
  <c r="R16" i="403"/>
  <c r="G16" i="403"/>
  <c r="Q16" i="403" s="1"/>
  <c r="B16" i="403"/>
  <c r="P16" i="403" s="1"/>
  <c r="AJ15" i="403"/>
  <c r="T15" i="403"/>
  <c r="S15" i="403"/>
  <c r="R15" i="403"/>
  <c r="G15" i="403"/>
  <c r="Q15" i="403" s="1"/>
  <c r="B15" i="403"/>
  <c r="P15" i="403" s="1"/>
  <c r="AJ14" i="403"/>
  <c r="T14" i="403"/>
  <c r="S14" i="403"/>
  <c r="R14" i="403"/>
  <c r="G14" i="403"/>
  <c r="Q14" i="403" s="1"/>
  <c r="B14" i="403"/>
  <c r="P14" i="403" s="1"/>
  <c r="AJ13" i="403"/>
  <c r="T13" i="403"/>
  <c r="S13" i="403"/>
  <c r="R13" i="403"/>
  <c r="G13" i="403"/>
  <c r="Q13" i="403" s="1"/>
  <c r="B13" i="403"/>
  <c r="P13" i="403" s="1"/>
  <c r="AJ17" i="402"/>
  <c r="T17" i="402"/>
  <c r="S17" i="402"/>
  <c r="R17" i="402"/>
  <c r="G17" i="402"/>
  <c r="Q17" i="402" s="1"/>
  <c r="B17" i="402"/>
  <c r="P17" i="402" s="1"/>
  <c r="AJ16" i="402"/>
  <c r="T16" i="402"/>
  <c r="S16" i="402"/>
  <c r="R16" i="402"/>
  <c r="G16" i="402"/>
  <c r="Q16" i="402" s="1"/>
  <c r="B16" i="402"/>
  <c r="P16" i="402" s="1"/>
  <c r="AJ15" i="402"/>
  <c r="T15" i="402"/>
  <c r="S15" i="402"/>
  <c r="R15" i="402"/>
  <c r="G15" i="402"/>
  <c r="Q15" i="402" s="1"/>
  <c r="B15" i="402"/>
  <c r="P15" i="402" s="1"/>
  <c r="AJ14" i="402"/>
  <c r="T14" i="402"/>
  <c r="S14" i="402"/>
  <c r="R14" i="402"/>
  <c r="G14" i="402"/>
  <c r="Q14" i="402" s="1"/>
  <c r="B14" i="402"/>
  <c r="P14" i="402" s="1"/>
  <c r="AJ13" i="402"/>
  <c r="T13" i="402"/>
  <c r="S13" i="402"/>
  <c r="R13" i="402"/>
  <c r="G13" i="402"/>
  <c r="Q13" i="402" s="1"/>
  <c r="B13" i="402"/>
  <c r="P13" i="402" s="1"/>
  <c r="AJ16" i="401"/>
  <c r="T16" i="401"/>
  <c r="S16" i="401"/>
  <c r="R16" i="401"/>
  <c r="G16" i="401"/>
  <c r="Q16" i="401" s="1"/>
  <c r="B16" i="401"/>
  <c r="P16" i="401" s="1"/>
  <c r="AJ15" i="401"/>
  <c r="T15" i="401"/>
  <c r="S15" i="401"/>
  <c r="R15" i="401"/>
  <c r="Q15" i="401"/>
  <c r="B15" i="401"/>
  <c r="P15" i="401" s="1"/>
  <c r="AJ17" i="401"/>
  <c r="T17" i="401"/>
  <c r="S17" i="401"/>
  <c r="R17" i="401"/>
  <c r="G17" i="401"/>
  <c r="Q17" i="401" s="1"/>
  <c r="B17" i="401"/>
  <c r="P17" i="401" s="1"/>
  <c r="AJ14" i="401"/>
  <c r="T14" i="401"/>
  <c r="S14" i="401"/>
  <c r="R14" i="401"/>
  <c r="G14" i="401"/>
  <c r="Q14" i="401" s="1"/>
  <c r="B14" i="401"/>
  <c r="P14" i="401" s="1"/>
  <c r="AJ13" i="401"/>
  <c r="T13" i="401"/>
  <c r="S13" i="401"/>
  <c r="R13" i="401"/>
  <c r="G13" i="401"/>
  <c r="Q13" i="401" s="1"/>
  <c r="B13" i="401"/>
  <c r="P13" i="401" s="1"/>
  <c r="AJ22" i="400" l="1"/>
  <c r="T22" i="400"/>
  <c r="S22" i="400"/>
  <c r="R22" i="400"/>
  <c r="G22" i="400"/>
  <c r="Q22" i="400" s="1"/>
  <c r="B22" i="400"/>
  <c r="P22" i="400" s="1"/>
  <c r="AJ21" i="400"/>
  <c r="T21" i="400"/>
  <c r="S21" i="400"/>
  <c r="R21" i="400"/>
  <c r="G21" i="400"/>
  <c r="Q21" i="400" s="1"/>
  <c r="B21" i="400"/>
  <c r="P21" i="400" s="1"/>
  <c r="AJ20" i="400"/>
  <c r="T20" i="400"/>
  <c r="S20" i="400"/>
  <c r="R20" i="400"/>
  <c r="G20" i="400"/>
  <c r="Q20" i="400" s="1"/>
  <c r="B20" i="400"/>
  <c r="P20" i="400" s="1"/>
  <c r="AJ19" i="400"/>
  <c r="T19" i="400"/>
  <c r="S19" i="400"/>
  <c r="R19" i="400"/>
  <c r="G19" i="400"/>
  <c r="Q19" i="400" s="1"/>
  <c r="B19" i="400"/>
  <c r="P19" i="400" s="1"/>
  <c r="AJ18" i="400"/>
  <c r="T18" i="400"/>
  <c r="S18" i="400"/>
  <c r="R18" i="400"/>
  <c r="G18" i="400"/>
  <c r="Q18" i="400" s="1"/>
  <c r="B18" i="400"/>
  <c r="P18" i="400" s="1"/>
  <c r="AJ17" i="400"/>
  <c r="T17" i="400"/>
  <c r="S17" i="400"/>
  <c r="R17" i="400"/>
  <c r="G17" i="400"/>
  <c r="Q17" i="400" s="1"/>
  <c r="B17" i="400"/>
  <c r="P17" i="400" s="1"/>
  <c r="AJ16" i="400"/>
  <c r="T16" i="400"/>
  <c r="S16" i="400"/>
  <c r="R16" i="400"/>
  <c r="G16" i="400"/>
  <c r="Q16" i="400" s="1"/>
  <c r="B16" i="400"/>
  <c r="P16" i="400" s="1"/>
  <c r="AJ15" i="400"/>
  <c r="T15" i="400"/>
  <c r="S15" i="400"/>
  <c r="R15" i="400"/>
  <c r="G15" i="400"/>
  <c r="Q15" i="400" s="1"/>
  <c r="B15" i="400"/>
  <c r="P15" i="400" s="1"/>
  <c r="AJ14" i="400"/>
  <c r="T14" i="400"/>
  <c r="S14" i="400"/>
  <c r="R14" i="400"/>
  <c r="G14" i="400"/>
  <c r="Q14" i="400" s="1"/>
  <c r="B14" i="400"/>
  <c r="P14" i="400" s="1"/>
  <c r="AJ13" i="400"/>
  <c r="T13" i="400"/>
  <c r="S13" i="400"/>
  <c r="R13" i="400"/>
  <c r="G13" i="400"/>
  <c r="Q13" i="400" s="1"/>
  <c r="B13" i="400"/>
  <c r="P13" i="400" s="1"/>
  <c r="T28" i="399"/>
  <c r="S28" i="399"/>
  <c r="R28" i="399"/>
  <c r="G28" i="399"/>
  <c r="Q28" i="399" s="1"/>
  <c r="B28" i="399"/>
  <c r="P28" i="399" s="1"/>
  <c r="T31" i="399"/>
  <c r="S31" i="399"/>
  <c r="R31" i="399"/>
  <c r="G31" i="399"/>
  <c r="Q31" i="399" s="1"/>
  <c r="B31" i="399"/>
  <c r="P31" i="399" s="1"/>
  <c r="T29" i="399"/>
  <c r="S29" i="399"/>
  <c r="R29" i="399"/>
  <c r="G29" i="399"/>
  <c r="Q29" i="399" s="1"/>
  <c r="B29" i="399"/>
  <c r="P29" i="399" s="1"/>
  <c r="T27" i="399"/>
  <c r="S27" i="399"/>
  <c r="R27" i="399"/>
  <c r="G27" i="399"/>
  <c r="Q27" i="399" s="1"/>
  <c r="B27" i="399"/>
  <c r="P27" i="399" s="1"/>
  <c r="T26" i="399"/>
  <c r="S26" i="399"/>
  <c r="R26" i="399"/>
  <c r="G26" i="399"/>
  <c r="Q26" i="399" s="1"/>
  <c r="B26" i="399"/>
  <c r="P26" i="399" s="1"/>
  <c r="T25" i="399"/>
  <c r="S25" i="399"/>
  <c r="R25" i="399"/>
  <c r="G25" i="399"/>
  <c r="Q25" i="399" s="1"/>
  <c r="B25" i="399"/>
  <c r="P25" i="399" s="1"/>
  <c r="T24" i="399"/>
  <c r="S24" i="399"/>
  <c r="R24" i="399"/>
  <c r="G24" i="399"/>
  <c r="Q24" i="399" s="1"/>
  <c r="B24" i="399"/>
  <c r="P24" i="399" s="1"/>
  <c r="T23" i="399"/>
  <c r="S23" i="399"/>
  <c r="R23" i="399"/>
  <c r="G23" i="399"/>
  <c r="Q23" i="399" s="1"/>
  <c r="B23" i="399"/>
  <c r="P23" i="399" s="1"/>
  <c r="T22" i="399"/>
  <c r="S22" i="399"/>
  <c r="R22" i="399"/>
  <c r="G22" i="399"/>
  <c r="Q22" i="399" s="1"/>
  <c r="B22" i="399"/>
  <c r="P22" i="399" s="1"/>
  <c r="T21" i="399"/>
  <c r="S21" i="399"/>
  <c r="R21" i="399"/>
  <c r="G21" i="399"/>
  <c r="Q21" i="399" s="1"/>
  <c r="B21" i="399"/>
  <c r="P21" i="399" s="1"/>
  <c r="T20" i="399"/>
  <c r="S20" i="399"/>
  <c r="R20" i="399"/>
  <c r="G20" i="399"/>
  <c r="Q20" i="399" s="1"/>
  <c r="B20" i="399"/>
  <c r="P20" i="399" s="1"/>
  <c r="T19" i="399"/>
  <c r="S19" i="399"/>
  <c r="R19" i="399"/>
  <c r="G19" i="399"/>
  <c r="Q19" i="399" s="1"/>
  <c r="B19" i="399"/>
  <c r="P19" i="399" s="1"/>
  <c r="T18" i="399"/>
  <c r="S18" i="399"/>
  <c r="R18" i="399"/>
  <c r="G18" i="399"/>
  <c r="Q18" i="399" s="1"/>
  <c r="B18" i="399"/>
  <c r="P18" i="399" s="1"/>
  <c r="T17" i="399"/>
  <c r="S17" i="399"/>
  <c r="R17" i="399"/>
  <c r="G17" i="399"/>
  <c r="Q17" i="399" s="1"/>
  <c r="B17" i="399"/>
  <c r="P17" i="399" s="1"/>
  <c r="T16" i="399"/>
  <c r="S16" i="399"/>
  <c r="R16" i="399"/>
  <c r="G16" i="399"/>
  <c r="Q16" i="399" s="1"/>
  <c r="B16" i="399"/>
  <c r="P16" i="399" s="1"/>
  <c r="T15" i="399"/>
  <c r="S15" i="399"/>
  <c r="R15" i="399"/>
  <c r="G15" i="399"/>
  <c r="Q15" i="399" s="1"/>
  <c r="B15" i="399"/>
  <c r="P15" i="399" s="1"/>
  <c r="AJ23" i="398" l="1"/>
  <c r="T23" i="398"/>
  <c r="S23" i="398"/>
  <c r="R23" i="398"/>
  <c r="G23" i="398"/>
  <c r="Q23" i="398" s="1"/>
  <c r="B23" i="398"/>
  <c r="P23" i="398" s="1"/>
  <c r="AJ25" i="398"/>
  <c r="T25" i="398"/>
  <c r="S25" i="398"/>
  <c r="R25" i="398"/>
  <c r="G25" i="398"/>
  <c r="Q25" i="398" s="1"/>
  <c r="B25" i="398"/>
  <c r="P25" i="398" s="1"/>
  <c r="AJ24" i="398"/>
  <c r="T24" i="398"/>
  <c r="S24" i="398"/>
  <c r="R24" i="398"/>
  <c r="G24" i="398"/>
  <c r="Q24" i="398" s="1"/>
  <c r="B24" i="398"/>
  <c r="P24" i="398" s="1"/>
  <c r="AJ22" i="398"/>
  <c r="T22" i="398"/>
  <c r="S22" i="398"/>
  <c r="R22" i="398"/>
  <c r="G22" i="398"/>
  <c r="Q22" i="398" s="1"/>
  <c r="B22" i="398"/>
  <c r="P22" i="398" s="1"/>
  <c r="AJ21" i="398"/>
  <c r="T21" i="398"/>
  <c r="S21" i="398"/>
  <c r="R21" i="398"/>
  <c r="G21" i="398"/>
  <c r="Q21" i="398" s="1"/>
  <c r="B21" i="398"/>
  <c r="P21" i="398" s="1"/>
  <c r="AJ20" i="398"/>
  <c r="T20" i="398"/>
  <c r="S20" i="398"/>
  <c r="R20" i="398"/>
  <c r="G20" i="398"/>
  <c r="Q20" i="398" s="1"/>
  <c r="B20" i="398"/>
  <c r="P20" i="398" s="1"/>
  <c r="AJ19" i="398"/>
  <c r="T19" i="398"/>
  <c r="S19" i="398"/>
  <c r="R19" i="398"/>
  <c r="G19" i="398"/>
  <c r="Q19" i="398" s="1"/>
  <c r="B19" i="398"/>
  <c r="P19" i="398" s="1"/>
  <c r="AJ18" i="398"/>
  <c r="T18" i="398"/>
  <c r="S18" i="398"/>
  <c r="R18" i="398"/>
  <c r="G18" i="398"/>
  <c r="Q18" i="398" s="1"/>
  <c r="B18" i="398"/>
  <c r="P18" i="398" s="1"/>
  <c r="AJ17" i="398"/>
  <c r="T17" i="398"/>
  <c r="S17" i="398"/>
  <c r="R17" i="398"/>
  <c r="G17" i="398"/>
  <c r="Q17" i="398" s="1"/>
  <c r="B17" i="398"/>
  <c r="P17" i="398" s="1"/>
  <c r="AJ16" i="398"/>
  <c r="T16" i="398"/>
  <c r="S16" i="398"/>
  <c r="R16" i="398"/>
  <c r="G16" i="398"/>
  <c r="Q16" i="398" s="1"/>
  <c r="B16" i="398"/>
  <c r="P16" i="398" s="1"/>
  <c r="AJ15" i="398"/>
  <c r="T15" i="398"/>
  <c r="S15" i="398"/>
  <c r="R15" i="398"/>
  <c r="G15" i="398"/>
  <c r="Q15" i="398" s="1"/>
  <c r="B15" i="398"/>
  <c r="P15" i="398" s="1"/>
  <c r="AJ29" i="398"/>
  <c r="T29" i="398"/>
  <c r="S29" i="398"/>
  <c r="R29" i="398"/>
  <c r="G29" i="398"/>
  <c r="Q29" i="398" s="1"/>
  <c r="B29" i="398"/>
  <c r="P29" i="398" s="1"/>
  <c r="AJ27" i="398"/>
  <c r="T27" i="398"/>
  <c r="S27" i="398"/>
  <c r="R27" i="398"/>
  <c r="G27" i="398"/>
  <c r="Q27" i="398" s="1"/>
  <c r="B27" i="398"/>
  <c r="P27" i="398" s="1"/>
  <c r="AJ26" i="398"/>
  <c r="T26" i="398"/>
  <c r="S26" i="398"/>
  <c r="R26" i="398"/>
  <c r="G26" i="398"/>
  <c r="Q26" i="398" s="1"/>
  <c r="B26" i="398"/>
  <c r="P26" i="398" s="1"/>
  <c r="AJ14" i="398"/>
  <c r="T14" i="398"/>
  <c r="S14" i="398"/>
  <c r="R14" i="398"/>
  <c r="G14" i="398"/>
  <c r="Q14" i="398" s="1"/>
  <c r="B14" i="398"/>
  <c r="P14" i="398" s="1"/>
  <c r="AJ13" i="398"/>
  <c r="T13" i="398"/>
  <c r="S13" i="398"/>
  <c r="R13" i="398"/>
  <c r="G13" i="398"/>
  <c r="Q13" i="398" s="1"/>
  <c r="B13" i="398"/>
  <c r="P13" i="398" s="1"/>
  <c r="T23" i="397"/>
  <c r="S23" i="397"/>
  <c r="R23" i="397"/>
  <c r="G23" i="397"/>
  <c r="Q23" i="397" s="1"/>
  <c r="B23" i="397"/>
  <c r="P23" i="397" s="1"/>
  <c r="T22" i="397"/>
  <c r="S22" i="397"/>
  <c r="R22" i="397"/>
  <c r="G22" i="397"/>
  <c r="Q22" i="397" s="1"/>
  <c r="B22" i="397"/>
  <c r="P22" i="397" s="1"/>
  <c r="T21" i="397"/>
  <c r="S21" i="397"/>
  <c r="R21" i="397"/>
  <c r="G21" i="397"/>
  <c r="Q21" i="397" s="1"/>
  <c r="B21" i="397"/>
  <c r="P21" i="397" s="1"/>
  <c r="T20" i="397"/>
  <c r="S20" i="397"/>
  <c r="R20" i="397"/>
  <c r="G20" i="397"/>
  <c r="Q20" i="397" s="1"/>
  <c r="B20" i="397"/>
  <c r="P20" i="397" s="1"/>
  <c r="T19" i="397"/>
  <c r="S19" i="397"/>
  <c r="R19" i="397"/>
  <c r="G19" i="397"/>
  <c r="Q19" i="397" s="1"/>
  <c r="B19" i="397"/>
  <c r="P19" i="397" s="1"/>
  <c r="T18" i="397"/>
  <c r="S18" i="397"/>
  <c r="R18" i="397"/>
  <c r="G18" i="397"/>
  <c r="Q18" i="397" s="1"/>
  <c r="B18" i="397"/>
  <c r="P18" i="397" s="1"/>
  <c r="T17" i="397"/>
  <c r="S17" i="397"/>
  <c r="R17" i="397"/>
  <c r="G17" i="397"/>
  <c r="Q17" i="397" s="1"/>
  <c r="B17" i="397"/>
  <c r="P17" i="397" s="1"/>
  <c r="T16" i="397"/>
  <c r="S16" i="397"/>
  <c r="R16" i="397"/>
  <c r="G16" i="397"/>
  <c r="Q16" i="397" s="1"/>
  <c r="B16" i="397"/>
  <c r="P16" i="397" s="1"/>
  <c r="T15" i="397"/>
  <c r="S15" i="397"/>
  <c r="R15" i="397"/>
  <c r="G15" i="397"/>
  <c r="Q15" i="397" s="1"/>
  <c r="B15" i="397"/>
  <c r="P15" i="397" s="1"/>
  <c r="T23" i="396"/>
  <c r="S23" i="396"/>
  <c r="R23" i="396"/>
  <c r="G23" i="396"/>
  <c r="Q23" i="396" s="1"/>
  <c r="B23" i="396"/>
  <c r="P23" i="396" s="1"/>
  <c r="T22" i="396"/>
  <c r="S22" i="396"/>
  <c r="R22" i="396"/>
  <c r="G22" i="396"/>
  <c r="Q22" i="396" s="1"/>
  <c r="B22" i="396"/>
  <c r="P22" i="396" s="1"/>
  <c r="T21" i="396"/>
  <c r="S21" i="396"/>
  <c r="R21" i="396"/>
  <c r="G21" i="396"/>
  <c r="Q21" i="396" s="1"/>
  <c r="B21" i="396"/>
  <c r="P21" i="396" s="1"/>
  <c r="T20" i="396"/>
  <c r="S20" i="396"/>
  <c r="R20" i="396"/>
  <c r="G20" i="396"/>
  <c r="Q20" i="396" s="1"/>
  <c r="B20" i="396"/>
  <c r="P20" i="396" s="1"/>
  <c r="T19" i="396"/>
  <c r="S19" i="396"/>
  <c r="R19" i="396"/>
  <c r="G19" i="396"/>
  <c r="Q19" i="396" s="1"/>
  <c r="B19" i="396"/>
  <c r="P19" i="396" s="1"/>
  <c r="T18" i="396"/>
  <c r="S18" i="396"/>
  <c r="R18" i="396"/>
  <c r="G18" i="396"/>
  <c r="Q18" i="396" s="1"/>
  <c r="B18" i="396"/>
  <c r="P18" i="396" s="1"/>
  <c r="T17" i="396"/>
  <c r="S17" i="396"/>
  <c r="R17" i="396"/>
  <c r="G17" i="396"/>
  <c r="Q17" i="396" s="1"/>
  <c r="B17" i="396"/>
  <c r="P17" i="396" s="1"/>
  <c r="T16" i="396"/>
  <c r="S16" i="396"/>
  <c r="R16" i="396"/>
  <c r="G16" i="396"/>
  <c r="Q16" i="396" s="1"/>
  <c r="B16" i="396"/>
  <c r="P16" i="396" s="1"/>
  <c r="T15" i="396"/>
  <c r="S15" i="396"/>
  <c r="R15" i="396"/>
  <c r="G15" i="396"/>
  <c r="Q15" i="396" s="1"/>
  <c r="B15" i="396"/>
  <c r="P15" i="396" s="1"/>
  <c r="T22" i="395"/>
  <c r="S22" i="395"/>
  <c r="R22" i="395"/>
  <c r="G22" i="395"/>
  <c r="Q22" i="395" s="1"/>
  <c r="B22" i="395"/>
  <c r="P22" i="395" s="1"/>
  <c r="T21" i="395"/>
  <c r="S21" i="395"/>
  <c r="R21" i="395"/>
  <c r="G21" i="395"/>
  <c r="Q21" i="395" s="1"/>
  <c r="B21" i="395"/>
  <c r="P21" i="395" s="1"/>
  <c r="T20" i="395"/>
  <c r="S20" i="395"/>
  <c r="R20" i="395"/>
  <c r="G20" i="395"/>
  <c r="Q20" i="395" s="1"/>
  <c r="B20" i="395"/>
  <c r="P20" i="395" s="1"/>
  <c r="T19" i="395"/>
  <c r="S19" i="395"/>
  <c r="R19" i="395"/>
  <c r="G19" i="395"/>
  <c r="Q19" i="395" s="1"/>
  <c r="B19" i="395"/>
  <c r="P19" i="395" s="1"/>
  <c r="T18" i="395"/>
  <c r="S18" i="395"/>
  <c r="R18" i="395"/>
  <c r="G18" i="395"/>
  <c r="Q18" i="395" s="1"/>
  <c r="B18" i="395"/>
  <c r="P18" i="395" s="1"/>
  <c r="T17" i="395"/>
  <c r="S17" i="395"/>
  <c r="R17" i="395"/>
  <c r="G17" i="395"/>
  <c r="Q17" i="395" s="1"/>
  <c r="B17" i="395"/>
  <c r="P17" i="395" s="1"/>
  <c r="T16" i="395"/>
  <c r="S16" i="395"/>
  <c r="R16" i="395"/>
  <c r="G16" i="395"/>
  <c r="Q16" i="395" s="1"/>
  <c r="B16" i="395"/>
  <c r="P16" i="395" s="1"/>
  <c r="T15" i="395"/>
  <c r="S15" i="395"/>
  <c r="R15" i="395"/>
  <c r="G15" i="395"/>
  <c r="Q15" i="395" s="1"/>
  <c r="B15" i="395"/>
  <c r="P15" i="395" s="1"/>
  <c r="T23" i="395"/>
  <c r="S23" i="395"/>
  <c r="R23" i="395"/>
  <c r="G23" i="395"/>
  <c r="Q23" i="395" s="1"/>
  <c r="B23" i="395"/>
  <c r="P23" i="395" s="1"/>
  <c r="T16" i="394"/>
  <c r="S16" i="394"/>
  <c r="R16" i="394"/>
  <c r="G16" i="394"/>
  <c r="Q16" i="394" s="1"/>
  <c r="B16" i="394"/>
  <c r="P16" i="394" s="1"/>
  <c r="T15" i="394"/>
  <c r="S15" i="394"/>
  <c r="R15" i="394"/>
  <c r="G15" i="394"/>
  <c r="Q15" i="394" s="1"/>
  <c r="B15" i="394"/>
  <c r="P15" i="394" s="1"/>
  <c r="AJ18" i="393"/>
  <c r="T18" i="393"/>
  <c r="S18" i="393"/>
  <c r="R18" i="393"/>
  <c r="G18" i="393"/>
  <c r="Q18" i="393" s="1"/>
  <c r="B18" i="393"/>
  <c r="P18" i="393" s="1"/>
  <c r="AJ17" i="393"/>
  <c r="T17" i="393"/>
  <c r="S17" i="393"/>
  <c r="R17" i="393"/>
  <c r="G17" i="393"/>
  <c r="Q17" i="393" s="1"/>
  <c r="B17" i="393"/>
  <c r="P17" i="393" s="1"/>
  <c r="AJ16" i="393"/>
  <c r="T16" i="393"/>
  <c r="S16" i="393"/>
  <c r="R16" i="393"/>
  <c r="G16" i="393"/>
  <c r="Q16" i="393" s="1"/>
  <c r="B16" i="393"/>
  <c r="P16" i="393" s="1"/>
  <c r="AJ20" i="393"/>
  <c r="T20" i="393"/>
  <c r="S20" i="393"/>
  <c r="R20" i="393"/>
  <c r="G20" i="393"/>
  <c r="Q20" i="393" s="1"/>
  <c r="B20" i="393"/>
  <c r="P20" i="393" s="1"/>
  <c r="AJ19" i="393"/>
  <c r="T19" i="393"/>
  <c r="S19" i="393"/>
  <c r="R19" i="393"/>
  <c r="G19" i="393"/>
  <c r="Q19" i="393" s="1"/>
  <c r="B19" i="393"/>
  <c r="P19" i="393" s="1"/>
  <c r="AJ15" i="393"/>
  <c r="T15" i="393"/>
  <c r="S15" i="393"/>
  <c r="R15" i="393"/>
  <c r="G15" i="393"/>
  <c r="Q15" i="393" s="1"/>
  <c r="B15" i="393"/>
  <c r="P15" i="393" s="1"/>
  <c r="AJ14" i="393"/>
  <c r="T14" i="393"/>
  <c r="S14" i="393"/>
  <c r="R14" i="393"/>
  <c r="G14" i="393"/>
  <c r="Q14" i="393" s="1"/>
  <c r="B14" i="393"/>
  <c r="P14" i="393" s="1"/>
  <c r="AJ13" i="393"/>
  <c r="T13" i="393"/>
  <c r="S13" i="393"/>
  <c r="R13" i="393"/>
  <c r="G13" i="393"/>
  <c r="Q13" i="393" s="1"/>
  <c r="B13" i="393"/>
  <c r="P13" i="393" s="1"/>
  <c r="AJ18" i="392"/>
  <c r="T18" i="392"/>
  <c r="S18" i="392"/>
  <c r="R18" i="392"/>
  <c r="G18" i="392"/>
  <c r="Q18" i="392" s="1"/>
  <c r="B18" i="392"/>
  <c r="P18" i="392" s="1"/>
  <c r="AJ15" i="392"/>
  <c r="T15" i="392"/>
  <c r="S15" i="392"/>
  <c r="R15" i="392"/>
  <c r="G15" i="392"/>
  <c r="Q15" i="392" s="1"/>
  <c r="B15" i="392"/>
  <c r="P15" i="392" s="1"/>
  <c r="AJ17" i="392"/>
  <c r="T17" i="392"/>
  <c r="S17" i="392"/>
  <c r="R17" i="392"/>
  <c r="G17" i="392"/>
  <c r="Q17" i="392" s="1"/>
  <c r="B17" i="392"/>
  <c r="P17" i="392" s="1"/>
  <c r="AJ16" i="392"/>
  <c r="T16" i="392"/>
  <c r="S16" i="392"/>
  <c r="R16" i="392"/>
  <c r="G16" i="392"/>
  <c r="Q16" i="392" s="1"/>
  <c r="B16" i="392"/>
  <c r="P16" i="392" s="1"/>
  <c r="AJ14" i="392"/>
  <c r="T14" i="392"/>
  <c r="S14" i="392"/>
  <c r="R14" i="392"/>
  <c r="G14" i="392"/>
  <c r="Q14" i="392" s="1"/>
  <c r="B14" i="392"/>
  <c r="P14" i="392" s="1"/>
  <c r="AJ13" i="392"/>
  <c r="T13" i="392"/>
  <c r="S13" i="392"/>
  <c r="R13" i="392"/>
  <c r="G13" i="392"/>
  <c r="Q13" i="392" s="1"/>
  <c r="B13" i="392"/>
  <c r="P13" i="392" s="1"/>
  <c r="B217" i="25"/>
  <c r="A217" i="25"/>
  <c r="T16" i="388"/>
  <c r="S16" i="388"/>
  <c r="R16" i="388"/>
  <c r="G16" i="388"/>
  <c r="Q16" i="388" s="1"/>
  <c r="B16" i="388"/>
  <c r="P16" i="388" s="1"/>
  <c r="AJ17" i="388"/>
  <c r="T17" i="388"/>
  <c r="S17" i="388"/>
  <c r="R17" i="388"/>
  <c r="G17" i="388"/>
  <c r="Q17" i="388" s="1"/>
  <c r="B17" i="388"/>
  <c r="P17" i="388" s="1"/>
  <c r="T15" i="388"/>
  <c r="S15" i="388"/>
  <c r="R15" i="388"/>
  <c r="G15" i="388"/>
  <c r="Q15" i="388" s="1"/>
  <c r="B15" i="388"/>
  <c r="P15" i="388" s="1"/>
  <c r="AJ15" i="387"/>
  <c r="T15" i="387"/>
  <c r="S15" i="387"/>
  <c r="R15" i="387"/>
  <c r="G15" i="387"/>
  <c r="Q15" i="387" s="1"/>
  <c r="B15" i="387"/>
  <c r="P15" i="387" s="1"/>
  <c r="AJ14" i="387"/>
  <c r="T14" i="387"/>
  <c r="S14" i="387"/>
  <c r="R14" i="387"/>
  <c r="G14" i="387"/>
  <c r="Q14" i="387" s="1"/>
  <c r="B14" i="387"/>
  <c r="P14" i="387" s="1"/>
  <c r="AJ13" i="387"/>
  <c r="T13" i="387"/>
  <c r="S13" i="387"/>
  <c r="R13" i="387"/>
  <c r="G13" i="387"/>
  <c r="Q13" i="387" s="1"/>
  <c r="B13" i="387"/>
  <c r="P13" i="387" s="1"/>
  <c r="AJ17" i="386"/>
  <c r="T17" i="386"/>
  <c r="S17" i="386"/>
  <c r="R17" i="386"/>
  <c r="G17" i="386"/>
  <c r="Q17" i="386" s="1"/>
  <c r="B17" i="386"/>
  <c r="P17" i="386" s="1"/>
  <c r="AJ16" i="386"/>
  <c r="T16" i="386"/>
  <c r="S16" i="386"/>
  <c r="R16" i="386"/>
  <c r="G16" i="386"/>
  <c r="Q16" i="386" s="1"/>
  <c r="B16" i="386"/>
  <c r="P16" i="386" s="1"/>
  <c r="AJ15" i="386"/>
  <c r="T15" i="386"/>
  <c r="S15" i="386"/>
  <c r="R15" i="386"/>
  <c r="G15" i="386"/>
  <c r="Q15" i="386" s="1"/>
  <c r="B15" i="386"/>
  <c r="P15" i="386" s="1"/>
  <c r="AJ14" i="386"/>
  <c r="T14" i="386"/>
  <c r="S14" i="386"/>
  <c r="R14" i="386"/>
  <c r="G14" i="386"/>
  <c r="Q14" i="386" s="1"/>
  <c r="B14" i="386"/>
  <c r="P14" i="386" s="1"/>
  <c r="AJ13" i="386"/>
  <c r="T13" i="386"/>
  <c r="S13" i="386"/>
  <c r="R13" i="386"/>
  <c r="G13" i="386"/>
  <c r="Q13" i="386" s="1"/>
  <c r="B13" i="386"/>
  <c r="P13" i="386" s="1"/>
  <c r="B227" i="25"/>
  <c r="O227" i="25" s="1"/>
  <c r="BK227" i="25" s="1"/>
  <c r="A227" i="25"/>
  <c r="B226" i="25"/>
  <c r="O226" i="25" s="1"/>
  <c r="BK226" i="25" s="1"/>
  <c r="A226" i="25"/>
  <c r="B225" i="25"/>
  <c r="O225" i="25" s="1"/>
  <c r="BK225" i="25" s="1"/>
  <c r="A225" i="25"/>
  <c r="B224" i="25"/>
  <c r="O224" i="25" s="1"/>
  <c r="BK224" i="25" s="1"/>
  <c r="A224" i="25"/>
  <c r="B223" i="25"/>
  <c r="O223" i="25" s="1"/>
  <c r="BK223" i="25" s="1"/>
  <c r="A223" i="25"/>
  <c r="B222" i="25"/>
  <c r="O222" i="25" s="1"/>
  <c r="BK222" i="25" s="1"/>
  <c r="A222" i="25"/>
  <c r="B221" i="25"/>
  <c r="O221" i="25" s="1"/>
  <c r="BK221" i="25" s="1"/>
  <c r="A221" i="25"/>
  <c r="B216" i="25"/>
  <c r="O216" i="25" s="1"/>
  <c r="BK216" i="25" s="1"/>
  <c r="A216" i="25"/>
  <c r="B215" i="25"/>
  <c r="O215" i="25" s="1"/>
  <c r="BK215" i="25" s="1"/>
  <c r="A215" i="25"/>
  <c r="B214" i="25"/>
  <c r="O214" i="25" s="1"/>
  <c r="BK214" i="25" s="1"/>
  <c r="A214" i="25"/>
  <c r="B213" i="25"/>
  <c r="O213" i="25" s="1"/>
  <c r="BK213" i="25" s="1"/>
  <c r="A213" i="25"/>
  <c r="O212" i="25"/>
  <c r="BK212" i="25" s="1"/>
  <c r="A212" i="25"/>
  <c r="B211" i="25"/>
  <c r="O211" i="25" s="1"/>
  <c r="BK211" i="25" s="1"/>
  <c r="A211" i="25"/>
  <c r="B210" i="25"/>
  <c r="O210" i="25" s="1"/>
  <c r="BK210" i="25" s="1"/>
  <c r="A210" i="25"/>
  <c r="B209" i="25"/>
  <c r="O209" i="25" s="1"/>
  <c r="BK209" i="25" s="1"/>
  <c r="A209" i="25"/>
  <c r="B208" i="25"/>
  <c r="O208" i="25" s="1"/>
  <c r="BK208" i="25" s="1"/>
  <c r="A208" i="25"/>
  <c r="B207" i="25"/>
  <c r="O207" i="25" s="1"/>
  <c r="BK207" i="25" s="1"/>
  <c r="A207" i="25"/>
  <c r="B218" i="25"/>
  <c r="O218" i="25" s="1"/>
  <c r="BK218" i="25" s="1"/>
  <c r="A218" i="25"/>
  <c r="B206" i="25"/>
  <c r="O206" i="25" s="1"/>
  <c r="A206" i="25"/>
  <c r="T135" i="385"/>
  <c r="E135" i="385"/>
  <c r="C133" i="385"/>
  <c r="W133" i="385" s="1"/>
  <c r="C132" i="385"/>
  <c r="W132" i="385" s="1"/>
  <c r="W131" i="385"/>
  <c r="C118" i="385"/>
  <c r="W118" i="385" s="1"/>
  <c r="C104" i="385"/>
  <c r="W104" i="385" s="1"/>
  <c r="E126" i="385"/>
  <c r="E123" i="385"/>
  <c r="T120" i="385"/>
  <c r="E120" i="385"/>
  <c r="C117" i="385"/>
  <c r="W117" i="385" s="1"/>
  <c r="W116" i="385"/>
  <c r="C80" i="385"/>
  <c r="W80" i="385" s="1"/>
  <c r="E112" i="385"/>
  <c r="E109" i="385"/>
  <c r="T106" i="385"/>
  <c r="E106" i="385"/>
  <c r="C103" i="385"/>
  <c r="W103" i="385" s="1"/>
  <c r="W102" i="385"/>
  <c r="E88" i="385"/>
  <c r="E85" i="385"/>
  <c r="T82" i="385"/>
  <c r="E82" i="385"/>
  <c r="C79" i="385"/>
  <c r="W79" i="385" s="1"/>
  <c r="W78" i="385"/>
  <c r="T71" i="385"/>
  <c r="E71" i="385"/>
  <c r="C69" i="385"/>
  <c r="W69" i="385" s="1"/>
  <c r="C68" i="385"/>
  <c r="W68" i="385" s="1"/>
  <c r="W67" i="385"/>
  <c r="AM221" i="25"/>
  <c r="AM207" i="25"/>
  <c r="AM223" i="25"/>
  <c r="AM217" i="25"/>
  <c r="AM213" i="25"/>
  <c r="AM210" i="25"/>
  <c r="AM208" i="25"/>
  <c r="AM227" i="25"/>
  <c r="AM214" i="25"/>
  <c r="AM209" i="25"/>
  <c r="AM225" i="25"/>
  <c r="AM222" i="25"/>
  <c r="AM206" i="25"/>
  <c r="AM211" i="25"/>
  <c r="AM212" i="25"/>
  <c r="AM226" i="25"/>
  <c r="AM224" i="25"/>
  <c r="AM216" i="25"/>
  <c r="AM215" i="25"/>
  <c r="AM218" i="25"/>
  <c r="O217" i="25" l="1"/>
  <c r="BK217" i="25" s="1"/>
  <c r="BK206" i="25"/>
  <c r="C57" i="385"/>
  <c r="W57" i="385" s="1"/>
  <c r="C58" i="385"/>
  <c r="W58" i="385" s="1"/>
  <c r="W44" i="385"/>
  <c r="T60" i="385"/>
  <c r="E60" i="385"/>
  <c r="W56" i="385"/>
  <c r="W43" i="385"/>
  <c r="T46" i="385"/>
  <c r="E46" i="385"/>
  <c r="W42" i="385"/>
  <c r="E49" i="385"/>
  <c r="E24" i="385"/>
  <c r="W5" i="385"/>
  <c r="E13" i="385"/>
  <c r="E10" i="385"/>
  <c r="T21" i="385"/>
  <c r="E21" i="385"/>
  <c r="C19" i="385"/>
  <c r="W19" i="385" s="1"/>
  <c r="C18" i="385"/>
  <c r="W18" i="385" s="1"/>
  <c r="W17" i="385"/>
  <c r="T7" i="385"/>
  <c r="E7" i="385"/>
  <c r="C4" i="385"/>
  <c r="W4" i="385" s="1"/>
  <c r="W3" i="385"/>
  <c r="D9" i="383" l="1"/>
  <c r="AJ26" i="383"/>
  <c r="T26" i="383"/>
  <c r="S26" i="383"/>
  <c r="R26" i="383"/>
  <c r="G26" i="383"/>
  <c r="Q26" i="383" s="1"/>
  <c r="B26" i="383"/>
  <c r="P26" i="383" s="1"/>
  <c r="AJ25" i="383"/>
  <c r="T25" i="383"/>
  <c r="S25" i="383"/>
  <c r="R25" i="383"/>
  <c r="G25" i="383"/>
  <c r="Q25" i="383" s="1"/>
  <c r="B25" i="383"/>
  <c r="P25" i="383" s="1"/>
  <c r="AJ24" i="383"/>
  <c r="T24" i="383"/>
  <c r="S24" i="383"/>
  <c r="R24" i="383"/>
  <c r="G24" i="383"/>
  <c r="Q24" i="383" s="1"/>
  <c r="B24" i="383"/>
  <c r="P24" i="383" s="1"/>
  <c r="AJ23" i="383"/>
  <c r="T23" i="383"/>
  <c r="S23" i="383"/>
  <c r="R23" i="383"/>
  <c r="G23" i="383"/>
  <c r="Q23" i="383" s="1"/>
  <c r="B23" i="383"/>
  <c r="P23" i="383" s="1"/>
  <c r="AJ22" i="383"/>
  <c r="T22" i="383"/>
  <c r="S22" i="383"/>
  <c r="R22" i="383"/>
  <c r="G22" i="383"/>
  <c r="Q22" i="383" s="1"/>
  <c r="B22" i="383"/>
  <c r="P22" i="383" s="1"/>
  <c r="AJ21" i="383"/>
  <c r="T21" i="383"/>
  <c r="S21" i="383"/>
  <c r="R21" i="383"/>
  <c r="G21" i="383"/>
  <c r="Q21" i="383" s="1"/>
  <c r="B21" i="383"/>
  <c r="P21" i="383" s="1"/>
  <c r="AJ20" i="383"/>
  <c r="T20" i="383"/>
  <c r="S20" i="383"/>
  <c r="R20" i="383"/>
  <c r="G20" i="383"/>
  <c r="Q20" i="383" s="1"/>
  <c r="B20" i="383"/>
  <c r="P20" i="383" s="1"/>
  <c r="AJ19" i="383"/>
  <c r="T19" i="383"/>
  <c r="S19" i="383"/>
  <c r="R19" i="383"/>
  <c r="G19" i="383"/>
  <c r="Q19" i="383" s="1"/>
  <c r="B19" i="383"/>
  <c r="P19" i="383" s="1"/>
  <c r="AJ18" i="383"/>
  <c r="T18" i="383"/>
  <c r="S18" i="383"/>
  <c r="R18" i="383"/>
  <c r="G18" i="383"/>
  <c r="Q18" i="383" s="1"/>
  <c r="B18" i="383"/>
  <c r="P18" i="383" s="1"/>
  <c r="AJ17" i="383"/>
  <c r="T17" i="383"/>
  <c r="S17" i="383"/>
  <c r="G17" i="383"/>
  <c r="Q17" i="383" s="1"/>
  <c r="B17" i="383"/>
  <c r="P17" i="383" s="1"/>
  <c r="AJ16" i="383"/>
  <c r="T16" i="383"/>
  <c r="S16" i="383"/>
  <c r="R16" i="383"/>
  <c r="G16" i="383"/>
  <c r="Q16" i="383" s="1"/>
  <c r="B16" i="383"/>
  <c r="P16" i="383" s="1"/>
  <c r="AJ15" i="383"/>
  <c r="T15" i="383"/>
  <c r="S15" i="383"/>
  <c r="R15" i="383"/>
  <c r="G15" i="383"/>
  <c r="Q15" i="383" s="1"/>
  <c r="B15" i="383"/>
  <c r="P15" i="383" s="1"/>
  <c r="AJ14" i="383"/>
  <c r="T14" i="383"/>
  <c r="S14" i="383"/>
  <c r="R14" i="383"/>
  <c r="G14" i="383"/>
  <c r="Q14" i="383" s="1"/>
  <c r="B14" i="383"/>
  <c r="P14" i="383" s="1"/>
  <c r="AJ13" i="383"/>
  <c r="T13" i="383"/>
  <c r="S13" i="383"/>
  <c r="R13" i="383"/>
  <c r="G13" i="383"/>
  <c r="Q13" i="383" s="1"/>
  <c r="B13" i="383"/>
  <c r="P13" i="383" s="1"/>
  <c r="D9" i="382"/>
  <c r="AJ33" i="382"/>
  <c r="T33" i="382"/>
  <c r="S33" i="382"/>
  <c r="R33" i="382"/>
  <c r="G33" i="382"/>
  <c r="Q33" i="382" s="1"/>
  <c r="B33" i="382"/>
  <c r="P33" i="382" s="1"/>
  <c r="AJ32" i="382"/>
  <c r="T32" i="382"/>
  <c r="S32" i="382"/>
  <c r="R32" i="382"/>
  <c r="G32" i="382"/>
  <c r="Q32" i="382" s="1"/>
  <c r="B32" i="382"/>
  <c r="P32" i="382" s="1"/>
  <c r="AJ31" i="382"/>
  <c r="T31" i="382"/>
  <c r="S31" i="382"/>
  <c r="R31" i="382"/>
  <c r="G31" i="382"/>
  <c r="Q31" i="382" s="1"/>
  <c r="B31" i="382"/>
  <c r="P31" i="382" s="1"/>
  <c r="AJ30" i="382"/>
  <c r="T30" i="382"/>
  <c r="S30" i="382"/>
  <c r="R30" i="382"/>
  <c r="G30" i="382"/>
  <c r="Q30" i="382" s="1"/>
  <c r="B30" i="382"/>
  <c r="P30" i="382" s="1"/>
  <c r="AJ29" i="382"/>
  <c r="T29" i="382"/>
  <c r="S29" i="382"/>
  <c r="R29" i="382"/>
  <c r="G29" i="382"/>
  <c r="Q29" i="382" s="1"/>
  <c r="B29" i="382"/>
  <c r="P29" i="382" s="1"/>
  <c r="AJ28" i="382"/>
  <c r="T28" i="382"/>
  <c r="S28" i="382"/>
  <c r="R28" i="382"/>
  <c r="G28" i="382"/>
  <c r="Q28" i="382" s="1"/>
  <c r="B28" i="382"/>
  <c r="P28" i="382" s="1"/>
  <c r="AJ27" i="382"/>
  <c r="T27" i="382"/>
  <c r="S27" i="382"/>
  <c r="R27" i="382"/>
  <c r="G27" i="382"/>
  <c r="Q27" i="382" s="1"/>
  <c r="B27" i="382"/>
  <c r="P27" i="382" s="1"/>
  <c r="AJ26" i="382"/>
  <c r="T26" i="382"/>
  <c r="S26" i="382"/>
  <c r="R26" i="382"/>
  <c r="G26" i="382"/>
  <c r="Q26" i="382" s="1"/>
  <c r="B26" i="382"/>
  <c r="P26" i="382" s="1"/>
  <c r="AJ25" i="382"/>
  <c r="T25" i="382"/>
  <c r="S25" i="382"/>
  <c r="R25" i="382"/>
  <c r="G25" i="382"/>
  <c r="Q25" i="382" s="1"/>
  <c r="B25" i="382"/>
  <c r="P25" i="382" s="1"/>
  <c r="AJ24" i="382"/>
  <c r="T24" i="382"/>
  <c r="S24" i="382"/>
  <c r="R24" i="382"/>
  <c r="G24" i="382"/>
  <c r="Q24" i="382" s="1"/>
  <c r="B24" i="382"/>
  <c r="P24" i="382" s="1"/>
  <c r="AJ23" i="382"/>
  <c r="T23" i="382"/>
  <c r="S23" i="382"/>
  <c r="R23" i="382"/>
  <c r="G23" i="382"/>
  <c r="Q23" i="382" s="1"/>
  <c r="B23" i="382"/>
  <c r="P23" i="382" s="1"/>
  <c r="AJ22" i="382"/>
  <c r="T22" i="382"/>
  <c r="S22" i="382"/>
  <c r="R22" i="382"/>
  <c r="G22" i="382"/>
  <c r="Q22" i="382" s="1"/>
  <c r="B22" i="382"/>
  <c r="P22" i="382" s="1"/>
  <c r="AJ21" i="382"/>
  <c r="T21" i="382"/>
  <c r="S21" i="382"/>
  <c r="R21" i="382"/>
  <c r="G21" i="382"/>
  <c r="Q21" i="382" s="1"/>
  <c r="B21" i="382"/>
  <c r="P21" i="382" s="1"/>
  <c r="AJ20" i="382"/>
  <c r="T20" i="382"/>
  <c r="S20" i="382"/>
  <c r="R20" i="382"/>
  <c r="G20" i="382"/>
  <c r="Q20" i="382" s="1"/>
  <c r="B20" i="382"/>
  <c r="P20" i="382" s="1"/>
  <c r="AJ19" i="382"/>
  <c r="T19" i="382"/>
  <c r="S19" i="382"/>
  <c r="R19" i="382"/>
  <c r="G19" i="382"/>
  <c r="Q19" i="382" s="1"/>
  <c r="B19" i="382"/>
  <c r="P19" i="382" s="1"/>
  <c r="AJ18" i="382"/>
  <c r="T18" i="382"/>
  <c r="S18" i="382"/>
  <c r="R18" i="382"/>
  <c r="G18" i="382"/>
  <c r="Q18" i="382" s="1"/>
  <c r="B18" i="382"/>
  <c r="P18" i="382" s="1"/>
  <c r="AJ17" i="382"/>
  <c r="T17" i="382"/>
  <c r="S17" i="382"/>
  <c r="G17" i="382"/>
  <c r="R17" i="382" s="1"/>
  <c r="B17" i="382"/>
  <c r="P17" i="382" s="1"/>
  <c r="AJ16" i="382"/>
  <c r="T16" i="382"/>
  <c r="S16" i="382"/>
  <c r="R16" i="382"/>
  <c r="G16" i="382"/>
  <c r="Q16" i="382" s="1"/>
  <c r="B16" i="382"/>
  <c r="P16" i="382" s="1"/>
  <c r="AJ15" i="382"/>
  <c r="T15" i="382"/>
  <c r="S15" i="382"/>
  <c r="R15" i="382"/>
  <c r="G15" i="382"/>
  <c r="Q15" i="382" s="1"/>
  <c r="B15" i="382"/>
  <c r="P15" i="382" s="1"/>
  <c r="AJ14" i="382"/>
  <c r="T14" i="382"/>
  <c r="S14" i="382"/>
  <c r="R14" i="382"/>
  <c r="G14" i="382"/>
  <c r="Q14" i="382" s="1"/>
  <c r="B14" i="382"/>
  <c r="P14" i="382" s="1"/>
  <c r="AJ13" i="382"/>
  <c r="T13" i="382"/>
  <c r="S13" i="382"/>
  <c r="R13" i="382"/>
  <c r="G13" i="382"/>
  <c r="Q13" i="382" s="1"/>
  <c r="B13" i="382"/>
  <c r="P13" i="382" s="1"/>
  <c r="D9" i="381"/>
  <c r="AJ25" i="381"/>
  <c r="T25" i="381"/>
  <c r="S25" i="381"/>
  <c r="R25" i="381"/>
  <c r="G25" i="381"/>
  <c r="Q25" i="381" s="1"/>
  <c r="B25" i="381"/>
  <c r="P25" i="381" s="1"/>
  <c r="AJ24" i="381"/>
  <c r="T24" i="381"/>
  <c r="S24" i="381"/>
  <c r="R24" i="381"/>
  <c r="G24" i="381"/>
  <c r="Q24" i="381" s="1"/>
  <c r="B24" i="381"/>
  <c r="P24" i="381" s="1"/>
  <c r="AJ23" i="381"/>
  <c r="T23" i="381"/>
  <c r="S23" i="381"/>
  <c r="R23" i="381"/>
  <c r="G23" i="381"/>
  <c r="Q23" i="381" s="1"/>
  <c r="B23" i="381"/>
  <c r="P23" i="381" s="1"/>
  <c r="AJ22" i="381"/>
  <c r="T22" i="381"/>
  <c r="S22" i="381"/>
  <c r="R22" i="381"/>
  <c r="G22" i="381"/>
  <c r="Q22" i="381" s="1"/>
  <c r="B22" i="381"/>
  <c r="P22" i="381" s="1"/>
  <c r="AJ21" i="381"/>
  <c r="T21" i="381"/>
  <c r="S21" i="381"/>
  <c r="R21" i="381"/>
  <c r="G21" i="381"/>
  <c r="Q21" i="381" s="1"/>
  <c r="B21" i="381"/>
  <c r="P21" i="381" s="1"/>
  <c r="AJ20" i="381"/>
  <c r="T20" i="381"/>
  <c r="S20" i="381"/>
  <c r="R20" i="381"/>
  <c r="G20" i="381"/>
  <c r="Q20" i="381" s="1"/>
  <c r="B20" i="381"/>
  <c r="P20" i="381" s="1"/>
  <c r="AJ19" i="381"/>
  <c r="T19" i="381"/>
  <c r="S19" i="381"/>
  <c r="R19" i="381"/>
  <c r="G19" i="381"/>
  <c r="Q19" i="381" s="1"/>
  <c r="B19" i="381"/>
  <c r="P19" i="381" s="1"/>
  <c r="AJ18" i="381"/>
  <c r="T18" i="381"/>
  <c r="S18" i="381"/>
  <c r="R18" i="381"/>
  <c r="G18" i="381"/>
  <c r="Q18" i="381" s="1"/>
  <c r="B18" i="381"/>
  <c r="P18" i="381" s="1"/>
  <c r="AJ17" i="381"/>
  <c r="T17" i="381"/>
  <c r="S17" i="381"/>
  <c r="G17" i="381"/>
  <c r="R17" i="381" s="1"/>
  <c r="B17" i="381"/>
  <c r="P17" i="381" s="1"/>
  <c r="AJ16" i="381"/>
  <c r="T16" i="381"/>
  <c r="S16" i="381"/>
  <c r="R16" i="381"/>
  <c r="G16" i="381"/>
  <c r="Q16" i="381" s="1"/>
  <c r="B16" i="381"/>
  <c r="P16" i="381" s="1"/>
  <c r="AJ15" i="381"/>
  <c r="T15" i="381"/>
  <c r="S15" i="381"/>
  <c r="R15" i="381"/>
  <c r="G15" i="381"/>
  <c r="Q15" i="381" s="1"/>
  <c r="B15" i="381"/>
  <c r="P15" i="381" s="1"/>
  <c r="AJ14" i="381"/>
  <c r="T14" i="381"/>
  <c r="S14" i="381"/>
  <c r="R14" i="381"/>
  <c r="G14" i="381"/>
  <c r="Q14" i="381" s="1"/>
  <c r="B14" i="381"/>
  <c r="P14" i="381" s="1"/>
  <c r="AJ13" i="381"/>
  <c r="T13" i="381"/>
  <c r="S13" i="381"/>
  <c r="R13" i="381"/>
  <c r="G13" i="381"/>
  <c r="Q13" i="381" s="1"/>
  <c r="B13" i="381"/>
  <c r="P13" i="381" s="1"/>
  <c r="D9" i="380"/>
  <c r="AJ32" i="380"/>
  <c r="T32" i="380"/>
  <c r="S32" i="380"/>
  <c r="R32" i="380"/>
  <c r="G32" i="380"/>
  <c r="Q32" i="380" s="1"/>
  <c r="B32" i="380"/>
  <c r="P32" i="380" s="1"/>
  <c r="AJ31" i="380"/>
  <c r="T31" i="380"/>
  <c r="S31" i="380"/>
  <c r="R31" i="380"/>
  <c r="G31" i="380"/>
  <c r="Q31" i="380" s="1"/>
  <c r="B31" i="380"/>
  <c r="P31" i="380" s="1"/>
  <c r="AJ30" i="380"/>
  <c r="T30" i="380"/>
  <c r="S30" i="380"/>
  <c r="R30" i="380"/>
  <c r="G30" i="380"/>
  <c r="Q30" i="380" s="1"/>
  <c r="B30" i="380"/>
  <c r="P30" i="380" s="1"/>
  <c r="AJ29" i="380"/>
  <c r="T29" i="380"/>
  <c r="S29" i="380"/>
  <c r="R29" i="380"/>
  <c r="G29" i="380"/>
  <c r="Q29" i="380" s="1"/>
  <c r="B29" i="380"/>
  <c r="P29" i="380" s="1"/>
  <c r="AJ28" i="380"/>
  <c r="T28" i="380"/>
  <c r="S28" i="380"/>
  <c r="R28" i="380"/>
  <c r="G28" i="380"/>
  <c r="Q28" i="380" s="1"/>
  <c r="B28" i="380"/>
  <c r="P28" i="380" s="1"/>
  <c r="AJ27" i="380"/>
  <c r="T27" i="380"/>
  <c r="S27" i="380"/>
  <c r="R27" i="380"/>
  <c r="G27" i="380"/>
  <c r="Q27" i="380" s="1"/>
  <c r="B27" i="380"/>
  <c r="P27" i="380" s="1"/>
  <c r="AJ26" i="380"/>
  <c r="T26" i="380"/>
  <c r="S26" i="380"/>
  <c r="R26" i="380"/>
  <c r="G26" i="380"/>
  <c r="Q26" i="380" s="1"/>
  <c r="B26" i="380"/>
  <c r="P26" i="380" s="1"/>
  <c r="AJ25" i="380"/>
  <c r="T25" i="380"/>
  <c r="S25" i="380"/>
  <c r="R25" i="380"/>
  <c r="G25" i="380"/>
  <c r="Q25" i="380" s="1"/>
  <c r="B25" i="380"/>
  <c r="P25" i="380" s="1"/>
  <c r="AJ24" i="380"/>
  <c r="T24" i="380"/>
  <c r="S24" i="380"/>
  <c r="R24" i="380"/>
  <c r="G24" i="380"/>
  <c r="Q24" i="380" s="1"/>
  <c r="B24" i="380"/>
  <c r="P24" i="380" s="1"/>
  <c r="AJ23" i="380"/>
  <c r="T23" i="380"/>
  <c r="S23" i="380"/>
  <c r="R23" i="380"/>
  <c r="G23" i="380"/>
  <c r="Q23" i="380" s="1"/>
  <c r="B23" i="380"/>
  <c r="P23" i="380" s="1"/>
  <c r="AJ22" i="380"/>
  <c r="T22" i="380"/>
  <c r="S22" i="380"/>
  <c r="R22" i="380"/>
  <c r="G22" i="380"/>
  <c r="Q22" i="380" s="1"/>
  <c r="B22" i="380"/>
  <c r="P22" i="380" s="1"/>
  <c r="AJ21" i="380"/>
  <c r="T21" i="380"/>
  <c r="S21" i="380"/>
  <c r="R21" i="380"/>
  <c r="G21" i="380"/>
  <c r="Q21" i="380" s="1"/>
  <c r="B21" i="380"/>
  <c r="P21" i="380" s="1"/>
  <c r="AJ20" i="380"/>
  <c r="T20" i="380"/>
  <c r="S20" i="380"/>
  <c r="R20" i="380"/>
  <c r="G20" i="380"/>
  <c r="Q20" i="380" s="1"/>
  <c r="B20" i="380"/>
  <c r="P20" i="380" s="1"/>
  <c r="AJ19" i="380"/>
  <c r="T19" i="380"/>
  <c r="S19" i="380"/>
  <c r="R19" i="380"/>
  <c r="G19" i="380"/>
  <c r="Q19" i="380" s="1"/>
  <c r="B19" i="380"/>
  <c r="P19" i="380" s="1"/>
  <c r="AJ18" i="380"/>
  <c r="T18" i="380"/>
  <c r="S18" i="380"/>
  <c r="R18" i="380"/>
  <c r="G18" i="380"/>
  <c r="Q18" i="380" s="1"/>
  <c r="B18" i="380"/>
  <c r="P18" i="380" s="1"/>
  <c r="AJ17" i="380"/>
  <c r="T17" i="380"/>
  <c r="S17" i="380"/>
  <c r="G17" i="380"/>
  <c r="R17" i="380" s="1"/>
  <c r="B17" i="380"/>
  <c r="P17" i="380" s="1"/>
  <c r="AJ16" i="380"/>
  <c r="T16" i="380"/>
  <c r="S16" i="380"/>
  <c r="R16" i="380"/>
  <c r="G16" i="380"/>
  <c r="Q16" i="380" s="1"/>
  <c r="B16" i="380"/>
  <c r="P16" i="380" s="1"/>
  <c r="AJ15" i="380"/>
  <c r="T15" i="380"/>
  <c r="S15" i="380"/>
  <c r="R15" i="380"/>
  <c r="G15" i="380"/>
  <c r="Q15" i="380" s="1"/>
  <c r="B15" i="380"/>
  <c r="P15" i="380" s="1"/>
  <c r="AJ14" i="380"/>
  <c r="T14" i="380"/>
  <c r="S14" i="380"/>
  <c r="R14" i="380"/>
  <c r="G14" i="380"/>
  <c r="Q14" i="380" s="1"/>
  <c r="B14" i="380"/>
  <c r="P14" i="380" s="1"/>
  <c r="AJ13" i="380"/>
  <c r="T13" i="380"/>
  <c r="S13" i="380"/>
  <c r="R13" i="380"/>
  <c r="G13" i="380"/>
  <c r="Q13" i="380" s="1"/>
  <c r="B13" i="380"/>
  <c r="P13" i="380" s="1"/>
  <c r="BK203" i="25"/>
  <c r="B203" i="25"/>
  <c r="A203" i="25"/>
  <c r="BK204" i="25"/>
  <c r="B204" i="25"/>
  <c r="A204" i="25"/>
  <c r="BK202" i="25"/>
  <c r="B202" i="25"/>
  <c r="A202" i="25"/>
  <c r="BK201" i="25"/>
  <c r="B201" i="25"/>
  <c r="A201" i="25"/>
  <c r="D9" i="379"/>
  <c r="AJ59" i="379"/>
  <c r="T59" i="379"/>
  <c r="S59" i="379"/>
  <c r="R59" i="379"/>
  <c r="G59" i="379"/>
  <c r="Q59" i="379" s="1"/>
  <c r="B59" i="379"/>
  <c r="P59" i="379" s="1"/>
  <c r="AJ58" i="379"/>
  <c r="T58" i="379"/>
  <c r="S58" i="379"/>
  <c r="R58" i="379"/>
  <c r="G58" i="379"/>
  <c r="Q58" i="379" s="1"/>
  <c r="B58" i="379"/>
  <c r="P58" i="379" s="1"/>
  <c r="AJ57" i="379"/>
  <c r="T57" i="379"/>
  <c r="S57" i="379"/>
  <c r="R57" i="379"/>
  <c r="G57" i="379"/>
  <c r="Q57" i="379" s="1"/>
  <c r="B57" i="379"/>
  <c r="P57" i="379" s="1"/>
  <c r="AJ56" i="379"/>
  <c r="T56" i="379"/>
  <c r="S56" i="379"/>
  <c r="R56" i="379"/>
  <c r="G56" i="379"/>
  <c r="Q56" i="379" s="1"/>
  <c r="B56" i="379"/>
  <c r="P56" i="379" s="1"/>
  <c r="AJ55" i="379"/>
  <c r="T55" i="379"/>
  <c r="S55" i="379"/>
  <c r="R55" i="379"/>
  <c r="G55" i="379"/>
  <c r="Q55" i="379" s="1"/>
  <c r="B55" i="379"/>
  <c r="P55" i="379" s="1"/>
  <c r="AJ54" i="379"/>
  <c r="T54" i="379"/>
  <c r="S54" i="379"/>
  <c r="R54" i="379"/>
  <c r="G54" i="379"/>
  <c r="Q54" i="379" s="1"/>
  <c r="B54" i="379"/>
  <c r="P54" i="379" s="1"/>
  <c r="AJ53" i="379"/>
  <c r="T53" i="379"/>
  <c r="S53" i="379"/>
  <c r="R53" i="379"/>
  <c r="G53" i="379"/>
  <c r="Q53" i="379" s="1"/>
  <c r="B53" i="379"/>
  <c r="P53" i="379" s="1"/>
  <c r="AJ52" i="379"/>
  <c r="T52" i="379"/>
  <c r="S52" i="379"/>
  <c r="R52" i="379"/>
  <c r="G52" i="379"/>
  <c r="Q52" i="379" s="1"/>
  <c r="B52" i="379"/>
  <c r="P52" i="379" s="1"/>
  <c r="AJ51" i="379"/>
  <c r="T51" i="379"/>
  <c r="S51" i="379"/>
  <c r="R51" i="379"/>
  <c r="G51" i="379"/>
  <c r="Q51" i="379" s="1"/>
  <c r="B51" i="379"/>
  <c r="P51" i="379" s="1"/>
  <c r="AJ50" i="379"/>
  <c r="T50" i="379"/>
  <c r="S50" i="379"/>
  <c r="R50" i="379"/>
  <c r="G50" i="379"/>
  <c r="Q50" i="379" s="1"/>
  <c r="B50" i="379"/>
  <c r="P50" i="379" s="1"/>
  <c r="AJ49" i="379"/>
  <c r="T49" i="379"/>
  <c r="S49" i="379"/>
  <c r="R49" i="379"/>
  <c r="G49" i="379"/>
  <c r="Q49" i="379" s="1"/>
  <c r="B49" i="379"/>
  <c r="P49" i="379" s="1"/>
  <c r="AJ48" i="379"/>
  <c r="T48" i="379"/>
  <c r="S48" i="379"/>
  <c r="R48" i="379"/>
  <c r="G48" i="379"/>
  <c r="Q48" i="379" s="1"/>
  <c r="B48" i="379"/>
  <c r="P48" i="379" s="1"/>
  <c r="AJ47" i="379"/>
  <c r="T47" i="379"/>
  <c r="S47" i="379"/>
  <c r="R47" i="379"/>
  <c r="G47" i="379"/>
  <c r="Q47" i="379" s="1"/>
  <c r="B47" i="379"/>
  <c r="P47" i="379" s="1"/>
  <c r="AJ46" i="379"/>
  <c r="T46" i="379"/>
  <c r="S46" i="379"/>
  <c r="R46" i="379"/>
  <c r="G46" i="379"/>
  <c r="Q46" i="379" s="1"/>
  <c r="B46" i="379"/>
  <c r="P46" i="379" s="1"/>
  <c r="AJ45" i="379"/>
  <c r="T45" i="379"/>
  <c r="S45" i="379"/>
  <c r="R45" i="379"/>
  <c r="G45" i="379"/>
  <c r="Q45" i="379" s="1"/>
  <c r="B45" i="379"/>
  <c r="P45" i="379" s="1"/>
  <c r="AJ44" i="379"/>
  <c r="T44" i="379"/>
  <c r="S44" i="379"/>
  <c r="R44" i="379"/>
  <c r="G44" i="379"/>
  <c r="Q44" i="379" s="1"/>
  <c r="B44" i="379"/>
  <c r="P44" i="379" s="1"/>
  <c r="AJ43" i="379"/>
  <c r="T43" i="379"/>
  <c r="S43" i="379"/>
  <c r="R43" i="379"/>
  <c r="G43" i="379"/>
  <c r="Q43" i="379" s="1"/>
  <c r="B43" i="379"/>
  <c r="P43" i="379" s="1"/>
  <c r="AJ42" i="379"/>
  <c r="T42" i="379"/>
  <c r="S42" i="379"/>
  <c r="R42" i="379"/>
  <c r="G42" i="379"/>
  <c r="Q42" i="379" s="1"/>
  <c r="B42" i="379"/>
  <c r="P42" i="379" s="1"/>
  <c r="AJ41" i="379"/>
  <c r="T41" i="379"/>
  <c r="S41" i="379"/>
  <c r="R41" i="379"/>
  <c r="G41" i="379"/>
  <c r="Q41" i="379" s="1"/>
  <c r="B41" i="379"/>
  <c r="P41" i="379" s="1"/>
  <c r="AJ40" i="379"/>
  <c r="T40" i="379"/>
  <c r="S40" i="379"/>
  <c r="R40" i="379"/>
  <c r="G40" i="379"/>
  <c r="Q40" i="379" s="1"/>
  <c r="B40" i="379"/>
  <c r="P40" i="379" s="1"/>
  <c r="AJ39" i="379"/>
  <c r="T39" i="379"/>
  <c r="S39" i="379"/>
  <c r="R39" i="379"/>
  <c r="G39" i="379"/>
  <c r="Q39" i="379" s="1"/>
  <c r="B39" i="379"/>
  <c r="P39" i="379" s="1"/>
  <c r="AJ38" i="379"/>
  <c r="T38" i="379"/>
  <c r="S38" i="379"/>
  <c r="R38" i="379"/>
  <c r="G38" i="379"/>
  <c r="Q38" i="379" s="1"/>
  <c r="B38" i="379"/>
  <c r="P38" i="379" s="1"/>
  <c r="AJ37" i="379"/>
  <c r="T37" i="379"/>
  <c r="S37" i="379"/>
  <c r="R37" i="379"/>
  <c r="G37" i="379"/>
  <c r="Q37" i="379" s="1"/>
  <c r="B37" i="379"/>
  <c r="P37" i="379" s="1"/>
  <c r="AJ36" i="379"/>
  <c r="T36" i="379"/>
  <c r="S36" i="379"/>
  <c r="R36" i="379"/>
  <c r="G36" i="379"/>
  <c r="Q36" i="379" s="1"/>
  <c r="B36" i="379"/>
  <c r="P36" i="379" s="1"/>
  <c r="AJ35" i="379"/>
  <c r="T35" i="379"/>
  <c r="S35" i="379"/>
  <c r="R35" i="379"/>
  <c r="G35" i="379"/>
  <c r="Q35" i="379" s="1"/>
  <c r="B35" i="379"/>
  <c r="P35" i="379" s="1"/>
  <c r="AJ34" i="379"/>
  <c r="T34" i="379"/>
  <c r="S34" i="379"/>
  <c r="R34" i="379"/>
  <c r="G34" i="379"/>
  <c r="Q34" i="379" s="1"/>
  <c r="B34" i="379"/>
  <c r="P34" i="379" s="1"/>
  <c r="AJ33" i="379"/>
  <c r="T33" i="379"/>
  <c r="S33" i="379"/>
  <c r="R33" i="379"/>
  <c r="G33" i="379"/>
  <c r="Q33" i="379" s="1"/>
  <c r="B33" i="379"/>
  <c r="P33" i="379" s="1"/>
  <c r="AJ32" i="379"/>
  <c r="T32" i="379"/>
  <c r="S32" i="379"/>
  <c r="R32" i="379"/>
  <c r="G32" i="379"/>
  <c r="Q32" i="379" s="1"/>
  <c r="B32" i="379"/>
  <c r="P32" i="379" s="1"/>
  <c r="AJ31" i="379"/>
  <c r="T31" i="379"/>
  <c r="S31" i="379"/>
  <c r="R31" i="379"/>
  <c r="G31" i="379"/>
  <c r="Q31" i="379" s="1"/>
  <c r="B31" i="379"/>
  <c r="P31" i="379" s="1"/>
  <c r="AJ30" i="379"/>
  <c r="T30" i="379"/>
  <c r="S30" i="379"/>
  <c r="R30" i="379"/>
  <c r="G30" i="379"/>
  <c r="Q30" i="379" s="1"/>
  <c r="B30" i="379"/>
  <c r="P30" i="379" s="1"/>
  <c r="AJ29" i="379"/>
  <c r="T29" i="379"/>
  <c r="S29" i="379"/>
  <c r="R29" i="379"/>
  <c r="G29" i="379"/>
  <c r="Q29" i="379" s="1"/>
  <c r="B29" i="379"/>
  <c r="P29" i="379" s="1"/>
  <c r="AJ28" i="379"/>
  <c r="T28" i="379"/>
  <c r="S28" i="379"/>
  <c r="R28" i="379"/>
  <c r="G28" i="379"/>
  <c r="Q28" i="379" s="1"/>
  <c r="B28" i="379"/>
  <c r="P28" i="379" s="1"/>
  <c r="AJ27" i="379"/>
  <c r="T27" i="379"/>
  <c r="S27" i="379"/>
  <c r="R27" i="379"/>
  <c r="G27" i="379"/>
  <c r="Q27" i="379" s="1"/>
  <c r="B27" i="379"/>
  <c r="P27" i="379" s="1"/>
  <c r="AJ26" i="379"/>
  <c r="T26" i="379"/>
  <c r="S26" i="379"/>
  <c r="R26" i="379"/>
  <c r="G26" i="379"/>
  <c r="Q26" i="379" s="1"/>
  <c r="B26" i="379"/>
  <c r="P26" i="379" s="1"/>
  <c r="AJ25" i="379"/>
  <c r="T25" i="379"/>
  <c r="S25" i="379"/>
  <c r="R25" i="379"/>
  <c r="G25" i="379"/>
  <c r="Q25" i="379" s="1"/>
  <c r="B25" i="379"/>
  <c r="P25" i="379" s="1"/>
  <c r="AJ24" i="379"/>
  <c r="T24" i="379"/>
  <c r="S24" i="379"/>
  <c r="R24" i="379"/>
  <c r="G24" i="379"/>
  <c r="Q24" i="379" s="1"/>
  <c r="B24" i="379"/>
  <c r="P24" i="379" s="1"/>
  <c r="AJ23" i="379"/>
  <c r="T23" i="379"/>
  <c r="S23" i="379"/>
  <c r="R23" i="379"/>
  <c r="G23" i="379"/>
  <c r="Q23" i="379" s="1"/>
  <c r="B23" i="379"/>
  <c r="P23" i="379" s="1"/>
  <c r="AJ22" i="379"/>
  <c r="T22" i="379"/>
  <c r="S22" i="379"/>
  <c r="R22" i="379"/>
  <c r="G22" i="379"/>
  <c r="Q22" i="379" s="1"/>
  <c r="B22" i="379"/>
  <c r="P22" i="379" s="1"/>
  <c r="AJ21" i="379"/>
  <c r="T21" i="379"/>
  <c r="S21" i="379"/>
  <c r="R21" i="379"/>
  <c r="G21" i="379"/>
  <c r="Q21" i="379" s="1"/>
  <c r="B21" i="379"/>
  <c r="P21" i="379" s="1"/>
  <c r="AJ20" i="379"/>
  <c r="T20" i="379"/>
  <c r="S20" i="379"/>
  <c r="R20" i="379"/>
  <c r="G20" i="379"/>
  <c r="Q20" i="379" s="1"/>
  <c r="B20" i="379"/>
  <c r="P20" i="379" s="1"/>
  <c r="AJ19" i="379"/>
  <c r="T19" i="379"/>
  <c r="S19" i="379"/>
  <c r="R19" i="379"/>
  <c r="G19" i="379"/>
  <c r="Q19" i="379" s="1"/>
  <c r="B19" i="379"/>
  <c r="P19" i="379" s="1"/>
  <c r="AJ18" i="379"/>
  <c r="T18" i="379"/>
  <c r="S18" i="379"/>
  <c r="R18" i="379"/>
  <c r="G18" i="379"/>
  <c r="Q18" i="379" s="1"/>
  <c r="B18" i="379"/>
  <c r="P18" i="379" s="1"/>
  <c r="AJ17" i="379"/>
  <c r="T17" i="379"/>
  <c r="S17" i="379"/>
  <c r="G17" i="379"/>
  <c r="R17" i="379" s="1"/>
  <c r="B17" i="379"/>
  <c r="P17" i="379" s="1"/>
  <c r="AJ16" i="379"/>
  <c r="T16" i="379"/>
  <c r="S16" i="379"/>
  <c r="R16" i="379"/>
  <c r="G16" i="379"/>
  <c r="Q16" i="379" s="1"/>
  <c r="B16" i="379"/>
  <c r="P16" i="379" s="1"/>
  <c r="AJ15" i="379"/>
  <c r="T15" i="379"/>
  <c r="S15" i="379"/>
  <c r="R15" i="379"/>
  <c r="G15" i="379"/>
  <c r="Q15" i="379" s="1"/>
  <c r="B15" i="379"/>
  <c r="P15" i="379" s="1"/>
  <c r="AJ14" i="379"/>
  <c r="T14" i="379"/>
  <c r="S14" i="379"/>
  <c r="R14" i="379"/>
  <c r="G14" i="379"/>
  <c r="Q14" i="379" s="1"/>
  <c r="B14" i="379"/>
  <c r="P14" i="379" s="1"/>
  <c r="AJ13" i="379"/>
  <c r="T13" i="379"/>
  <c r="S13" i="379"/>
  <c r="R13" i="379"/>
  <c r="G13" i="379"/>
  <c r="Q13" i="379" s="1"/>
  <c r="B13" i="379"/>
  <c r="P13" i="379" s="1"/>
  <c r="BK166" i="25"/>
  <c r="B166" i="25"/>
  <c r="A166" i="25"/>
  <c r="E490" i="178"/>
  <c r="T487" i="178"/>
  <c r="R487" i="178"/>
  <c r="C485" i="178" s="1"/>
  <c r="W485" i="178" s="1"/>
  <c r="E487" i="178"/>
  <c r="W483" i="178"/>
  <c r="E478" i="178"/>
  <c r="T475" i="178"/>
  <c r="R475" i="178"/>
  <c r="C472" i="178" s="1"/>
  <c r="W472" i="178" s="1"/>
  <c r="E475" i="178"/>
  <c r="W471" i="178"/>
  <c r="E466" i="178"/>
  <c r="T463" i="178"/>
  <c r="R463" i="178"/>
  <c r="C460" i="178" s="1"/>
  <c r="W460" i="178" s="1"/>
  <c r="E463" i="178"/>
  <c r="W459" i="178"/>
  <c r="E454" i="178"/>
  <c r="T451" i="178"/>
  <c r="R451" i="178"/>
  <c r="C449" i="178" s="1"/>
  <c r="W449" i="178" s="1"/>
  <c r="E451" i="178"/>
  <c r="W447" i="178"/>
  <c r="E34" i="178"/>
  <c r="T31" i="178"/>
  <c r="R31" i="178"/>
  <c r="C29" i="178" s="1"/>
  <c r="W29" i="178" s="1"/>
  <c r="E31" i="178"/>
  <c r="W27" i="178"/>
  <c r="T76" i="177"/>
  <c r="T66" i="177"/>
  <c r="AM201" i="25"/>
  <c r="AM166" i="25"/>
  <c r="AM202" i="25"/>
  <c r="AM203" i="25"/>
  <c r="AM204" i="25"/>
  <c r="R17" i="383" l="1"/>
  <c r="Q17" i="379"/>
  <c r="Q17" i="382"/>
  <c r="Q17" i="381"/>
  <c r="Q17" i="380"/>
  <c r="C484" i="178"/>
  <c r="W484" i="178" s="1"/>
  <c r="C473" i="178"/>
  <c r="W473" i="178" s="1"/>
  <c r="C461" i="178"/>
  <c r="W461" i="178" s="1"/>
  <c r="C448" i="178"/>
  <c r="W448" i="178" s="1"/>
  <c r="C28" i="178"/>
  <c r="W28" i="178" s="1"/>
  <c r="C74" i="177"/>
  <c r="C73" i="177"/>
  <c r="C64" i="177"/>
  <c r="C63" i="177"/>
  <c r="T56" i="177"/>
  <c r="T46" i="177"/>
  <c r="C54" i="177"/>
  <c r="C53" i="177"/>
  <c r="C44" i="177"/>
  <c r="C43" i="177"/>
  <c r="T34" i="177"/>
  <c r="E37" i="177"/>
  <c r="E34" i="177"/>
  <c r="C32" i="177"/>
  <c r="W32" i="177" s="1"/>
  <c r="C31" i="177"/>
  <c r="W31" i="177" s="1"/>
  <c r="W30" i="177"/>
  <c r="C23" i="177"/>
  <c r="C22" i="177"/>
  <c r="C5" i="177"/>
  <c r="J7" i="177"/>
  <c r="E10" i="177"/>
  <c r="D9" i="378"/>
  <c r="D9" i="377"/>
  <c r="D9" i="374"/>
  <c r="AJ17" i="378" l="1"/>
  <c r="T17" i="378"/>
  <c r="S17" i="378"/>
  <c r="R17" i="378"/>
  <c r="G17" i="378"/>
  <c r="Q17" i="378" s="1"/>
  <c r="B17" i="378"/>
  <c r="P17" i="378" s="1"/>
  <c r="AJ16" i="378"/>
  <c r="T16" i="378"/>
  <c r="S16" i="378"/>
  <c r="R16" i="378"/>
  <c r="G16" i="378"/>
  <c r="Q16" i="378" s="1"/>
  <c r="B16" i="378"/>
  <c r="P16" i="378" s="1"/>
  <c r="AJ19" i="378"/>
  <c r="T19" i="378"/>
  <c r="S19" i="378"/>
  <c r="R19" i="378"/>
  <c r="G19" i="378"/>
  <c r="Q19" i="378" s="1"/>
  <c r="B19" i="378"/>
  <c r="P19" i="378" s="1"/>
  <c r="AJ18" i="378"/>
  <c r="T18" i="378"/>
  <c r="S18" i="378"/>
  <c r="R18" i="378"/>
  <c r="G18" i="378"/>
  <c r="Q18" i="378" s="1"/>
  <c r="B18" i="378"/>
  <c r="P18" i="378" s="1"/>
  <c r="AJ15" i="378"/>
  <c r="T15" i="378"/>
  <c r="S15" i="378"/>
  <c r="R15" i="378"/>
  <c r="G15" i="378"/>
  <c r="Q15" i="378" s="1"/>
  <c r="B15" i="378"/>
  <c r="P15" i="378" s="1"/>
  <c r="AJ14" i="378"/>
  <c r="T14" i="378"/>
  <c r="S14" i="378"/>
  <c r="R14" i="378"/>
  <c r="G14" i="378"/>
  <c r="Q14" i="378" s="1"/>
  <c r="B14" i="378"/>
  <c r="P14" i="378" s="1"/>
  <c r="AJ13" i="378"/>
  <c r="T13" i="378"/>
  <c r="S13" i="378"/>
  <c r="R13" i="378"/>
  <c r="G13" i="378"/>
  <c r="Q13" i="378" s="1"/>
  <c r="B13" i="378"/>
  <c r="P13" i="378" s="1"/>
  <c r="AJ15" i="377"/>
  <c r="T15" i="377"/>
  <c r="S15" i="377"/>
  <c r="R15" i="377"/>
  <c r="G15" i="377"/>
  <c r="Q15" i="377" s="1"/>
  <c r="B15" i="377"/>
  <c r="P15" i="377" s="1"/>
  <c r="AJ14" i="377"/>
  <c r="T14" i="377"/>
  <c r="S14" i="377"/>
  <c r="R14" i="377"/>
  <c r="G14" i="377"/>
  <c r="Q14" i="377" s="1"/>
  <c r="B14" i="377"/>
  <c r="P14" i="377" s="1"/>
  <c r="AJ17" i="377"/>
  <c r="T17" i="377"/>
  <c r="S17" i="377"/>
  <c r="R17" i="377"/>
  <c r="G17" i="377"/>
  <c r="Q17" i="377" s="1"/>
  <c r="B17" i="377"/>
  <c r="P17" i="377" s="1"/>
  <c r="AJ16" i="377"/>
  <c r="T16" i="377"/>
  <c r="S16" i="377"/>
  <c r="R16" i="377"/>
  <c r="G16" i="377"/>
  <c r="Q16" i="377" s="1"/>
  <c r="B16" i="377"/>
  <c r="P16" i="377" s="1"/>
  <c r="AJ13" i="377"/>
  <c r="T13" i="377"/>
  <c r="S13" i="377"/>
  <c r="R13" i="377"/>
  <c r="G13" i="377"/>
  <c r="Q13" i="377" s="1"/>
  <c r="B13" i="377"/>
  <c r="P13" i="377" s="1"/>
  <c r="AJ15" i="374"/>
  <c r="T15" i="374"/>
  <c r="S15" i="374"/>
  <c r="R15" i="374"/>
  <c r="G15" i="374"/>
  <c r="Q15" i="374" s="1"/>
  <c r="B15" i="374"/>
  <c r="P15" i="374" s="1"/>
  <c r="AJ14" i="374"/>
  <c r="T14" i="374"/>
  <c r="S14" i="374"/>
  <c r="R14" i="374"/>
  <c r="G14" i="374"/>
  <c r="Q14" i="374" s="1"/>
  <c r="B14" i="374"/>
  <c r="P14" i="374" s="1"/>
  <c r="AJ13" i="374"/>
  <c r="T13" i="374"/>
  <c r="S13" i="374"/>
  <c r="R13" i="374"/>
  <c r="G13" i="374"/>
  <c r="Q13" i="374" s="1"/>
  <c r="B13" i="374"/>
  <c r="P13" i="374" s="1"/>
  <c r="D9" i="191"/>
  <c r="AJ17" i="373" l="1"/>
  <c r="T17" i="373"/>
  <c r="S17" i="373"/>
  <c r="R17" i="373"/>
  <c r="G17" i="373"/>
  <c r="Q17" i="373" s="1"/>
  <c r="B17" i="373"/>
  <c r="P17" i="373" s="1"/>
  <c r="AJ16" i="373"/>
  <c r="T16" i="373"/>
  <c r="S16" i="373"/>
  <c r="R16" i="373"/>
  <c r="G16" i="373"/>
  <c r="Q16" i="373" s="1"/>
  <c r="B16" i="373"/>
  <c r="P16" i="373" s="1"/>
  <c r="AJ15" i="373"/>
  <c r="T15" i="373"/>
  <c r="S15" i="373"/>
  <c r="R15" i="373"/>
  <c r="G15" i="373"/>
  <c r="Q15" i="373" s="1"/>
  <c r="B15" i="373"/>
  <c r="P15" i="373" s="1"/>
  <c r="AJ14" i="373"/>
  <c r="T14" i="373"/>
  <c r="S14" i="373"/>
  <c r="R14" i="373"/>
  <c r="G14" i="373"/>
  <c r="Q14" i="373" s="1"/>
  <c r="B14" i="373"/>
  <c r="P14" i="373" s="1"/>
  <c r="AJ13" i="373"/>
  <c r="T13" i="373"/>
  <c r="S13" i="373"/>
  <c r="R13" i="373"/>
  <c r="G13" i="373"/>
  <c r="Q13" i="373" s="1"/>
  <c r="B13" i="373"/>
  <c r="P13" i="373" s="1"/>
  <c r="AJ17" i="372"/>
  <c r="T17" i="372"/>
  <c r="S17" i="372"/>
  <c r="R17" i="372"/>
  <c r="G17" i="372"/>
  <c r="Q17" i="372" s="1"/>
  <c r="B17" i="372"/>
  <c r="P17" i="372" s="1"/>
  <c r="AJ16" i="372"/>
  <c r="T16" i="372"/>
  <c r="S16" i="372"/>
  <c r="R16" i="372"/>
  <c r="G16" i="372"/>
  <c r="Q16" i="372" s="1"/>
  <c r="B16" i="372"/>
  <c r="P16" i="372" s="1"/>
  <c r="AJ15" i="372"/>
  <c r="T15" i="372"/>
  <c r="S15" i="372"/>
  <c r="R15" i="372"/>
  <c r="G15" i="372"/>
  <c r="Q15" i="372" s="1"/>
  <c r="B15" i="372"/>
  <c r="P15" i="372" s="1"/>
  <c r="AJ19" i="372"/>
  <c r="T19" i="372"/>
  <c r="S19" i="372"/>
  <c r="R19" i="372"/>
  <c r="G19" i="372"/>
  <c r="Q19" i="372" s="1"/>
  <c r="B19" i="372"/>
  <c r="P19" i="372" s="1"/>
  <c r="AJ18" i="372"/>
  <c r="T18" i="372"/>
  <c r="S18" i="372"/>
  <c r="R18" i="372"/>
  <c r="G18" i="372"/>
  <c r="Q18" i="372" s="1"/>
  <c r="B18" i="372"/>
  <c r="P18" i="372" s="1"/>
  <c r="AJ14" i="372"/>
  <c r="T14" i="372"/>
  <c r="S14" i="372"/>
  <c r="R14" i="372"/>
  <c r="G14" i="372"/>
  <c r="Q14" i="372" s="1"/>
  <c r="B14" i="372"/>
  <c r="P14" i="372" s="1"/>
  <c r="AJ13" i="372"/>
  <c r="T13" i="372"/>
  <c r="S13" i="372"/>
  <c r="R13" i="372"/>
  <c r="G13" i="372"/>
  <c r="Q13" i="372" s="1"/>
  <c r="B13" i="372"/>
  <c r="P13" i="372" s="1"/>
  <c r="AJ14" i="190"/>
  <c r="T14" i="190"/>
  <c r="S14" i="190"/>
  <c r="R14" i="190"/>
  <c r="G14" i="190"/>
  <c r="Q14" i="190" s="1"/>
  <c r="B14" i="190"/>
  <c r="P14" i="190" s="1"/>
  <c r="O162" i="25"/>
  <c r="A162" i="25"/>
  <c r="O161" i="25"/>
  <c r="A161" i="25"/>
  <c r="B160" i="25"/>
  <c r="O160" i="25" s="1"/>
  <c r="BK160" i="25" s="1"/>
  <c r="A160" i="25"/>
  <c r="AM160" i="25"/>
  <c r="AM162" i="25"/>
  <c r="AM161" i="25"/>
  <c r="BK162" i="25" l="1"/>
  <c r="BK161" i="25"/>
  <c r="AJ16" i="371"/>
  <c r="T16" i="371"/>
  <c r="S16" i="371"/>
  <c r="R16" i="371"/>
  <c r="G16" i="371"/>
  <c r="Q16" i="371" s="1"/>
  <c r="B16" i="371"/>
  <c r="P16" i="371" s="1"/>
  <c r="AJ15" i="371"/>
  <c r="T15" i="371"/>
  <c r="S15" i="371"/>
  <c r="R15" i="371"/>
  <c r="G15" i="371"/>
  <c r="Q15" i="371" s="1"/>
  <c r="B15" i="371"/>
  <c r="P15" i="371" s="1"/>
  <c r="AJ14" i="371"/>
  <c r="T14" i="371"/>
  <c r="S14" i="371"/>
  <c r="R14" i="371"/>
  <c r="G14" i="371"/>
  <c r="Q14" i="371" s="1"/>
  <c r="B14" i="371"/>
  <c r="P14" i="371" s="1"/>
  <c r="AJ13" i="371"/>
  <c r="T13" i="371"/>
  <c r="S13" i="371"/>
  <c r="R13" i="371"/>
  <c r="G13" i="371"/>
  <c r="Q13" i="371" s="1"/>
  <c r="B13" i="371"/>
  <c r="P13" i="371" s="1"/>
  <c r="B155" i="25"/>
  <c r="O155" i="25" s="1"/>
  <c r="BK155" i="25" s="1"/>
  <c r="A155" i="25"/>
  <c r="AM155" i="25"/>
  <c r="AJ18" i="358" l="1"/>
  <c r="AJ17" i="358"/>
  <c r="AJ16" i="358"/>
  <c r="AJ15" i="358"/>
  <c r="AJ14" i="358"/>
  <c r="AJ13" i="358"/>
  <c r="AJ16" i="189"/>
  <c r="AJ15" i="189"/>
  <c r="AJ14" i="189"/>
  <c r="AJ13" i="189"/>
  <c r="G13" i="332" l="1"/>
  <c r="AJ24" i="370" l="1"/>
  <c r="T24" i="370"/>
  <c r="S24" i="370"/>
  <c r="R24" i="370"/>
  <c r="G24" i="370"/>
  <c r="Q24" i="370" s="1"/>
  <c r="B24" i="370"/>
  <c r="P24" i="370" s="1"/>
  <c r="AJ23" i="370"/>
  <c r="T23" i="370"/>
  <c r="S23" i="370"/>
  <c r="R23" i="370"/>
  <c r="G23" i="370"/>
  <c r="Q23" i="370" s="1"/>
  <c r="B23" i="370"/>
  <c r="P23" i="370" s="1"/>
  <c r="AJ22" i="370"/>
  <c r="T22" i="370"/>
  <c r="S22" i="370"/>
  <c r="R22" i="370"/>
  <c r="G22" i="370"/>
  <c r="Q22" i="370" s="1"/>
  <c r="B22" i="370"/>
  <c r="P22" i="370" s="1"/>
  <c r="AJ21" i="370"/>
  <c r="T21" i="370"/>
  <c r="S21" i="370"/>
  <c r="R21" i="370"/>
  <c r="G21" i="370"/>
  <c r="Q21" i="370" s="1"/>
  <c r="B21" i="370"/>
  <c r="P21" i="370" s="1"/>
  <c r="AJ20" i="370"/>
  <c r="T20" i="370"/>
  <c r="S20" i="370"/>
  <c r="R20" i="370"/>
  <c r="G20" i="370"/>
  <c r="Q20" i="370" s="1"/>
  <c r="B20" i="370"/>
  <c r="P20" i="370" s="1"/>
  <c r="AJ19" i="370"/>
  <c r="T19" i="370"/>
  <c r="S19" i="370"/>
  <c r="R19" i="370"/>
  <c r="G19" i="370"/>
  <c r="Q19" i="370" s="1"/>
  <c r="B19" i="370"/>
  <c r="P19" i="370" s="1"/>
  <c r="AJ18" i="370"/>
  <c r="T18" i="370"/>
  <c r="S18" i="370"/>
  <c r="R18" i="370"/>
  <c r="G18" i="370"/>
  <c r="Q18" i="370" s="1"/>
  <c r="B18" i="370"/>
  <c r="P18" i="370" s="1"/>
  <c r="AJ17" i="370"/>
  <c r="T17" i="370"/>
  <c r="S17" i="370"/>
  <c r="R17" i="370"/>
  <c r="G17" i="370"/>
  <c r="Q17" i="370" s="1"/>
  <c r="B17" i="370"/>
  <c r="P17" i="370" s="1"/>
  <c r="AJ16" i="370"/>
  <c r="T16" i="370"/>
  <c r="S16" i="370"/>
  <c r="R16" i="370"/>
  <c r="G16" i="370"/>
  <c r="Q16" i="370" s="1"/>
  <c r="B16" i="370"/>
  <c r="P16" i="370" s="1"/>
  <c r="AJ15" i="370"/>
  <c r="T15" i="370"/>
  <c r="S15" i="370"/>
  <c r="R15" i="370"/>
  <c r="G15" i="370"/>
  <c r="Q15" i="370" s="1"/>
  <c r="B15" i="370"/>
  <c r="P15" i="370" s="1"/>
  <c r="AJ14" i="370"/>
  <c r="T14" i="370"/>
  <c r="S14" i="370"/>
  <c r="R14" i="370"/>
  <c r="G14" i="370"/>
  <c r="Q14" i="370" s="1"/>
  <c r="B14" i="370"/>
  <c r="P14" i="370" s="1"/>
  <c r="AJ13" i="370"/>
  <c r="T13" i="370"/>
  <c r="S13" i="370"/>
  <c r="R13" i="370"/>
  <c r="G13" i="370"/>
  <c r="Q13" i="370" s="1"/>
  <c r="B13" i="370"/>
  <c r="P13" i="370" s="1"/>
  <c r="D9" i="370"/>
  <c r="AJ41" i="369"/>
  <c r="T41" i="369"/>
  <c r="S41" i="369"/>
  <c r="R41" i="369"/>
  <c r="G41" i="369"/>
  <c r="Q41" i="369" s="1"/>
  <c r="B41" i="369"/>
  <c r="P41" i="369" s="1"/>
  <c r="AJ40" i="369"/>
  <c r="T40" i="369"/>
  <c r="S40" i="369"/>
  <c r="R40" i="369"/>
  <c r="G40" i="369"/>
  <c r="Q40" i="369" s="1"/>
  <c r="B40" i="369"/>
  <c r="P40" i="369" s="1"/>
  <c r="AJ39" i="369"/>
  <c r="T39" i="369"/>
  <c r="S39" i="369"/>
  <c r="R39" i="369"/>
  <c r="G39" i="369"/>
  <c r="Q39" i="369" s="1"/>
  <c r="B39" i="369"/>
  <c r="P39" i="369" s="1"/>
  <c r="AJ38" i="369"/>
  <c r="T38" i="369"/>
  <c r="S38" i="369"/>
  <c r="R38" i="369"/>
  <c r="G38" i="369"/>
  <c r="Q38" i="369" s="1"/>
  <c r="B38" i="369"/>
  <c r="P38" i="369" s="1"/>
  <c r="AJ37" i="369"/>
  <c r="T37" i="369"/>
  <c r="S37" i="369"/>
  <c r="R37" i="369"/>
  <c r="G37" i="369"/>
  <c r="Q37" i="369" s="1"/>
  <c r="B37" i="369"/>
  <c r="P37" i="369" s="1"/>
  <c r="AJ36" i="369"/>
  <c r="T36" i="369"/>
  <c r="S36" i="369"/>
  <c r="R36" i="369"/>
  <c r="G36" i="369"/>
  <c r="Q36" i="369" s="1"/>
  <c r="B36" i="369"/>
  <c r="P36" i="369" s="1"/>
  <c r="AJ35" i="369"/>
  <c r="T35" i="369"/>
  <c r="S35" i="369"/>
  <c r="R35" i="369"/>
  <c r="G35" i="369"/>
  <c r="Q35" i="369" s="1"/>
  <c r="B35" i="369"/>
  <c r="P35" i="369" s="1"/>
  <c r="AJ34" i="369"/>
  <c r="T34" i="369"/>
  <c r="S34" i="369"/>
  <c r="R34" i="369"/>
  <c r="G34" i="369"/>
  <c r="Q34" i="369" s="1"/>
  <c r="B34" i="369"/>
  <c r="P34" i="369" s="1"/>
  <c r="AJ33" i="369"/>
  <c r="T33" i="369"/>
  <c r="S33" i="369"/>
  <c r="R33" i="369"/>
  <c r="G33" i="369"/>
  <c r="Q33" i="369" s="1"/>
  <c r="B33" i="369"/>
  <c r="P33" i="369" s="1"/>
  <c r="AJ32" i="369"/>
  <c r="T32" i="369"/>
  <c r="S32" i="369"/>
  <c r="R32" i="369"/>
  <c r="G32" i="369"/>
  <c r="Q32" i="369" s="1"/>
  <c r="B32" i="369"/>
  <c r="P32" i="369" s="1"/>
  <c r="AJ31" i="369"/>
  <c r="T31" i="369"/>
  <c r="S31" i="369"/>
  <c r="R31" i="369"/>
  <c r="G31" i="369"/>
  <c r="Q31" i="369" s="1"/>
  <c r="B31" i="369"/>
  <c r="P31" i="369" s="1"/>
  <c r="AJ30" i="369"/>
  <c r="T30" i="369"/>
  <c r="S30" i="369"/>
  <c r="R30" i="369"/>
  <c r="G30" i="369"/>
  <c r="Q30" i="369" s="1"/>
  <c r="B30" i="369"/>
  <c r="P30" i="369" s="1"/>
  <c r="AJ29" i="369"/>
  <c r="T29" i="369"/>
  <c r="S29" i="369"/>
  <c r="R29" i="369"/>
  <c r="G29" i="369"/>
  <c r="Q29" i="369" s="1"/>
  <c r="B29" i="369"/>
  <c r="P29" i="369" s="1"/>
  <c r="AJ28" i="369"/>
  <c r="T28" i="369"/>
  <c r="S28" i="369"/>
  <c r="R28" i="369"/>
  <c r="G28" i="369"/>
  <c r="Q28" i="369" s="1"/>
  <c r="B28" i="369"/>
  <c r="P28" i="369" s="1"/>
  <c r="AJ27" i="369"/>
  <c r="T27" i="369"/>
  <c r="S27" i="369"/>
  <c r="R27" i="369"/>
  <c r="G27" i="369"/>
  <c r="Q27" i="369" s="1"/>
  <c r="B27" i="369"/>
  <c r="P27" i="369" s="1"/>
  <c r="AJ26" i="369"/>
  <c r="T26" i="369"/>
  <c r="S26" i="369"/>
  <c r="R26" i="369"/>
  <c r="G26" i="369"/>
  <c r="Q26" i="369" s="1"/>
  <c r="B26" i="369"/>
  <c r="P26" i="369" s="1"/>
  <c r="AJ25" i="369"/>
  <c r="T25" i="369"/>
  <c r="S25" i="369"/>
  <c r="R25" i="369"/>
  <c r="G25" i="369"/>
  <c r="Q25" i="369" s="1"/>
  <c r="B25" i="369"/>
  <c r="P25" i="369" s="1"/>
  <c r="AJ24" i="369"/>
  <c r="T24" i="369"/>
  <c r="S24" i="369"/>
  <c r="R24" i="369"/>
  <c r="G24" i="369"/>
  <c r="Q24" i="369" s="1"/>
  <c r="B24" i="369"/>
  <c r="P24" i="369" s="1"/>
  <c r="AJ23" i="369"/>
  <c r="T23" i="369"/>
  <c r="S23" i="369"/>
  <c r="R23" i="369"/>
  <c r="G23" i="369"/>
  <c r="Q23" i="369" s="1"/>
  <c r="B23" i="369"/>
  <c r="P23" i="369" s="1"/>
  <c r="AJ22" i="369"/>
  <c r="T22" i="369"/>
  <c r="S22" i="369"/>
  <c r="R22" i="369"/>
  <c r="G22" i="369"/>
  <c r="Q22" i="369" s="1"/>
  <c r="B22" i="369"/>
  <c r="P22" i="369" s="1"/>
  <c r="AJ21" i="369"/>
  <c r="T21" i="369"/>
  <c r="S21" i="369"/>
  <c r="R21" i="369"/>
  <c r="G21" i="369"/>
  <c r="Q21" i="369" s="1"/>
  <c r="B21" i="369"/>
  <c r="P21" i="369" s="1"/>
  <c r="AJ20" i="369"/>
  <c r="T20" i="369"/>
  <c r="S20" i="369"/>
  <c r="R20" i="369"/>
  <c r="G20" i="369"/>
  <c r="Q20" i="369" s="1"/>
  <c r="B20" i="369"/>
  <c r="P20" i="369" s="1"/>
  <c r="AJ19" i="369"/>
  <c r="T19" i="369"/>
  <c r="S19" i="369"/>
  <c r="R19" i="369"/>
  <c r="G19" i="369"/>
  <c r="Q19" i="369" s="1"/>
  <c r="B19" i="369"/>
  <c r="P19" i="369" s="1"/>
  <c r="AJ18" i="369"/>
  <c r="T18" i="369"/>
  <c r="S18" i="369"/>
  <c r="R18" i="369"/>
  <c r="G18" i="369"/>
  <c r="Q18" i="369" s="1"/>
  <c r="B18" i="369"/>
  <c r="P18" i="369" s="1"/>
  <c r="AJ17" i="369"/>
  <c r="T17" i="369"/>
  <c r="S17" i="369"/>
  <c r="R17" i="369"/>
  <c r="G17" i="369"/>
  <c r="Q17" i="369" s="1"/>
  <c r="B17" i="369"/>
  <c r="P17" i="369" s="1"/>
  <c r="AJ16" i="369"/>
  <c r="T16" i="369"/>
  <c r="S16" i="369"/>
  <c r="R16" i="369"/>
  <c r="G16" i="369"/>
  <c r="Q16" i="369" s="1"/>
  <c r="B16" i="369"/>
  <c r="P16" i="369" s="1"/>
  <c r="AJ15" i="369"/>
  <c r="T15" i="369"/>
  <c r="S15" i="369"/>
  <c r="R15" i="369"/>
  <c r="G15" i="369"/>
  <c r="Q15" i="369" s="1"/>
  <c r="B15" i="369"/>
  <c r="P15" i="369" s="1"/>
  <c r="AJ14" i="369"/>
  <c r="T14" i="369"/>
  <c r="S14" i="369"/>
  <c r="R14" i="369"/>
  <c r="G14" i="369"/>
  <c r="Q14" i="369" s="1"/>
  <c r="B14" i="369"/>
  <c r="P14" i="369" s="1"/>
  <c r="AJ13" i="369"/>
  <c r="T13" i="369"/>
  <c r="S13" i="369"/>
  <c r="R13" i="369"/>
  <c r="G13" i="369"/>
  <c r="Q13" i="369" s="1"/>
  <c r="B13" i="369"/>
  <c r="P13" i="369" s="1"/>
  <c r="D9" i="369"/>
  <c r="AJ23" i="368"/>
  <c r="T23" i="368"/>
  <c r="S23" i="368"/>
  <c r="R23" i="368"/>
  <c r="G23" i="368"/>
  <c r="Q23" i="368" s="1"/>
  <c r="B23" i="368"/>
  <c r="P23" i="368" s="1"/>
  <c r="AJ22" i="368"/>
  <c r="T22" i="368"/>
  <c r="S22" i="368"/>
  <c r="R22" i="368"/>
  <c r="G22" i="368"/>
  <c r="Q22" i="368" s="1"/>
  <c r="B22" i="368"/>
  <c r="P22" i="368" s="1"/>
  <c r="AJ21" i="368"/>
  <c r="T21" i="368"/>
  <c r="S21" i="368"/>
  <c r="R21" i="368"/>
  <c r="G21" i="368"/>
  <c r="Q21" i="368" s="1"/>
  <c r="B21" i="368"/>
  <c r="P21" i="368" s="1"/>
  <c r="AJ20" i="368"/>
  <c r="T20" i="368"/>
  <c r="S20" i="368"/>
  <c r="R20" i="368"/>
  <c r="G20" i="368"/>
  <c r="Q20" i="368" s="1"/>
  <c r="B20" i="368"/>
  <c r="P20" i="368" s="1"/>
  <c r="AJ19" i="368"/>
  <c r="T19" i="368"/>
  <c r="S19" i="368"/>
  <c r="R19" i="368"/>
  <c r="G19" i="368"/>
  <c r="Q19" i="368" s="1"/>
  <c r="B19" i="368"/>
  <c r="P19" i="368" s="1"/>
  <c r="AJ18" i="368"/>
  <c r="T18" i="368"/>
  <c r="S18" i="368"/>
  <c r="R18" i="368"/>
  <c r="G18" i="368"/>
  <c r="Q18" i="368" s="1"/>
  <c r="B18" i="368"/>
  <c r="P18" i="368" s="1"/>
  <c r="AJ17" i="368"/>
  <c r="T17" i="368"/>
  <c r="S17" i="368"/>
  <c r="R17" i="368"/>
  <c r="G17" i="368"/>
  <c r="Q17" i="368" s="1"/>
  <c r="B17" i="368"/>
  <c r="P17" i="368" s="1"/>
  <c r="AJ16" i="368"/>
  <c r="T16" i="368"/>
  <c r="S16" i="368"/>
  <c r="R16" i="368"/>
  <c r="G16" i="368"/>
  <c r="Q16" i="368" s="1"/>
  <c r="B16" i="368"/>
  <c r="P16" i="368" s="1"/>
  <c r="AJ15" i="368"/>
  <c r="T15" i="368"/>
  <c r="S15" i="368"/>
  <c r="R15" i="368"/>
  <c r="G15" i="368"/>
  <c r="Q15" i="368" s="1"/>
  <c r="B15" i="368"/>
  <c r="P15" i="368" s="1"/>
  <c r="AJ14" i="368"/>
  <c r="T14" i="368"/>
  <c r="S14" i="368"/>
  <c r="R14" i="368"/>
  <c r="G14" i="368"/>
  <c r="Q14" i="368" s="1"/>
  <c r="B14" i="368"/>
  <c r="P14" i="368" s="1"/>
  <c r="AJ13" i="368"/>
  <c r="T13" i="368"/>
  <c r="S13" i="368"/>
  <c r="R13" i="368"/>
  <c r="G13" i="368"/>
  <c r="Q13" i="368" s="1"/>
  <c r="B13" i="368"/>
  <c r="P13" i="368" s="1"/>
  <c r="D9" i="368"/>
  <c r="AJ22" i="367"/>
  <c r="T22" i="367"/>
  <c r="S22" i="367"/>
  <c r="R22" i="367"/>
  <c r="G22" i="367"/>
  <c r="Q22" i="367" s="1"/>
  <c r="B22" i="367"/>
  <c r="P22" i="367" s="1"/>
  <c r="AJ21" i="367"/>
  <c r="T21" i="367"/>
  <c r="S21" i="367"/>
  <c r="R21" i="367"/>
  <c r="G21" i="367"/>
  <c r="Q21" i="367" s="1"/>
  <c r="B21" i="367"/>
  <c r="P21" i="367" s="1"/>
  <c r="AJ20" i="367"/>
  <c r="T20" i="367"/>
  <c r="S20" i="367"/>
  <c r="R20" i="367"/>
  <c r="G20" i="367"/>
  <c r="Q20" i="367" s="1"/>
  <c r="B20" i="367"/>
  <c r="P20" i="367" s="1"/>
  <c r="AJ19" i="367"/>
  <c r="T19" i="367"/>
  <c r="S19" i="367"/>
  <c r="R19" i="367"/>
  <c r="G19" i="367"/>
  <c r="Q19" i="367" s="1"/>
  <c r="B19" i="367"/>
  <c r="P19" i="367" s="1"/>
  <c r="AJ18" i="367"/>
  <c r="T18" i="367"/>
  <c r="S18" i="367"/>
  <c r="R18" i="367"/>
  <c r="G18" i="367"/>
  <c r="Q18" i="367" s="1"/>
  <c r="B18" i="367"/>
  <c r="P18" i="367" s="1"/>
  <c r="AJ17" i="367"/>
  <c r="T17" i="367"/>
  <c r="S17" i="367"/>
  <c r="R17" i="367"/>
  <c r="G17" i="367"/>
  <c r="Q17" i="367" s="1"/>
  <c r="B17" i="367"/>
  <c r="P17" i="367" s="1"/>
  <c r="AJ16" i="367"/>
  <c r="T16" i="367"/>
  <c r="S16" i="367"/>
  <c r="R16" i="367"/>
  <c r="G16" i="367"/>
  <c r="Q16" i="367" s="1"/>
  <c r="B16" i="367"/>
  <c r="P16" i="367" s="1"/>
  <c r="AJ15" i="367"/>
  <c r="T15" i="367"/>
  <c r="S15" i="367"/>
  <c r="R15" i="367"/>
  <c r="G15" i="367"/>
  <c r="Q15" i="367" s="1"/>
  <c r="B15" i="367"/>
  <c r="P15" i="367" s="1"/>
  <c r="AJ14" i="367"/>
  <c r="T14" i="367"/>
  <c r="S14" i="367"/>
  <c r="R14" i="367"/>
  <c r="G14" i="367"/>
  <c r="Q14" i="367" s="1"/>
  <c r="B14" i="367"/>
  <c r="P14" i="367" s="1"/>
  <c r="AJ13" i="367"/>
  <c r="T13" i="367"/>
  <c r="S13" i="367"/>
  <c r="R13" i="367"/>
  <c r="G13" i="367"/>
  <c r="Q13" i="367" s="1"/>
  <c r="B13" i="367"/>
  <c r="P13" i="367" s="1"/>
  <c r="D9" i="367"/>
  <c r="AJ22" i="366"/>
  <c r="T22" i="366"/>
  <c r="S22" i="366"/>
  <c r="R22" i="366"/>
  <c r="G22" i="366"/>
  <c r="Q22" i="366" s="1"/>
  <c r="B22" i="366"/>
  <c r="P22" i="366" s="1"/>
  <c r="AJ21" i="366"/>
  <c r="T21" i="366"/>
  <c r="S21" i="366"/>
  <c r="R21" i="366"/>
  <c r="G21" i="366"/>
  <c r="Q21" i="366" s="1"/>
  <c r="B21" i="366"/>
  <c r="P21" i="366" s="1"/>
  <c r="AJ20" i="366"/>
  <c r="T20" i="366"/>
  <c r="S20" i="366"/>
  <c r="R20" i="366"/>
  <c r="G20" i="366"/>
  <c r="Q20" i="366" s="1"/>
  <c r="B20" i="366"/>
  <c r="P20" i="366" s="1"/>
  <c r="AJ19" i="366"/>
  <c r="T19" i="366"/>
  <c r="S19" i="366"/>
  <c r="R19" i="366"/>
  <c r="G19" i="366"/>
  <c r="Q19" i="366" s="1"/>
  <c r="B19" i="366"/>
  <c r="P19" i="366" s="1"/>
  <c r="AJ18" i="366"/>
  <c r="T18" i="366"/>
  <c r="S18" i="366"/>
  <c r="R18" i="366"/>
  <c r="G18" i="366"/>
  <c r="Q18" i="366" s="1"/>
  <c r="B18" i="366"/>
  <c r="P18" i="366" s="1"/>
  <c r="AJ17" i="366"/>
  <c r="T17" i="366"/>
  <c r="S17" i="366"/>
  <c r="R17" i="366"/>
  <c r="G17" i="366"/>
  <c r="Q17" i="366" s="1"/>
  <c r="B17" i="366"/>
  <c r="P17" i="366" s="1"/>
  <c r="AJ16" i="366"/>
  <c r="T16" i="366"/>
  <c r="S16" i="366"/>
  <c r="R16" i="366"/>
  <c r="G16" i="366"/>
  <c r="Q16" i="366" s="1"/>
  <c r="B16" i="366"/>
  <c r="P16" i="366" s="1"/>
  <c r="AJ15" i="366"/>
  <c r="T15" i="366"/>
  <c r="S15" i="366"/>
  <c r="R15" i="366"/>
  <c r="G15" i="366"/>
  <c r="Q15" i="366" s="1"/>
  <c r="B15" i="366"/>
  <c r="P15" i="366" s="1"/>
  <c r="AJ14" i="366"/>
  <c r="T14" i="366"/>
  <c r="S14" i="366"/>
  <c r="R14" i="366"/>
  <c r="G14" i="366"/>
  <c r="Q14" i="366" s="1"/>
  <c r="B14" i="366"/>
  <c r="P14" i="366" s="1"/>
  <c r="AJ13" i="366"/>
  <c r="T13" i="366"/>
  <c r="S13" i="366"/>
  <c r="R13" i="366"/>
  <c r="G13" i="366"/>
  <c r="Q13" i="366" s="1"/>
  <c r="B13" i="366"/>
  <c r="P13" i="366" s="1"/>
  <c r="D9" i="366"/>
  <c r="AJ46" i="365"/>
  <c r="T46" i="365"/>
  <c r="S46" i="365"/>
  <c r="R46" i="365"/>
  <c r="G46" i="365"/>
  <c r="Q46" i="365" s="1"/>
  <c r="B46" i="365"/>
  <c r="P46" i="365" s="1"/>
  <c r="AJ45" i="365"/>
  <c r="T45" i="365"/>
  <c r="S45" i="365"/>
  <c r="R45" i="365"/>
  <c r="G45" i="365"/>
  <c r="Q45" i="365" s="1"/>
  <c r="B45" i="365"/>
  <c r="P45" i="365" s="1"/>
  <c r="AJ44" i="365"/>
  <c r="T44" i="365"/>
  <c r="S44" i="365"/>
  <c r="R44" i="365"/>
  <c r="G44" i="365"/>
  <c r="Q44" i="365" s="1"/>
  <c r="B44" i="365"/>
  <c r="P44" i="365" s="1"/>
  <c r="AJ43" i="365"/>
  <c r="T43" i="365"/>
  <c r="S43" i="365"/>
  <c r="R43" i="365"/>
  <c r="G43" i="365"/>
  <c r="Q43" i="365" s="1"/>
  <c r="B43" i="365"/>
  <c r="P43" i="365" s="1"/>
  <c r="AJ42" i="365"/>
  <c r="T42" i="365"/>
  <c r="S42" i="365"/>
  <c r="R42" i="365"/>
  <c r="G42" i="365"/>
  <c r="Q42" i="365" s="1"/>
  <c r="B42" i="365"/>
  <c r="P42" i="365" s="1"/>
  <c r="AJ41" i="365"/>
  <c r="T41" i="365"/>
  <c r="S41" i="365"/>
  <c r="R41" i="365"/>
  <c r="G41" i="365"/>
  <c r="Q41" i="365" s="1"/>
  <c r="B41" i="365"/>
  <c r="P41" i="365" s="1"/>
  <c r="AJ40" i="365"/>
  <c r="T40" i="365"/>
  <c r="S40" i="365"/>
  <c r="R40" i="365"/>
  <c r="G40" i="365"/>
  <c r="Q40" i="365" s="1"/>
  <c r="B40" i="365"/>
  <c r="P40" i="365" s="1"/>
  <c r="AJ39" i="365"/>
  <c r="T39" i="365"/>
  <c r="S39" i="365"/>
  <c r="R39" i="365"/>
  <c r="G39" i="365"/>
  <c r="Q39" i="365" s="1"/>
  <c r="B39" i="365"/>
  <c r="P39" i="365" s="1"/>
  <c r="AJ38" i="365"/>
  <c r="T38" i="365"/>
  <c r="S38" i="365"/>
  <c r="R38" i="365"/>
  <c r="G38" i="365"/>
  <c r="Q38" i="365" s="1"/>
  <c r="B38" i="365"/>
  <c r="P38" i="365" s="1"/>
  <c r="AJ37" i="365"/>
  <c r="T37" i="365"/>
  <c r="S37" i="365"/>
  <c r="R37" i="365"/>
  <c r="G37" i="365"/>
  <c r="Q37" i="365" s="1"/>
  <c r="B37" i="365"/>
  <c r="P37" i="365" s="1"/>
  <c r="AJ36" i="365"/>
  <c r="T36" i="365"/>
  <c r="S36" i="365"/>
  <c r="R36" i="365"/>
  <c r="G36" i="365"/>
  <c r="Q36" i="365" s="1"/>
  <c r="B36" i="365"/>
  <c r="P36" i="365" s="1"/>
  <c r="AJ35" i="365"/>
  <c r="T35" i="365"/>
  <c r="S35" i="365"/>
  <c r="R35" i="365"/>
  <c r="G35" i="365"/>
  <c r="Q35" i="365" s="1"/>
  <c r="B35" i="365"/>
  <c r="P35" i="365" s="1"/>
  <c r="AJ34" i="365"/>
  <c r="T34" i="365"/>
  <c r="S34" i="365"/>
  <c r="R34" i="365"/>
  <c r="G34" i="365"/>
  <c r="Q34" i="365" s="1"/>
  <c r="B34" i="365"/>
  <c r="P34" i="365" s="1"/>
  <c r="AJ33" i="365"/>
  <c r="T33" i="365"/>
  <c r="S33" i="365"/>
  <c r="R33" i="365"/>
  <c r="G33" i="365"/>
  <c r="Q33" i="365" s="1"/>
  <c r="B33" i="365"/>
  <c r="P33" i="365" s="1"/>
  <c r="AJ32" i="365"/>
  <c r="T32" i="365"/>
  <c r="S32" i="365"/>
  <c r="R32" i="365"/>
  <c r="G32" i="365"/>
  <c r="Q32" i="365" s="1"/>
  <c r="B32" i="365"/>
  <c r="P32" i="365" s="1"/>
  <c r="AJ31" i="365"/>
  <c r="T31" i="365"/>
  <c r="S31" i="365"/>
  <c r="R31" i="365"/>
  <c r="G31" i="365"/>
  <c r="Q31" i="365" s="1"/>
  <c r="B31" i="365"/>
  <c r="P31" i="365" s="1"/>
  <c r="AJ30" i="365"/>
  <c r="T30" i="365"/>
  <c r="S30" i="365"/>
  <c r="R30" i="365"/>
  <c r="G30" i="365"/>
  <c r="Q30" i="365" s="1"/>
  <c r="B30" i="365"/>
  <c r="P30" i="365" s="1"/>
  <c r="AJ29" i="365"/>
  <c r="T29" i="365"/>
  <c r="S29" i="365"/>
  <c r="R29" i="365"/>
  <c r="G29" i="365"/>
  <c r="Q29" i="365" s="1"/>
  <c r="B29" i="365"/>
  <c r="P29" i="365" s="1"/>
  <c r="AJ28" i="365"/>
  <c r="T28" i="365"/>
  <c r="S28" i="365"/>
  <c r="R28" i="365"/>
  <c r="G28" i="365"/>
  <c r="Q28" i="365" s="1"/>
  <c r="B28" i="365"/>
  <c r="P28" i="365" s="1"/>
  <c r="AJ27" i="365"/>
  <c r="T27" i="365"/>
  <c r="S27" i="365"/>
  <c r="R27" i="365"/>
  <c r="G27" i="365"/>
  <c r="Q27" i="365" s="1"/>
  <c r="B27" i="365"/>
  <c r="P27" i="365" s="1"/>
  <c r="AJ26" i="365"/>
  <c r="T26" i="365"/>
  <c r="S26" i="365"/>
  <c r="R26" i="365"/>
  <c r="G26" i="365"/>
  <c r="Q26" i="365" s="1"/>
  <c r="B26" i="365"/>
  <c r="P26" i="365" s="1"/>
  <c r="AJ25" i="365"/>
  <c r="T25" i="365"/>
  <c r="S25" i="365"/>
  <c r="R25" i="365"/>
  <c r="G25" i="365"/>
  <c r="Q25" i="365" s="1"/>
  <c r="B25" i="365"/>
  <c r="P25" i="365" s="1"/>
  <c r="AJ24" i="365"/>
  <c r="T24" i="365"/>
  <c r="S24" i="365"/>
  <c r="R24" i="365"/>
  <c r="G24" i="365"/>
  <c r="Q24" i="365" s="1"/>
  <c r="B24" i="365"/>
  <c r="P24" i="365" s="1"/>
  <c r="AJ23" i="365"/>
  <c r="T23" i="365"/>
  <c r="S23" i="365"/>
  <c r="R23" i="365"/>
  <c r="G23" i="365"/>
  <c r="Q23" i="365" s="1"/>
  <c r="B23" i="365"/>
  <c r="P23" i="365" s="1"/>
  <c r="AJ22" i="365"/>
  <c r="T22" i="365"/>
  <c r="S22" i="365"/>
  <c r="R22" i="365"/>
  <c r="G22" i="365"/>
  <c r="Q22" i="365" s="1"/>
  <c r="B22" i="365"/>
  <c r="P22" i="365" s="1"/>
  <c r="AJ21" i="365"/>
  <c r="T21" i="365"/>
  <c r="S21" i="365"/>
  <c r="R21" i="365"/>
  <c r="G21" i="365"/>
  <c r="Q21" i="365" s="1"/>
  <c r="B21" i="365"/>
  <c r="P21" i="365" s="1"/>
  <c r="AJ20" i="365"/>
  <c r="T20" i="365"/>
  <c r="S20" i="365"/>
  <c r="R20" i="365"/>
  <c r="G20" i="365"/>
  <c r="Q20" i="365" s="1"/>
  <c r="B20" i="365"/>
  <c r="P20" i="365" s="1"/>
  <c r="AJ19" i="365"/>
  <c r="T19" i="365"/>
  <c r="S19" i="365"/>
  <c r="R19" i="365"/>
  <c r="G19" i="365"/>
  <c r="Q19" i="365" s="1"/>
  <c r="B19" i="365"/>
  <c r="P19" i="365" s="1"/>
  <c r="AJ18" i="365"/>
  <c r="T18" i="365"/>
  <c r="S18" i="365"/>
  <c r="R18" i="365"/>
  <c r="G18" i="365"/>
  <c r="Q18" i="365" s="1"/>
  <c r="B18" i="365"/>
  <c r="P18" i="365" s="1"/>
  <c r="AJ17" i="365"/>
  <c r="T17" i="365"/>
  <c r="S17" i="365"/>
  <c r="R17" i="365"/>
  <c r="G17" i="365"/>
  <c r="Q17" i="365" s="1"/>
  <c r="B17" i="365"/>
  <c r="P17" i="365" s="1"/>
  <c r="AJ16" i="365"/>
  <c r="T16" i="365"/>
  <c r="S16" i="365"/>
  <c r="R16" i="365"/>
  <c r="G16" i="365"/>
  <c r="Q16" i="365" s="1"/>
  <c r="B16" i="365"/>
  <c r="P16" i="365" s="1"/>
  <c r="AJ15" i="365"/>
  <c r="T15" i="365"/>
  <c r="S15" i="365"/>
  <c r="R15" i="365"/>
  <c r="G15" i="365"/>
  <c r="Q15" i="365" s="1"/>
  <c r="B15" i="365"/>
  <c r="P15" i="365" s="1"/>
  <c r="AJ14" i="365"/>
  <c r="T14" i="365"/>
  <c r="S14" i="365"/>
  <c r="R14" i="365"/>
  <c r="G14" i="365"/>
  <c r="Q14" i="365" s="1"/>
  <c r="B14" i="365"/>
  <c r="P14" i="365" s="1"/>
  <c r="AJ13" i="365"/>
  <c r="T13" i="365"/>
  <c r="S13" i="365"/>
  <c r="R13" i="365"/>
  <c r="G13" i="365"/>
  <c r="Q13" i="365" s="1"/>
  <c r="B13" i="365"/>
  <c r="P13" i="365" s="1"/>
  <c r="D9" i="365"/>
  <c r="B173" i="25"/>
  <c r="A172" i="25"/>
  <c r="B172" i="25"/>
  <c r="AM172" i="25"/>
  <c r="BK172" i="25" l="1"/>
  <c r="B177" i="25"/>
  <c r="BK177" i="25" s="1"/>
  <c r="A177" i="25"/>
  <c r="B176" i="25"/>
  <c r="BK176" i="25" s="1"/>
  <c r="A176" i="25"/>
  <c r="B175" i="25"/>
  <c r="BK175" i="25" s="1"/>
  <c r="A175" i="25"/>
  <c r="B174" i="25"/>
  <c r="BK174" i="25" s="1"/>
  <c r="A174" i="25"/>
  <c r="BK173" i="25"/>
  <c r="A173" i="25"/>
  <c r="E442" i="178"/>
  <c r="T439" i="178"/>
  <c r="E439" i="178"/>
  <c r="E430" i="178"/>
  <c r="T427" i="178"/>
  <c r="E427" i="178"/>
  <c r="E418" i="178"/>
  <c r="T415" i="178"/>
  <c r="E415" i="178"/>
  <c r="E406" i="178"/>
  <c r="T403" i="178"/>
  <c r="E403" i="178"/>
  <c r="E394" i="178"/>
  <c r="T391" i="178"/>
  <c r="E391" i="178"/>
  <c r="E382" i="178"/>
  <c r="T379" i="178"/>
  <c r="E379" i="178"/>
  <c r="E370" i="178"/>
  <c r="T367" i="178"/>
  <c r="E367" i="178"/>
  <c r="E358" i="178"/>
  <c r="T355" i="178"/>
  <c r="E355" i="178"/>
  <c r="E346" i="178"/>
  <c r="T343" i="178"/>
  <c r="E343" i="178"/>
  <c r="E334" i="178"/>
  <c r="T331" i="178"/>
  <c r="E331" i="178"/>
  <c r="E322" i="178"/>
  <c r="T319" i="178"/>
  <c r="E319" i="178"/>
  <c r="E310" i="178"/>
  <c r="T307" i="178"/>
  <c r="E307" i="178"/>
  <c r="E298" i="178"/>
  <c r="T295" i="178"/>
  <c r="E295" i="178"/>
  <c r="E286" i="178"/>
  <c r="T283" i="178"/>
  <c r="E283" i="178"/>
  <c r="E274" i="178"/>
  <c r="T271" i="178"/>
  <c r="E271" i="178"/>
  <c r="E262" i="178"/>
  <c r="T259" i="178"/>
  <c r="E259" i="178"/>
  <c r="E250" i="178"/>
  <c r="T247" i="178"/>
  <c r="E247" i="178"/>
  <c r="E238" i="178"/>
  <c r="T235" i="178"/>
  <c r="E235" i="178"/>
  <c r="E226" i="178"/>
  <c r="T223" i="178"/>
  <c r="E223" i="178"/>
  <c r="E214" i="178"/>
  <c r="T211" i="178"/>
  <c r="E211" i="178"/>
  <c r="E202" i="178"/>
  <c r="T199" i="178"/>
  <c r="E199" i="178"/>
  <c r="E190" i="178"/>
  <c r="T187" i="178"/>
  <c r="E187" i="178"/>
  <c r="E178" i="178"/>
  <c r="T175" i="178"/>
  <c r="E175" i="178"/>
  <c r="E94" i="178"/>
  <c r="T91" i="178"/>
  <c r="E91" i="178"/>
  <c r="E82" i="178"/>
  <c r="T79" i="178"/>
  <c r="E79" i="178"/>
  <c r="E70" i="178"/>
  <c r="T67" i="178"/>
  <c r="E67" i="178"/>
  <c r="E58" i="178"/>
  <c r="T55" i="178"/>
  <c r="E55" i="178"/>
  <c r="E46" i="178"/>
  <c r="T43" i="178"/>
  <c r="E43" i="178"/>
  <c r="E22" i="178"/>
  <c r="T19" i="178"/>
  <c r="E19" i="178"/>
  <c r="E10" i="178"/>
  <c r="T7" i="178"/>
  <c r="E7" i="178"/>
  <c r="E166" i="178"/>
  <c r="T163" i="178"/>
  <c r="E163" i="178"/>
  <c r="E154" i="178"/>
  <c r="T151" i="178"/>
  <c r="E151" i="178"/>
  <c r="E142" i="178"/>
  <c r="T139" i="178"/>
  <c r="E139" i="178"/>
  <c r="E130" i="178"/>
  <c r="T127" i="178"/>
  <c r="E127" i="178"/>
  <c r="E118" i="178"/>
  <c r="T115" i="178"/>
  <c r="E115" i="178"/>
  <c r="E106" i="178"/>
  <c r="T103" i="178"/>
  <c r="E103" i="178"/>
  <c r="R163" i="178"/>
  <c r="C161" i="178" s="1"/>
  <c r="W161" i="178" s="1"/>
  <c r="W159" i="178"/>
  <c r="R151" i="178"/>
  <c r="C148" i="178" s="1"/>
  <c r="W148" i="178" s="1"/>
  <c r="W147" i="178"/>
  <c r="R139" i="178"/>
  <c r="C136" i="178" s="1"/>
  <c r="W136" i="178" s="1"/>
  <c r="W135" i="178"/>
  <c r="R127" i="178"/>
  <c r="C125" i="178" s="1"/>
  <c r="W125" i="178" s="1"/>
  <c r="W123" i="178"/>
  <c r="R115" i="178"/>
  <c r="C112" i="178" s="1"/>
  <c r="W112" i="178" s="1"/>
  <c r="W111" i="178"/>
  <c r="R103" i="178"/>
  <c r="C100" i="178" s="1"/>
  <c r="W100" i="178" s="1"/>
  <c r="W99" i="178"/>
  <c r="AM174" i="25"/>
  <c r="AM177" i="25"/>
  <c r="AM176" i="25"/>
  <c r="AM173" i="25"/>
  <c r="AM175" i="25"/>
  <c r="C137" i="178" l="1"/>
  <c r="W137" i="178" s="1"/>
  <c r="C149" i="178"/>
  <c r="W149" i="178" s="1"/>
  <c r="C160" i="178"/>
  <c r="W160" i="178" s="1"/>
  <c r="C101" i="178"/>
  <c r="W101" i="178" s="1"/>
  <c r="C113" i="178"/>
  <c r="W113" i="178" s="1"/>
  <c r="C124" i="178"/>
  <c r="W124" i="178" s="1"/>
  <c r="AJ24" i="364"/>
  <c r="T24" i="364"/>
  <c r="S24" i="364"/>
  <c r="R24" i="364"/>
  <c r="G24" i="364"/>
  <c r="Q24" i="364" s="1"/>
  <c r="B24" i="364"/>
  <c r="P24" i="364" s="1"/>
  <c r="AJ23" i="364"/>
  <c r="T23" i="364"/>
  <c r="S23" i="364"/>
  <c r="R23" i="364"/>
  <c r="G23" i="364"/>
  <c r="Q23" i="364" s="1"/>
  <c r="B23" i="364"/>
  <c r="P23" i="364" s="1"/>
  <c r="AJ22" i="364"/>
  <c r="T22" i="364"/>
  <c r="S22" i="364"/>
  <c r="R22" i="364"/>
  <c r="G22" i="364"/>
  <c r="Q22" i="364" s="1"/>
  <c r="B22" i="364"/>
  <c r="P22" i="364" s="1"/>
  <c r="AJ21" i="364"/>
  <c r="T21" i="364"/>
  <c r="S21" i="364"/>
  <c r="R21" i="364"/>
  <c r="G21" i="364"/>
  <c r="Q21" i="364" s="1"/>
  <c r="B21" i="364"/>
  <c r="P21" i="364" s="1"/>
  <c r="AJ20" i="364"/>
  <c r="T20" i="364"/>
  <c r="S20" i="364"/>
  <c r="R20" i="364"/>
  <c r="G20" i="364"/>
  <c r="Q20" i="364" s="1"/>
  <c r="B20" i="364"/>
  <c r="P20" i="364" s="1"/>
  <c r="AJ19" i="364"/>
  <c r="T19" i="364"/>
  <c r="S19" i="364"/>
  <c r="R19" i="364"/>
  <c r="G19" i="364"/>
  <c r="Q19" i="364" s="1"/>
  <c r="B19" i="364"/>
  <c r="P19" i="364" s="1"/>
  <c r="AJ18" i="364"/>
  <c r="T18" i="364"/>
  <c r="S18" i="364"/>
  <c r="R18" i="364"/>
  <c r="G18" i="364"/>
  <c r="Q18" i="364" s="1"/>
  <c r="B18" i="364"/>
  <c r="P18" i="364" s="1"/>
  <c r="AJ17" i="364"/>
  <c r="T17" i="364"/>
  <c r="S17" i="364"/>
  <c r="R17" i="364"/>
  <c r="G17" i="364"/>
  <c r="Q17" i="364" s="1"/>
  <c r="B17" i="364"/>
  <c r="P17" i="364" s="1"/>
  <c r="AJ16" i="364"/>
  <c r="T16" i="364"/>
  <c r="S16" i="364"/>
  <c r="R16" i="364"/>
  <c r="G16" i="364"/>
  <c r="Q16" i="364" s="1"/>
  <c r="B16" i="364"/>
  <c r="P16" i="364" s="1"/>
  <c r="AJ15" i="364"/>
  <c r="T15" i="364"/>
  <c r="S15" i="364"/>
  <c r="R15" i="364"/>
  <c r="G15" i="364"/>
  <c r="Q15" i="364" s="1"/>
  <c r="B15" i="364"/>
  <c r="P15" i="364" s="1"/>
  <c r="AJ14" i="364"/>
  <c r="T14" i="364"/>
  <c r="S14" i="364"/>
  <c r="R14" i="364"/>
  <c r="G14" i="364"/>
  <c r="Q14" i="364" s="1"/>
  <c r="B14" i="364"/>
  <c r="P14" i="364" s="1"/>
  <c r="AJ13" i="364"/>
  <c r="T13" i="364"/>
  <c r="S13" i="364"/>
  <c r="R13" i="364"/>
  <c r="G13" i="364"/>
  <c r="Q13" i="364" s="1"/>
  <c r="B13" i="364"/>
  <c r="P13" i="364" s="1"/>
  <c r="D9" i="364"/>
  <c r="AJ39" i="363"/>
  <c r="T39" i="363"/>
  <c r="S39" i="363"/>
  <c r="R39" i="363"/>
  <c r="G39" i="363"/>
  <c r="Q39" i="363" s="1"/>
  <c r="B39" i="363"/>
  <c r="P39" i="363" s="1"/>
  <c r="AJ38" i="363"/>
  <c r="T38" i="363"/>
  <c r="S38" i="363"/>
  <c r="R38" i="363"/>
  <c r="G38" i="363"/>
  <c r="Q38" i="363" s="1"/>
  <c r="B38" i="363"/>
  <c r="P38" i="363" s="1"/>
  <c r="AJ37" i="363"/>
  <c r="T37" i="363"/>
  <c r="S37" i="363"/>
  <c r="R37" i="363"/>
  <c r="G37" i="363"/>
  <c r="Q37" i="363" s="1"/>
  <c r="B37" i="363"/>
  <c r="P37" i="363" s="1"/>
  <c r="AJ36" i="363"/>
  <c r="T36" i="363"/>
  <c r="S36" i="363"/>
  <c r="R36" i="363"/>
  <c r="G36" i="363"/>
  <c r="Q36" i="363" s="1"/>
  <c r="B36" i="363"/>
  <c r="P36" i="363" s="1"/>
  <c r="AJ35" i="363"/>
  <c r="T35" i="363"/>
  <c r="S35" i="363"/>
  <c r="R35" i="363"/>
  <c r="G35" i="363"/>
  <c r="Q35" i="363" s="1"/>
  <c r="B35" i="363"/>
  <c r="P35" i="363" s="1"/>
  <c r="AJ34" i="363"/>
  <c r="T34" i="363"/>
  <c r="S34" i="363"/>
  <c r="R34" i="363"/>
  <c r="G34" i="363"/>
  <c r="Q34" i="363" s="1"/>
  <c r="B34" i="363"/>
  <c r="P34" i="363" s="1"/>
  <c r="AJ33" i="363"/>
  <c r="T33" i="363"/>
  <c r="S33" i="363"/>
  <c r="R33" i="363"/>
  <c r="G33" i="363"/>
  <c r="Q33" i="363" s="1"/>
  <c r="B33" i="363"/>
  <c r="P33" i="363" s="1"/>
  <c r="AJ32" i="363"/>
  <c r="T32" i="363"/>
  <c r="S32" i="363"/>
  <c r="R32" i="363"/>
  <c r="G32" i="363"/>
  <c r="Q32" i="363" s="1"/>
  <c r="B32" i="363"/>
  <c r="P32" i="363" s="1"/>
  <c r="AJ31" i="363"/>
  <c r="T31" i="363"/>
  <c r="S31" i="363"/>
  <c r="R31" i="363"/>
  <c r="G31" i="363"/>
  <c r="Q31" i="363" s="1"/>
  <c r="B31" i="363"/>
  <c r="P31" i="363" s="1"/>
  <c r="AJ30" i="363"/>
  <c r="T30" i="363"/>
  <c r="S30" i="363"/>
  <c r="R30" i="363"/>
  <c r="G30" i="363"/>
  <c r="Q30" i="363" s="1"/>
  <c r="B30" i="363"/>
  <c r="P30" i="363" s="1"/>
  <c r="AJ29" i="363"/>
  <c r="T29" i="363"/>
  <c r="S29" i="363"/>
  <c r="R29" i="363"/>
  <c r="G29" i="363"/>
  <c r="Q29" i="363" s="1"/>
  <c r="B29" i="363"/>
  <c r="P29" i="363" s="1"/>
  <c r="AJ28" i="363"/>
  <c r="T28" i="363"/>
  <c r="S28" i="363"/>
  <c r="R28" i="363"/>
  <c r="G28" i="363"/>
  <c r="Q28" i="363" s="1"/>
  <c r="B28" i="363"/>
  <c r="P28" i="363" s="1"/>
  <c r="AJ27" i="363"/>
  <c r="T27" i="363"/>
  <c r="S27" i="363"/>
  <c r="R27" i="363"/>
  <c r="G27" i="363"/>
  <c r="Q27" i="363" s="1"/>
  <c r="B27" i="363"/>
  <c r="P27" i="363" s="1"/>
  <c r="AJ26" i="363"/>
  <c r="T26" i="363"/>
  <c r="S26" i="363"/>
  <c r="R26" i="363"/>
  <c r="G26" i="363"/>
  <c r="Q26" i="363" s="1"/>
  <c r="B26" i="363"/>
  <c r="P26" i="363" s="1"/>
  <c r="AJ25" i="363"/>
  <c r="T25" i="363"/>
  <c r="S25" i="363"/>
  <c r="R25" i="363"/>
  <c r="G25" i="363"/>
  <c r="Q25" i="363" s="1"/>
  <c r="B25" i="363"/>
  <c r="P25" i="363" s="1"/>
  <c r="AJ24" i="363"/>
  <c r="T24" i="363"/>
  <c r="S24" i="363"/>
  <c r="R24" i="363"/>
  <c r="G24" i="363"/>
  <c r="Q24" i="363" s="1"/>
  <c r="B24" i="363"/>
  <c r="P24" i="363" s="1"/>
  <c r="AJ23" i="363"/>
  <c r="T23" i="363"/>
  <c r="S23" i="363"/>
  <c r="R23" i="363"/>
  <c r="G23" i="363"/>
  <c r="Q23" i="363" s="1"/>
  <c r="B23" i="363"/>
  <c r="P23" i="363" s="1"/>
  <c r="AJ22" i="363"/>
  <c r="T22" i="363"/>
  <c r="S22" i="363"/>
  <c r="R22" i="363"/>
  <c r="G22" i="363"/>
  <c r="Q22" i="363" s="1"/>
  <c r="B22" i="363"/>
  <c r="P22" i="363" s="1"/>
  <c r="AJ41" i="363"/>
  <c r="T41" i="363"/>
  <c r="S41" i="363"/>
  <c r="R41" i="363"/>
  <c r="G41" i="363"/>
  <c r="Q41" i="363" s="1"/>
  <c r="B41" i="363"/>
  <c r="P41" i="363" s="1"/>
  <c r="AJ40" i="363"/>
  <c r="T40" i="363"/>
  <c r="S40" i="363"/>
  <c r="R40" i="363"/>
  <c r="G40" i="363"/>
  <c r="Q40" i="363" s="1"/>
  <c r="B40" i="363"/>
  <c r="P40" i="363" s="1"/>
  <c r="AJ21" i="363"/>
  <c r="T21" i="363"/>
  <c r="S21" i="363"/>
  <c r="R21" i="363"/>
  <c r="G21" i="363"/>
  <c r="Q21" i="363" s="1"/>
  <c r="B21" i="363"/>
  <c r="P21" i="363" s="1"/>
  <c r="AJ20" i="363"/>
  <c r="T20" i="363"/>
  <c r="S20" i="363"/>
  <c r="R20" i="363"/>
  <c r="G20" i="363"/>
  <c r="Q20" i="363" s="1"/>
  <c r="B20" i="363"/>
  <c r="P20" i="363" s="1"/>
  <c r="AJ19" i="363"/>
  <c r="T19" i="363"/>
  <c r="S19" i="363"/>
  <c r="R19" i="363"/>
  <c r="G19" i="363"/>
  <c r="Q19" i="363" s="1"/>
  <c r="B19" i="363"/>
  <c r="P19" i="363" s="1"/>
  <c r="AJ18" i="363"/>
  <c r="T18" i="363"/>
  <c r="S18" i="363"/>
  <c r="R18" i="363"/>
  <c r="G18" i="363"/>
  <c r="Q18" i="363" s="1"/>
  <c r="B18" i="363"/>
  <c r="P18" i="363" s="1"/>
  <c r="AJ17" i="363"/>
  <c r="T17" i="363"/>
  <c r="S17" i="363"/>
  <c r="R17" i="363"/>
  <c r="G17" i="363"/>
  <c r="Q17" i="363" s="1"/>
  <c r="B17" i="363"/>
  <c r="P17" i="363" s="1"/>
  <c r="AJ16" i="363"/>
  <c r="T16" i="363"/>
  <c r="S16" i="363"/>
  <c r="R16" i="363"/>
  <c r="G16" i="363"/>
  <c r="Q16" i="363" s="1"/>
  <c r="B16" i="363"/>
  <c r="P16" i="363" s="1"/>
  <c r="AJ15" i="363"/>
  <c r="T15" i="363"/>
  <c r="S15" i="363"/>
  <c r="R15" i="363"/>
  <c r="G15" i="363"/>
  <c r="Q15" i="363" s="1"/>
  <c r="B15" i="363"/>
  <c r="P15" i="363" s="1"/>
  <c r="AJ14" i="363"/>
  <c r="T14" i="363"/>
  <c r="S14" i="363"/>
  <c r="R14" i="363"/>
  <c r="G14" i="363"/>
  <c r="Q14" i="363" s="1"/>
  <c r="B14" i="363"/>
  <c r="P14" i="363" s="1"/>
  <c r="AJ13" i="363"/>
  <c r="T13" i="363"/>
  <c r="S13" i="363"/>
  <c r="R13" i="363"/>
  <c r="G13" i="363"/>
  <c r="Q13" i="363" s="1"/>
  <c r="B13" i="363"/>
  <c r="P13" i="363" s="1"/>
  <c r="D9" i="363"/>
  <c r="AJ21" i="362"/>
  <c r="T21" i="362"/>
  <c r="S21" i="362"/>
  <c r="R21" i="362"/>
  <c r="G21" i="362"/>
  <c r="Q21" i="362" s="1"/>
  <c r="B21" i="362"/>
  <c r="P21" i="362" s="1"/>
  <c r="AJ23" i="362"/>
  <c r="T23" i="362"/>
  <c r="S23" i="362"/>
  <c r="R23" i="362"/>
  <c r="G23" i="362"/>
  <c r="Q23" i="362" s="1"/>
  <c r="B23" i="362"/>
  <c r="P23" i="362" s="1"/>
  <c r="AJ22" i="362"/>
  <c r="T22" i="362"/>
  <c r="S22" i="362"/>
  <c r="R22" i="362"/>
  <c r="G22" i="362"/>
  <c r="Q22" i="362" s="1"/>
  <c r="B22" i="362"/>
  <c r="P22" i="362" s="1"/>
  <c r="AJ20" i="362"/>
  <c r="T20" i="362"/>
  <c r="S20" i="362"/>
  <c r="R20" i="362"/>
  <c r="G20" i="362"/>
  <c r="Q20" i="362" s="1"/>
  <c r="B20" i="362"/>
  <c r="P20" i="362" s="1"/>
  <c r="AJ19" i="362"/>
  <c r="T19" i="362"/>
  <c r="S19" i="362"/>
  <c r="R19" i="362"/>
  <c r="G19" i="362"/>
  <c r="Q19" i="362" s="1"/>
  <c r="B19" i="362"/>
  <c r="P19" i="362" s="1"/>
  <c r="AJ18" i="362"/>
  <c r="T18" i="362"/>
  <c r="S18" i="362"/>
  <c r="R18" i="362"/>
  <c r="G18" i="362"/>
  <c r="Q18" i="362" s="1"/>
  <c r="B18" i="362"/>
  <c r="P18" i="362" s="1"/>
  <c r="AJ17" i="362"/>
  <c r="T17" i="362"/>
  <c r="S17" i="362"/>
  <c r="R17" i="362"/>
  <c r="G17" i="362"/>
  <c r="Q17" i="362" s="1"/>
  <c r="B17" i="362"/>
  <c r="P17" i="362" s="1"/>
  <c r="AJ16" i="362"/>
  <c r="T16" i="362"/>
  <c r="S16" i="362"/>
  <c r="R16" i="362"/>
  <c r="G16" i="362"/>
  <c r="Q16" i="362" s="1"/>
  <c r="B16" i="362"/>
  <c r="P16" i="362" s="1"/>
  <c r="AJ15" i="362"/>
  <c r="T15" i="362"/>
  <c r="S15" i="362"/>
  <c r="R15" i="362"/>
  <c r="G15" i="362"/>
  <c r="Q15" i="362" s="1"/>
  <c r="B15" i="362"/>
  <c r="P15" i="362" s="1"/>
  <c r="AJ14" i="362"/>
  <c r="T14" i="362"/>
  <c r="S14" i="362"/>
  <c r="R14" i="362"/>
  <c r="G14" i="362"/>
  <c r="Q14" i="362" s="1"/>
  <c r="B14" i="362"/>
  <c r="P14" i="362" s="1"/>
  <c r="AJ13" i="362"/>
  <c r="T13" i="362"/>
  <c r="S13" i="362"/>
  <c r="R13" i="362"/>
  <c r="G13" i="362"/>
  <c r="Q13" i="362" s="1"/>
  <c r="B13" i="362"/>
  <c r="P13" i="362" s="1"/>
  <c r="D9" i="362"/>
  <c r="AJ22" i="361"/>
  <c r="T22" i="361"/>
  <c r="S22" i="361"/>
  <c r="R22" i="361"/>
  <c r="G22" i="361"/>
  <c r="Q22" i="361" s="1"/>
  <c r="B22" i="361"/>
  <c r="P22" i="361" s="1"/>
  <c r="AJ21" i="361"/>
  <c r="T21" i="361"/>
  <c r="S21" i="361"/>
  <c r="R21" i="361"/>
  <c r="G21" i="361"/>
  <c r="Q21" i="361" s="1"/>
  <c r="B21" i="361"/>
  <c r="P21" i="361" s="1"/>
  <c r="AJ20" i="361"/>
  <c r="T20" i="361"/>
  <c r="S20" i="361"/>
  <c r="R20" i="361"/>
  <c r="G20" i="361"/>
  <c r="Q20" i="361" s="1"/>
  <c r="B20" i="361"/>
  <c r="P20" i="361" s="1"/>
  <c r="AJ19" i="361"/>
  <c r="T19" i="361"/>
  <c r="S19" i="361"/>
  <c r="R19" i="361"/>
  <c r="G19" i="361"/>
  <c r="Q19" i="361" s="1"/>
  <c r="B19" i="361"/>
  <c r="P19" i="361" s="1"/>
  <c r="AJ18" i="361"/>
  <c r="T18" i="361"/>
  <c r="S18" i="361"/>
  <c r="R18" i="361"/>
  <c r="G18" i="361"/>
  <c r="Q18" i="361" s="1"/>
  <c r="B18" i="361"/>
  <c r="P18" i="361" s="1"/>
  <c r="AJ17" i="361"/>
  <c r="T17" i="361"/>
  <c r="S17" i="361"/>
  <c r="R17" i="361"/>
  <c r="G17" i="361"/>
  <c r="Q17" i="361" s="1"/>
  <c r="B17" i="361"/>
  <c r="P17" i="361" s="1"/>
  <c r="AJ16" i="361"/>
  <c r="T16" i="361"/>
  <c r="S16" i="361"/>
  <c r="R16" i="361"/>
  <c r="G16" i="361"/>
  <c r="Q16" i="361" s="1"/>
  <c r="B16" i="361"/>
  <c r="P16" i="361" s="1"/>
  <c r="AJ15" i="361"/>
  <c r="T15" i="361"/>
  <c r="S15" i="361"/>
  <c r="R15" i="361"/>
  <c r="G15" i="361"/>
  <c r="Q15" i="361" s="1"/>
  <c r="B15" i="361"/>
  <c r="P15" i="361" s="1"/>
  <c r="AJ14" i="361"/>
  <c r="T14" i="361"/>
  <c r="S14" i="361"/>
  <c r="R14" i="361"/>
  <c r="G14" i="361"/>
  <c r="Q14" i="361" s="1"/>
  <c r="B14" i="361"/>
  <c r="P14" i="361" s="1"/>
  <c r="AJ13" i="361"/>
  <c r="T13" i="361"/>
  <c r="S13" i="361"/>
  <c r="R13" i="361"/>
  <c r="G13" i="361"/>
  <c r="Q13" i="361" s="1"/>
  <c r="B13" i="361"/>
  <c r="P13" i="361" s="1"/>
  <c r="D9" i="361"/>
  <c r="AJ22" i="360"/>
  <c r="T22" i="360"/>
  <c r="S22" i="360"/>
  <c r="R22" i="360"/>
  <c r="G22" i="360"/>
  <c r="Q22" i="360" s="1"/>
  <c r="B22" i="360"/>
  <c r="P22" i="360" s="1"/>
  <c r="AJ21" i="360"/>
  <c r="T21" i="360"/>
  <c r="S21" i="360"/>
  <c r="R21" i="360"/>
  <c r="G21" i="360"/>
  <c r="Q21" i="360" s="1"/>
  <c r="B21" i="360"/>
  <c r="P21" i="360" s="1"/>
  <c r="AJ20" i="360"/>
  <c r="T20" i="360"/>
  <c r="S20" i="360"/>
  <c r="R20" i="360"/>
  <c r="G20" i="360"/>
  <c r="Q20" i="360" s="1"/>
  <c r="B20" i="360"/>
  <c r="P20" i="360" s="1"/>
  <c r="AJ19" i="360"/>
  <c r="T19" i="360"/>
  <c r="S19" i="360"/>
  <c r="R19" i="360"/>
  <c r="G19" i="360"/>
  <c r="Q19" i="360" s="1"/>
  <c r="B19" i="360"/>
  <c r="P19" i="360" s="1"/>
  <c r="AJ18" i="360"/>
  <c r="T18" i="360"/>
  <c r="S18" i="360"/>
  <c r="R18" i="360"/>
  <c r="G18" i="360"/>
  <c r="Q18" i="360" s="1"/>
  <c r="B18" i="360"/>
  <c r="P18" i="360" s="1"/>
  <c r="AJ17" i="360"/>
  <c r="T17" i="360"/>
  <c r="S17" i="360"/>
  <c r="R17" i="360"/>
  <c r="G17" i="360"/>
  <c r="Q17" i="360" s="1"/>
  <c r="B17" i="360"/>
  <c r="P17" i="360" s="1"/>
  <c r="AJ16" i="360"/>
  <c r="T16" i="360"/>
  <c r="S16" i="360"/>
  <c r="R16" i="360"/>
  <c r="G16" i="360"/>
  <c r="Q16" i="360" s="1"/>
  <c r="B16" i="360"/>
  <c r="P16" i="360" s="1"/>
  <c r="AJ15" i="360"/>
  <c r="T15" i="360"/>
  <c r="S15" i="360"/>
  <c r="R15" i="360"/>
  <c r="G15" i="360"/>
  <c r="Q15" i="360" s="1"/>
  <c r="B15" i="360"/>
  <c r="P15" i="360" s="1"/>
  <c r="AJ14" i="360"/>
  <c r="T14" i="360"/>
  <c r="S14" i="360"/>
  <c r="R14" i="360"/>
  <c r="G14" i="360"/>
  <c r="Q14" i="360" s="1"/>
  <c r="B14" i="360"/>
  <c r="P14" i="360" s="1"/>
  <c r="AJ13" i="360"/>
  <c r="T13" i="360"/>
  <c r="S13" i="360"/>
  <c r="R13" i="360"/>
  <c r="G13" i="360"/>
  <c r="Q13" i="360" s="1"/>
  <c r="B13" i="360"/>
  <c r="P13" i="360" s="1"/>
  <c r="D9" i="360"/>
  <c r="AJ45" i="359"/>
  <c r="T45" i="359"/>
  <c r="S45" i="359"/>
  <c r="R45" i="359"/>
  <c r="G45" i="359"/>
  <c r="Q45" i="359" s="1"/>
  <c r="B45" i="359"/>
  <c r="P45" i="359" s="1"/>
  <c r="AJ44" i="359"/>
  <c r="T44" i="359"/>
  <c r="S44" i="359"/>
  <c r="R44" i="359"/>
  <c r="G44" i="359"/>
  <c r="Q44" i="359" s="1"/>
  <c r="B44" i="359"/>
  <c r="P44" i="359" s="1"/>
  <c r="AJ43" i="359"/>
  <c r="T43" i="359"/>
  <c r="S43" i="359"/>
  <c r="R43" i="359"/>
  <c r="G43" i="359"/>
  <c r="Q43" i="359" s="1"/>
  <c r="B43" i="359"/>
  <c r="P43" i="359" s="1"/>
  <c r="AJ42" i="359"/>
  <c r="T42" i="359"/>
  <c r="S42" i="359"/>
  <c r="R42" i="359"/>
  <c r="G42" i="359"/>
  <c r="Q42" i="359" s="1"/>
  <c r="B42" i="359"/>
  <c r="P42" i="359" s="1"/>
  <c r="AJ41" i="359"/>
  <c r="T41" i="359"/>
  <c r="S41" i="359"/>
  <c r="R41" i="359"/>
  <c r="G41" i="359"/>
  <c r="Q41" i="359" s="1"/>
  <c r="B41" i="359"/>
  <c r="P41" i="359" s="1"/>
  <c r="AJ40" i="359"/>
  <c r="T40" i="359"/>
  <c r="S40" i="359"/>
  <c r="R40" i="359"/>
  <c r="G40" i="359"/>
  <c r="Q40" i="359" s="1"/>
  <c r="B40" i="359"/>
  <c r="P40" i="359" s="1"/>
  <c r="AJ39" i="359"/>
  <c r="T39" i="359"/>
  <c r="S39" i="359"/>
  <c r="R39" i="359"/>
  <c r="G39" i="359"/>
  <c r="Q39" i="359" s="1"/>
  <c r="B39" i="359"/>
  <c r="P39" i="359" s="1"/>
  <c r="AJ38" i="359"/>
  <c r="T38" i="359"/>
  <c r="S38" i="359"/>
  <c r="R38" i="359"/>
  <c r="G38" i="359"/>
  <c r="Q38" i="359" s="1"/>
  <c r="B38" i="359"/>
  <c r="P38" i="359" s="1"/>
  <c r="AJ37" i="359"/>
  <c r="T37" i="359"/>
  <c r="S37" i="359"/>
  <c r="R37" i="359"/>
  <c r="G37" i="359"/>
  <c r="Q37" i="359" s="1"/>
  <c r="B37" i="359"/>
  <c r="P37" i="359" s="1"/>
  <c r="AJ36" i="359"/>
  <c r="T36" i="359"/>
  <c r="S36" i="359"/>
  <c r="R36" i="359"/>
  <c r="G36" i="359"/>
  <c r="Q36" i="359" s="1"/>
  <c r="B36" i="359"/>
  <c r="P36" i="359" s="1"/>
  <c r="AJ35" i="359"/>
  <c r="T35" i="359"/>
  <c r="S35" i="359"/>
  <c r="R35" i="359"/>
  <c r="G35" i="359"/>
  <c r="Q35" i="359" s="1"/>
  <c r="B35" i="359"/>
  <c r="P35" i="359" s="1"/>
  <c r="AJ34" i="359"/>
  <c r="T34" i="359"/>
  <c r="S34" i="359"/>
  <c r="R34" i="359"/>
  <c r="G34" i="359"/>
  <c r="Q34" i="359" s="1"/>
  <c r="B34" i="359"/>
  <c r="P34" i="359" s="1"/>
  <c r="AJ33" i="359"/>
  <c r="T33" i="359"/>
  <c r="S33" i="359"/>
  <c r="R33" i="359"/>
  <c r="G33" i="359"/>
  <c r="Q33" i="359" s="1"/>
  <c r="B33" i="359"/>
  <c r="P33" i="359" s="1"/>
  <c r="AJ32" i="359"/>
  <c r="T32" i="359"/>
  <c r="S32" i="359"/>
  <c r="R32" i="359"/>
  <c r="G32" i="359"/>
  <c r="Q32" i="359" s="1"/>
  <c r="B32" i="359"/>
  <c r="P32" i="359" s="1"/>
  <c r="AJ31" i="359"/>
  <c r="T31" i="359"/>
  <c r="S31" i="359"/>
  <c r="R31" i="359"/>
  <c r="G31" i="359"/>
  <c r="Q31" i="359" s="1"/>
  <c r="B31" i="359"/>
  <c r="P31" i="359" s="1"/>
  <c r="AJ30" i="359"/>
  <c r="T30" i="359"/>
  <c r="S30" i="359"/>
  <c r="R30" i="359"/>
  <c r="G30" i="359"/>
  <c r="Q30" i="359" s="1"/>
  <c r="B30" i="359"/>
  <c r="P30" i="359" s="1"/>
  <c r="AJ29" i="359"/>
  <c r="T29" i="359"/>
  <c r="S29" i="359"/>
  <c r="R29" i="359"/>
  <c r="G29" i="359"/>
  <c r="Q29" i="359" s="1"/>
  <c r="B29" i="359"/>
  <c r="P29" i="359" s="1"/>
  <c r="AJ28" i="359"/>
  <c r="T28" i="359"/>
  <c r="S28" i="359"/>
  <c r="R28" i="359"/>
  <c r="G28" i="359"/>
  <c r="Q28" i="359" s="1"/>
  <c r="B28" i="359"/>
  <c r="P28" i="359" s="1"/>
  <c r="AJ27" i="359"/>
  <c r="T27" i="359"/>
  <c r="S27" i="359"/>
  <c r="R27" i="359"/>
  <c r="G27" i="359"/>
  <c r="Q27" i="359" s="1"/>
  <c r="B27" i="359"/>
  <c r="P27" i="359" s="1"/>
  <c r="AJ26" i="359"/>
  <c r="T26" i="359"/>
  <c r="S26" i="359"/>
  <c r="R26" i="359"/>
  <c r="G26" i="359"/>
  <c r="Q26" i="359" s="1"/>
  <c r="B26" i="359"/>
  <c r="P26" i="359" s="1"/>
  <c r="AJ25" i="359"/>
  <c r="T25" i="359"/>
  <c r="S25" i="359"/>
  <c r="R25" i="359"/>
  <c r="G25" i="359"/>
  <c r="Q25" i="359" s="1"/>
  <c r="B25" i="359"/>
  <c r="P25" i="359" s="1"/>
  <c r="AJ24" i="359"/>
  <c r="T24" i="359"/>
  <c r="S24" i="359"/>
  <c r="R24" i="359"/>
  <c r="G24" i="359"/>
  <c r="Q24" i="359" s="1"/>
  <c r="B24" i="359"/>
  <c r="P24" i="359" s="1"/>
  <c r="AJ23" i="359"/>
  <c r="T23" i="359"/>
  <c r="S23" i="359"/>
  <c r="R23" i="359"/>
  <c r="G23" i="359"/>
  <c r="Q23" i="359" s="1"/>
  <c r="B23" i="359"/>
  <c r="P23" i="359" s="1"/>
  <c r="AJ22" i="359"/>
  <c r="T22" i="359"/>
  <c r="S22" i="359"/>
  <c r="R22" i="359"/>
  <c r="G22" i="359"/>
  <c r="Q22" i="359" s="1"/>
  <c r="B22" i="359"/>
  <c r="P22" i="359" s="1"/>
  <c r="AJ21" i="359"/>
  <c r="T21" i="359"/>
  <c r="S21" i="359"/>
  <c r="R21" i="359"/>
  <c r="G21" i="359"/>
  <c r="Q21" i="359" s="1"/>
  <c r="B21" i="359"/>
  <c r="P21" i="359" s="1"/>
  <c r="AJ20" i="359"/>
  <c r="T20" i="359"/>
  <c r="S20" i="359"/>
  <c r="R20" i="359"/>
  <c r="G20" i="359"/>
  <c r="Q20" i="359" s="1"/>
  <c r="B20" i="359"/>
  <c r="P20" i="359" s="1"/>
  <c r="AJ19" i="359"/>
  <c r="T19" i="359"/>
  <c r="S19" i="359"/>
  <c r="R19" i="359"/>
  <c r="G19" i="359"/>
  <c r="Q19" i="359" s="1"/>
  <c r="B19" i="359"/>
  <c r="P19" i="359" s="1"/>
  <c r="AJ46" i="359"/>
  <c r="T46" i="359"/>
  <c r="S46" i="359"/>
  <c r="R46" i="359"/>
  <c r="G46" i="359"/>
  <c r="Q46" i="359" s="1"/>
  <c r="B46" i="359"/>
  <c r="P46" i="359" s="1"/>
  <c r="AJ18" i="359"/>
  <c r="T18" i="359"/>
  <c r="S18" i="359"/>
  <c r="R18" i="359"/>
  <c r="G18" i="359"/>
  <c r="Q18" i="359" s="1"/>
  <c r="B18" i="359"/>
  <c r="P18" i="359" s="1"/>
  <c r="AJ17" i="359"/>
  <c r="T17" i="359"/>
  <c r="S17" i="359"/>
  <c r="R17" i="359"/>
  <c r="G17" i="359"/>
  <c r="Q17" i="359" s="1"/>
  <c r="B17" i="359"/>
  <c r="P17" i="359" s="1"/>
  <c r="AJ16" i="359"/>
  <c r="T16" i="359"/>
  <c r="S16" i="359"/>
  <c r="R16" i="359"/>
  <c r="G16" i="359"/>
  <c r="Q16" i="359" s="1"/>
  <c r="B16" i="359"/>
  <c r="P16" i="359" s="1"/>
  <c r="AJ15" i="359"/>
  <c r="T15" i="359"/>
  <c r="S15" i="359"/>
  <c r="R15" i="359"/>
  <c r="G15" i="359"/>
  <c r="Q15" i="359" s="1"/>
  <c r="B15" i="359"/>
  <c r="P15" i="359" s="1"/>
  <c r="AJ14" i="359"/>
  <c r="T14" i="359"/>
  <c r="S14" i="359"/>
  <c r="R14" i="359"/>
  <c r="G14" i="359"/>
  <c r="Q14" i="359" s="1"/>
  <c r="B14" i="359"/>
  <c r="P14" i="359" s="1"/>
  <c r="AJ13" i="359"/>
  <c r="T13" i="359"/>
  <c r="S13" i="359"/>
  <c r="R13" i="359"/>
  <c r="G13" i="359"/>
  <c r="Q13" i="359" s="1"/>
  <c r="B13" i="359"/>
  <c r="P13" i="359" s="1"/>
  <c r="D9" i="359"/>
  <c r="T719" i="174"/>
  <c r="T710" i="174"/>
  <c r="T701" i="174"/>
  <c r="T692" i="174"/>
  <c r="T683" i="174"/>
  <c r="T674" i="174"/>
  <c r="R719" i="174"/>
  <c r="C716" i="174" s="1"/>
  <c r="W716" i="174" s="1"/>
  <c r="W715" i="174"/>
  <c r="R710" i="174"/>
  <c r="C708" i="174" s="1"/>
  <c r="W708" i="174" s="1"/>
  <c r="W706" i="174"/>
  <c r="R701" i="174"/>
  <c r="C699" i="174" s="1"/>
  <c r="W699" i="174" s="1"/>
  <c r="W697" i="174"/>
  <c r="R692" i="174"/>
  <c r="C690" i="174" s="1"/>
  <c r="W690" i="174" s="1"/>
  <c r="W688" i="174"/>
  <c r="R683" i="174"/>
  <c r="C680" i="174" s="1"/>
  <c r="W680" i="174" s="1"/>
  <c r="W679" i="174"/>
  <c r="R674" i="174"/>
  <c r="C671" i="174" s="1"/>
  <c r="W671" i="174" s="1"/>
  <c r="W670" i="174"/>
  <c r="T629" i="174"/>
  <c r="R629" i="174"/>
  <c r="C627" i="174" s="1"/>
  <c r="W627" i="174" s="1"/>
  <c r="W626" i="174"/>
  <c r="W625" i="174"/>
  <c r="BK78" i="25"/>
  <c r="B78" i="25"/>
  <c r="A78" i="25"/>
  <c r="BK77" i="25"/>
  <c r="B77" i="25"/>
  <c r="A77" i="25"/>
  <c r="BK76" i="25"/>
  <c r="B76" i="25"/>
  <c r="A76" i="25"/>
  <c r="BK75" i="25"/>
  <c r="B75" i="25"/>
  <c r="A75" i="25"/>
  <c r="BK74" i="25"/>
  <c r="B74" i="25"/>
  <c r="A74" i="25"/>
  <c r="BK73" i="25"/>
  <c r="B73" i="25"/>
  <c r="A73" i="25"/>
  <c r="AM74" i="25"/>
  <c r="AM77" i="25"/>
  <c r="AM73" i="25"/>
  <c r="AM78" i="25"/>
  <c r="AM75" i="25"/>
  <c r="AM76" i="25"/>
  <c r="C717" i="174" l="1"/>
  <c r="W717" i="174" s="1"/>
  <c r="C707" i="174"/>
  <c r="W707" i="174" s="1"/>
  <c r="C672" i="174"/>
  <c r="W672" i="174" s="1"/>
  <c r="C681" i="174"/>
  <c r="W681" i="174" s="1"/>
  <c r="C698" i="174"/>
  <c r="W698" i="174" s="1"/>
  <c r="C689" i="174"/>
  <c r="W689" i="174" s="1"/>
  <c r="T13" i="189"/>
  <c r="S13" i="189"/>
  <c r="R13" i="189"/>
  <c r="G13" i="189"/>
  <c r="Q13" i="189" s="1"/>
  <c r="B13" i="189"/>
  <c r="P13" i="189" s="1"/>
  <c r="T14" i="189"/>
  <c r="S14" i="189"/>
  <c r="R14" i="189"/>
  <c r="G14" i="189"/>
  <c r="Q14" i="189" s="1"/>
  <c r="B14" i="189"/>
  <c r="P14" i="189" s="1"/>
  <c r="T13" i="358"/>
  <c r="S13" i="358"/>
  <c r="R13" i="358"/>
  <c r="G13" i="358"/>
  <c r="Q13" i="358" s="1"/>
  <c r="B13" i="358"/>
  <c r="P13" i="358" s="1"/>
  <c r="T15" i="358"/>
  <c r="S15" i="358"/>
  <c r="R15" i="358"/>
  <c r="G15" i="358"/>
  <c r="Q15" i="358" s="1"/>
  <c r="B15" i="358"/>
  <c r="P15" i="358" s="1"/>
  <c r="T14" i="358"/>
  <c r="S14" i="358"/>
  <c r="R14" i="358"/>
  <c r="G14" i="358"/>
  <c r="Q14" i="358" s="1"/>
  <c r="B14" i="358"/>
  <c r="P14" i="358" s="1"/>
  <c r="T18" i="358"/>
  <c r="S18" i="358"/>
  <c r="R18" i="358"/>
  <c r="G18" i="358"/>
  <c r="Q18" i="358" s="1"/>
  <c r="B18" i="358"/>
  <c r="P18" i="358" s="1"/>
  <c r="T17" i="358"/>
  <c r="S17" i="358"/>
  <c r="R17" i="358"/>
  <c r="G17" i="358"/>
  <c r="Q17" i="358" s="1"/>
  <c r="B17" i="358"/>
  <c r="P17" i="358" s="1"/>
  <c r="T16" i="358"/>
  <c r="S16" i="358"/>
  <c r="R16" i="358"/>
  <c r="G16" i="358"/>
  <c r="Q16" i="358" s="1"/>
  <c r="B16" i="358"/>
  <c r="P16" i="358" s="1"/>
  <c r="B154" i="25" l="1"/>
  <c r="O154" i="25" s="1"/>
  <c r="A154" i="25"/>
  <c r="AM154" i="25"/>
  <c r="BK154" i="25" l="1"/>
  <c r="R439" i="178"/>
  <c r="C437" i="178" s="1"/>
  <c r="W437" i="178" s="1"/>
  <c r="W435" i="178"/>
  <c r="R427" i="178"/>
  <c r="C425" i="178" s="1"/>
  <c r="W425" i="178" s="1"/>
  <c r="W423" i="178"/>
  <c r="R415" i="178"/>
  <c r="C413" i="178" s="1"/>
  <c r="W413" i="178" s="1"/>
  <c r="W411" i="178"/>
  <c r="R403" i="178"/>
  <c r="C401" i="178" s="1"/>
  <c r="W401" i="178" s="1"/>
  <c r="W399" i="178"/>
  <c r="R391" i="178"/>
  <c r="C389" i="178" s="1"/>
  <c r="W389" i="178" s="1"/>
  <c r="W387" i="178"/>
  <c r="R379" i="178"/>
  <c r="C377" i="178" s="1"/>
  <c r="W377" i="178" s="1"/>
  <c r="W375" i="178"/>
  <c r="R367" i="178"/>
  <c r="C365" i="178" s="1"/>
  <c r="W365" i="178" s="1"/>
  <c r="W363" i="178"/>
  <c r="C424" i="178" l="1"/>
  <c r="W424" i="178" s="1"/>
  <c r="C400" i="178"/>
  <c r="W400" i="178" s="1"/>
  <c r="C436" i="178"/>
  <c r="W436" i="178" s="1"/>
  <c r="C412" i="178"/>
  <c r="W412" i="178" s="1"/>
  <c r="C388" i="178"/>
  <c r="W388" i="178" s="1"/>
  <c r="C376" i="178"/>
  <c r="W376" i="178" s="1"/>
  <c r="C364" i="178"/>
  <c r="W364" i="178" s="1"/>
  <c r="R355" i="178"/>
  <c r="C353" i="178" s="1"/>
  <c r="W353" i="178" s="1"/>
  <c r="W351" i="178"/>
  <c r="R343" i="178"/>
  <c r="C341" i="178" s="1"/>
  <c r="W341" i="178" s="1"/>
  <c r="W339" i="178"/>
  <c r="R331" i="178"/>
  <c r="C329" i="178" s="1"/>
  <c r="W329" i="178" s="1"/>
  <c r="W327" i="178"/>
  <c r="R319" i="178"/>
  <c r="C317" i="178" s="1"/>
  <c r="W317" i="178" s="1"/>
  <c r="W315" i="178"/>
  <c r="R307" i="178"/>
  <c r="C305" i="178" s="1"/>
  <c r="W305" i="178" s="1"/>
  <c r="W303" i="178"/>
  <c r="R295" i="178"/>
  <c r="C293" i="178" s="1"/>
  <c r="W293" i="178" s="1"/>
  <c r="W291" i="178"/>
  <c r="R283" i="178"/>
  <c r="C281" i="178" s="1"/>
  <c r="W281" i="178" s="1"/>
  <c r="W279" i="178"/>
  <c r="R271" i="178"/>
  <c r="C269" i="178" s="1"/>
  <c r="W269" i="178" s="1"/>
  <c r="W267" i="178"/>
  <c r="R199" i="178"/>
  <c r="C197" i="178" s="1"/>
  <c r="W197" i="178" s="1"/>
  <c r="W195" i="178"/>
  <c r="R187" i="178"/>
  <c r="C185" i="178" s="1"/>
  <c r="W185" i="178" s="1"/>
  <c r="W183" i="178"/>
  <c r="R175" i="178"/>
  <c r="C173" i="178" s="1"/>
  <c r="W173" i="178" s="1"/>
  <c r="W171" i="178"/>
  <c r="R91" i="178"/>
  <c r="C89" i="178" s="1"/>
  <c r="W89" i="178" s="1"/>
  <c r="W87" i="178"/>
  <c r="R79" i="178"/>
  <c r="C76" i="178" s="1"/>
  <c r="W76" i="178" s="1"/>
  <c r="W75" i="178"/>
  <c r="R67" i="178"/>
  <c r="C65" i="178" s="1"/>
  <c r="W65" i="178" s="1"/>
  <c r="W63" i="178"/>
  <c r="R55" i="178"/>
  <c r="C53" i="178" s="1"/>
  <c r="W53" i="178" s="1"/>
  <c r="W51" i="178"/>
  <c r="R43" i="178"/>
  <c r="C41" i="178" s="1"/>
  <c r="W41" i="178" s="1"/>
  <c r="W39" i="178"/>
  <c r="R19" i="178"/>
  <c r="C17" i="178" s="1"/>
  <c r="W17" i="178" s="1"/>
  <c r="W15" i="178"/>
  <c r="R7" i="178"/>
  <c r="C4" i="178" s="1"/>
  <c r="W4" i="178" s="1"/>
  <c r="W3" i="178"/>
  <c r="C292" i="178" l="1"/>
  <c r="W292" i="178" s="1"/>
  <c r="C316" i="178"/>
  <c r="W316" i="178" s="1"/>
  <c r="C16" i="178"/>
  <c r="W16" i="178" s="1"/>
  <c r="C40" i="178"/>
  <c r="W40" i="178" s="1"/>
  <c r="C184" i="178"/>
  <c r="W184" i="178" s="1"/>
  <c r="C52" i="178"/>
  <c r="W52" i="178" s="1"/>
  <c r="C268" i="178"/>
  <c r="W268" i="178" s="1"/>
  <c r="C352" i="178"/>
  <c r="W352" i="178" s="1"/>
  <c r="C340" i="178"/>
  <c r="W340" i="178" s="1"/>
  <c r="C328" i="178"/>
  <c r="W328" i="178" s="1"/>
  <c r="C304" i="178"/>
  <c r="W304" i="178" s="1"/>
  <c r="C280" i="178"/>
  <c r="W280" i="178" s="1"/>
  <c r="C196" i="178"/>
  <c r="W196" i="178" s="1"/>
  <c r="C172" i="178"/>
  <c r="W172" i="178" s="1"/>
  <c r="C88" i="178"/>
  <c r="W88" i="178" s="1"/>
  <c r="C77" i="178"/>
  <c r="W77" i="178" s="1"/>
  <c r="C64" i="178"/>
  <c r="W64" i="178" s="1"/>
  <c r="C5" i="178"/>
  <c r="W5" i="178" s="1"/>
  <c r="W23" i="177"/>
  <c r="E25" i="177"/>
  <c r="W22" i="177"/>
  <c r="T25" i="177"/>
  <c r="W21" i="177"/>
  <c r="C4" i="177"/>
  <c r="E13" i="177"/>
  <c r="T7" i="177"/>
  <c r="B107" i="25" l="1"/>
  <c r="B6" i="25"/>
  <c r="D9" i="357" l="1"/>
  <c r="AJ21" i="357"/>
  <c r="T21" i="357"/>
  <c r="S21" i="357"/>
  <c r="R21" i="357"/>
  <c r="G21" i="357"/>
  <c r="Q21" i="357" s="1"/>
  <c r="B21" i="357"/>
  <c r="P21" i="357" s="1"/>
  <c r="AJ20" i="357"/>
  <c r="T20" i="357"/>
  <c r="S20" i="357"/>
  <c r="R20" i="357"/>
  <c r="G20" i="357"/>
  <c r="Q20" i="357" s="1"/>
  <c r="B20" i="357"/>
  <c r="P20" i="357" s="1"/>
  <c r="AJ19" i="357"/>
  <c r="T19" i="357"/>
  <c r="S19" i="357"/>
  <c r="R19" i="357"/>
  <c r="G19" i="357"/>
  <c r="Q19" i="357" s="1"/>
  <c r="B19" i="357"/>
  <c r="P19" i="357" s="1"/>
  <c r="AJ18" i="357"/>
  <c r="T18" i="357"/>
  <c r="S18" i="357"/>
  <c r="R18" i="357"/>
  <c r="G18" i="357"/>
  <c r="Q18" i="357" s="1"/>
  <c r="B18" i="357"/>
  <c r="P18" i="357" s="1"/>
  <c r="AJ17" i="357"/>
  <c r="T17" i="357"/>
  <c r="S17" i="357"/>
  <c r="R17" i="357"/>
  <c r="G17" i="357"/>
  <c r="Q17" i="357" s="1"/>
  <c r="B17" i="357"/>
  <c r="P17" i="357" s="1"/>
  <c r="AJ16" i="357"/>
  <c r="T16" i="357"/>
  <c r="S16" i="357"/>
  <c r="R16" i="357"/>
  <c r="G16" i="357"/>
  <c r="Q16" i="357" s="1"/>
  <c r="B16" i="357"/>
  <c r="P16" i="357" s="1"/>
  <c r="AJ15" i="357"/>
  <c r="T15" i="357"/>
  <c r="S15" i="357"/>
  <c r="R15" i="357"/>
  <c r="G15" i="357"/>
  <c r="Q15" i="357" s="1"/>
  <c r="B15" i="357"/>
  <c r="P15" i="357" s="1"/>
  <c r="AJ14" i="357"/>
  <c r="T14" i="357"/>
  <c r="S14" i="357"/>
  <c r="R14" i="357"/>
  <c r="G14" i="357"/>
  <c r="Q14" i="357" s="1"/>
  <c r="B14" i="357"/>
  <c r="P14" i="357" s="1"/>
  <c r="AJ13" i="357"/>
  <c r="T13" i="357"/>
  <c r="S13" i="357"/>
  <c r="R13" i="357"/>
  <c r="G13" i="357"/>
  <c r="Q13" i="357" s="1"/>
  <c r="B13" i="357"/>
  <c r="P13" i="357" s="1"/>
  <c r="D9" i="356"/>
  <c r="AJ33" i="356"/>
  <c r="T33" i="356"/>
  <c r="S33" i="356"/>
  <c r="R33" i="356"/>
  <c r="G33" i="356"/>
  <c r="Q33" i="356" s="1"/>
  <c r="B33" i="356"/>
  <c r="P33" i="356" s="1"/>
  <c r="AJ32" i="356"/>
  <c r="T32" i="356"/>
  <c r="S32" i="356"/>
  <c r="R32" i="356"/>
  <c r="G32" i="356"/>
  <c r="Q32" i="356" s="1"/>
  <c r="B32" i="356"/>
  <c r="P32" i="356" s="1"/>
  <c r="AJ31" i="356"/>
  <c r="T31" i="356"/>
  <c r="S31" i="356"/>
  <c r="R31" i="356"/>
  <c r="G31" i="356"/>
  <c r="Q31" i="356" s="1"/>
  <c r="B31" i="356"/>
  <c r="P31" i="356" s="1"/>
  <c r="AJ30" i="356"/>
  <c r="T30" i="356"/>
  <c r="S30" i="356"/>
  <c r="R30" i="356"/>
  <c r="G30" i="356"/>
  <c r="Q30" i="356" s="1"/>
  <c r="B30" i="356"/>
  <c r="P30" i="356" s="1"/>
  <c r="AJ29" i="356"/>
  <c r="T29" i="356"/>
  <c r="S29" i="356"/>
  <c r="R29" i="356"/>
  <c r="G29" i="356"/>
  <c r="Q29" i="356" s="1"/>
  <c r="B29" i="356"/>
  <c r="P29" i="356" s="1"/>
  <c r="AJ28" i="356"/>
  <c r="T28" i="356"/>
  <c r="S28" i="356"/>
  <c r="R28" i="356"/>
  <c r="G28" i="356"/>
  <c r="Q28" i="356" s="1"/>
  <c r="B28" i="356"/>
  <c r="P28" i="356" s="1"/>
  <c r="AJ27" i="356"/>
  <c r="T27" i="356"/>
  <c r="S27" i="356"/>
  <c r="R27" i="356"/>
  <c r="G27" i="356"/>
  <c r="Q27" i="356" s="1"/>
  <c r="B27" i="356"/>
  <c r="P27" i="356" s="1"/>
  <c r="AJ26" i="356"/>
  <c r="T26" i="356"/>
  <c r="S26" i="356"/>
  <c r="R26" i="356"/>
  <c r="G26" i="356"/>
  <c r="Q26" i="356" s="1"/>
  <c r="B26" i="356"/>
  <c r="P26" i="356" s="1"/>
  <c r="AJ25" i="356"/>
  <c r="T25" i="356"/>
  <c r="S25" i="356"/>
  <c r="R25" i="356"/>
  <c r="G25" i="356"/>
  <c r="Q25" i="356" s="1"/>
  <c r="B25" i="356"/>
  <c r="P25" i="356" s="1"/>
  <c r="AJ24" i="356"/>
  <c r="T24" i="356"/>
  <c r="S24" i="356"/>
  <c r="R24" i="356"/>
  <c r="G24" i="356"/>
  <c r="Q24" i="356" s="1"/>
  <c r="B24" i="356"/>
  <c r="P24" i="356" s="1"/>
  <c r="AJ23" i="356"/>
  <c r="T23" i="356"/>
  <c r="S23" i="356"/>
  <c r="R23" i="356"/>
  <c r="G23" i="356"/>
  <c r="Q23" i="356" s="1"/>
  <c r="B23" i="356"/>
  <c r="P23" i="356" s="1"/>
  <c r="AJ22" i="356"/>
  <c r="T22" i="356"/>
  <c r="S22" i="356"/>
  <c r="R22" i="356"/>
  <c r="G22" i="356"/>
  <c r="Q22" i="356" s="1"/>
  <c r="B22" i="356"/>
  <c r="P22" i="356" s="1"/>
  <c r="AJ21" i="356"/>
  <c r="T21" i="356"/>
  <c r="S21" i="356"/>
  <c r="R21" i="356"/>
  <c r="G21" i="356"/>
  <c r="Q21" i="356" s="1"/>
  <c r="B21" i="356"/>
  <c r="P21" i="356" s="1"/>
  <c r="AJ20" i="356"/>
  <c r="T20" i="356"/>
  <c r="S20" i="356"/>
  <c r="R20" i="356"/>
  <c r="G20" i="356"/>
  <c r="Q20" i="356" s="1"/>
  <c r="B20" i="356"/>
  <c r="P20" i="356" s="1"/>
  <c r="AJ19" i="356"/>
  <c r="T19" i="356"/>
  <c r="S19" i="356"/>
  <c r="R19" i="356"/>
  <c r="G19" i="356"/>
  <c r="Q19" i="356" s="1"/>
  <c r="B19" i="356"/>
  <c r="P19" i="356" s="1"/>
  <c r="AJ18" i="356"/>
  <c r="T18" i="356"/>
  <c r="S18" i="356"/>
  <c r="R18" i="356"/>
  <c r="G18" i="356"/>
  <c r="Q18" i="356" s="1"/>
  <c r="B18" i="356"/>
  <c r="P18" i="356" s="1"/>
  <c r="AJ17" i="356"/>
  <c r="T17" i="356"/>
  <c r="S17" i="356"/>
  <c r="R17" i="356"/>
  <c r="G17" i="356"/>
  <c r="Q17" i="356" s="1"/>
  <c r="B17" i="356"/>
  <c r="P17" i="356" s="1"/>
  <c r="AJ16" i="356"/>
  <c r="T16" i="356"/>
  <c r="S16" i="356"/>
  <c r="R16" i="356"/>
  <c r="G16" i="356"/>
  <c r="Q16" i="356" s="1"/>
  <c r="B16" i="356"/>
  <c r="P16" i="356" s="1"/>
  <c r="AJ15" i="356"/>
  <c r="T15" i="356"/>
  <c r="S15" i="356"/>
  <c r="R15" i="356"/>
  <c r="G15" i="356"/>
  <c r="Q15" i="356" s="1"/>
  <c r="B15" i="356"/>
  <c r="P15" i="356" s="1"/>
  <c r="AJ14" i="356"/>
  <c r="T14" i="356"/>
  <c r="S14" i="356"/>
  <c r="R14" i="356"/>
  <c r="G14" i="356"/>
  <c r="Q14" i="356" s="1"/>
  <c r="B14" i="356"/>
  <c r="P14" i="356" s="1"/>
  <c r="AJ13" i="356"/>
  <c r="T13" i="356"/>
  <c r="S13" i="356"/>
  <c r="R13" i="356"/>
  <c r="G13" i="356"/>
  <c r="Q13" i="356" s="1"/>
  <c r="B13" i="356"/>
  <c r="P13" i="356" s="1"/>
  <c r="D9" i="355"/>
  <c r="AJ20" i="355"/>
  <c r="T20" i="355"/>
  <c r="S20" i="355"/>
  <c r="R20" i="355"/>
  <c r="G20" i="355"/>
  <c r="Q20" i="355" s="1"/>
  <c r="B20" i="355"/>
  <c r="P20" i="355" s="1"/>
  <c r="AJ19" i="355"/>
  <c r="T19" i="355"/>
  <c r="S19" i="355"/>
  <c r="R19" i="355"/>
  <c r="G19" i="355"/>
  <c r="Q19" i="355" s="1"/>
  <c r="B19" i="355"/>
  <c r="P19" i="355" s="1"/>
  <c r="AJ18" i="355"/>
  <c r="T18" i="355"/>
  <c r="S18" i="355"/>
  <c r="R18" i="355"/>
  <c r="G18" i="355"/>
  <c r="Q18" i="355" s="1"/>
  <c r="B18" i="355"/>
  <c r="P18" i="355" s="1"/>
  <c r="AJ17" i="355"/>
  <c r="T17" i="355"/>
  <c r="S17" i="355"/>
  <c r="R17" i="355"/>
  <c r="G17" i="355"/>
  <c r="Q17" i="355" s="1"/>
  <c r="B17" i="355"/>
  <c r="P17" i="355" s="1"/>
  <c r="AJ16" i="355"/>
  <c r="T16" i="355"/>
  <c r="S16" i="355"/>
  <c r="R16" i="355"/>
  <c r="G16" i="355"/>
  <c r="Q16" i="355" s="1"/>
  <c r="B16" i="355"/>
  <c r="P16" i="355" s="1"/>
  <c r="AJ15" i="355"/>
  <c r="T15" i="355"/>
  <c r="S15" i="355"/>
  <c r="R15" i="355"/>
  <c r="G15" i="355"/>
  <c r="Q15" i="355" s="1"/>
  <c r="B15" i="355"/>
  <c r="P15" i="355" s="1"/>
  <c r="AJ14" i="355"/>
  <c r="T14" i="355"/>
  <c r="S14" i="355"/>
  <c r="R14" i="355"/>
  <c r="G14" i="355"/>
  <c r="Q14" i="355" s="1"/>
  <c r="B14" i="355"/>
  <c r="P14" i="355" s="1"/>
  <c r="AJ13" i="355"/>
  <c r="T13" i="355"/>
  <c r="S13" i="355"/>
  <c r="R13" i="355"/>
  <c r="G13" i="355"/>
  <c r="Q13" i="355" s="1"/>
  <c r="B13" i="355"/>
  <c r="P13" i="355" s="1"/>
  <c r="D9" i="354"/>
  <c r="AJ22" i="354"/>
  <c r="T22" i="354"/>
  <c r="S22" i="354"/>
  <c r="R22" i="354"/>
  <c r="G22" i="354"/>
  <c r="Q22" i="354" s="1"/>
  <c r="B22" i="354"/>
  <c r="P22" i="354" s="1"/>
  <c r="AJ21" i="354"/>
  <c r="T21" i="354"/>
  <c r="S21" i="354"/>
  <c r="R21" i="354"/>
  <c r="G21" i="354"/>
  <c r="Q21" i="354" s="1"/>
  <c r="B21" i="354"/>
  <c r="P21" i="354" s="1"/>
  <c r="AJ20" i="354"/>
  <c r="T20" i="354"/>
  <c r="S20" i="354"/>
  <c r="R20" i="354"/>
  <c r="G20" i="354"/>
  <c r="Q20" i="354" s="1"/>
  <c r="B20" i="354"/>
  <c r="P20" i="354" s="1"/>
  <c r="AJ19" i="354"/>
  <c r="T19" i="354"/>
  <c r="S19" i="354"/>
  <c r="R19" i="354"/>
  <c r="G19" i="354"/>
  <c r="Q19" i="354" s="1"/>
  <c r="B19" i="354"/>
  <c r="P19" i="354" s="1"/>
  <c r="AJ18" i="354"/>
  <c r="T18" i="354"/>
  <c r="S18" i="354"/>
  <c r="R18" i="354"/>
  <c r="G18" i="354"/>
  <c r="Q18" i="354" s="1"/>
  <c r="B18" i="354"/>
  <c r="P18" i="354" s="1"/>
  <c r="AJ17" i="354"/>
  <c r="T17" i="354"/>
  <c r="S17" i="354"/>
  <c r="R17" i="354"/>
  <c r="G17" i="354"/>
  <c r="Q17" i="354" s="1"/>
  <c r="B17" i="354"/>
  <c r="P17" i="354" s="1"/>
  <c r="AJ16" i="354"/>
  <c r="T16" i="354"/>
  <c r="S16" i="354"/>
  <c r="R16" i="354"/>
  <c r="G16" i="354"/>
  <c r="Q16" i="354" s="1"/>
  <c r="B16" i="354"/>
  <c r="P16" i="354" s="1"/>
  <c r="AJ15" i="354"/>
  <c r="T15" i="354"/>
  <c r="S15" i="354"/>
  <c r="R15" i="354"/>
  <c r="G15" i="354"/>
  <c r="Q15" i="354" s="1"/>
  <c r="B15" i="354"/>
  <c r="P15" i="354" s="1"/>
  <c r="AJ14" i="354"/>
  <c r="T14" i="354"/>
  <c r="S14" i="354"/>
  <c r="R14" i="354"/>
  <c r="G14" i="354"/>
  <c r="Q14" i="354" s="1"/>
  <c r="B14" i="354"/>
  <c r="P14" i="354" s="1"/>
  <c r="AJ13" i="354"/>
  <c r="T13" i="354"/>
  <c r="S13" i="354"/>
  <c r="R13" i="354"/>
  <c r="G13" i="354"/>
  <c r="Q13" i="354" s="1"/>
  <c r="B13" i="354"/>
  <c r="P13" i="354" s="1"/>
  <c r="D9" i="353"/>
  <c r="AJ21" i="353"/>
  <c r="T21" i="353"/>
  <c r="S21" i="353"/>
  <c r="R21" i="353"/>
  <c r="G21" i="353"/>
  <c r="Q21" i="353" s="1"/>
  <c r="B21" i="353"/>
  <c r="P21" i="353" s="1"/>
  <c r="AJ20" i="353"/>
  <c r="T20" i="353"/>
  <c r="S20" i="353"/>
  <c r="R20" i="353"/>
  <c r="G20" i="353"/>
  <c r="Q20" i="353" s="1"/>
  <c r="B20" i="353"/>
  <c r="P20" i="353" s="1"/>
  <c r="AJ19" i="353"/>
  <c r="T19" i="353"/>
  <c r="S19" i="353"/>
  <c r="R19" i="353"/>
  <c r="G19" i="353"/>
  <c r="Q19" i="353" s="1"/>
  <c r="B19" i="353"/>
  <c r="P19" i="353" s="1"/>
  <c r="AJ18" i="353"/>
  <c r="T18" i="353"/>
  <c r="S18" i="353"/>
  <c r="R18" i="353"/>
  <c r="G18" i="353"/>
  <c r="Q18" i="353" s="1"/>
  <c r="B18" i="353"/>
  <c r="P18" i="353" s="1"/>
  <c r="AJ17" i="353"/>
  <c r="T17" i="353"/>
  <c r="S17" i="353"/>
  <c r="R17" i="353"/>
  <c r="G17" i="353"/>
  <c r="Q17" i="353" s="1"/>
  <c r="B17" i="353"/>
  <c r="P17" i="353" s="1"/>
  <c r="AJ16" i="353"/>
  <c r="T16" i="353"/>
  <c r="S16" i="353"/>
  <c r="R16" i="353"/>
  <c r="G16" i="353"/>
  <c r="Q16" i="353" s="1"/>
  <c r="B16" i="353"/>
  <c r="P16" i="353" s="1"/>
  <c r="AJ15" i="353"/>
  <c r="T15" i="353"/>
  <c r="S15" i="353"/>
  <c r="R15" i="353"/>
  <c r="G15" i="353"/>
  <c r="Q15" i="353" s="1"/>
  <c r="B15" i="353"/>
  <c r="P15" i="353" s="1"/>
  <c r="AJ14" i="353"/>
  <c r="T14" i="353"/>
  <c r="S14" i="353"/>
  <c r="R14" i="353"/>
  <c r="G14" i="353"/>
  <c r="Q14" i="353" s="1"/>
  <c r="B14" i="353"/>
  <c r="P14" i="353" s="1"/>
  <c r="AJ13" i="353"/>
  <c r="T13" i="353"/>
  <c r="S13" i="353"/>
  <c r="R13" i="353"/>
  <c r="G13" i="353"/>
  <c r="Q13" i="353" s="1"/>
  <c r="B13" i="353"/>
  <c r="P13" i="353" s="1"/>
  <c r="D9" i="352"/>
  <c r="AJ23" i="352"/>
  <c r="T23" i="352"/>
  <c r="S23" i="352"/>
  <c r="G23" i="352"/>
  <c r="R23" i="352" s="1"/>
  <c r="B23" i="352"/>
  <c r="P23" i="352" s="1"/>
  <c r="AJ22" i="352"/>
  <c r="T22" i="352"/>
  <c r="S22" i="352"/>
  <c r="G22" i="352"/>
  <c r="R22" i="352" s="1"/>
  <c r="B22" i="352"/>
  <c r="P22" i="352" s="1"/>
  <c r="AJ21" i="352"/>
  <c r="T21" i="352"/>
  <c r="S21" i="352"/>
  <c r="R21" i="352"/>
  <c r="G21" i="352"/>
  <c r="Q21" i="352" s="1"/>
  <c r="B21" i="352"/>
  <c r="P21" i="352" s="1"/>
  <c r="AJ20" i="352"/>
  <c r="T20" i="352"/>
  <c r="S20" i="352"/>
  <c r="R20" i="352"/>
  <c r="G20" i="352"/>
  <c r="Q20" i="352" s="1"/>
  <c r="B20" i="352"/>
  <c r="P20" i="352" s="1"/>
  <c r="AJ19" i="352"/>
  <c r="T19" i="352"/>
  <c r="S19" i="352"/>
  <c r="R19" i="352"/>
  <c r="G19" i="352"/>
  <c r="Q19" i="352" s="1"/>
  <c r="B19" i="352"/>
  <c r="P19" i="352" s="1"/>
  <c r="AJ18" i="352"/>
  <c r="T18" i="352"/>
  <c r="S18" i="352"/>
  <c r="R18" i="352"/>
  <c r="G18" i="352"/>
  <c r="Q18" i="352" s="1"/>
  <c r="B18" i="352"/>
  <c r="P18" i="352" s="1"/>
  <c r="AJ17" i="352"/>
  <c r="T17" i="352"/>
  <c r="S17" i="352"/>
  <c r="R17" i="352"/>
  <c r="G17" i="352"/>
  <c r="Q17" i="352" s="1"/>
  <c r="B17" i="352"/>
  <c r="P17" i="352" s="1"/>
  <c r="AJ16" i="352"/>
  <c r="T16" i="352"/>
  <c r="S16" i="352"/>
  <c r="R16" i="352"/>
  <c r="G16" i="352"/>
  <c r="Q16" i="352" s="1"/>
  <c r="B16" i="352"/>
  <c r="P16" i="352" s="1"/>
  <c r="AJ15" i="352"/>
  <c r="T15" i="352"/>
  <c r="S15" i="352"/>
  <c r="R15" i="352"/>
  <c r="G15" i="352"/>
  <c r="Q15" i="352" s="1"/>
  <c r="B15" i="352"/>
  <c r="P15" i="352" s="1"/>
  <c r="AJ14" i="352"/>
  <c r="T14" i="352"/>
  <c r="S14" i="352"/>
  <c r="R14" i="352"/>
  <c r="G14" i="352"/>
  <c r="Q14" i="352" s="1"/>
  <c r="B14" i="352"/>
  <c r="P14" i="352" s="1"/>
  <c r="AJ13" i="352"/>
  <c r="T13" i="352"/>
  <c r="S13" i="352"/>
  <c r="R13" i="352"/>
  <c r="G13" i="352"/>
  <c r="Q13" i="352" s="1"/>
  <c r="B13" i="352"/>
  <c r="P13" i="352" s="1"/>
  <c r="D9" i="351"/>
  <c r="AJ21" i="351"/>
  <c r="T21" i="351"/>
  <c r="S21" i="351"/>
  <c r="R21" i="351"/>
  <c r="G21" i="351"/>
  <c r="Q21" i="351" s="1"/>
  <c r="B21" i="351"/>
  <c r="P21" i="351" s="1"/>
  <c r="AJ20" i="351"/>
  <c r="T20" i="351"/>
  <c r="S20" i="351"/>
  <c r="R20" i="351"/>
  <c r="G20" i="351"/>
  <c r="Q20" i="351" s="1"/>
  <c r="B20" i="351"/>
  <c r="P20" i="351" s="1"/>
  <c r="AJ19" i="351"/>
  <c r="T19" i="351"/>
  <c r="S19" i="351"/>
  <c r="R19" i="351"/>
  <c r="G19" i="351"/>
  <c r="Q19" i="351" s="1"/>
  <c r="B19" i="351"/>
  <c r="P19" i="351" s="1"/>
  <c r="AJ18" i="351"/>
  <c r="T18" i="351"/>
  <c r="S18" i="351"/>
  <c r="R18" i="351"/>
  <c r="G18" i="351"/>
  <c r="Q18" i="351" s="1"/>
  <c r="B18" i="351"/>
  <c r="P18" i="351" s="1"/>
  <c r="AJ17" i="351"/>
  <c r="T17" i="351"/>
  <c r="S17" i="351"/>
  <c r="R17" i="351"/>
  <c r="G17" i="351"/>
  <c r="Q17" i="351" s="1"/>
  <c r="B17" i="351"/>
  <c r="P17" i="351" s="1"/>
  <c r="AJ16" i="351"/>
  <c r="T16" i="351"/>
  <c r="S16" i="351"/>
  <c r="R16" i="351"/>
  <c r="G16" i="351"/>
  <c r="Q16" i="351" s="1"/>
  <c r="B16" i="351"/>
  <c r="P16" i="351" s="1"/>
  <c r="AJ15" i="351"/>
  <c r="T15" i="351"/>
  <c r="S15" i="351"/>
  <c r="R15" i="351"/>
  <c r="G15" i="351"/>
  <c r="Q15" i="351" s="1"/>
  <c r="B15" i="351"/>
  <c r="P15" i="351" s="1"/>
  <c r="AJ14" i="351"/>
  <c r="T14" i="351"/>
  <c r="S14" i="351"/>
  <c r="R14" i="351"/>
  <c r="G14" i="351"/>
  <c r="Q14" i="351" s="1"/>
  <c r="B14" i="351"/>
  <c r="P14" i="351" s="1"/>
  <c r="AJ13" i="351"/>
  <c r="T13" i="351"/>
  <c r="S13" i="351"/>
  <c r="R13" i="351"/>
  <c r="G13" i="351"/>
  <c r="Q13" i="351" s="1"/>
  <c r="B13" i="351"/>
  <c r="P13" i="351" s="1"/>
  <c r="D9" i="350"/>
  <c r="AJ19" i="350"/>
  <c r="T19" i="350"/>
  <c r="S19" i="350"/>
  <c r="R19" i="350"/>
  <c r="G19" i="350"/>
  <c r="Q19" i="350" s="1"/>
  <c r="B19" i="350"/>
  <c r="P19" i="350" s="1"/>
  <c r="AJ18" i="350"/>
  <c r="T18" i="350"/>
  <c r="S18" i="350"/>
  <c r="R18" i="350"/>
  <c r="G18" i="350"/>
  <c r="Q18" i="350" s="1"/>
  <c r="B18" i="350"/>
  <c r="P18" i="350" s="1"/>
  <c r="AJ17" i="350"/>
  <c r="T17" i="350"/>
  <c r="S17" i="350"/>
  <c r="R17" i="350"/>
  <c r="G17" i="350"/>
  <c r="Q17" i="350" s="1"/>
  <c r="B17" i="350"/>
  <c r="P17" i="350" s="1"/>
  <c r="AJ16" i="350"/>
  <c r="T16" i="350"/>
  <c r="S16" i="350"/>
  <c r="R16" i="350"/>
  <c r="G16" i="350"/>
  <c r="Q16" i="350" s="1"/>
  <c r="B16" i="350"/>
  <c r="P16" i="350" s="1"/>
  <c r="AJ15" i="350"/>
  <c r="T15" i="350"/>
  <c r="S15" i="350"/>
  <c r="R15" i="350"/>
  <c r="G15" i="350"/>
  <c r="Q15" i="350" s="1"/>
  <c r="B15" i="350"/>
  <c r="P15" i="350" s="1"/>
  <c r="AJ14" i="350"/>
  <c r="T14" i="350"/>
  <c r="S14" i="350"/>
  <c r="R14" i="350"/>
  <c r="G14" i="350"/>
  <c r="Q14" i="350" s="1"/>
  <c r="B14" i="350"/>
  <c r="P14" i="350" s="1"/>
  <c r="AJ13" i="350"/>
  <c r="T13" i="350"/>
  <c r="S13" i="350"/>
  <c r="R13" i="350"/>
  <c r="G13" i="350"/>
  <c r="Q13" i="350" s="1"/>
  <c r="B13" i="350"/>
  <c r="P13" i="350" s="1"/>
  <c r="D9" i="349"/>
  <c r="AJ36" i="349"/>
  <c r="T36" i="349"/>
  <c r="S36" i="349"/>
  <c r="R36" i="349"/>
  <c r="G36" i="349"/>
  <c r="Q36" i="349" s="1"/>
  <c r="B36" i="349"/>
  <c r="P36" i="349" s="1"/>
  <c r="AJ35" i="349"/>
  <c r="T35" i="349"/>
  <c r="S35" i="349"/>
  <c r="R35" i="349"/>
  <c r="G35" i="349"/>
  <c r="Q35" i="349" s="1"/>
  <c r="B35" i="349"/>
  <c r="P35" i="349" s="1"/>
  <c r="AJ34" i="349"/>
  <c r="T34" i="349"/>
  <c r="S34" i="349"/>
  <c r="R34" i="349"/>
  <c r="G34" i="349"/>
  <c r="Q34" i="349" s="1"/>
  <c r="B34" i="349"/>
  <c r="P34" i="349" s="1"/>
  <c r="AJ33" i="349"/>
  <c r="T33" i="349"/>
  <c r="S33" i="349"/>
  <c r="R33" i="349"/>
  <c r="G33" i="349"/>
  <c r="Q33" i="349" s="1"/>
  <c r="B33" i="349"/>
  <c r="P33" i="349" s="1"/>
  <c r="AJ32" i="349"/>
  <c r="T32" i="349"/>
  <c r="S32" i="349"/>
  <c r="R32" i="349"/>
  <c r="G32" i="349"/>
  <c r="Q32" i="349" s="1"/>
  <c r="B32" i="349"/>
  <c r="P32" i="349" s="1"/>
  <c r="AJ31" i="349"/>
  <c r="T31" i="349"/>
  <c r="S31" i="349"/>
  <c r="R31" i="349"/>
  <c r="G31" i="349"/>
  <c r="Q31" i="349" s="1"/>
  <c r="B31" i="349"/>
  <c r="P31" i="349" s="1"/>
  <c r="AJ30" i="349"/>
  <c r="T30" i="349"/>
  <c r="S30" i="349"/>
  <c r="R30" i="349"/>
  <c r="G30" i="349"/>
  <c r="Q30" i="349" s="1"/>
  <c r="B30" i="349"/>
  <c r="P30" i="349" s="1"/>
  <c r="AJ29" i="349"/>
  <c r="T29" i="349"/>
  <c r="S29" i="349"/>
  <c r="R29" i="349"/>
  <c r="G29" i="349"/>
  <c r="Q29" i="349" s="1"/>
  <c r="B29" i="349"/>
  <c r="P29" i="349" s="1"/>
  <c r="AJ28" i="349"/>
  <c r="T28" i="349"/>
  <c r="S28" i="349"/>
  <c r="R28" i="349"/>
  <c r="G28" i="349"/>
  <c r="Q28" i="349" s="1"/>
  <c r="B28" i="349"/>
  <c r="P28" i="349" s="1"/>
  <c r="AJ27" i="349"/>
  <c r="T27" i="349"/>
  <c r="S27" i="349"/>
  <c r="R27" i="349"/>
  <c r="G27" i="349"/>
  <c r="Q27" i="349" s="1"/>
  <c r="B27" i="349"/>
  <c r="P27" i="349" s="1"/>
  <c r="AJ26" i="349"/>
  <c r="T26" i="349"/>
  <c r="S26" i="349"/>
  <c r="R26" i="349"/>
  <c r="G26" i="349"/>
  <c r="Q26" i="349" s="1"/>
  <c r="B26" i="349"/>
  <c r="P26" i="349" s="1"/>
  <c r="AJ25" i="349"/>
  <c r="T25" i="349"/>
  <c r="S25" i="349"/>
  <c r="R25" i="349"/>
  <c r="G25" i="349"/>
  <c r="Q25" i="349" s="1"/>
  <c r="B25" i="349"/>
  <c r="P25" i="349" s="1"/>
  <c r="AJ24" i="349"/>
  <c r="T24" i="349"/>
  <c r="S24" i="349"/>
  <c r="R24" i="349"/>
  <c r="G24" i="349"/>
  <c r="Q24" i="349" s="1"/>
  <c r="B24" i="349"/>
  <c r="P24" i="349" s="1"/>
  <c r="AJ23" i="349"/>
  <c r="T23" i="349"/>
  <c r="S23" i="349"/>
  <c r="R23" i="349"/>
  <c r="G23" i="349"/>
  <c r="Q23" i="349" s="1"/>
  <c r="B23" i="349"/>
  <c r="P23" i="349" s="1"/>
  <c r="AJ22" i="349"/>
  <c r="T22" i="349"/>
  <c r="S22" i="349"/>
  <c r="R22" i="349"/>
  <c r="G22" i="349"/>
  <c r="Q22" i="349" s="1"/>
  <c r="B22" i="349"/>
  <c r="P22" i="349" s="1"/>
  <c r="AJ21" i="349"/>
  <c r="T21" i="349"/>
  <c r="S21" i="349"/>
  <c r="R21" i="349"/>
  <c r="G21" i="349"/>
  <c r="Q21" i="349" s="1"/>
  <c r="B21" i="349"/>
  <c r="P21" i="349" s="1"/>
  <c r="AJ20" i="349"/>
  <c r="T20" i="349"/>
  <c r="S20" i="349"/>
  <c r="R20" i="349"/>
  <c r="G20" i="349"/>
  <c r="Q20" i="349" s="1"/>
  <c r="B20" i="349"/>
  <c r="P20" i="349" s="1"/>
  <c r="AJ19" i="349"/>
  <c r="T19" i="349"/>
  <c r="S19" i="349"/>
  <c r="R19" i="349"/>
  <c r="G19" i="349"/>
  <c r="Q19" i="349" s="1"/>
  <c r="B19" i="349"/>
  <c r="P19" i="349" s="1"/>
  <c r="AJ18" i="349"/>
  <c r="T18" i="349"/>
  <c r="S18" i="349"/>
  <c r="R18" i="349"/>
  <c r="G18" i="349"/>
  <c r="Q18" i="349" s="1"/>
  <c r="B18" i="349"/>
  <c r="P18" i="349" s="1"/>
  <c r="AJ17" i="349"/>
  <c r="T17" i="349"/>
  <c r="S17" i="349"/>
  <c r="R17" i="349"/>
  <c r="G17" i="349"/>
  <c r="Q17" i="349" s="1"/>
  <c r="B17" i="349"/>
  <c r="P17" i="349" s="1"/>
  <c r="AJ16" i="349"/>
  <c r="T16" i="349"/>
  <c r="S16" i="349"/>
  <c r="R16" i="349"/>
  <c r="G16" i="349"/>
  <c r="Q16" i="349" s="1"/>
  <c r="B16" i="349"/>
  <c r="P16" i="349" s="1"/>
  <c r="AJ15" i="349"/>
  <c r="T15" i="349"/>
  <c r="S15" i="349"/>
  <c r="R15" i="349"/>
  <c r="G15" i="349"/>
  <c r="Q15" i="349" s="1"/>
  <c r="B15" i="349"/>
  <c r="P15" i="349" s="1"/>
  <c r="AJ14" i="349"/>
  <c r="T14" i="349"/>
  <c r="S14" i="349"/>
  <c r="R14" i="349"/>
  <c r="G14" i="349"/>
  <c r="Q14" i="349" s="1"/>
  <c r="B14" i="349"/>
  <c r="P14" i="349" s="1"/>
  <c r="AJ13" i="349"/>
  <c r="T13" i="349"/>
  <c r="S13" i="349"/>
  <c r="R13" i="349"/>
  <c r="G13" i="349"/>
  <c r="Q13" i="349" s="1"/>
  <c r="B13" i="349"/>
  <c r="P13" i="349" s="1"/>
  <c r="D9" i="348"/>
  <c r="AJ32" i="348"/>
  <c r="T32" i="348"/>
  <c r="S32" i="348"/>
  <c r="R32" i="348"/>
  <c r="G32" i="348"/>
  <c r="Q32" i="348" s="1"/>
  <c r="B32" i="348"/>
  <c r="P32" i="348" s="1"/>
  <c r="AJ31" i="348"/>
  <c r="T31" i="348"/>
  <c r="S31" i="348"/>
  <c r="R31" i="348"/>
  <c r="G31" i="348"/>
  <c r="Q31" i="348" s="1"/>
  <c r="B31" i="348"/>
  <c r="P31" i="348" s="1"/>
  <c r="AJ30" i="348"/>
  <c r="T30" i="348"/>
  <c r="S30" i="348"/>
  <c r="R30" i="348"/>
  <c r="G30" i="348"/>
  <c r="Q30" i="348" s="1"/>
  <c r="B30" i="348"/>
  <c r="P30" i="348" s="1"/>
  <c r="AJ29" i="348"/>
  <c r="T29" i="348"/>
  <c r="S29" i="348"/>
  <c r="R29" i="348"/>
  <c r="G29" i="348"/>
  <c r="Q29" i="348" s="1"/>
  <c r="B29" i="348"/>
  <c r="P29" i="348" s="1"/>
  <c r="AJ28" i="348"/>
  <c r="T28" i="348"/>
  <c r="S28" i="348"/>
  <c r="R28" i="348"/>
  <c r="G28" i="348"/>
  <c r="Q28" i="348" s="1"/>
  <c r="B28" i="348"/>
  <c r="P28" i="348" s="1"/>
  <c r="AJ27" i="348"/>
  <c r="T27" i="348"/>
  <c r="S27" i="348"/>
  <c r="R27" i="348"/>
  <c r="G27" i="348"/>
  <c r="Q27" i="348" s="1"/>
  <c r="B27" i="348"/>
  <c r="P27" i="348" s="1"/>
  <c r="AJ26" i="348"/>
  <c r="T26" i="348"/>
  <c r="S26" i="348"/>
  <c r="R26" i="348"/>
  <c r="G26" i="348"/>
  <c r="Q26" i="348" s="1"/>
  <c r="B26" i="348"/>
  <c r="P26" i="348" s="1"/>
  <c r="AJ25" i="348"/>
  <c r="T25" i="348"/>
  <c r="S25" i="348"/>
  <c r="R25" i="348"/>
  <c r="G25" i="348"/>
  <c r="Q25" i="348" s="1"/>
  <c r="B25" i="348"/>
  <c r="P25" i="348" s="1"/>
  <c r="AJ24" i="348"/>
  <c r="T24" i="348"/>
  <c r="S24" i="348"/>
  <c r="R24" i="348"/>
  <c r="G24" i="348"/>
  <c r="Q24" i="348" s="1"/>
  <c r="B24" i="348"/>
  <c r="P24" i="348" s="1"/>
  <c r="AJ23" i="348"/>
  <c r="T23" i="348"/>
  <c r="S23" i="348"/>
  <c r="R23" i="348"/>
  <c r="G23" i="348"/>
  <c r="Q23" i="348" s="1"/>
  <c r="B23" i="348"/>
  <c r="P23" i="348" s="1"/>
  <c r="AJ22" i="348"/>
  <c r="T22" i="348"/>
  <c r="S22" i="348"/>
  <c r="R22" i="348"/>
  <c r="G22" i="348"/>
  <c r="Q22" i="348" s="1"/>
  <c r="B22" i="348"/>
  <c r="P22" i="348" s="1"/>
  <c r="AJ21" i="348"/>
  <c r="T21" i="348"/>
  <c r="S21" i="348"/>
  <c r="R21" i="348"/>
  <c r="G21" i="348"/>
  <c r="Q21" i="348" s="1"/>
  <c r="B21" i="348"/>
  <c r="P21" i="348" s="1"/>
  <c r="AJ20" i="348"/>
  <c r="T20" i="348"/>
  <c r="S20" i="348"/>
  <c r="R20" i="348"/>
  <c r="G20" i="348"/>
  <c r="Q20" i="348" s="1"/>
  <c r="B20" i="348"/>
  <c r="P20" i="348" s="1"/>
  <c r="AJ19" i="348"/>
  <c r="T19" i="348"/>
  <c r="S19" i="348"/>
  <c r="R19" i="348"/>
  <c r="G19" i="348"/>
  <c r="Q19" i="348" s="1"/>
  <c r="B19" i="348"/>
  <c r="P19" i="348" s="1"/>
  <c r="AJ18" i="348"/>
  <c r="T18" i="348"/>
  <c r="S18" i="348"/>
  <c r="R18" i="348"/>
  <c r="G18" i="348"/>
  <c r="Q18" i="348" s="1"/>
  <c r="B18" i="348"/>
  <c r="P18" i="348" s="1"/>
  <c r="AJ17" i="348"/>
  <c r="T17" i="348"/>
  <c r="S17" i="348"/>
  <c r="R17" i="348"/>
  <c r="G17" i="348"/>
  <c r="Q17" i="348" s="1"/>
  <c r="B17" i="348"/>
  <c r="P17" i="348" s="1"/>
  <c r="AJ16" i="348"/>
  <c r="T16" i="348"/>
  <c r="S16" i="348"/>
  <c r="R16" i="348"/>
  <c r="G16" i="348"/>
  <c r="Q16" i="348" s="1"/>
  <c r="B16" i="348"/>
  <c r="P16" i="348" s="1"/>
  <c r="AJ15" i="348"/>
  <c r="T15" i="348"/>
  <c r="S15" i="348"/>
  <c r="R15" i="348"/>
  <c r="G15" i="348"/>
  <c r="Q15" i="348" s="1"/>
  <c r="B15" i="348"/>
  <c r="P15" i="348" s="1"/>
  <c r="AJ14" i="348"/>
  <c r="T14" i="348"/>
  <c r="S14" i="348"/>
  <c r="R14" i="348"/>
  <c r="G14" i="348"/>
  <c r="Q14" i="348" s="1"/>
  <c r="B14" i="348"/>
  <c r="P14" i="348" s="1"/>
  <c r="AJ13" i="348"/>
  <c r="T13" i="348"/>
  <c r="S13" i="348"/>
  <c r="R13" i="348"/>
  <c r="G13" i="348"/>
  <c r="Q13" i="348" s="1"/>
  <c r="B13" i="348"/>
  <c r="P13" i="348" s="1"/>
  <c r="D9" i="347"/>
  <c r="AJ40" i="347"/>
  <c r="T40" i="347"/>
  <c r="S40" i="347"/>
  <c r="R40" i="347"/>
  <c r="G40" i="347"/>
  <c r="Q40" i="347" s="1"/>
  <c r="B40" i="347"/>
  <c r="P40" i="347" s="1"/>
  <c r="AJ39" i="347"/>
  <c r="T39" i="347"/>
  <c r="S39" i="347"/>
  <c r="R39" i="347"/>
  <c r="G39" i="347"/>
  <c r="Q39" i="347" s="1"/>
  <c r="B39" i="347"/>
  <c r="P39" i="347" s="1"/>
  <c r="AJ38" i="347"/>
  <c r="T38" i="347"/>
  <c r="S38" i="347"/>
  <c r="R38" i="347"/>
  <c r="G38" i="347"/>
  <c r="Q38" i="347" s="1"/>
  <c r="B38" i="347"/>
  <c r="P38" i="347" s="1"/>
  <c r="AJ37" i="347"/>
  <c r="T37" i="347"/>
  <c r="S37" i="347"/>
  <c r="R37" i="347"/>
  <c r="G37" i="347"/>
  <c r="Q37" i="347" s="1"/>
  <c r="B37" i="347"/>
  <c r="P37" i="347" s="1"/>
  <c r="AJ36" i="347"/>
  <c r="T36" i="347"/>
  <c r="S36" i="347"/>
  <c r="R36" i="347"/>
  <c r="G36" i="347"/>
  <c r="Q36" i="347" s="1"/>
  <c r="B36" i="347"/>
  <c r="P36" i="347" s="1"/>
  <c r="AJ35" i="347"/>
  <c r="T35" i="347"/>
  <c r="S35" i="347"/>
  <c r="R35" i="347"/>
  <c r="G35" i="347"/>
  <c r="Q35" i="347" s="1"/>
  <c r="B35" i="347"/>
  <c r="P35" i="347" s="1"/>
  <c r="AJ34" i="347"/>
  <c r="T34" i="347"/>
  <c r="S34" i="347"/>
  <c r="R34" i="347"/>
  <c r="G34" i="347"/>
  <c r="Q34" i="347" s="1"/>
  <c r="B34" i="347"/>
  <c r="P34" i="347" s="1"/>
  <c r="AJ33" i="347"/>
  <c r="T33" i="347"/>
  <c r="S33" i="347"/>
  <c r="R33" i="347"/>
  <c r="G33" i="347"/>
  <c r="Q33" i="347" s="1"/>
  <c r="B33" i="347"/>
  <c r="P33" i="347" s="1"/>
  <c r="AJ32" i="347"/>
  <c r="T32" i="347"/>
  <c r="S32" i="347"/>
  <c r="R32" i="347"/>
  <c r="G32" i="347"/>
  <c r="Q32" i="347" s="1"/>
  <c r="B32" i="347"/>
  <c r="P32" i="347" s="1"/>
  <c r="AJ31" i="347"/>
  <c r="T31" i="347"/>
  <c r="S31" i="347"/>
  <c r="R31" i="347"/>
  <c r="G31" i="347"/>
  <c r="Q31" i="347" s="1"/>
  <c r="B31" i="347"/>
  <c r="P31" i="347" s="1"/>
  <c r="AJ30" i="347"/>
  <c r="T30" i="347"/>
  <c r="S30" i="347"/>
  <c r="R30" i="347"/>
  <c r="G30" i="347"/>
  <c r="Q30" i="347" s="1"/>
  <c r="B30" i="347"/>
  <c r="P30" i="347" s="1"/>
  <c r="AJ29" i="347"/>
  <c r="T29" i="347"/>
  <c r="S29" i="347"/>
  <c r="R29" i="347"/>
  <c r="G29" i="347"/>
  <c r="Q29" i="347" s="1"/>
  <c r="B29" i="347"/>
  <c r="P29" i="347" s="1"/>
  <c r="AJ28" i="347"/>
  <c r="T28" i="347"/>
  <c r="S28" i="347"/>
  <c r="R28" i="347"/>
  <c r="G28" i="347"/>
  <c r="Q28" i="347" s="1"/>
  <c r="B28" i="347"/>
  <c r="P28" i="347" s="1"/>
  <c r="AJ27" i="347"/>
  <c r="T27" i="347"/>
  <c r="S27" i="347"/>
  <c r="R27" i="347"/>
  <c r="G27" i="347"/>
  <c r="Q27" i="347" s="1"/>
  <c r="B27" i="347"/>
  <c r="P27" i="347" s="1"/>
  <c r="AJ26" i="347"/>
  <c r="T26" i="347"/>
  <c r="S26" i="347"/>
  <c r="R26" i="347"/>
  <c r="G26" i="347"/>
  <c r="Q26" i="347" s="1"/>
  <c r="B26" i="347"/>
  <c r="P26" i="347" s="1"/>
  <c r="AJ25" i="347"/>
  <c r="T25" i="347"/>
  <c r="S25" i="347"/>
  <c r="R25" i="347"/>
  <c r="G25" i="347"/>
  <c r="Q25" i="347" s="1"/>
  <c r="B25" i="347"/>
  <c r="P25" i="347" s="1"/>
  <c r="AJ24" i="347"/>
  <c r="T24" i="347"/>
  <c r="S24" i="347"/>
  <c r="R24" i="347"/>
  <c r="G24" i="347"/>
  <c r="Q24" i="347" s="1"/>
  <c r="B24" i="347"/>
  <c r="P24" i="347" s="1"/>
  <c r="AJ23" i="347"/>
  <c r="T23" i="347"/>
  <c r="S23" i="347"/>
  <c r="R23" i="347"/>
  <c r="G23" i="347"/>
  <c r="Q23" i="347" s="1"/>
  <c r="B23" i="347"/>
  <c r="P23" i="347" s="1"/>
  <c r="AJ22" i="347"/>
  <c r="T22" i="347"/>
  <c r="S22" i="347"/>
  <c r="R22" i="347"/>
  <c r="G22" i="347"/>
  <c r="Q22" i="347" s="1"/>
  <c r="B22" i="347"/>
  <c r="P22" i="347" s="1"/>
  <c r="AJ21" i="347"/>
  <c r="T21" i="347"/>
  <c r="S21" i="347"/>
  <c r="R21" i="347"/>
  <c r="G21" i="347"/>
  <c r="Q21" i="347" s="1"/>
  <c r="B21" i="347"/>
  <c r="P21" i="347" s="1"/>
  <c r="AJ20" i="347"/>
  <c r="T20" i="347"/>
  <c r="S20" i="347"/>
  <c r="R20" i="347"/>
  <c r="G20" i="347"/>
  <c r="Q20" i="347" s="1"/>
  <c r="B20" i="347"/>
  <c r="P20" i="347" s="1"/>
  <c r="AJ19" i="347"/>
  <c r="T19" i="347"/>
  <c r="S19" i="347"/>
  <c r="R19" i="347"/>
  <c r="G19" i="347"/>
  <c r="Q19" i="347" s="1"/>
  <c r="B19" i="347"/>
  <c r="P19" i="347" s="1"/>
  <c r="AJ18" i="347"/>
  <c r="T18" i="347"/>
  <c r="S18" i="347"/>
  <c r="R18" i="347"/>
  <c r="G18" i="347"/>
  <c r="Q18" i="347" s="1"/>
  <c r="B18" i="347"/>
  <c r="P18" i="347" s="1"/>
  <c r="AJ17" i="347"/>
  <c r="T17" i="347"/>
  <c r="S17" i="347"/>
  <c r="G17" i="347"/>
  <c r="R17" i="347" s="1"/>
  <c r="B17" i="347"/>
  <c r="P17" i="347" s="1"/>
  <c r="AJ16" i="347"/>
  <c r="T16" i="347"/>
  <c r="S16" i="347"/>
  <c r="R16" i="347"/>
  <c r="G16" i="347"/>
  <c r="Q16" i="347" s="1"/>
  <c r="B16" i="347"/>
  <c r="P16" i="347" s="1"/>
  <c r="AJ15" i="347"/>
  <c r="T15" i="347"/>
  <c r="S15" i="347"/>
  <c r="R15" i="347"/>
  <c r="G15" i="347"/>
  <c r="Q15" i="347" s="1"/>
  <c r="B15" i="347"/>
  <c r="P15" i="347" s="1"/>
  <c r="AJ14" i="347"/>
  <c r="T14" i="347"/>
  <c r="S14" i="347"/>
  <c r="R14" i="347"/>
  <c r="G14" i="347"/>
  <c r="Q14" i="347" s="1"/>
  <c r="B14" i="347"/>
  <c r="P14" i="347" s="1"/>
  <c r="AJ13" i="347"/>
  <c r="T13" i="347"/>
  <c r="S13" i="347"/>
  <c r="R13" i="347"/>
  <c r="G13" i="347"/>
  <c r="Q13" i="347" s="1"/>
  <c r="B13" i="347"/>
  <c r="P13" i="347" s="1"/>
  <c r="D9" i="346"/>
  <c r="AJ26" i="346"/>
  <c r="T26" i="346"/>
  <c r="S26" i="346"/>
  <c r="R26" i="346"/>
  <c r="G26" i="346"/>
  <c r="Q26" i="346" s="1"/>
  <c r="B26" i="346"/>
  <c r="P26" i="346" s="1"/>
  <c r="AJ25" i="346"/>
  <c r="T25" i="346"/>
  <c r="S25" i="346"/>
  <c r="R25" i="346"/>
  <c r="G25" i="346"/>
  <c r="Q25" i="346" s="1"/>
  <c r="B25" i="346"/>
  <c r="P25" i="346" s="1"/>
  <c r="AJ24" i="346"/>
  <c r="T24" i="346"/>
  <c r="S24" i="346"/>
  <c r="R24" i="346"/>
  <c r="G24" i="346"/>
  <c r="Q24" i="346" s="1"/>
  <c r="B24" i="346"/>
  <c r="P24" i="346" s="1"/>
  <c r="AJ23" i="346"/>
  <c r="T23" i="346"/>
  <c r="S23" i="346"/>
  <c r="R23" i="346"/>
  <c r="G23" i="346"/>
  <c r="Q23" i="346" s="1"/>
  <c r="B23" i="346"/>
  <c r="P23" i="346" s="1"/>
  <c r="AJ22" i="346"/>
  <c r="T22" i="346"/>
  <c r="S22" i="346"/>
  <c r="G22" i="346"/>
  <c r="R22" i="346" s="1"/>
  <c r="B22" i="346"/>
  <c r="P22" i="346" s="1"/>
  <c r="AJ21" i="346"/>
  <c r="T21" i="346"/>
  <c r="S21" i="346"/>
  <c r="R21" i="346"/>
  <c r="G21" i="346"/>
  <c r="Q21" i="346" s="1"/>
  <c r="B21" i="346"/>
  <c r="P21" i="346" s="1"/>
  <c r="AJ20" i="346"/>
  <c r="T20" i="346"/>
  <c r="S20" i="346"/>
  <c r="R20" i="346"/>
  <c r="G20" i="346"/>
  <c r="Q20" i="346" s="1"/>
  <c r="B20" i="346"/>
  <c r="P20" i="346" s="1"/>
  <c r="AJ19" i="346"/>
  <c r="T19" i="346"/>
  <c r="S19" i="346"/>
  <c r="R19" i="346"/>
  <c r="G19" i="346"/>
  <c r="Q19" i="346" s="1"/>
  <c r="B19" i="346"/>
  <c r="P19" i="346" s="1"/>
  <c r="AJ18" i="346"/>
  <c r="T18" i="346"/>
  <c r="S18" i="346"/>
  <c r="R18" i="346"/>
  <c r="G18" i="346"/>
  <c r="Q18" i="346" s="1"/>
  <c r="B18" i="346"/>
  <c r="P18" i="346" s="1"/>
  <c r="AJ17" i="346"/>
  <c r="T17" i="346"/>
  <c r="S17" i="346"/>
  <c r="G17" i="346"/>
  <c r="R17" i="346" s="1"/>
  <c r="B17" i="346"/>
  <c r="P17" i="346" s="1"/>
  <c r="AJ16" i="346"/>
  <c r="T16" i="346"/>
  <c r="S16" i="346"/>
  <c r="R16" i="346"/>
  <c r="G16" i="346"/>
  <c r="Q16" i="346" s="1"/>
  <c r="B16" i="346"/>
  <c r="P16" i="346" s="1"/>
  <c r="AJ15" i="346"/>
  <c r="T15" i="346"/>
  <c r="S15" i="346"/>
  <c r="R15" i="346"/>
  <c r="G15" i="346"/>
  <c r="Q15" i="346" s="1"/>
  <c r="B15" i="346"/>
  <c r="P15" i="346" s="1"/>
  <c r="AJ14" i="346"/>
  <c r="T14" i="346"/>
  <c r="S14" i="346"/>
  <c r="R14" i="346"/>
  <c r="G14" i="346"/>
  <c r="Q14" i="346" s="1"/>
  <c r="B14" i="346"/>
  <c r="P14" i="346" s="1"/>
  <c r="AJ13" i="346"/>
  <c r="T13" i="346"/>
  <c r="S13" i="346"/>
  <c r="R13" i="346"/>
  <c r="G13" i="346"/>
  <c r="Q13" i="346" s="1"/>
  <c r="B13" i="346"/>
  <c r="P13" i="346" s="1"/>
  <c r="D9" i="345"/>
  <c r="AJ38" i="345"/>
  <c r="T38" i="345"/>
  <c r="S38" i="345"/>
  <c r="R38" i="345"/>
  <c r="G38" i="345"/>
  <c r="Q38" i="345" s="1"/>
  <c r="B38" i="345"/>
  <c r="P38" i="345" s="1"/>
  <c r="AJ37" i="345"/>
  <c r="T37" i="345"/>
  <c r="S37" i="345"/>
  <c r="R37" i="345"/>
  <c r="G37" i="345"/>
  <c r="Q37" i="345" s="1"/>
  <c r="B37" i="345"/>
  <c r="P37" i="345" s="1"/>
  <c r="AJ36" i="345"/>
  <c r="T36" i="345"/>
  <c r="S36" i="345"/>
  <c r="R36" i="345"/>
  <c r="G36" i="345"/>
  <c r="Q36" i="345" s="1"/>
  <c r="B36" i="345"/>
  <c r="P36" i="345" s="1"/>
  <c r="AJ35" i="345"/>
  <c r="T35" i="345"/>
  <c r="S35" i="345"/>
  <c r="R35" i="345"/>
  <c r="G35" i="345"/>
  <c r="Q35" i="345" s="1"/>
  <c r="B35" i="345"/>
  <c r="P35" i="345" s="1"/>
  <c r="AJ34" i="345"/>
  <c r="T34" i="345"/>
  <c r="S34" i="345"/>
  <c r="R34" i="345"/>
  <c r="G34" i="345"/>
  <c r="Q34" i="345" s="1"/>
  <c r="B34" i="345"/>
  <c r="P34" i="345" s="1"/>
  <c r="AJ33" i="345"/>
  <c r="T33" i="345"/>
  <c r="S33" i="345"/>
  <c r="R33" i="345"/>
  <c r="G33" i="345"/>
  <c r="Q33" i="345" s="1"/>
  <c r="B33" i="345"/>
  <c r="P33" i="345" s="1"/>
  <c r="AJ32" i="345"/>
  <c r="T32" i="345"/>
  <c r="S32" i="345"/>
  <c r="R32" i="345"/>
  <c r="G32" i="345"/>
  <c r="Q32" i="345" s="1"/>
  <c r="B32" i="345"/>
  <c r="P32" i="345" s="1"/>
  <c r="AJ31" i="345"/>
  <c r="T31" i="345"/>
  <c r="S31" i="345"/>
  <c r="R31" i="345"/>
  <c r="G31" i="345"/>
  <c r="Q31" i="345" s="1"/>
  <c r="B31" i="345"/>
  <c r="P31" i="345" s="1"/>
  <c r="AJ30" i="345"/>
  <c r="T30" i="345"/>
  <c r="S30" i="345"/>
  <c r="R30" i="345"/>
  <c r="G30" i="345"/>
  <c r="Q30" i="345" s="1"/>
  <c r="B30" i="345"/>
  <c r="P30" i="345" s="1"/>
  <c r="AJ29" i="345"/>
  <c r="T29" i="345"/>
  <c r="S29" i="345"/>
  <c r="R29" i="345"/>
  <c r="G29" i="345"/>
  <c r="Q29" i="345" s="1"/>
  <c r="B29" i="345"/>
  <c r="P29" i="345" s="1"/>
  <c r="AJ28" i="345"/>
  <c r="T28" i="345"/>
  <c r="S28" i="345"/>
  <c r="R28" i="345"/>
  <c r="G28" i="345"/>
  <c r="Q28" i="345" s="1"/>
  <c r="B28" i="345"/>
  <c r="P28" i="345" s="1"/>
  <c r="AJ27" i="345"/>
  <c r="T27" i="345"/>
  <c r="S27" i="345"/>
  <c r="R27" i="345"/>
  <c r="G27" i="345"/>
  <c r="Q27" i="345" s="1"/>
  <c r="B27" i="345"/>
  <c r="P27" i="345" s="1"/>
  <c r="AJ26" i="345"/>
  <c r="T26" i="345"/>
  <c r="S26" i="345"/>
  <c r="R26" i="345"/>
  <c r="G26" i="345"/>
  <c r="Q26" i="345" s="1"/>
  <c r="B26" i="345"/>
  <c r="P26" i="345" s="1"/>
  <c r="AJ25" i="345"/>
  <c r="T25" i="345"/>
  <c r="S25" i="345"/>
  <c r="R25" i="345"/>
  <c r="G25" i="345"/>
  <c r="Q25" i="345" s="1"/>
  <c r="B25" i="345"/>
  <c r="P25" i="345" s="1"/>
  <c r="AJ24" i="345"/>
  <c r="T24" i="345"/>
  <c r="S24" i="345"/>
  <c r="R24" i="345"/>
  <c r="G24" i="345"/>
  <c r="Q24" i="345" s="1"/>
  <c r="B24" i="345"/>
  <c r="P24" i="345" s="1"/>
  <c r="AJ23" i="345"/>
  <c r="T23" i="345"/>
  <c r="S23" i="345"/>
  <c r="R23" i="345"/>
  <c r="G23" i="345"/>
  <c r="Q23" i="345" s="1"/>
  <c r="B23" i="345"/>
  <c r="P23" i="345" s="1"/>
  <c r="AJ22" i="345"/>
  <c r="T22" i="345"/>
  <c r="S22" i="345"/>
  <c r="R22" i="345"/>
  <c r="G22" i="345"/>
  <c r="Q22" i="345" s="1"/>
  <c r="B22" i="345"/>
  <c r="P22" i="345" s="1"/>
  <c r="AJ21" i="345"/>
  <c r="T21" i="345"/>
  <c r="S21" i="345"/>
  <c r="R21" i="345"/>
  <c r="G21" i="345"/>
  <c r="Q21" i="345" s="1"/>
  <c r="B21" i="345"/>
  <c r="P21" i="345" s="1"/>
  <c r="AJ20" i="345"/>
  <c r="T20" i="345"/>
  <c r="S20" i="345"/>
  <c r="R20" i="345"/>
  <c r="G20" i="345"/>
  <c r="Q20" i="345" s="1"/>
  <c r="B20" i="345"/>
  <c r="P20" i="345" s="1"/>
  <c r="AJ19" i="345"/>
  <c r="T19" i="345"/>
  <c r="S19" i="345"/>
  <c r="R19" i="345"/>
  <c r="G19" i="345"/>
  <c r="Q19" i="345" s="1"/>
  <c r="B19" i="345"/>
  <c r="P19" i="345" s="1"/>
  <c r="AJ18" i="345"/>
  <c r="T18" i="345"/>
  <c r="S18" i="345"/>
  <c r="R18" i="345"/>
  <c r="G18" i="345"/>
  <c r="Q18" i="345" s="1"/>
  <c r="B18" i="345"/>
  <c r="P18" i="345" s="1"/>
  <c r="AJ17" i="345"/>
  <c r="T17" i="345"/>
  <c r="S17" i="345"/>
  <c r="G17" i="345"/>
  <c r="R17" i="345" s="1"/>
  <c r="B17" i="345"/>
  <c r="P17" i="345" s="1"/>
  <c r="AJ16" i="345"/>
  <c r="T16" i="345"/>
  <c r="S16" i="345"/>
  <c r="R16" i="345"/>
  <c r="G16" i="345"/>
  <c r="Q16" i="345" s="1"/>
  <c r="B16" i="345"/>
  <c r="P16" i="345" s="1"/>
  <c r="AJ15" i="345"/>
  <c r="T15" i="345"/>
  <c r="S15" i="345"/>
  <c r="R15" i="345"/>
  <c r="G15" i="345"/>
  <c r="Q15" i="345" s="1"/>
  <c r="B15" i="345"/>
  <c r="P15" i="345" s="1"/>
  <c r="AJ14" i="345"/>
  <c r="T14" i="345"/>
  <c r="S14" i="345"/>
  <c r="R14" i="345"/>
  <c r="G14" i="345"/>
  <c r="Q14" i="345" s="1"/>
  <c r="B14" i="345"/>
  <c r="P14" i="345" s="1"/>
  <c r="AJ13" i="345"/>
  <c r="T13" i="345"/>
  <c r="S13" i="345"/>
  <c r="R13" i="345"/>
  <c r="G13" i="345"/>
  <c r="Q13" i="345" s="1"/>
  <c r="B13" i="345"/>
  <c r="P13" i="345" s="1"/>
  <c r="D9" i="344"/>
  <c r="AJ23" i="344"/>
  <c r="T23" i="344"/>
  <c r="S23" i="344"/>
  <c r="R23" i="344"/>
  <c r="G23" i="344"/>
  <c r="Q23" i="344" s="1"/>
  <c r="B23" i="344"/>
  <c r="P23" i="344" s="1"/>
  <c r="AJ22" i="344"/>
  <c r="T22" i="344"/>
  <c r="S22" i="344"/>
  <c r="R22" i="344"/>
  <c r="G22" i="344"/>
  <c r="Q22" i="344" s="1"/>
  <c r="B22" i="344"/>
  <c r="P22" i="344" s="1"/>
  <c r="AJ21" i="344"/>
  <c r="T21" i="344"/>
  <c r="S21" i="344"/>
  <c r="R21" i="344"/>
  <c r="G21" i="344"/>
  <c r="Q21" i="344" s="1"/>
  <c r="B21" i="344"/>
  <c r="P21" i="344" s="1"/>
  <c r="AJ20" i="344"/>
  <c r="T20" i="344"/>
  <c r="S20" i="344"/>
  <c r="R20" i="344"/>
  <c r="G20" i="344"/>
  <c r="Q20" i="344" s="1"/>
  <c r="B20" i="344"/>
  <c r="P20" i="344" s="1"/>
  <c r="AJ19" i="344"/>
  <c r="T19" i="344"/>
  <c r="S19" i="344"/>
  <c r="R19" i="344"/>
  <c r="G19" i="344"/>
  <c r="Q19" i="344" s="1"/>
  <c r="B19" i="344"/>
  <c r="P19" i="344" s="1"/>
  <c r="AJ18" i="344"/>
  <c r="T18" i="344"/>
  <c r="S18" i="344"/>
  <c r="R18" i="344"/>
  <c r="G18" i="344"/>
  <c r="Q18" i="344" s="1"/>
  <c r="B18" i="344"/>
  <c r="P18" i="344" s="1"/>
  <c r="AJ17" i="344"/>
  <c r="T17" i="344"/>
  <c r="S17" i="344"/>
  <c r="G17" i="344"/>
  <c r="R17" i="344" s="1"/>
  <c r="B17" i="344"/>
  <c r="P17" i="344" s="1"/>
  <c r="AJ16" i="344"/>
  <c r="T16" i="344"/>
  <c r="S16" i="344"/>
  <c r="R16" i="344"/>
  <c r="G16" i="344"/>
  <c r="Q16" i="344" s="1"/>
  <c r="B16" i="344"/>
  <c r="P16" i="344" s="1"/>
  <c r="AJ15" i="344"/>
  <c r="T15" i="344"/>
  <c r="S15" i="344"/>
  <c r="R15" i="344"/>
  <c r="G15" i="344"/>
  <c r="Q15" i="344" s="1"/>
  <c r="B15" i="344"/>
  <c r="P15" i="344" s="1"/>
  <c r="AJ14" i="344"/>
  <c r="T14" i="344"/>
  <c r="S14" i="344"/>
  <c r="R14" i="344"/>
  <c r="G14" i="344"/>
  <c r="Q14" i="344" s="1"/>
  <c r="B14" i="344"/>
  <c r="P14" i="344" s="1"/>
  <c r="AJ13" i="344"/>
  <c r="T13" i="344"/>
  <c r="S13" i="344"/>
  <c r="R13" i="344"/>
  <c r="G13" i="344"/>
  <c r="Q13" i="344" s="1"/>
  <c r="B13" i="344"/>
  <c r="P13" i="344" s="1"/>
  <c r="D9" i="343"/>
  <c r="AJ25" i="343"/>
  <c r="T25" i="343"/>
  <c r="S25" i="343"/>
  <c r="R25" i="343"/>
  <c r="G25" i="343"/>
  <c r="Q25" i="343" s="1"/>
  <c r="B25" i="343"/>
  <c r="P25" i="343" s="1"/>
  <c r="AJ24" i="343"/>
  <c r="T24" i="343"/>
  <c r="S24" i="343"/>
  <c r="R24" i="343"/>
  <c r="G24" i="343"/>
  <c r="Q24" i="343" s="1"/>
  <c r="B24" i="343"/>
  <c r="P24" i="343" s="1"/>
  <c r="AJ23" i="343"/>
  <c r="T23" i="343"/>
  <c r="S23" i="343"/>
  <c r="R23" i="343"/>
  <c r="G23" i="343"/>
  <c r="Q23" i="343" s="1"/>
  <c r="B23" i="343"/>
  <c r="P23" i="343" s="1"/>
  <c r="AJ22" i="343"/>
  <c r="T22" i="343"/>
  <c r="S22" i="343"/>
  <c r="R22" i="343"/>
  <c r="G22" i="343"/>
  <c r="Q22" i="343" s="1"/>
  <c r="B22" i="343"/>
  <c r="P22" i="343" s="1"/>
  <c r="AJ21" i="343"/>
  <c r="T21" i="343"/>
  <c r="S21" i="343"/>
  <c r="R21" i="343"/>
  <c r="G21" i="343"/>
  <c r="Q21" i="343" s="1"/>
  <c r="B21" i="343"/>
  <c r="P21" i="343" s="1"/>
  <c r="AJ20" i="343"/>
  <c r="T20" i="343"/>
  <c r="S20" i="343"/>
  <c r="R20" i="343"/>
  <c r="G20" i="343"/>
  <c r="Q20" i="343" s="1"/>
  <c r="B20" i="343"/>
  <c r="P20" i="343" s="1"/>
  <c r="AJ19" i="343"/>
  <c r="T19" i="343"/>
  <c r="S19" i="343"/>
  <c r="R19" i="343"/>
  <c r="G19" i="343"/>
  <c r="Q19" i="343" s="1"/>
  <c r="B19" i="343"/>
  <c r="P19" i="343" s="1"/>
  <c r="AJ18" i="343"/>
  <c r="T18" i="343"/>
  <c r="S18" i="343"/>
  <c r="R18" i="343"/>
  <c r="G18" i="343"/>
  <c r="Q18" i="343" s="1"/>
  <c r="B18" i="343"/>
  <c r="P18" i="343" s="1"/>
  <c r="AJ17" i="343"/>
  <c r="T17" i="343"/>
  <c r="S17" i="343"/>
  <c r="G17" i="343"/>
  <c r="R17" i="343" s="1"/>
  <c r="B17" i="343"/>
  <c r="P17" i="343" s="1"/>
  <c r="AJ16" i="343"/>
  <c r="T16" i="343"/>
  <c r="S16" i="343"/>
  <c r="R16" i="343"/>
  <c r="G16" i="343"/>
  <c r="Q16" i="343" s="1"/>
  <c r="B16" i="343"/>
  <c r="P16" i="343" s="1"/>
  <c r="AJ15" i="343"/>
  <c r="T15" i="343"/>
  <c r="S15" i="343"/>
  <c r="R15" i="343"/>
  <c r="G15" i="343"/>
  <c r="Q15" i="343" s="1"/>
  <c r="B15" i="343"/>
  <c r="P15" i="343" s="1"/>
  <c r="AJ14" i="343"/>
  <c r="T14" i="343"/>
  <c r="S14" i="343"/>
  <c r="R14" i="343"/>
  <c r="G14" i="343"/>
  <c r="Q14" i="343" s="1"/>
  <c r="B14" i="343"/>
  <c r="P14" i="343" s="1"/>
  <c r="AJ13" i="343"/>
  <c r="T13" i="343"/>
  <c r="S13" i="343"/>
  <c r="R13" i="343"/>
  <c r="G13" i="343"/>
  <c r="Q13" i="343" s="1"/>
  <c r="B13" i="343"/>
  <c r="P13" i="343" s="1"/>
  <c r="D9" i="342"/>
  <c r="AJ29" i="342"/>
  <c r="T29" i="342"/>
  <c r="S29" i="342"/>
  <c r="R29" i="342"/>
  <c r="G29" i="342"/>
  <c r="Q29" i="342" s="1"/>
  <c r="B29" i="342"/>
  <c r="P29" i="342" s="1"/>
  <c r="AJ28" i="342"/>
  <c r="T28" i="342"/>
  <c r="S28" i="342"/>
  <c r="R28" i="342"/>
  <c r="G28" i="342"/>
  <c r="Q28" i="342" s="1"/>
  <c r="B28" i="342"/>
  <c r="P28" i="342" s="1"/>
  <c r="AJ27" i="342"/>
  <c r="T27" i="342"/>
  <c r="S27" i="342"/>
  <c r="R27" i="342"/>
  <c r="G27" i="342"/>
  <c r="Q27" i="342" s="1"/>
  <c r="B27" i="342"/>
  <c r="P27" i="342" s="1"/>
  <c r="AJ26" i="342"/>
  <c r="T26" i="342"/>
  <c r="S26" i="342"/>
  <c r="R26" i="342"/>
  <c r="G26" i="342"/>
  <c r="Q26" i="342" s="1"/>
  <c r="B26" i="342"/>
  <c r="P26" i="342" s="1"/>
  <c r="AJ25" i="342"/>
  <c r="T25" i="342"/>
  <c r="S25" i="342"/>
  <c r="R25" i="342"/>
  <c r="G25" i="342"/>
  <c r="Q25" i="342" s="1"/>
  <c r="B25" i="342"/>
  <c r="P25" i="342" s="1"/>
  <c r="AJ24" i="342"/>
  <c r="T24" i="342"/>
  <c r="S24" i="342"/>
  <c r="R24" i="342"/>
  <c r="G24" i="342"/>
  <c r="Q24" i="342" s="1"/>
  <c r="B24" i="342"/>
  <c r="P24" i="342" s="1"/>
  <c r="AJ23" i="342"/>
  <c r="T23" i="342"/>
  <c r="S23" i="342"/>
  <c r="R23" i="342"/>
  <c r="G23" i="342"/>
  <c r="Q23" i="342" s="1"/>
  <c r="B23" i="342"/>
  <c r="P23" i="342" s="1"/>
  <c r="AJ22" i="342"/>
  <c r="T22" i="342"/>
  <c r="S22" i="342"/>
  <c r="R22" i="342"/>
  <c r="G22" i="342"/>
  <c r="Q22" i="342" s="1"/>
  <c r="B22" i="342"/>
  <c r="P22" i="342" s="1"/>
  <c r="AJ21" i="342"/>
  <c r="T21" i="342"/>
  <c r="S21" i="342"/>
  <c r="R21" i="342"/>
  <c r="G21" i="342"/>
  <c r="Q21" i="342" s="1"/>
  <c r="B21" i="342"/>
  <c r="P21" i="342" s="1"/>
  <c r="AJ20" i="342"/>
  <c r="T20" i="342"/>
  <c r="S20" i="342"/>
  <c r="R20" i="342"/>
  <c r="G20" i="342"/>
  <c r="Q20" i="342" s="1"/>
  <c r="B20" i="342"/>
  <c r="P20" i="342" s="1"/>
  <c r="AJ19" i="342"/>
  <c r="T19" i="342"/>
  <c r="S19" i="342"/>
  <c r="R19" i="342"/>
  <c r="G19" i="342"/>
  <c r="Q19" i="342" s="1"/>
  <c r="B19" i="342"/>
  <c r="P19" i="342" s="1"/>
  <c r="AJ18" i="342"/>
  <c r="T18" i="342"/>
  <c r="S18" i="342"/>
  <c r="R18" i="342"/>
  <c r="G18" i="342"/>
  <c r="Q18" i="342" s="1"/>
  <c r="B18" i="342"/>
  <c r="P18" i="342" s="1"/>
  <c r="AJ17" i="342"/>
  <c r="T17" i="342"/>
  <c r="S17" i="342"/>
  <c r="G17" i="342"/>
  <c r="R17" i="342" s="1"/>
  <c r="B17" i="342"/>
  <c r="P17" i="342" s="1"/>
  <c r="AJ16" i="342"/>
  <c r="T16" i="342"/>
  <c r="S16" i="342"/>
  <c r="R16" i="342"/>
  <c r="G16" i="342"/>
  <c r="Q16" i="342" s="1"/>
  <c r="B16" i="342"/>
  <c r="P16" i="342" s="1"/>
  <c r="AJ15" i="342"/>
  <c r="T15" i="342"/>
  <c r="S15" i="342"/>
  <c r="R15" i="342"/>
  <c r="G15" i="342"/>
  <c r="Q15" i="342" s="1"/>
  <c r="B15" i="342"/>
  <c r="P15" i="342" s="1"/>
  <c r="AJ14" i="342"/>
  <c r="T14" i="342"/>
  <c r="S14" i="342"/>
  <c r="R14" i="342"/>
  <c r="G14" i="342"/>
  <c r="Q14" i="342" s="1"/>
  <c r="B14" i="342"/>
  <c r="P14" i="342" s="1"/>
  <c r="AJ13" i="342"/>
  <c r="T13" i="342"/>
  <c r="S13" i="342"/>
  <c r="R13" i="342"/>
  <c r="G13" i="342"/>
  <c r="Q13" i="342" s="1"/>
  <c r="B13" i="342"/>
  <c r="P13" i="342" s="1"/>
  <c r="D9" i="341"/>
  <c r="AJ25" i="341"/>
  <c r="T25" i="341"/>
  <c r="S25" i="341"/>
  <c r="R25" i="341"/>
  <c r="G25" i="341"/>
  <c r="Q25" i="341" s="1"/>
  <c r="B25" i="341"/>
  <c r="P25" i="341" s="1"/>
  <c r="AJ24" i="341"/>
  <c r="T24" i="341"/>
  <c r="S24" i="341"/>
  <c r="R24" i="341"/>
  <c r="G24" i="341"/>
  <c r="Q24" i="341" s="1"/>
  <c r="B24" i="341"/>
  <c r="P24" i="341" s="1"/>
  <c r="AJ23" i="341"/>
  <c r="T23" i="341"/>
  <c r="S23" i="341"/>
  <c r="R23" i="341"/>
  <c r="G23" i="341"/>
  <c r="Q23" i="341" s="1"/>
  <c r="B23" i="341"/>
  <c r="P23" i="341" s="1"/>
  <c r="AJ22" i="341"/>
  <c r="T22" i="341"/>
  <c r="S22" i="341"/>
  <c r="R22" i="341"/>
  <c r="G22" i="341"/>
  <c r="Q22" i="341" s="1"/>
  <c r="B22" i="341"/>
  <c r="P22" i="341" s="1"/>
  <c r="AJ21" i="341"/>
  <c r="T21" i="341"/>
  <c r="S21" i="341"/>
  <c r="R21" i="341"/>
  <c r="G21" i="341"/>
  <c r="Q21" i="341" s="1"/>
  <c r="B21" i="341"/>
  <c r="P21" i="341" s="1"/>
  <c r="AJ20" i="341"/>
  <c r="T20" i="341"/>
  <c r="S20" i="341"/>
  <c r="R20" i="341"/>
  <c r="G20" i="341"/>
  <c r="Q20" i="341" s="1"/>
  <c r="B20" i="341"/>
  <c r="P20" i="341" s="1"/>
  <c r="AJ19" i="341"/>
  <c r="T19" i="341"/>
  <c r="S19" i="341"/>
  <c r="R19" i="341"/>
  <c r="G19" i="341"/>
  <c r="Q19" i="341" s="1"/>
  <c r="B19" i="341"/>
  <c r="P19" i="341" s="1"/>
  <c r="AJ18" i="341"/>
  <c r="T18" i="341"/>
  <c r="S18" i="341"/>
  <c r="R18" i="341"/>
  <c r="G18" i="341"/>
  <c r="Q18" i="341" s="1"/>
  <c r="B18" i="341"/>
  <c r="P18" i="341" s="1"/>
  <c r="AJ17" i="341"/>
  <c r="T17" i="341"/>
  <c r="S17" i="341"/>
  <c r="G17" i="341"/>
  <c r="R17" i="341" s="1"/>
  <c r="B17" i="341"/>
  <c r="P17" i="341" s="1"/>
  <c r="AJ16" i="341"/>
  <c r="T16" i="341"/>
  <c r="S16" i="341"/>
  <c r="R16" i="341"/>
  <c r="G16" i="341"/>
  <c r="Q16" i="341" s="1"/>
  <c r="B16" i="341"/>
  <c r="P16" i="341" s="1"/>
  <c r="AJ15" i="341"/>
  <c r="T15" i="341"/>
  <c r="S15" i="341"/>
  <c r="R15" i="341"/>
  <c r="G15" i="341"/>
  <c r="Q15" i="341" s="1"/>
  <c r="B15" i="341"/>
  <c r="P15" i="341" s="1"/>
  <c r="AJ14" i="341"/>
  <c r="T14" i="341"/>
  <c r="S14" i="341"/>
  <c r="R14" i="341"/>
  <c r="G14" i="341"/>
  <c r="Q14" i="341" s="1"/>
  <c r="B14" i="341"/>
  <c r="P14" i="341" s="1"/>
  <c r="AJ13" i="341"/>
  <c r="T13" i="341"/>
  <c r="S13" i="341"/>
  <c r="R13" i="341"/>
  <c r="G13" i="341"/>
  <c r="Q13" i="341" s="1"/>
  <c r="B13" i="341"/>
  <c r="P13" i="341" s="1"/>
  <c r="D9" i="340"/>
  <c r="AJ33" i="340"/>
  <c r="T33" i="340"/>
  <c r="S33" i="340"/>
  <c r="R33" i="340"/>
  <c r="G33" i="340"/>
  <c r="Q33" i="340" s="1"/>
  <c r="B33" i="340"/>
  <c r="P33" i="340" s="1"/>
  <c r="AJ32" i="340"/>
  <c r="T32" i="340"/>
  <c r="S32" i="340"/>
  <c r="R32" i="340"/>
  <c r="G32" i="340"/>
  <c r="Q32" i="340" s="1"/>
  <c r="B32" i="340"/>
  <c r="P32" i="340" s="1"/>
  <c r="AJ31" i="340"/>
  <c r="T31" i="340"/>
  <c r="S31" i="340"/>
  <c r="R31" i="340"/>
  <c r="G31" i="340"/>
  <c r="Q31" i="340" s="1"/>
  <c r="B31" i="340"/>
  <c r="P31" i="340" s="1"/>
  <c r="AJ30" i="340"/>
  <c r="T30" i="340"/>
  <c r="S30" i="340"/>
  <c r="R30" i="340"/>
  <c r="G30" i="340"/>
  <c r="Q30" i="340" s="1"/>
  <c r="B30" i="340"/>
  <c r="P30" i="340" s="1"/>
  <c r="AJ29" i="340"/>
  <c r="T29" i="340"/>
  <c r="S29" i="340"/>
  <c r="R29" i="340"/>
  <c r="G29" i="340"/>
  <c r="Q29" i="340" s="1"/>
  <c r="B29" i="340"/>
  <c r="P29" i="340" s="1"/>
  <c r="AJ28" i="340"/>
  <c r="T28" i="340"/>
  <c r="S28" i="340"/>
  <c r="R28" i="340"/>
  <c r="G28" i="340"/>
  <c r="Q28" i="340" s="1"/>
  <c r="B28" i="340"/>
  <c r="P28" i="340" s="1"/>
  <c r="AJ27" i="340"/>
  <c r="T27" i="340"/>
  <c r="S27" i="340"/>
  <c r="R27" i="340"/>
  <c r="G27" i="340"/>
  <c r="Q27" i="340" s="1"/>
  <c r="B27" i="340"/>
  <c r="P27" i="340" s="1"/>
  <c r="AJ26" i="340"/>
  <c r="T26" i="340"/>
  <c r="S26" i="340"/>
  <c r="R26" i="340"/>
  <c r="G26" i="340"/>
  <c r="Q26" i="340" s="1"/>
  <c r="B26" i="340"/>
  <c r="P26" i="340" s="1"/>
  <c r="AJ25" i="340"/>
  <c r="T25" i="340"/>
  <c r="S25" i="340"/>
  <c r="R25" i="340"/>
  <c r="G25" i="340"/>
  <c r="Q25" i="340" s="1"/>
  <c r="B25" i="340"/>
  <c r="P25" i="340" s="1"/>
  <c r="AJ24" i="340"/>
  <c r="T24" i="340"/>
  <c r="S24" i="340"/>
  <c r="R24" i="340"/>
  <c r="G24" i="340"/>
  <c r="Q24" i="340" s="1"/>
  <c r="B24" i="340"/>
  <c r="P24" i="340" s="1"/>
  <c r="AJ23" i="340"/>
  <c r="T23" i="340"/>
  <c r="S23" i="340"/>
  <c r="R23" i="340"/>
  <c r="G23" i="340"/>
  <c r="Q23" i="340" s="1"/>
  <c r="B23" i="340"/>
  <c r="P23" i="340" s="1"/>
  <c r="AJ22" i="340"/>
  <c r="T22" i="340"/>
  <c r="S22" i="340"/>
  <c r="R22" i="340"/>
  <c r="G22" i="340"/>
  <c r="Q22" i="340" s="1"/>
  <c r="B22" i="340"/>
  <c r="P22" i="340" s="1"/>
  <c r="AJ21" i="340"/>
  <c r="T21" i="340"/>
  <c r="S21" i="340"/>
  <c r="R21" i="340"/>
  <c r="G21" i="340"/>
  <c r="Q21" i="340" s="1"/>
  <c r="B21" i="340"/>
  <c r="P21" i="340" s="1"/>
  <c r="AJ20" i="340"/>
  <c r="T20" i="340"/>
  <c r="S20" i="340"/>
  <c r="R20" i="340"/>
  <c r="G20" i="340"/>
  <c r="Q20" i="340" s="1"/>
  <c r="B20" i="340"/>
  <c r="P20" i="340" s="1"/>
  <c r="AJ19" i="340"/>
  <c r="T19" i="340"/>
  <c r="S19" i="340"/>
  <c r="R19" i="340"/>
  <c r="G19" i="340"/>
  <c r="Q19" i="340" s="1"/>
  <c r="B19" i="340"/>
  <c r="P19" i="340" s="1"/>
  <c r="AJ18" i="340"/>
  <c r="T18" i="340"/>
  <c r="S18" i="340"/>
  <c r="R18" i="340"/>
  <c r="G18" i="340"/>
  <c r="Q18" i="340" s="1"/>
  <c r="B18" i="340"/>
  <c r="P18" i="340" s="1"/>
  <c r="AJ17" i="340"/>
  <c r="T17" i="340"/>
  <c r="S17" i="340"/>
  <c r="G17" i="340"/>
  <c r="R17" i="340" s="1"/>
  <c r="B17" i="340"/>
  <c r="P17" i="340" s="1"/>
  <c r="AJ16" i="340"/>
  <c r="T16" i="340"/>
  <c r="S16" i="340"/>
  <c r="R16" i="340"/>
  <c r="G16" i="340"/>
  <c r="Q16" i="340" s="1"/>
  <c r="B16" i="340"/>
  <c r="P16" i="340" s="1"/>
  <c r="AJ15" i="340"/>
  <c r="T15" i="340"/>
  <c r="S15" i="340"/>
  <c r="R15" i="340"/>
  <c r="G15" i="340"/>
  <c r="Q15" i="340" s="1"/>
  <c r="B15" i="340"/>
  <c r="P15" i="340" s="1"/>
  <c r="AJ14" i="340"/>
  <c r="T14" i="340"/>
  <c r="S14" i="340"/>
  <c r="R14" i="340"/>
  <c r="G14" i="340"/>
  <c r="Q14" i="340" s="1"/>
  <c r="B14" i="340"/>
  <c r="P14" i="340" s="1"/>
  <c r="AJ13" i="340"/>
  <c r="T13" i="340"/>
  <c r="S13" i="340"/>
  <c r="R13" i="340"/>
  <c r="G13" i="340"/>
  <c r="Q13" i="340" s="1"/>
  <c r="B13" i="340"/>
  <c r="P13" i="340" s="1"/>
  <c r="D9" i="339"/>
  <c r="AJ27" i="339"/>
  <c r="T27" i="339"/>
  <c r="S27" i="339"/>
  <c r="R27" i="339"/>
  <c r="G27" i="339"/>
  <c r="Q27" i="339" s="1"/>
  <c r="B27" i="339"/>
  <c r="P27" i="339" s="1"/>
  <c r="AJ26" i="339"/>
  <c r="T26" i="339"/>
  <c r="S26" i="339"/>
  <c r="R26" i="339"/>
  <c r="G26" i="339"/>
  <c r="Q26" i="339" s="1"/>
  <c r="B26" i="339"/>
  <c r="P26" i="339" s="1"/>
  <c r="AJ25" i="339"/>
  <c r="T25" i="339"/>
  <c r="S25" i="339"/>
  <c r="R25" i="339"/>
  <c r="G25" i="339"/>
  <c r="Q25" i="339" s="1"/>
  <c r="B25" i="339"/>
  <c r="P25" i="339" s="1"/>
  <c r="AJ24" i="339"/>
  <c r="T24" i="339"/>
  <c r="S24" i="339"/>
  <c r="R24" i="339"/>
  <c r="G24" i="339"/>
  <c r="Q24" i="339" s="1"/>
  <c r="B24" i="339"/>
  <c r="P24" i="339" s="1"/>
  <c r="AJ23" i="339"/>
  <c r="T23" i="339"/>
  <c r="S23" i="339"/>
  <c r="R23" i="339"/>
  <c r="G23" i="339"/>
  <c r="Q23" i="339" s="1"/>
  <c r="B23" i="339"/>
  <c r="P23" i="339" s="1"/>
  <c r="AJ22" i="339"/>
  <c r="T22" i="339"/>
  <c r="S22" i="339"/>
  <c r="R22" i="339"/>
  <c r="G22" i="339"/>
  <c r="Q22" i="339" s="1"/>
  <c r="B22" i="339"/>
  <c r="P22" i="339" s="1"/>
  <c r="AJ21" i="339"/>
  <c r="T21" i="339"/>
  <c r="S21" i="339"/>
  <c r="R21" i="339"/>
  <c r="G21" i="339"/>
  <c r="Q21" i="339" s="1"/>
  <c r="B21" i="339"/>
  <c r="P21" i="339" s="1"/>
  <c r="AJ20" i="339"/>
  <c r="T20" i="339"/>
  <c r="S20" i="339"/>
  <c r="R20" i="339"/>
  <c r="G20" i="339"/>
  <c r="Q20" i="339" s="1"/>
  <c r="B20" i="339"/>
  <c r="P20" i="339" s="1"/>
  <c r="AJ19" i="339"/>
  <c r="T19" i="339"/>
  <c r="S19" i="339"/>
  <c r="R19" i="339"/>
  <c r="G19" i="339"/>
  <c r="Q19" i="339" s="1"/>
  <c r="B19" i="339"/>
  <c r="P19" i="339" s="1"/>
  <c r="AJ18" i="339"/>
  <c r="T18" i="339"/>
  <c r="S18" i="339"/>
  <c r="R18" i="339"/>
  <c r="G18" i="339"/>
  <c r="Q18" i="339" s="1"/>
  <c r="B18" i="339"/>
  <c r="P18" i="339" s="1"/>
  <c r="AJ17" i="339"/>
  <c r="T17" i="339"/>
  <c r="S17" i="339"/>
  <c r="G17" i="339"/>
  <c r="R17" i="339" s="1"/>
  <c r="B17" i="339"/>
  <c r="P17" i="339" s="1"/>
  <c r="AJ16" i="339"/>
  <c r="T16" i="339"/>
  <c r="S16" i="339"/>
  <c r="R16" i="339"/>
  <c r="G16" i="339"/>
  <c r="Q16" i="339" s="1"/>
  <c r="B16" i="339"/>
  <c r="P16" i="339" s="1"/>
  <c r="AJ15" i="339"/>
  <c r="T15" i="339"/>
  <c r="S15" i="339"/>
  <c r="R15" i="339"/>
  <c r="G15" i="339"/>
  <c r="Q15" i="339" s="1"/>
  <c r="B15" i="339"/>
  <c r="P15" i="339" s="1"/>
  <c r="AJ14" i="339"/>
  <c r="T14" i="339"/>
  <c r="S14" i="339"/>
  <c r="R14" i="339"/>
  <c r="G14" i="339"/>
  <c r="Q14" i="339" s="1"/>
  <c r="B14" i="339"/>
  <c r="P14" i="339" s="1"/>
  <c r="AJ13" i="339"/>
  <c r="T13" i="339"/>
  <c r="S13" i="339"/>
  <c r="R13" i="339"/>
  <c r="G13" i="339"/>
  <c r="Q13" i="339" s="1"/>
  <c r="B13" i="339"/>
  <c r="P13" i="339" s="1"/>
  <c r="D9" i="338"/>
  <c r="AJ23" i="338"/>
  <c r="T23" i="338"/>
  <c r="S23" i="338"/>
  <c r="R23" i="338"/>
  <c r="G23" i="338"/>
  <c r="Q23" i="338" s="1"/>
  <c r="B23" i="338"/>
  <c r="P23" i="338" s="1"/>
  <c r="AJ22" i="338"/>
  <c r="T22" i="338"/>
  <c r="S22" i="338"/>
  <c r="R22" i="338"/>
  <c r="G22" i="338"/>
  <c r="Q22" i="338" s="1"/>
  <c r="B22" i="338"/>
  <c r="P22" i="338" s="1"/>
  <c r="AJ21" i="338"/>
  <c r="T21" i="338"/>
  <c r="S21" i="338"/>
  <c r="R21" i="338"/>
  <c r="G21" i="338"/>
  <c r="Q21" i="338" s="1"/>
  <c r="B21" i="338"/>
  <c r="P21" i="338" s="1"/>
  <c r="AJ20" i="338"/>
  <c r="T20" i="338"/>
  <c r="S20" i="338"/>
  <c r="R20" i="338"/>
  <c r="G20" i="338"/>
  <c r="Q20" i="338" s="1"/>
  <c r="B20" i="338"/>
  <c r="P20" i="338" s="1"/>
  <c r="AJ19" i="338"/>
  <c r="T19" i="338"/>
  <c r="S19" i="338"/>
  <c r="R19" i="338"/>
  <c r="G19" i="338"/>
  <c r="Q19" i="338" s="1"/>
  <c r="B19" i="338"/>
  <c r="P19" i="338" s="1"/>
  <c r="AJ18" i="338"/>
  <c r="T18" i="338"/>
  <c r="S18" i="338"/>
  <c r="R18" i="338"/>
  <c r="G18" i="338"/>
  <c r="Q18" i="338" s="1"/>
  <c r="B18" i="338"/>
  <c r="P18" i="338" s="1"/>
  <c r="AJ17" i="338"/>
  <c r="T17" i="338"/>
  <c r="S17" i="338"/>
  <c r="G17" i="338"/>
  <c r="R17" i="338" s="1"/>
  <c r="B17" i="338"/>
  <c r="P17" i="338" s="1"/>
  <c r="AJ16" i="338"/>
  <c r="T16" i="338"/>
  <c r="S16" i="338"/>
  <c r="R16" i="338"/>
  <c r="G16" i="338"/>
  <c r="Q16" i="338" s="1"/>
  <c r="B16" i="338"/>
  <c r="P16" i="338" s="1"/>
  <c r="AJ15" i="338"/>
  <c r="T15" i="338"/>
  <c r="S15" i="338"/>
  <c r="R15" i="338"/>
  <c r="G15" i="338"/>
  <c r="Q15" i="338" s="1"/>
  <c r="B15" i="338"/>
  <c r="P15" i="338" s="1"/>
  <c r="AJ14" i="338"/>
  <c r="T14" i="338"/>
  <c r="S14" i="338"/>
  <c r="R14" i="338"/>
  <c r="G14" i="338"/>
  <c r="Q14" i="338" s="1"/>
  <c r="B14" i="338"/>
  <c r="P14" i="338" s="1"/>
  <c r="AJ13" i="338"/>
  <c r="T13" i="338"/>
  <c r="S13" i="338"/>
  <c r="R13" i="338"/>
  <c r="G13" i="338"/>
  <c r="Q13" i="338" s="1"/>
  <c r="B13" i="338"/>
  <c r="P13" i="338" s="1"/>
  <c r="D9" i="337"/>
  <c r="AJ25" i="337"/>
  <c r="T25" i="337"/>
  <c r="S25" i="337"/>
  <c r="R25" i="337"/>
  <c r="G25" i="337"/>
  <c r="Q25" i="337" s="1"/>
  <c r="B25" i="337"/>
  <c r="P25" i="337" s="1"/>
  <c r="AJ24" i="337"/>
  <c r="T24" i="337"/>
  <c r="S24" i="337"/>
  <c r="R24" i="337"/>
  <c r="G24" i="337"/>
  <c r="Q24" i="337" s="1"/>
  <c r="B24" i="337"/>
  <c r="P24" i="337" s="1"/>
  <c r="AJ23" i="337"/>
  <c r="T23" i="337"/>
  <c r="S23" i="337"/>
  <c r="R23" i="337"/>
  <c r="G23" i="337"/>
  <c r="Q23" i="337" s="1"/>
  <c r="B23" i="337"/>
  <c r="P23" i="337" s="1"/>
  <c r="AJ22" i="337"/>
  <c r="T22" i="337"/>
  <c r="S22" i="337"/>
  <c r="R22" i="337"/>
  <c r="G22" i="337"/>
  <c r="Q22" i="337" s="1"/>
  <c r="B22" i="337"/>
  <c r="P22" i="337" s="1"/>
  <c r="AJ21" i="337"/>
  <c r="T21" i="337"/>
  <c r="S21" i="337"/>
  <c r="R21" i="337"/>
  <c r="G21" i="337"/>
  <c r="Q21" i="337" s="1"/>
  <c r="B21" i="337"/>
  <c r="P21" i="337" s="1"/>
  <c r="AJ20" i="337"/>
  <c r="T20" i="337"/>
  <c r="S20" i="337"/>
  <c r="R20" i="337"/>
  <c r="G20" i="337"/>
  <c r="Q20" i="337" s="1"/>
  <c r="B20" i="337"/>
  <c r="P20" i="337" s="1"/>
  <c r="AJ19" i="337"/>
  <c r="T19" i="337"/>
  <c r="S19" i="337"/>
  <c r="R19" i="337"/>
  <c r="G19" i="337"/>
  <c r="Q19" i="337" s="1"/>
  <c r="B19" i="337"/>
  <c r="P19" i="337" s="1"/>
  <c r="AJ18" i="337"/>
  <c r="T18" i="337"/>
  <c r="S18" i="337"/>
  <c r="R18" i="337"/>
  <c r="G18" i="337"/>
  <c r="Q18" i="337" s="1"/>
  <c r="B18" i="337"/>
  <c r="P18" i="337" s="1"/>
  <c r="AJ17" i="337"/>
  <c r="T17" i="337"/>
  <c r="S17" i="337"/>
  <c r="G17" i="337"/>
  <c r="Q17" i="337" s="1"/>
  <c r="B17" i="337"/>
  <c r="P17" i="337" s="1"/>
  <c r="AJ16" i="337"/>
  <c r="T16" i="337"/>
  <c r="S16" i="337"/>
  <c r="R16" i="337"/>
  <c r="G16" i="337"/>
  <c r="Q16" i="337" s="1"/>
  <c r="B16" i="337"/>
  <c r="P16" i="337" s="1"/>
  <c r="AJ15" i="337"/>
  <c r="T15" i="337"/>
  <c r="S15" i="337"/>
  <c r="R15" i="337"/>
  <c r="G15" i="337"/>
  <c r="Q15" i="337" s="1"/>
  <c r="B15" i="337"/>
  <c r="P15" i="337" s="1"/>
  <c r="AJ14" i="337"/>
  <c r="T14" i="337"/>
  <c r="S14" i="337"/>
  <c r="R14" i="337"/>
  <c r="G14" i="337"/>
  <c r="Q14" i="337" s="1"/>
  <c r="B14" i="337"/>
  <c r="P14" i="337" s="1"/>
  <c r="AJ13" i="337"/>
  <c r="T13" i="337"/>
  <c r="S13" i="337"/>
  <c r="R13" i="337"/>
  <c r="G13" i="337"/>
  <c r="Q13" i="337" s="1"/>
  <c r="B13" i="337"/>
  <c r="P13" i="337" s="1"/>
  <c r="D9" i="336"/>
  <c r="AJ32" i="336"/>
  <c r="T32" i="336"/>
  <c r="S32" i="336"/>
  <c r="R32" i="336"/>
  <c r="G32" i="336"/>
  <c r="Q32" i="336" s="1"/>
  <c r="B32" i="336"/>
  <c r="P32" i="336" s="1"/>
  <c r="AJ31" i="336"/>
  <c r="T31" i="336"/>
  <c r="S31" i="336"/>
  <c r="R31" i="336"/>
  <c r="G31" i="336"/>
  <c r="Q31" i="336" s="1"/>
  <c r="B31" i="336"/>
  <c r="P31" i="336" s="1"/>
  <c r="AJ30" i="336"/>
  <c r="T30" i="336"/>
  <c r="S30" i="336"/>
  <c r="R30" i="336"/>
  <c r="G30" i="336"/>
  <c r="Q30" i="336" s="1"/>
  <c r="B30" i="336"/>
  <c r="P30" i="336" s="1"/>
  <c r="AJ29" i="336"/>
  <c r="T29" i="336"/>
  <c r="S29" i="336"/>
  <c r="R29" i="336"/>
  <c r="G29" i="336"/>
  <c r="Q29" i="336" s="1"/>
  <c r="B29" i="336"/>
  <c r="P29" i="336" s="1"/>
  <c r="AJ28" i="336"/>
  <c r="T28" i="336"/>
  <c r="S28" i="336"/>
  <c r="R28" i="336"/>
  <c r="G28" i="336"/>
  <c r="Q28" i="336" s="1"/>
  <c r="B28" i="336"/>
  <c r="P28" i="336" s="1"/>
  <c r="AJ27" i="336"/>
  <c r="T27" i="336"/>
  <c r="S27" i="336"/>
  <c r="R27" i="336"/>
  <c r="G27" i="336"/>
  <c r="Q27" i="336" s="1"/>
  <c r="B27" i="336"/>
  <c r="P27" i="336" s="1"/>
  <c r="AJ26" i="336"/>
  <c r="T26" i="336"/>
  <c r="S26" i="336"/>
  <c r="R26" i="336"/>
  <c r="G26" i="336"/>
  <c r="Q26" i="336" s="1"/>
  <c r="B26" i="336"/>
  <c r="P26" i="336" s="1"/>
  <c r="AJ25" i="336"/>
  <c r="T25" i="336"/>
  <c r="S25" i="336"/>
  <c r="R25" i="336"/>
  <c r="G25" i="336"/>
  <c r="Q25" i="336" s="1"/>
  <c r="B25" i="336"/>
  <c r="P25" i="336" s="1"/>
  <c r="AJ24" i="336"/>
  <c r="T24" i="336"/>
  <c r="S24" i="336"/>
  <c r="R24" i="336"/>
  <c r="G24" i="336"/>
  <c r="Q24" i="336" s="1"/>
  <c r="B24" i="336"/>
  <c r="P24" i="336" s="1"/>
  <c r="AJ23" i="336"/>
  <c r="T23" i="336"/>
  <c r="S23" i="336"/>
  <c r="R23" i="336"/>
  <c r="G23" i="336"/>
  <c r="Q23" i="336" s="1"/>
  <c r="B23" i="336"/>
  <c r="P23" i="336" s="1"/>
  <c r="AJ22" i="336"/>
  <c r="T22" i="336"/>
  <c r="S22" i="336"/>
  <c r="R22" i="336"/>
  <c r="G22" i="336"/>
  <c r="Q22" i="336" s="1"/>
  <c r="B22" i="336"/>
  <c r="P22" i="336" s="1"/>
  <c r="AJ21" i="336"/>
  <c r="T21" i="336"/>
  <c r="S21" i="336"/>
  <c r="R21" i="336"/>
  <c r="G21" i="336"/>
  <c r="Q21" i="336" s="1"/>
  <c r="B21" i="336"/>
  <c r="P21" i="336" s="1"/>
  <c r="AJ20" i="336"/>
  <c r="T20" i="336"/>
  <c r="S20" i="336"/>
  <c r="R20" i="336"/>
  <c r="G20" i="336"/>
  <c r="Q20" i="336" s="1"/>
  <c r="B20" i="336"/>
  <c r="P20" i="336" s="1"/>
  <c r="AJ19" i="336"/>
  <c r="T19" i="336"/>
  <c r="S19" i="336"/>
  <c r="R19" i="336"/>
  <c r="G19" i="336"/>
  <c r="Q19" i="336" s="1"/>
  <c r="B19" i="336"/>
  <c r="P19" i="336" s="1"/>
  <c r="AJ18" i="336"/>
  <c r="T18" i="336"/>
  <c r="S18" i="336"/>
  <c r="R18" i="336"/>
  <c r="G18" i="336"/>
  <c r="Q18" i="336" s="1"/>
  <c r="B18" i="336"/>
  <c r="P18" i="336" s="1"/>
  <c r="AJ17" i="336"/>
  <c r="T17" i="336"/>
  <c r="S17" i="336"/>
  <c r="G17" i="336"/>
  <c r="R17" i="336" s="1"/>
  <c r="B17" i="336"/>
  <c r="P17" i="336" s="1"/>
  <c r="AJ16" i="336"/>
  <c r="T16" i="336"/>
  <c r="S16" i="336"/>
  <c r="R16" i="336"/>
  <c r="G16" i="336"/>
  <c r="Q16" i="336" s="1"/>
  <c r="B16" i="336"/>
  <c r="P16" i="336" s="1"/>
  <c r="AJ15" i="336"/>
  <c r="T15" i="336"/>
  <c r="S15" i="336"/>
  <c r="R15" i="336"/>
  <c r="G15" i="336"/>
  <c r="Q15" i="336" s="1"/>
  <c r="B15" i="336"/>
  <c r="P15" i="336" s="1"/>
  <c r="AJ14" i="336"/>
  <c r="T14" i="336"/>
  <c r="S14" i="336"/>
  <c r="R14" i="336"/>
  <c r="G14" i="336"/>
  <c r="Q14" i="336" s="1"/>
  <c r="B14" i="336"/>
  <c r="P14" i="336" s="1"/>
  <c r="AJ13" i="336"/>
  <c r="T13" i="336"/>
  <c r="S13" i="336"/>
  <c r="R13" i="336"/>
  <c r="G13" i="336"/>
  <c r="Q13" i="336" s="1"/>
  <c r="B13" i="336"/>
  <c r="P13" i="336" s="1"/>
  <c r="D9" i="335"/>
  <c r="AJ21" i="335"/>
  <c r="T21" i="335"/>
  <c r="S21" i="335"/>
  <c r="R21" i="335"/>
  <c r="G21" i="335"/>
  <c r="Q21" i="335" s="1"/>
  <c r="B21" i="335"/>
  <c r="P21" i="335" s="1"/>
  <c r="AJ20" i="335"/>
  <c r="T20" i="335"/>
  <c r="S20" i="335"/>
  <c r="R20" i="335"/>
  <c r="G20" i="335"/>
  <c r="Q20" i="335" s="1"/>
  <c r="B20" i="335"/>
  <c r="P20" i="335" s="1"/>
  <c r="AJ19" i="335"/>
  <c r="T19" i="335"/>
  <c r="S19" i="335"/>
  <c r="R19" i="335"/>
  <c r="G19" i="335"/>
  <c r="Q19" i="335" s="1"/>
  <c r="B19" i="335"/>
  <c r="P19" i="335" s="1"/>
  <c r="AJ18" i="335"/>
  <c r="T18" i="335"/>
  <c r="S18" i="335"/>
  <c r="R18" i="335"/>
  <c r="G18" i="335"/>
  <c r="Q18" i="335" s="1"/>
  <c r="B18" i="335"/>
  <c r="P18" i="335" s="1"/>
  <c r="AJ17" i="335"/>
  <c r="T17" i="335"/>
  <c r="S17" i="335"/>
  <c r="G17" i="335"/>
  <c r="R17" i="335" s="1"/>
  <c r="B17" i="335"/>
  <c r="P17" i="335" s="1"/>
  <c r="AJ16" i="335"/>
  <c r="T16" i="335"/>
  <c r="S16" i="335"/>
  <c r="R16" i="335"/>
  <c r="G16" i="335"/>
  <c r="Q16" i="335" s="1"/>
  <c r="B16" i="335"/>
  <c r="P16" i="335" s="1"/>
  <c r="AJ15" i="335"/>
  <c r="T15" i="335"/>
  <c r="S15" i="335"/>
  <c r="R15" i="335"/>
  <c r="G15" i="335"/>
  <c r="Q15" i="335" s="1"/>
  <c r="B15" i="335"/>
  <c r="P15" i="335" s="1"/>
  <c r="AJ14" i="335"/>
  <c r="T14" i="335"/>
  <c r="S14" i="335"/>
  <c r="R14" i="335"/>
  <c r="G14" i="335"/>
  <c r="Q14" i="335" s="1"/>
  <c r="B14" i="335"/>
  <c r="P14" i="335" s="1"/>
  <c r="AJ13" i="335"/>
  <c r="T13" i="335"/>
  <c r="S13" i="335"/>
  <c r="R13" i="335"/>
  <c r="G13" i="335"/>
  <c r="Q13" i="335" s="1"/>
  <c r="B13" i="335"/>
  <c r="P13" i="335" s="1"/>
  <c r="D9" i="334"/>
  <c r="AJ24" i="334"/>
  <c r="T24" i="334"/>
  <c r="S24" i="334"/>
  <c r="R24" i="334"/>
  <c r="G24" i="334"/>
  <c r="Q24" i="334" s="1"/>
  <c r="B24" i="334"/>
  <c r="P24" i="334" s="1"/>
  <c r="AJ23" i="334"/>
  <c r="T23" i="334"/>
  <c r="S23" i="334"/>
  <c r="R23" i="334"/>
  <c r="G23" i="334"/>
  <c r="Q23" i="334" s="1"/>
  <c r="B23" i="334"/>
  <c r="P23" i="334" s="1"/>
  <c r="AJ22" i="334"/>
  <c r="T22" i="334"/>
  <c r="S22" i="334"/>
  <c r="R22" i="334"/>
  <c r="G22" i="334"/>
  <c r="Q22" i="334" s="1"/>
  <c r="B22" i="334"/>
  <c r="P22" i="334" s="1"/>
  <c r="AJ21" i="334"/>
  <c r="T21" i="334"/>
  <c r="S21" i="334"/>
  <c r="R21" i="334"/>
  <c r="G21" i="334"/>
  <c r="Q21" i="334" s="1"/>
  <c r="B21" i="334"/>
  <c r="P21" i="334" s="1"/>
  <c r="AJ20" i="334"/>
  <c r="T20" i="334"/>
  <c r="S20" i="334"/>
  <c r="R20" i="334"/>
  <c r="G20" i="334"/>
  <c r="Q20" i="334" s="1"/>
  <c r="B20" i="334"/>
  <c r="P20" i="334" s="1"/>
  <c r="AJ19" i="334"/>
  <c r="T19" i="334"/>
  <c r="S19" i="334"/>
  <c r="R19" i="334"/>
  <c r="G19" i="334"/>
  <c r="Q19" i="334" s="1"/>
  <c r="B19" i="334"/>
  <c r="P19" i="334" s="1"/>
  <c r="AJ18" i="334"/>
  <c r="T18" i="334"/>
  <c r="S18" i="334"/>
  <c r="R18" i="334"/>
  <c r="G18" i="334"/>
  <c r="Q18" i="334" s="1"/>
  <c r="B18" i="334"/>
  <c r="P18" i="334" s="1"/>
  <c r="AJ17" i="334"/>
  <c r="T17" i="334"/>
  <c r="S17" i="334"/>
  <c r="G17" i="334"/>
  <c r="Q17" i="334" s="1"/>
  <c r="B17" i="334"/>
  <c r="P17" i="334" s="1"/>
  <c r="AJ16" i="334"/>
  <c r="T16" i="334"/>
  <c r="S16" i="334"/>
  <c r="R16" i="334"/>
  <c r="G16" i="334"/>
  <c r="Q16" i="334" s="1"/>
  <c r="B16" i="334"/>
  <c r="P16" i="334" s="1"/>
  <c r="AJ15" i="334"/>
  <c r="T15" i="334"/>
  <c r="S15" i="334"/>
  <c r="R15" i="334"/>
  <c r="G15" i="334"/>
  <c r="Q15" i="334" s="1"/>
  <c r="B15" i="334"/>
  <c r="P15" i="334" s="1"/>
  <c r="AJ14" i="334"/>
  <c r="T14" i="334"/>
  <c r="S14" i="334"/>
  <c r="R14" i="334"/>
  <c r="G14" i="334"/>
  <c r="Q14" i="334" s="1"/>
  <c r="B14" i="334"/>
  <c r="P14" i="334" s="1"/>
  <c r="AJ13" i="334"/>
  <c r="T13" i="334"/>
  <c r="S13" i="334"/>
  <c r="R13" i="334"/>
  <c r="G13" i="334"/>
  <c r="Q13" i="334" s="1"/>
  <c r="B13" i="334"/>
  <c r="P13" i="334" s="1"/>
  <c r="D9" i="192"/>
  <c r="D9" i="193"/>
  <c r="D9" i="194"/>
  <c r="D9" i="195"/>
  <c r="D9" i="196"/>
  <c r="D9" i="333"/>
  <c r="AJ24" i="333"/>
  <c r="T24" i="333"/>
  <c r="S24" i="333"/>
  <c r="R24" i="333"/>
  <c r="G24" i="333"/>
  <c r="Q24" i="333" s="1"/>
  <c r="B24" i="333"/>
  <c r="P24" i="333" s="1"/>
  <c r="AJ23" i="333"/>
  <c r="T23" i="333"/>
  <c r="S23" i="333"/>
  <c r="R23" i="333"/>
  <c r="G23" i="333"/>
  <c r="Q23" i="333" s="1"/>
  <c r="B23" i="333"/>
  <c r="P23" i="333" s="1"/>
  <c r="AJ22" i="333"/>
  <c r="T22" i="333"/>
  <c r="S22" i="333"/>
  <c r="R22" i="333"/>
  <c r="G22" i="333"/>
  <c r="Q22" i="333" s="1"/>
  <c r="B22" i="333"/>
  <c r="P22" i="333" s="1"/>
  <c r="AJ21" i="333"/>
  <c r="T21" i="333"/>
  <c r="S21" i="333"/>
  <c r="R21" i="333"/>
  <c r="G21" i="333"/>
  <c r="Q21" i="333" s="1"/>
  <c r="B21" i="333"/>
  <c r="P21" i="333" s="1"/>
  <c r="AJ20" i="333"/>
  <c r="T20" i="333"/>
  <c r="S20" i="333"/>
  <c r="R20" i="333"/>
  <c r="G20" i="333"/>
  <c r="Q20" i="333" s="1"/>
  <c r="B20" i="333"/>
  <c r="P20" i="333" s="1"/>
  <c r="AJ19" i="333"/>
  <c r="T19" i="333"/>
  <c r="S19" i="333"/>
  <c r="R19" i="333"/>
  <c r="G19" i="333"/>
  <c r="Q19" i="333" s="1"/>
  <c r="B19" i="333"/>
  <c r="P19" i="333" s="1"/>
  <c r="AJ18" i="333"/>
  <c r="T18" i="333"/>
  <c r="S18" i="333"/>
  <c r="R18" i="333"/>
  <c r="G18" i="333"/>
  <c r="Q18" i="333" s="1"/>
  <c r="B18" i="333"/>
  <c r="P18" i="333" s="1"/>
  <c r="AJ17" i="333"/>
  <c r="T17" i="333"/>
  <c r="S17" i="333"/>
  <c r="G17" i="333"/>
  <c r="R17" i="333" s="1"/>
  <c r="B17" i="333"/>
  <c r="P17" i="333" s="1"/>
  <c r="AJ16" i="333"/>
  <c r="T16" i="333"/>
  <c r="S16" i="333"/>
  <c r="R16" i="333"/>
  <c r="G16" i="333"/>
  <c r="Q16" i="333" s="1"/>
  <c r="B16" i="333"/>
  <c r="P16" i="333" s="1"/>
  <c r="AJ15" i="333"/>
  <c r="T15" i="333"/>
  <c r="S15" i="333"/>
  <c r="R15" i="333"/>
  <c r="G15" i="333"/>
  <c r="Q15" i="333" s="1"/>
  <c r="B15" i="333"/>
  <c r="P15" i="333" s="1"/>
  <c r="AJ14" i="333"/>
  <c r="T14" i="333"/>
  <c r="S14" i="333"/>
  <c r="R14" i="333"/>
  <c r="G14" i="333"/>
  <c r="Q14" i="333" s="1"/>
  <c r="B14" i="333"/>
  <c r="P14" i="333" s="1"/>
  <c r="AJ13" i="333"/>
  <c r="T13" i="333"/>
  <c r="S13" i="333"/>
  <c r="R13" i="333"/>
  <c r="G13" i="333"/>
  <c r="Q13" i="333" s="1"/>
  <c r="B13" i="333"/>
  <c r="P13" i="333" s="1"/>
  <c r="B199" i="25"/>
  <c r="BK199" i="25" s="1"/>
  <c r="A199" i="25"/>
  <c r="B198" i="25"/>
  <c r="BK198" i="25" s="1"/>
  <c r="A198" i="25"/>
  <c r="B197" i="25"/>
  <c r="BK197" i="25" s="1"/>
  <c r="A197" i="25"/>
  <c r="B196" i="25"/>
  <c r="BK196" i="25" s="1"/>
  <c r="A196" i="25"/>
  <c r="B195" i="25"/>
  <c r="BK195" i="25" s="1"/>
  <c r="A195" i="25"/>
  <c r="B194" i="25"/>
  <c r="BK194" i="25" s="1"/>
  <c r="A194" i="25"/>
  <c r="B193" i="25"/>
  <c r="BK193" i="25" s="1"/>
  <c r="A193" i="25"/>
  <c r="B192" i="25"/>
  <c r="BK192" i="25" s="1"/>
  <c r="A192" i="25"/>
  <c r="B191" i="25"/>
  <c r="BK191" i="25" s="1"/>
  <c r="A191" i="25"/>
  <c r="B190" i="25"/>
  <c r="BK190" i="25" s="1"/>
  <c r="A190" i="25"/>
  <c r="B189" i="25"/>
  <c r="BK189" i="25" s="1"/>
  <c r="A189" i="25"/>
  <c r="B188" i="25"/>
  <c r="BK188" i="25" s="1"/>
  <c r="A188" i="25"/>
  <c r="B187" i="25"/>
  <c r="BK187" i="25" s="1"/>
  <c r="A187" i="25"/>
  <c r="B186" i="25"/>
  <c r="BK186" i="25" s="1"/>
  <c r="A186" i="25"/>
  <c r="B185" i="25"/>
  <c r="BK185" i="25" s="1"/>
  <c r="A185" i="25"/>
  <c r="B184" i="25"/>
  <c r="BK184" i="25" s="1"/>
  <c r="A184" i="25"/>
  <c r="B183" i="25"/>
  <c r="BK183" i="25" s="1"/>
  <c r="A183" i="25"/>
  <c r="B182" i="25"/>
  <c r="BK182" i="25" s="1"/>
  <c r="A182" i="25"/>
  <c r="B181" i="25"/>
  <c r="BK181" i="25" s="1"/>
  <c r="A181" i="25"/>
  <c r="B180" i="25"/>
  <c r="BK180" i="25" s="1"/>
  <c r="A180" i="25"/>
  <c r="B179" i="25"/>
  <c r="BK179" i="25" s="1"/>
  <c r="A179" i="25"/>
  <c r="B178" i="25"/>
  <c r="BK178" i="25" s="1"/>
  <c r="A178" i="25"/>
  <c r="B171" i="25"/>
  <c r="BK171" i="25" s="1"/>
  <c r="A171" i="25"/>
  <c r="B170" i="25"/>
  <c r="BK170" i="25" s="1"/>
  <c r="A170" i="25"/>
  <c r="B169" i="25"/>
  <c r="BK169" i="25" s="1"/>
  <c r="A169" i="25"/>
  <c r="B168" i="25"/>
  <c r="BK168" i="25" s="1"/>
  <c r="A168" i="25"/>
  <c r="B167" i="25"/>
  <c r="BK167" i="25" s="1"/>
  <c r="A167" i="25"/>
  <c r="B165" i="25"/>
  <c r="BK165" i="25" s="1"/>
  <c r="A165" i="25"/>
  <c r="AM198" i="25"/>
  <c r="AM178" i="25"/>
  <c r="AM170" i="25"/>
  <c r="AM186" i="25"/>
  <c r="AM194" i="25"/>
  <c r="AM187" i="25"/>
  <c r="AM171" i="25"/>
  <c r="AM188" i="25"/>
  <c r="AM180" i="25"/>
  <c r="AM193" i="25"/>
  <c r="AM183" i="25"/>
  <c r="AM189" i="25"/>
  <c r="AM165" i="25"/>
  <c r="AM192" i="25"/>
  <c r="AM191" i="25"/>
  <c r="AM168" i="25"/>
  <c r="AM197" i="25"/>
  <c r="AM179" i="25"/>
  <c r="AM181" i="25"/>
  <c r="AM190" i="25"/>
  <c r="AM167" i="25"/>
  <c r="AM195" i="25"/>
  <c r="AM182" i="25"/>
  <c r="AM199" i="25"/>
  <c r="AM184" i="25"/>
  <c r="AM185" i="25"/>
  <c r="AM169" i="25"/>
  <c r="AM196" i="25"/>
  <c r="Q22" i="352" l="1"/>
  <c r="Q17" i="339"/>
  <c r="Q17" i="342"/>
  <c r="Q17" i="346"/>
  <c r="Q23" i="352"/>
  <c r="Q17" i="347"/>
  <c r="Q22" i="346"/>
  <c r="Q17" i="345"/>
  <c r="Q17" i="344"/>
  <c r="Q17" i="343"/>
  <c r="Q17" i="341"/>
  <c r="Q17" i="340"/>
  <c r="Q17" i="338"/>
  <c r="R17" i="337"/>
  <c r="Q17" i="336"/>
  <c r="Q17" i="335"/>
  <c r="R17" i="334"/>
  <c r="Q17" i="333"/>
  <c r="B163" i="25"/>
  <c r="O163" i="25" s="1"/>
  <c r="A163" i="25"/>
  <c r="B159" i="25"/>
  <c r="O159" i="25" s="1"/>
  <c r="BK159" i="25" s="1"/>
  <c r="A159" i="25"/>
  <c r="AJ32" i="332"/>
  <c r="T32" i="332"/>
  <c r="S32" i="332"/>
  <c r="R32" i="332"/>
  <c r="G32" i="332"/>
  <c r="Q32" i="332" s="1"/>
  <c r="B32" i="332"/>
  <c r="P32" i="332" s="1"/>
  <c r="AJ31" i="332"/>
  <c r="T31" i="332"/>
  <c r="S31" i="332"/>
  <c r="R31" i="332"/>
  <c r="G31" i="332"/>
  <c r="Q31" i="332" s="1"/>
  <c r="B31" i="332"/>
  <c r="P31" i="332" s="1"/>
  <c r="AJ30" i="332"/>
  <c r="T30" i="332"/>
  <c r="S30" i="332"/>
  <c r="R30" i="332"/>
  <c r="G30" i="332"/>
  <c r="Q30" i="332" s="1"/>
  <c r="B30" i="332"/>
  <c r="P30" i="332" s="1"/>
  <c r="AJ29" i="332"/>
  <c r="T29" i="332"/>
  <c r="S29" i="332"/>
  <c r="R29" i="332"/>
  <c r="G29" i="332"/>
  <c r="Q29" i="332" s="1"/>
  <c r="B29" i="332"/>
  <c r="P29" i="332" s="1"/>
  <c r="AJ28" i="332"/>
  <c r="T28" i="332"/>
  <c r="S28" i="332"/>
  <c r="R28" i="332"/>
  <c r="G28" i="332"/>
  <c r="Q28" i="332" s="1"/>
  <c r="B28" i="332"/>
  <c r="P28" i="332" s="1"/>
  <c r="AJ27" i="332"/>
  <c r="T27" i="332"/>
  <c r="S27" i="332"/>
  <c r="R27" i="332"/>
  <c r="G27" i="332"/>
  <c r="Q27" i="332" s="1"/>
  <c r="B27" i="332"/>
  <c r="P27" i="332" s="1"/>
  <c r="AJ26" i="332"/>
  <c r="T26" i="332"/>
  <c r="S26" i="332"/>
  <c r="R26" i="332"/>
  <c r="G26" i="332"/>
  <c r="Q26" i="332" s="1"/>
  <c r="B26" i="332"/>
  <c r="P26" i="332" s="1"/>
  <c r="AJ25" i="332"/>
  <c r="T25" i="332"/>
  <c r="S25" i="332"/>
  <c r="R25" i="332"/>
  <c r="G25" i="332"/>
  <c r="Q25" i="332" s="1"/>
  <c r="B25" i="332"/>
  <c r="P25" i="332" s="1"/>
  <c r="AJ24" i="332"/>
  <c r="T24" i="332"/>
  <c r="S24" i="332"/>
  <c r="R24" i="332"/>
  <c r="G24" i="332"/>
  <c r="Q24" i="332" s="1"/>
  <c r="B24" i="332"/>
  <c r="P24" i="332" s="1"/>
  <c r="AJ23" i="332"/>
  <c r="T23" i="332"/>
  <c r="S23" i="332"/>
  <c r="R23" i="332"/>
  <c r="G23" i="332"/>
  <c r="Q23" i="332" s="1"/>
  <c r="B23" i="332"/>
  <c r="P23" i="332" s="1"/>
  <c r="AJ22" i="332"/>
  <c r="T22" i="332"/>
  <c r="S22" i="332"/>
  <c r="R22" i="332"/>
  <c r="G22" i="332"/>
  <c r="Q22" i="332" s="1"/>
  <c r="B22" i="332"/>
  <c r="P22" i="332" s="1"/>
  <c r="AJ21" i="332"/>
  <c r="T21" i="332"/>
  <c r="S21" i="332"/>
  <c r="R21" i="332"/>
  <c r="G21" i="332"/>
  <c r="Q21" i="332" s="1"/>
  <c r="B21" i="332"/>
  <c r="P21" i="332" s="1"/>
  <c r="AJ20" i="332"/>
  <c r="T20" i="332"/>
  <c r="S20" i="332"/>
  <c r="R20" i="332"/>
  <c r="G20" i="332"/>
  <c r="Q20" i="332" s="1"/>
  <c r="B20" i="332"/>
  <c r="P20" i="332" s="1"/>
  <c r="AJ19" i="332"/>
  <c r="T19" i="332"/>
  <c r="S19" i="332"/>
  <c r="R19" i="332"/>
  <c r="G19" i="332"/>
  <c r="Q19" i="332" s="1"/>
  <c r="B19" i="332"/>
  <c r="P19" i="332" s="1"/>
  <c r="AJ18" i="332"/>
  <c r="T18" i="332"/>
  <c r="S18" i="332"/>
  <c r="R18" i="332"/>
  <c r="G18" i="332"/>
  <c r="Q18" i="332" s="1"/>
  <c r="B18" i="332"/>
  <c r="P18" i="332" s="1"/>
  <c r="AJ17" i="332"/>
  <c r="T17" i="332"/>
  <c r="S17" i="332"/>
  <c r="R17" i="332"/>
  <c r="G17" i="332"/>
  <c r="Q17" i="332" s="1"/>
  <c r="B17" i="332"/>
  <c r="P17" i="332" s="1"/>
  <c r="AJ16" i="332"/>
  <c r="T16" i="332"/>
  <c r="S16" i="332"/>
  <c r="R16" i="332"/>
  <c r="G16" i="332"/>
  <c r="Q16" i="332" s="1"/>
  <c r="B16" i="332"/>
  <c r="P16" i="332" s="1"/>
  <c r="AJ15" i="332"/>
  <c r="T15" i="332"/>
  <c r="S15" i="332"/>
  <c r="R15" i="332"/>
  <c r="G15" i="332"/>
  <c r="Q15" i="332" s="1"/>
  <c r="B15" i="332"/>
  <c r="P15" i="332" s="1"/>
  <c r="AJ14" i="332"/>
  <c r="T14" i="332"/>
  <c r="S14" i="332"/>
  <c r="R14" i="332"/>
  <c r="G14" i="332"/>
  <c r="Q14" i="332" s="1"/>
  <c r="B14" i="332"/>
  <c r="P14" i="332" s="1"/>
  <c r="AJ13" i="332"/>
  <c r="T13" i="332"/>
  <c r="S13" i="332"/>
  <c r="R13" i="332"/>
  <c r="Q13" i="332"/>
  <c r="B13" i="332"/>
  <c r="P13" i="332" s="1"/>
  <c r="D9" i="332"/>
  <c r="R7" i="174"/>
  <c r="AJ14" i="331"/>
  <c r="T14" i="331"/>
  <c r="S14" i="331"/>
  <c r="R14" i="331"/>
  <c r="G14" i="331"/>
  <c r="Q14" i="331" s="1"/>
  <c r="B14" i="331"/>
  <c r="P14" i="331" s="1"/>
  <c r="AJ17" i="331"/>
  <c r="T17" i="331"/>
  <c r="S17" i="331"/>
  <c r="R17" i="331"/>
  <c r="G17" i="331"/>
  <c r="Q17" i="331" s="1"/>
  <c r="B17" i="331"/>
  <c r="P17" i="331" s="1"/>
  <c r="AJ16" i="331"/>
  <c r="T16" i="331"/>
  <c r="S16" i="331"/>
  <c r="R16" i="331"/>
  <c r="G16" i="331"/>
  <c r="Q16" i="331" s="1"/>
  <c r="B16" i="331"/>
  <c r="P16" i="331" s="1"/>
  <c r="AJ15" i="331"/>
  <c r="T15" i="331"/>
  <c r="S15" i="331"/>
  <c r="R15" i="331"/>
  <c r="G15" i="331"/>
  <c r="Q15" i="331" s="1"/>
  <c r="B15" i="331"/>
  <c r="P15" i="331" s="1"/>
  <c r="AJ13" i="331"/>
  <c r="T13" i="331"/>
  <c r="S13" i="331"/>
  <c r="R13" i="331"/>
  <c r="G13" i="331"/>
  <c r="Q13" i="331" s="1"/>
  <c r="B13" i="331"/>
  <c r="P13" i="331" s="1"/>
  <c r="D9" i="331"/>
  <c r="BK7" i="25"/>
  <c r="B7" i="25"/>
  <c r="A7" i="25"/>
  <c r="BK6" i="25"/>
  <c r="A6" i="25"/>
  <c r="AM6" i="25"/>
  <c r="AM163" i="25"/>
  <c r="AM7" i="25"/>
  <c r="AM159" i="25"/>
  <c r="BK163" i="25" l="1"/>
  <c r="D4" i="331"/>
  <c r="D6" i="332"/>
  <c r="D5" i="331"/>
  <c r="D8" i="331" s="1"/>
  <c r="D5" i="332"/>
  <c r="D8" i="332" s="1"/>
  <c r="D4" i="332"/>
  <c r="D6" i="331"/>
  <c r="E1055" i="174" l="1"/>
  <c r="T1052" i="174"/>
  <c r="R1052" i="174"/>
  <c r="C1050" i="174" s="1"/>
  <c r="W1050" i="174" s="1"/>
  <c r="W1048" i="174"/>
  <c r="E1043" i="174"/>
  <c r="T1040" i="174"/>
  <c r="R1040" i="174"/>
  <c r="C1038" i="174" s="1"/>
  <c r="W1038" i="174" s="1"/>
  <c r="W1036" i="174"/>
  <c r="E1031" i="174"/>
  <c r="T1028" i="174"/>
  <c r="R1028" i="174"/>
  <c r="C1026" i="174" s="1"/>
  <c r="W1026" i="174" s="1"/>
  <c r="W1024" i="174"/>
  <c r="E1019" i="174"/>
  <c r="T1016" i="174"/>
  <c r="R1016" i="174"/>
  <c r="C1013" i="174" s="1"/>
  <c r="W1013" i="174" s="1"/>
  <c r="W1012" i="174"/>
  <c r="E1007" i="174"/>
  <c r="T1004" i="174"/>
  <c r="R1004" i="174"/>
  <c r="C1002" i="174" s="1"/>
  <c r="W1002" i="174" s="1"/>
  <c r="W1000" i="174"/>
  <c r="E995" i="174"/>
  <c r="T992" i="174"/>
  <c r="R992" i="174"/>
  <c r="C990" i="174" s="1"/>
  <c r="W990" i="174" s="1"/>
  <c r="W988" i="174"/>
  <c r="E983" i="174"/>
  <c r="T980" i="174"/>
  <c r="R980" i="174"/>
  <c r="C978" i="174" s="1"/>
  <c r="W978" i="174" s="1"/>
  <c r="W976" i="174"/>
  <c r="E971" i="174"/>
  <c r="T968" i="174"/>
  <c r="R968" i="174"/>
  <c r="C966" i="174" s="1"/>
  <c r="W966" i="174" s="1"/>
  <c r="W964" i="174"/>
  <c r="E959" i="174"/>
  <c r="T956" i="174"/>
  <c r="R956" i="174"/>
  <c r="C954" i="174" s="1"/>
  <c r="W954" i="174" s="1"/>
  <c r="W952" i="174"/>
  <c r="E947" i="174"/>
  <c r="T944" i="174"/>
  <c r="R944" i="174"/>
  <c r="C942" i="174" s="1"/>
  <c r="W942" i="174" s="1"/>
  <c r="W940" i="174"/>
  <c r="E935" i="174"/>
  <c r="T932" i="174"/>
  <c r="R932" i="174"/>
  <c r="C930" i="174" s="1"/>
  <c r="W930" i="174" s="1"/>
  <c r="W928" i="174"/>
  <c r="E923" i="174"/>
  <c r="T920" i="174"/>
  <c r="R920" i="174"/>
  <c r="C918" i="174" s="1"/>
  <c r="W918" i="174" s="1"/>
  <c r="W916" i="174"/>
  <c r="E911" i="174"/>
  <c r="T908" i="174"/>
  <c r="R908" i="174"/>
  <c r="C906" i="174" s="1"/>
  <c r="W906" i="174" s="1"/>
  <c r="W904" i="174"/>
  <c r="E899" i="174"/>
  <c r="T896" i="174"/>
  <c r="R896" i="174"/>
  <c r="C894" i="174" s="1"/>
  <c r="W894" i="174" s="1"/>
  <c r="W892" i="174"/>
  <c r="E887" i="174"/>
  <c r="T884" i="174"/>
  <c r="R884" i="174"/>
  <c r="C882" i="174" s="1"/>
  <c r="W882" i="174" s="1"/>
  <c r="W880" i="174"/>
  <c r="E875" i="174"/>
  <c r="T872" i="174"/>
  <c r="R872" i="174"/>
  <c r="C870" i="174" s="1"/>
  <c r="W870" i="174" s="1"/>
  <c r="W868" i="174"/>
  <c r="E863" i="174"/>
  <c r="T860" i="174"/>
  <c r="R860" i="174"/>
  <c r="C857" i="174" s="1"/>
  <c r="W857" i="174" s="1"/>
  <c r="W856" i="174"/>
  <c r="E851" i="174"/>
  <c r="T848" i="174"/>
  <c r="R848" i="174"/>
  <c r="C846" i="174" s="1"/>
  <c r="W846" i="174" s="1"/>
  <c r="W844" i="174"/>
  <c r="E839" i="174"/>
  <c r="T836" i="174"/>
  <c r="R836" i="174"/>
  <c r="C833" i="174" s="1"/>
  <c r="W833" i="174" s="1"/>
  <c r="W832" i="174"/>
  <c r="E827" i="174"/>
  <c r="T824" i="174"/>
  <c r="R824" i="174"/>
  <c r="C822" i="174" s="1"/>
  <c r="W822" i="174" s="1"/>
  <c r="W820" i="174"/>
  <c r="E815" i="174"/>
  <c r="T812" i="174"/>
  <c r="R812" i="174"/>
  <c r="C810" i="174" s="1"/>
  <c r="W810" i="174" s="1"/>
  <c r="W808" i="174"/>
  <c r="E803" i="174"/>
  <c r="T800" i="174"/>
  <c r="R800" i="174"/>
  <c r="C798" i="174" s="1"/>
  <c r="W798" i="174" s="1"/>
  <c r="W796" i="174"/>
  <c r="E791" i="174"/>
  <c r="T788" i="174"/>
  <c r="R788" i="174"/>
  <c r="C786" i="174" s="1"/>
  <c r="W786" i="174" s="1"/>
  <c r="W784" i="174"/>
  <c r="E779" i="174"/>
  <c r="T776" i="174"/>
  <c r="R776" i="174"/>
  <c r="C774" i="174" s="1"/>
  <c r="W774" i="174" s="1"/>
  <c r="W772" i="174"/>
  <c r="E767" i="174"/>
  <c r="T764" i="174"/>
  <c r="R764" i="174"/>
  <c r="C762" i="174" s="1"/>
  <c r="W762" i="174" s="1"/>
  <c r="W760" i="174"/>
  <c r="E755" i="174"/>
  <c r="T752" i="174"/>
  <c r="R752" i="174"/>
  <c r="C750" i="174" s="1"/>
  <c r="W750" i="174" s="1"/>
  <c r="W748" i="174"/>
  <c r="E743" i="174"/>
  <c r="T740" i="174"/>
  <c r="R740" i="174"/>
  <c r="C738" i="174" s="1"/>
  <c r="W738" i="174" s="1"/>
  <c r="W736" i="174"/>
  <c r="E731" i="174"/>
  <c r="T728" i="174"/>
  <c r="R728" i="174"/>
  <c r="C726" i="174" s="1"/>
  <c r="W726" i="174" s="1"/>
  <c r="W724" i="174"/>
  <c r="E665" i="174"/>
  <c r="T662" i="174"/>
  <c r="R662" i="174"/>
  <c r="C660" i="174" s="1"/>
  <c r="W660" i="174" s="1"/>
  <c r="W658" i="174"/>
  <c r="E653" i="174"/>
  <c r="T650" i="174"/>
  <c r="R650" i="174"/>
  <c r="C648" i="174" s="1"/>
  <c r="W648" i="174" s="1"/>
  <c r="W646" i="174"/>
  <c r="E641" i="174"/>
  <c r="T638" i="174"/>
  <c r="R638" i="174"/>
  <c r="C636" i="174" s="1"/>
  <c r="W636" i="174" s="1"/>
  <c r="W634" i="174"/>
  <c r="E620" i="174"/>
  <c r="T617" i="174"/>
  <c r="R617" i="174"/>
  <c r="C615" i="174" s="1"/>
  <c r="W615" i="174" s="1"/>
  <c r="W613" i="174"/>
  <c r="T608" i="174"/>
  <c r="R608" i="174"/>
  <c r="C606" i="174" s="1"/>
  <c r="W606" i="174" s="1"/>
  <c r="W604" i="174"/>
  <c r="T599" i="174"/>
  <c r="R599" i="174"/>
  <c r="C597" i="174" s="1"/>
  <c r="W597" i="174" s="1"/>
  <c r="W595" i="174"/>
  <c r="T590" i="174"/>
  <c r="R590" i="174"/>
  <c r="C588" i="174" s="1"/>
  <c r="W588" i="174" s="1"/>
  <c r="W586" i="174"/>
  <c r="T581" i="174"/>
  <c r="R581" i="174"/>
  <c r="C579" i="174" s="1"/>
  <c r="W579" i="174" s="1"/>
  <c r="W577" i="174"/>
  <c r="T572" i="174"/>
  <c r="R572" i="174"/>
  <c r="C570" i="174" s="1"/>
  <c r="W570" i="174" s="1"/>
  <c r="W568" i="174"/>
  <c r="T563" i="174"/>
  <c r="R563" i="174"/>
  <c r="C561" i="174" s="1"/>
  <c r="W561" i="174" s="1"/>
  <c r="W559" i="174"/>
  <c r="T554" i="174"/>
  <c r="R554" i="174"/>
  <c r="C552" i="174" s="1"/>
  <c r="W552" i="174" s="1"/>
  <c r="W550" i="174"/>
  <c r="T545" i="174"/>
  <c r="R545" i="174"/>
  <c r="C543" i="174" s="1"/>
  <c r="W543" i="174" s="1"/>
  <c r="W541" i="174"/>
  <c r="T536" i="174"/>
  <c r="R536" i="174"/>
  <c r="C534" i="174" s="1"/>
  <c r="W534" i="174" s="1"/>
  <c r="W532" i="174"/>
  <c r="T527" i="174"/>
  <c r="R527" i="174"/>
  <c r="C525" i="174" s="1"/>
  <c r="W525" i="174" s="1"/>
  <c r="W523" i="174"/>
  <c r="T518" i="174"/>
  <c r="R518" i="174"/>
  <c r="C516" i="174" s="1"/>
  <c r="W516" i="174" s="1"/>
  <c r="W514" i="174"/>
  <c r="T509" i="174"/>
  <c r="R509" i="174"/>
  <c r="C507" i="174" s="1"/>
  <c r="W507" i="174" s="1"/>
  <c r="W505" i="174"/>
  <c r="T500" i="174"/>
  <c r="R500" i="174"/>
  <c r="C497" i="174" s="1"/>
  <c r="W497" i="174" s="1"/>
  <c r="W496" i="174"/>
  <c r="T491" i="174"/>
  <c r="R491" i="174"/>
  <c r="C489" i="174" s="1"/>
  <c r="W489" i="174" s="1"/>
  <c r="W487" i="174"/>
  <c r="T482" i="174"/>
  <c r="R482" i="174"/>
  <c r="C480" i="174" s="1"/>
  <c r="W480" i="174" s="1"/>
  <c r="W478" i="174"/>
  <c r="T473" i="174"/>
  <c r="R473" i="174"/>
  <c r="C471" i="174" s="1"/>
  <c r="W471" i="174" s="1"/>
  <c r="W469" i="174"/>
  <c r="T464" i="174"/>
  <c r="R464" i="174"/>
  <c r="C462" i="174" s="1"/>
  <c r="W462" i="174" s="1"/>
  <c r="W460" i="174"/>
  <c r="T455" i="174"/>
  <c r="R455" i="174"/>
  <c r="C453" i="174" s="1"/>
  <c r="W453" i="174" s="1"/>
  <c r="W451" i="174"/>
  <c r="T446" i="174"/>
  <c r="R446" i="174"/>
  <c r="C444" i="174" s="1"/>
  <c r="W444" i="174" s="1"/>
  <c r="W442" i="174"/>
  <c r="T437" i="174"/>
  <c r="R437" i="174"/>
  <c r="C435" i="174" s="1"/>
  <c r="W435" i="174" s="1"/>
  <c r="W433" i="174"/>
  <c r="T428" i="174"/>
  <c r="R428" i="174"/>
  <c r="C426" i="174" s="1"/>
  <c r="W426" i="174" s="1"/>
  <c r="W424" i="174"/>
  <c r="T419" i="174"/>
  <c r="R419" i="174"/>
  <c r="C417" i="174" s="1"/>
  <c r="W417" i="174" s="1"/>
  <c r="W415" i="174"/>
  <c r="T410" i="174"/>
  <c r="R410" i="174"/>
  <c r="C408" i="174" s="1"/>
  <c r="W408" i="174" s="1"/>
  <c r="W406" i="174"/>
  <c r="T401" i="174"/>
  <c r="R401" i="174"/>
  <c r="C399" i="174" s="1"/>
  <c r="W399" i="174" s="1"/>
  <c r="W397" i="174"/>
  <c r="T392" i="174"/>
  <c r="R392" i="174"/>
  <c r="C390" i="174" s="1"/>
  <c r="W390" i="174" s="1"/>
  <c r="W388" i="174"/>
  <c r="T383" i="174"/>
  <c r="R383" i="174"/>
  <c r="C381" i="174" s="1"/>
  <c r="W381" i="174" s="1"/>
  <c r="W379" i="174"/>
  <c r="T374" i="174"/>
  <c r="R374" i="174"/>
  <c r="C372" i="174" s="1"/>
  <c r="W372" i="174" s="1"/>
  <c r="W370" i="174"/>
  <c r="T365" i="174"/>
  <c r="R365" i="174"/>
  <c r="C363" i="174" s="1"/>
  <c r="W363" i="174" s="1"/>
  <c r="W361" i="174"/>
  <c r="T356" i="174"/>
  <c r="R356" i="174"/>
  <c r="C354" i="174" s="1"/>
  <c r="W354" i="174" s="1"/>
  <c r="W352" i="174"/>
  <c r="T347" i="174"/>
  <c r="R347" i="174"/>
  <c r="C345" i="174" s="1"/>
  <c r="W345" i="174" s="1"/>
  <c r="W343" i="174"/>
  <c r="T338" i="174"/>
  <c r="R338" i="174"/>
  <c r="C336" i="174" s="1"/>
  <c r="W336" i="174" s="1"/>
  <c r="W334" i="174"/>
  <c r="T329" i="174"/>
  <c r="R329" i="174"/>
  <c r="C327" i="174" s="1"/>
  <c r="W327" i="174" s="1"/>
  <c r="W325" i="174"/>
  <c r="T320" i="174"/>
  <c r="R320" i="174"/>
  <c r="C318" i="174" s="1"/>
  <c r="W318" i="174" s="1"/>
  <c r="W316" i="174"/>
  <c r="T311" i="174"/>
  <c r="R311" i="174"/>
  <c r="C309" i="174" s="1"/>
  <c r="W309" i="174" s="1"/>
  <c r="W307" i="174"/>
  <c r="T302" i="174"/>
  <c r="R302" i="174"/>
  <c r="C300" i="174" s="1"/>
  <c r="W300" i="174" s="1"/>
  <c r="W298" i="174"/>
  <c r="T293" i="174"/>
  <c r="R293" i="174"/>
  <c r="C291" i="174" s="1"/>
  <c r="W291" i="174" s="1"/>
  <c r="W289" i="174"/>
  <c r="T284" i="174"/>
  <c r="R284" i="174"/>
  <c r="C282" i="174" s="1"/>
  <c r="W282" i="174" s="1"/>
  <c r="W280" i="174"/>
  <c r="T275" i="174"/>
  <c r="R275" i="174"/>
  <c r="C273" i="174" s="1"/>
  <c r="W273" i="174" s="1"/>
  <c r="W271" i="174"/>
  <c r="T266" i="174"/>
  <c r="R266" i="174"/>
  <c r="C263" i="174" s="1"/>
  <c r="W263" i="174" s="1"/>
  <c r="W262" i="174"/>
  <c r="T257" i="174"/>
  <c r="R257" i="174"/>
  <c r="C255" i="174" s="1"/>
  <c r="W255" i="174" s="1"/>
  <c r="W253" i="174"/>
  <c r="T248" i="174"/>
  <c r="R248" i="174"/>
  <c r="C246" i="174" s="1"/>
  <c r="W246" i="174" s="1"/>
  <c r="W244" i="174"/>
  <c r="T239" i="174"/>
  <c r="R239" i="174"/>
  <c r="C236" i="174" s="1"/>
  <c r="W236" i="174" s="1"/>
  <c r="W235" i="174"/>
  <c r="T230" i="174"/>
  <c r="R230" i="174"/>
  <c r="C228" i="174" s="1"/>
  <c r="W228" i="174" s="1"/>
  <c r="W226" i="174"/>
  <c r="T221" i="174"/>
  <c r="R221" i="174"/>
  <c r="C219" i="174" s="1"/>
  <c r="W219" i="174" s="1"/>
  <c r="W217" i="174"/>
  <c r="T212" i="174"/>
  <c r="R212" i="174"/>
  <c r="C210" i="174" s="1"/>
  <c r="W210" i="174" s="1"/>
  <c r="W208" i="174"/>
  <c r="T203" i="174"/>
  <c r="R203" i="174"/>
  <c r="C201" i="174" s="1"/>
  <c r="W201" i="174" s="1"/>
  <c r="W199" i="174"/>
  <c r="T194" i="174"/>
  <c r="R194" i="174"/>
  <c r="C192" i="174" s="1"/>
  <c r="W192" i="174" s="1"/>
  <c r="W190" i="174"/>
  <c r="T185" i="174"/>
  <c r="R185" i="174"/>
  <c r="C183" i="174" s="1"/>
  <c r="W183" i="174" s="1"/>
  <c r="W181" i="174"/>
  <c r="R176" i="174"/>
  <c r="C173" i="174" s="1"/>
  <c r="W173" i="174" s="1"/>
  <c r="T176" i="174"/>
  <c r="W172" i="174"/>
  <c r="E167" i="174"/>
  <c r="T164" i="174"/>
  <c r="R164" i="174"/>
  <c r="C162" i="174" s="1"/>
  <c r="W162" i="174" s="1"/>
  <c r="W160" i="174"/>
  <c r="E155" i="174"/>
  <c r="T152" i="174"/>
  <c r="R152" i="174"/>
  <c r="C149" i="174" s="1"/>
  <c r="W149" i="174" s="1"/>
  <c r="W148" i="174"/>
  <c r="E143" i="174"/>
  <c r="T140" i="174"/>
  <c r="R140" i="174"/>
  <c r="C137" i="174" s="1"/>
  <c r="W137" i="174" s="1"/>
  <c r="W136" i="174"/>
  <c r="E131" i="174"/>
  <c r="T128" i="174"/>
  <c r="R128" i="174"/>
  <c r="C126" i="174" s="1"/>
  <c r="W126" i="174" s="1"/>
  <c r="W124" i="174"/>
  <c r="E119" i="174"/>
  <c r="T116" i="174"/>
  <c r="R116" i="174"/>
  <c r="C114" i="174" s="1"/>
  <c r="W114" i="174" s="1"/>
  <c r="W112" i="174"/>
  <c r="E107" i="174"/>
  <c r="T104" i="174"/>
  <c r="R104" i="174"/>
  <c r="C102" i="174" s="1"/>
  <c r="W102" i="174" s="1"/>
  <c r="W100" i="174"/>
  <c r="E95" i="174"/>
  <c r="T92" i="174"/>
  <c r="R92" i="174"/>
  <c r="C90" i="174" s="1"/>
  <c r="W90" i="174" s="1"/>
  <c r="W88" i="174"/>
  <c r="E83" i="174"/>
  <c r="T80" i="174"/>
  <c r="R80" i="174"/>
  <c r="C78" i="174" s="1"/>
  <c r="W78" i="174" s="1"/>
  <c r="W76" i="174"/>
  <c r="T71" i="174"/>
  <c r="R71" i="174"/>
  <c r="C69" i="174" s="1"/>
  <c r="W69" i="174" s="1"/>
  <c r="W67" i="174"/>
  <c r="E62" i="174"/>
  <c r="T59" i="174"/>
  <c r="R59" i="174"/>
  <c r="C57" i="174" s="1"/>
  <c r="W57" i="174" s="1"/>
  <c r="W55" i="174"/>
  <c r="C1037" i="174" l="1"/>
  <c r="W1037" i="174" s="1"/>
  <c r="C89" i="174"/>
  <c r="W89" i="174" s="1"/>
  <c r="C551" i="174"/>
  <c r="W551" i="174" s="1"/>
  <c r="C398" i="174"/>
  <c r="W398" i="174" s="1"/>
  <c r="C542" i="174"/>
  <c r="W542" i="174" s="1"/>
  <c r="C174" i="174"/>
  <c r="W174" i="174" s="1"/>
  <c r="C524" i="174"/>
  <c r="W524" i="174" s="1"/>
  <c r="C635" i="174"/>
  <c r="W635" i="174" s="1"/>
  <c r="C461" i="174"/>
  <c r="W461" i="174" s="1"/>
  <c r="C1025" i="174"/>
  <c r="W1025" i="174" s="1"/>
  <c r="C569" i="174"/>
  <c r="W569" i="174" s="1"/>
  <c r="C264" i="174"/>
  <c r="W264" i="174" s="1"/>
  <c r="C425" i="174"/>
  <c r="W425" i="174" s="1"/>
  <c r="C596" i="174"/>
  <c r="W596" i="174" s="1"/>
  <c r="C821" i="174"/>
  <c r="W821" i="174" s="1"/>
  <c r="C498" i="174"/>
  <c r="W498" i="174" s="1"/>
  <c r="C1049" i="174"/>
  <c r="W1049" i="174" s="1"/>
  <c r="C1014" i="174"/>
  <c r="W1014" i="174" s="1"/>
  <c r="C1001" i="174"/>
  <c r="W1001" i="174" s="1"/>
  <c r="C989" i="174"/>
  <c r="W989" i="174" s="1"/>
  <c r="C977" i="174"/>
  <c r="W977" i="174" s="1"/>
  <c r="C965" i="174"/>
  <c r="W965" i="174" s="1"/>
  <c r="C953" i="174"/>
  <c r="W953" i="174" s="1"/>
  <c r="C941" i="174"/>
  <c r="W941" i="174" s="1"/>
  <c r="C929" i="174"/>
  <c r="W929" i="174" s="1"/>
  <c r="C917" i="174"/>
  <c r="W917" i="174" s="1"/>
  <c r="C905" i="174"/>
  <c r="W905" i="174" s="1"/>
  <c r="C893" i="174"/>
  <c r="W893" i="174" s="1"/>
  <c r="C881" i="174"/>
  <c r="W881" i="174" s="1"/>
  <c r="C869" i="174"/>
  <c r="W869" i="174" s="1"/>
  <c r="C858" i="174"/>
  <c r="W858" i="174" s="1"/>
  <c r="C845" i="174"/>
  <c r="W845" i="174" s="1"/>
  <c r="C834" i="174"/>
  <c r="W834" i="174" s="1"/>
  <c r="C809" i="174"/>
  <c r="W809" i="174" s="1"/>
  <c r="C797" i="174"/>
  <c r="W797" i="174" s="1"/>
  <c r="C785" i="174"/>
  <c r="W785" i="174" s="1"/>
  <c r="C773" i="174"/>
  <c r="W773" i="174" s="1"/>
  <c r="C761" i="174"/>
  <c r="W761" i="174" s="1"/>
  <c r="C749" i="174"/>
  <c r="W749" i="174" s="1"/>
  <c r="C737" i="174"/>
  <c r="W737" i="174" s="1"/>
  <c r="C725" i="174"/>
  <c r="W725" i="174" s="1"/>
  <c r="C659" i="174"/>
  <c r="W659" i="174" s="1"/>
  <c r="C647" i="174"/>
  <c r="W647" i="174" s="1"/>
  <c r="C614" i="174"/>
  <c r="W614" i="174" s="1"/>
  <c r="C605" i="174"/>
  <c r="W605" i="174" s="1"/>
  <c r="C587" i="174"/>
  <c r="W587" i="174" s="1"/>
  <c r="C578" i="174"/>
  <c r="W578" i="174" s="1"/>
  <c r="C560" i="174"/>
  <c r="W560" i="174" s="1"/>
  <c r="C533" i="174"/>
  <c r="W533" i="174" s="1"/>
  <c r="C515" i="174"/>
  <c r="W515" i="174" s="1"/>
  <c r="C506" i="174"/>
  <c r="W506" i="174" s="1"/>
  <c r="C488" i="174"/>
  <c r="W488" i="174" s="1"/>
  <c r="C479" i="174"/>
  <c r="W479" i="174" s="1"/>
  <c r="C470" i="174"/>
  <c r="W470" i="174" s="1"/>
  <c r="C452" i="174"/>
  <c r="W452" i="174" s="1"/>
  <c r="C443" i="174"/>
  <c r="W443" i="174" s="1"/>
  <c r="C434" i="174"/>
  <c r="W434" i="174" s="1"/>
  <c r="C416" i="174"/>
  <c r="W416" i="174" s="1"/>
  <c r="C407" i="174"/>
  <c r="W407" i="174" s="1"/>
  <c r="C389" i="174"/>
  <c r="W389" i="174" s="1"/>
  <c r="C380" i="174"/>
  <c r="W380" i="174" s="1"/>
  <c r="C371" i="174"/>
  <c r="W371" i="174" s="1"/>
  <c r="C362" i="174"/>
  <c r="W362" i="174" s="1"/>
  <c r="C353" i="174"/>
  <c r="W353" i="174" s="1"/>
  <c r="C344" i="174"/>
  <c r="W344" i="174" s="1"/>
  <c r="C335" i="174"/>
  <c r="W335" i="174" s="1"/>
  <c r="C326" i="174"/>
  <c r="W326" i="174" s="1"/>
  <c r="C317" i="174"/>
  <c r="W317" i="174" s="1"/>
  <c r="C308" i="174"/>
  <c r="W308" i="174" s="1"/>
  <c r="C299" i="174"/>
  <c r="W299" i="174" s="1"/>
  <c r="C290" i="174"/>
  <c r="W290" i="174" s="1"/>
  <c r="C281" i="174"/>
  <c r="W281" i="174" s="1"/>
  <c r="C272" i="174"/>
  <c r="W272" i="174" s="1"/>
  <c r="C254" i="174"/>
  <c r="W254" i="174" s="1"/>
  <c r="C245" i="174"/>
  <c r="W245" i="174" s="1"/>
  <c r="C237" i="174"/>
  <c r="W237" i="174" s="1"/>
  <c r="C227" i="174"/>
  <c r="W227" i="174" s="1"/>
  <c r="C218" i="174"/>
  <c r="W218" i="174" s="1"/>
  <c r="C209" i="174"/>
  <c r="W209" i="174" s="1"/>
  <c r="C200" i="174"/>
  <c r="W200" i="174" s="1"/>
  <c r="C191" i="174"/>
  <c r="W191" i="174" s="1"/>
  <c r="C182" i="174"/>
  <c r="W182" i="174" s="1"/>
  <c r="C161" i="174"/>
  <c r="W161" i="174" s="1"/>
  <c r="C150" i="174"/>
  <c r="W150" i="174" s="1"/>
  <c r="C138" i="174"/>
  <c r="W138" i="174" s="1"/>
  <c r="C125" i="174"/>
  <c r="W125" i="174" s="1"/>
  <c r="C113" i="174"/>
  <c r="W113" i="174" s="1"/>
  <c r="C101" i="174"/>
  <c r="W101" i="174" s="1"/>
  <c r="C77" i="174"/>
  <c r="W77" i="174" s="1"/>
  <c r="C68" i="174"/>
  <c r="W68" i="174" s="1"/>
  <c r="C56" i="174"/>
  <c r="W56" i="174" s="1"/>
  <c r="E50" i="174" l="1"/>
  <c r="T47" i="174"/>
  <c r="R47" i="174"/>
  <c r="C45" i="174" s="1"/>
  <c r="W45" i="174" s="1"/>
  <c r="W43" i="174"/>
  <c r="E38" i="174"/>
  <c r="T35" i="174"/>
  <c r="R35" i="174"/>
  <c r="C33" i="174" s="1"/>
  <c r="W33" i="174" s="1"/>
  <c r="W31" i="174"/>
  <c r="E1607" i="174"/>
  <c r="T1604" i="174"/>
  <c r="R1604" i="174"/>
  <c r="C1602" i="174" s="1"/>
  <c r="W1602" i="174" s="1"/>
  <c r="W1600" i="174"/>
  <c r="E1595" i="174"/>
  <c r="T1592" i="174"/>
  <c r="R1592" i="174"/>
  <c r="C1590" i="174" s="1"/>
  <c r="W1590" i="174" s="1"/>
  <c r="W1588" i="174"/>
  <c r="E1583" i="174"/>
  <c r="T1580" i="174"/>
  <c r="R1580" i="174"/>
  <c r="C1578" i="174" s="1"/>
  <c r="W1578" i="174" s="1"/>
  <c r="W1576" i="174"/>
  <c r="E1571" i="174"/>
  <c r="T1568" i="174"/>
  <c r="R1568" i="174"/>
  <c r="C1566" i="174" s="1"/>
  <c r="W1566" i="174" s="1"/>
  <c r="W1564" i="174"/>
  <c r="E1559" i="174"/>
  <c r="T1556" i="174"/>
  <c r="R1556" i="174"/>
  <c r="C1554" i="174" s="1"/>
  <c r="W1554" i="174" s="1"/>
  <c r="W1552" i="174"/>
  <c r="E1547" i="174"/>
  <c r="T1544" i="174"/>
  <c r="R1544" i="174"/>
  <c r="C1542" i="174" s="1"/>
  <c r="W1542" i="174" s="1"/>
  <c r="W1540" i="174"/>
  <c r="E1535" i="174"/>
  <c r="T1532" i="174"/>
  <c r="R1532" i="174"/>
  <c r="C1529" i="174" s="1"/>
  <c r="W1529" i="174" s="1"/>
  <c r="W1528" i="174"/>
  <c r="E1523" i="174"/>
  <c r="T1520" i="174"/>
  <c r="R1520" i="174"/>
  <c r="C1517" i="174" s="1"/>
  <c r="W1517" i="174" s="1"/>
  <c r="W1516" i="174"/>
  <c r="E1511" i="174"/>
  <c r="T1508" i="174"/>
  <c r="R1508" i="174"/>
  <c r="C1505" i="174" s="1"/>
  <c r="W1505" i="174" s="1"/>
  <c r="W1504" i="174"/>
  <c r="E1499" i="174"/>
  <c r="T1496" i="174"/>
  <c r="R1496" i="174"/>
  <c r="C1494" i="174" s="1"/>
  <c r="W1494" i="174" s="1"/>
  <c r="W1492" i="174"/>
  <c r="E1487" i="174"/>
  <c r="T1484" i="174"/>
  <c r="R1484" i="174"/>
  <c r="C1481" i="174" s="1"/>
  <c r="W1481" i="174" s="1"/>
  <c r="W1480" i="174"/>
  <c r="E1475" i="174"/>
  <c r="T1472" i="174"/>
  <c r="R1472" i="174"/>
  <c r="C1470" i="174" s="1"/>
  <c r="W1470" i="174" s="1"/>
  <c r="W1468" i="174"/>
  <c r="E1463" i="174"/>
  <c r="T1460" i="174"/>
  <c r="R1460" i="174"/>
  <c r="C1458" i="174" s="1"/>
  <c r="W1458" i="174" s="1"/>
  <c r="W1456" i="174"/>
  <c r="E1451" i="174"/>
  <c r="T1448" i="174"/>
  <c r="R1448" i="174"/>
  <c r="C1446" i="174" s="1"/>
  <c r="W1446" i="174" s="1"/>
  <c r="W1444" i="174"/>
  <c r="E1439" i="174"/>
  <c r="T1436" i="174"/>
  <c r="R1436" i="174"/>
  <c r="C1434" i="174" s="1"/>
  <c r="W1434" i="174" s="1"/>
  <c r="W1432" i="174"/>
  <c r="E1427" i="174"/>
  <c r="T1424" i="174"/>
  <c r="R1424" i="174"/>
  <c r="C1421" i="174" s="1"/>
  <c r="W1421" i="174" s="1"/>
  <c r="W1420" i="174"/>
  <c r="E1415" i="174"/>
  <c r="T1412" i="174"/>
  <c r="R1412" i="174"/>
  <c r="C1410" i="174" s="1"/>
  <c r="W1410" i="174" s="1"/>
  <c r="W1408" i="174"/>
  <c r="E1403" i="174"/>
  <c r="T1400" i="174"/>
  <c r="R1400" i="174"/>
  <c r="C1397" i="174" s="1"/>
  <c r="W1397" i="174" s="1"/>
  <c r="W1396" i="174"/>
  <c r="E1391" i="174"/>
  <c r="T1388" i="174"/>
  <c r="R1388" i="174"/>
  <c r="C1386" i="174" s="1"/>
  <c r="W1386" i="174" s="1"/>
  <c r="W1384" i="174"/>
  <c r="E1379" i="174"/>
  <c r="T1376" i="174"/>
  <c r="R1376" i="174"/>
  <c r="C1374" i="174" s="1"/>
  <c r="W1374" i="174" s="1"/>
  <c r="W1372" i="174"/>
  <c r="E1367" i="174"/>
  <c r="T1364" i="174"/>
  <c r="R1364" i="174"/>
  <c r="C1362" i="174" s="1"/>
  <c r="W1362" i="174" s="1"/>
  <c r="W1360" i="174"/>
  <c r="E1355" i="174"/>
  <c r="T1352" i="174"/>
  <c r="R1352" i="174"/>
  <c r="C1350" i="174" s="1"/>
  <c r="W1350" i="174" s="1"/>
  <c r="W1348" i="174"/>
  <c r="E1343" i="174"/>
  <c r="T1340" i="174"/>
  <c r="R1340" i="174"/>
  <c r="C1338" i="174" s="1"/>
  <c r="W1338" i="174" s="1"/>
  <c r="W1336" i="174"/>
  <c r="E1331" i="174"/>
  <c r="T1328" i="174"/>
  <c r="R1328" i="174"/>
  <c r="C1325" i="174" s="1"/>
  <c r="W1325" i="174" s="1"/>
  <c r="W1324" i="174"/>
  <c r="E1319" i="174"/>
  <c r="T1316" i="174"/>
  <c r="R1316" i="174"/>
  <c r="C1313" i="174" s="1"/>
  <c r="W1313" i="174" s="1"/>
  <c r="W1312" i="174"/>
  <c r="E1307" i="174"/>
  <c r="T1304" i="174"/>
  <c r="R1304" i="174"/>
  <c r="C1302" i="174" s="1"/>
  <c r="W1302" i="174" s="1"/>
  <c r="W1300" i="174"/>
  <c r="E1295" i="174"/>
  <c r="T1292" i="174"/>
  <c r="R1292" i="174"/>
  <c r="C1290" i="174" s="1"/>
  <c r="W1290" i="174" s="1"/>
  <c r="W1288" i="174"/>
  <c r="E1283" i="174"/>
  <c r="T1280" i="174"/>
  <c r="R1280" i="174"/>
  <c r="C1278" i="174" s="1"/>
  <c r="W1278" i="174" s="1"/>
  <c r="W1276" i="174"/>
  <c r="E1271" i="174"/>
  <c r="T1268" i="174"/>
  <c r="R1268" i="174"/>
  <c r="C1265" i="174" s="1"/>
  <c r="W1265" i="174" s="1"/>
  <c r="W1264" i="174"/>
  <c r="E1259" i="174"/>
  <c r="T1256" i="174"/>
  <c r="R1256" i="174"/>
  <c r="C1254" i="174" s="1"/>
  <c r="W1254" i="174" s="1"/>
  <c r="W1252" i="174"/>
  <c r="E1247" i="174"/>
  <c r="T1244" i="174"/>
  <c r="R1244" i="174"/>
  <c r="C1242" i="174" s="1"/>
  <c r="W1242" i="174" s="1"/>
  <c r="W1240" i="174"/>
  <c r="E1235" i="174"/>
  <c r="T1232" i="174"/>
  <c r="R1232" i="174"/>
  <c r="C1230" i="174" s="1"/>
  <c r="W1230" i="174" s="1"/>
  <c r="W1228" i="174"/>
  <c r="E1223" i="174"/>
  <c r="T1220" i="174"/>
  <c r="R1220" i="174"/>
  <c r="C1217" i="174" s="1"/>
  <c r="W1217" i="174" s="1"/>
  <c r="W1216" i="174"/>
  <c r="E1211" i="174"/>
  <c r="T1208" i="174"/>
  <c r="R1208" i="174"/>
  <c r="C1206" i="174" s="1"/>
  <c r="W1206" i="174" s="1"/>
  <c r="W1204" i="174"/>
  <c r="E1199" i="174"/>
  <c r="T1196" i="174"/>
  <c r="R1196" i="174"/>
  <c r="C1194" i="174" s="1"/>
  <c r="W1194" i="174" s="1"/>
  <c r="W1192" i="174"/>
  <c r="E1187" i="174"/>
  <c r="T1184" i="174"/>
  <c r="R1184" i="174"/>
  <c r="C1182" i="174" s="1"/>
  <c r="W1182" i="174" s="1"/>
  <c r="W1180" i="174"/>
  <c r="E1175" i="174"/>
  <c r="T1172" i="174"/>
  <c r="R1172" i="174"/>
  <c r="C1170" i="174" s="1"/>
  <c r="W1170" i="174" s="1"/>
  <c r="W1168" i="174"/>
  <c r="E1163" i="174"/>
  <c r="T1160" i="174"/>
  <c r="R1160" i="174"/>
  <c r="C1158" i="174" s="1"/>
  <c r="W1158" i="174" s="1"/>
  <c r="W1156" i="174"/>
  <c r="C1373" i="174" l="1"/>
  <c r="W1373" i="174" s="1"/>
  <c r="C1326" i="174"/>
  <c r="W1326" i="174" s="1"/>
  <c r="C44" i="174"/>
  <c r="W44" i="174" s="1"/>
  <c r="C32" i="174"/>
  <c r="W32" i="174" s="1"/>
  <c r="C1601" i="174"/>
  <c r="W1601" i="174" s="1"/>
  <c r="C1589" i="174"/>
  <c r="W1589" i="174" s="1"/>
  <c r="C1577" i="174"/>
  <c r="W1577" i="174" s="1"/>
  <c r="C1565" i="174"/>
  <c r="W1565" i="174" s="1"/>
  <c r="C1553" i="174"/>
  <c r="W1553" i="174" s="1"/>
  <c r="C1541" i="174"/>
  <c r="W1541" i="174" s="1"/>
  <c r="C1530" i="174"/>
  <c r="W1530" i="174" s="1"/>
  <c r="C1518" i="174"/>
  <c r="W1518" i="174" s="1"/>
  <c r="C1506" i="174"/>
  <c r="W1506" i="174" s="1"/>
  <c r="C1493" i="174"/>
  <c r="W1493" i="174" s="1"/>
  <c r="C1482" i="174"/>
  <c r="W1482" i="174" s="1"/>
  <c r="C1469" i="174"/>
  <c r="W1469" i="174" s="1"/>
  <c r="C1457" i="174"/>
  <c r="W1457" i="174" s="1"/>
  <c r="C1445" i="174"/>
  <c r="W1445" i="174" s="1"/>
  <c r="C1433" i="174"/>
  <c r="W1433" i="174" s="1"/>
  <c r="C1422" i="174"/>
  <c r="W1422" i="174" s="1"/>
  <c r="C1409" i="174"/>
  <c r="W1409" i="174" s="1"/>
  <c r="C1398" i="174"/>
  <c r="W1398" i="174" s="1"/>
  <c r="C1385" i="174"/>
  <c r="W1385" i="174" s="1"/>
  <c r="C1361" i="174"/>
  <c r="W1361" i="174" s="1"/>
  <c r="C1349" i="174"/>
  <c r="W1349" i="174" s="1"/>
  <c r="C1337" i="174"/>
  <c r="W1337" i="174" s="1"/>
  <c r="C1314" i="174"/>
  <c r="W1314" i="174" s="1"/>
  <c r="C1301" i="174"/>
  <c r="W1301" i="174" s="1"/>
  <c r="C1289" i="174"/>
  <c r="W1289" i="174" s="1"/>
  <c r="C1277" i="174"/>
  <c r="W1277" i="174" s="1"/>
  <c r="C1266" i="174"/>
  <c r="W1266" i="174" s="1"/>
  <c r="C1253" i="174"/>
  <c r="W1253" i="174" s="1"/>
  <c r="C1241" i="174"/>
  <c r="W1241" i="174" s="1"/>
  <c r="C1229" i="174"/>
  <c r="W1229" i="174" s="1"/>
  <c r="C1218" i="174"/>
  <c r="W1218" i="174" s="1"/>
  <c r="C1205" i="174"/>
  <c r="W1205" i="174" s="1"/>
  <c r="C1193" i="174"/>
  <c r="W1193" i="174" s="1"/>
  <c r="C1181" i="174"/>
  <c r="W1181" i="174" s="1"/>
  <c r="C1169" i="174"/>
  <c r="W1169" i="174" s="1"/>
  <c r="C1157" i="174"/>
  <c r="W1157" i="174" s="1"/>
  <c r="E1151" i="174" l="1"/>
  <c r="T1148" i="174"/>
  <c r="R1148" i="174"/>
  <c r="C1146" i="174" s="1"/>
  <c r="W1146" i="174" s="1"/>
  <c r="W1144" i="174"/>
  <c r="AJ21" i="330"/>
  <c r="T21" i="330"/>
  <c r="S21" i="330"/>
  <c r="R21" i="330"/>
  <c r="G21" i="330"/>
  <c r="Q21" i="330" s="1"/>
  <c r="B21" i="330"/>
  <c r="P21" i="330" s="1"/>
  <c r="AJ20" i="330"/>
  <c r="T20" i="330"/>
  <c r="S20" i="330"/>
  <c r="R20" i="330"/>
  <c r="G20" i="330"/>
  <c r="Q20" i="330" s="1"/>
  <c r="B20" i="330"/>
  <c r="P20" i="330" s="1"/>
  <c r="AJ19" i="330"/>
  <c r="T19" i="330"/>
  <c r="S19" i="330"/>
  <c r="R19" i="330"/>
  <c r="G19" i="330"/>
  <c r="Q19" i="330" s="1"/>
  <c r="B19" i="330"/>
  <c r="P19" i="330" s="1"/>
  <c r="AJ18" i="330"/>
  <c r="T18" i="330"/>
  <c r="S18" i="330"/>
  <c r="R18" i="330"/>
  <c r="G18" i="330"/>
  <c r="Q18" i="330" s="1"/>
  <c r="B18" i="330"/>
  <c r="P18" i="330" s="1"/>
  <c r="AJ17" i="330"/>
  <c r="T17" i="330"/>
  <c r="S17" i="330"/>
  <c r="R17" i="330"/>
  <c r="G17" i="330"/>
  <c r="Q17" i="330" s="1"/>
  <c r="B17" i="330"/>
  <c r="P17" i="330" s="1"/>
  <c r="AJ16" i="330"/>
  <c r="T16" i="330"/>
  <c r="S16" i="330"/>
  <c r="R16" i="330"/>
  <c r="G16" i="330"/>
  <c r="Q16" i="330" s="1"/>
  <c r="B16" i="330"/>
  <c r="P16" i="330" s="1"/>
  <c r="AJ15" i="330"/>
  <c r="T15" i="330"/>
  <c r="S15" i="330"/>
  <c r="R15" i="330"/>
  <c r="G15" i="330"/>
  <c r="Q15" i="330" s="1"/>
  <c r="B15" i="330"/>
  <c r="P15" i="330" s="1"/>
  <c r="AJ14" i="330"/>
  <c r="T14" i="330"/>
  <c r="S14" i="330"/>
  <c r="R14" i="330"/>
  <c r="G14" i="330"/>
  <c r="Q14" i="330" s="1"/>
  <c r="B14" i="330"/>
  <c r="P14" i="330" s="1"/>
  <c r="AJ13" i="330"/>
  <c r="T13" i="330"/>
  <c r="S13" i="330"/>
  <c r="R13" i="330"/>
  <c r="G13" i="330"/>
  <c r="Q13" i="330" s="1"/>
  <c r="B13" i="330"/>
  <c r="P13" i="330" s="1"/>
  <c r="D9" i="330"/>
  <c r="AJ28" i="329"/>
  <c r="T28" i="329"/>
  <c r="S28" i="329"/>
  <c r="R28" i="329"/>
  <c r="G28" i="329"/>
  <c r="Q28" i="329" s="1"/>
  <c r="B28" i="329"/>
  <c r="P28" i="329" s="1"/>
  <c r="AJ27" i="329"/>
  <c r="T27" i="329"/>
  <c r="S27" i="329"/>
  <c r="R27" i="329"/>
  <c r="G27" i="329"/>
  <c r="Q27" i="329" s="1"/>
  <c r="B27" i="329"/>
  <c r="P27" i="329" s="1"/>
  <c r="AJ26" i="329"/>
  <c r="T26" i="329"/>
  <c r="S26" i="329"/>
  <c r="R26" i="329"/>
  <c r="G26" i="329"/>
  <c r="Q26" i="329" s="1"/>
  <c r="B26" i="329"/>
  <c r="P26" i="329" s="1"/>
  <c r="AJ25" i="329"/>
  <c r="T25" i="329"/>
  <c r="S25" i="329"/>
  <c r="R25" i="329"/>
  <c r="G25" i="329"/>
  <c r="Q25" i="329" s="1"/>
  <c r="B25" i="329"/>
  <c r="P25" i="329" s="1"/>
  <c r="AJ24" i="329"/>
  <c r="T24" i="329"/>
  <c r="S24" i="329"/>
  <c r="R24" i="329"/>
  <c r="G24" i="329"/>
  <c r="Q24" i="329" s="1"/>
  <c r="B24" i="329"/>
  <c r="P24" i="329" s="1"/>
  <c r="AJ23" i="329"/>
  <c r="T23" i="329"/>
  <c r="S23" i="329"/>
  <c r="R23" i="329"/>
  <c r="G23" i="329"/>
  <c r="Q23" i="329" s="1"/>
  <c r="B23" i="329"/>
  <c r="P23" i="329" s="1"/>
  <c r="AJ22" i="329"/>
  <c r="T22" i="329"/>
  <c r="S22" i="329"/>
  <c r="R22" i="329"/>
  <c r="G22" i="329"/>
  <c r="Q22" i="329" s="1"/>
  <c r="B22" i="329"/>
  <c r="P22" i="329" s="1"/>
  <c r="AJ21" i="329"/>
  <c r="T21" i="329"/>
  <c r="S21" i="329"/>
  <c r="R21" i="329"/>
  <c r="G21" i="329"/>
  <c r="Q21" i="329" s="1"/>
  <c r="B21" i="329"/>
  <c r="P21" i="329" s="1"/>
  <c r="AJ20" i="329"/>
  <c r="T20" i="329"/>
  <c r="S20" i="329"/>
  <c r="R20" i="329"/>
  <c r="G20" i="329"/>
  <c r="Q20" i="329" s="1"/>
  <c r="B20" i="329"/>
  <c r="P20" i="329" s="1"/>
  <c r="AJ19" i="329"/>
  <c r="T19" i="329"/>
  <c r="S19" i="329"/>
  <c r="R19" i="329"/>
  <c r="G19" i="329"/>
  <c r="Q19" i="329" s="1"/>
  <c r="B19" i="329"/>
  <c r="P19" i="329" s="1"/>
  <c r="AJ18" i="329"/>
  <c r="T18" i="329"/>
  <c r="S18" i="329"/>
  <c r="R18" i="329"/>
  <c r="G18" i="329"/>
  <c r="Q18" i="329" s="1"/>
  <c r="B18" i="329"/>
  <c r="P18" i="329" s="1"/>
  <c r="AJ32" i="329"/>
  <c r="T32" i="329"/>
  <c r="S32" i="329"/>
  <c r="R32" i="329"/>
  <c r="G32" i="329"/>
  <c r="Q32" i="329" s="1"/>
  <c r="B32" i="329"/>
  <c r="P32" i="329" s="1"/>
  <c r="AJ31" i="329"/>
  <c r="T31" i="329"/>
  <c r="S31" i="329"/>
  <c r="R31" i="329"/>
  <c r="G31" i="329"/>
  <c r="Q31" i="329" s="1"/>
  <c r="B31" i="329"/>
  <c r="P31" i="329" s="1"/>
  <c r="AJ30" i="329"/>
  <c r="T30" i="329"/>
  <c r="S30" i="329"/>
  <c r="R30" i="329"/>
  <c r="G30" i="329"/>
  <c r="Q30" i="329" s="1"/>
  <c r="B30" i="329"/>
  <c r="P30" i="329" s="1"/>
  <c r="AJ29" i="329"/>
  <c r="T29" i="329"/>
  <c r="S29" i="329"/>
  <c r="R29" i="329"/>
  <c r="G29" i="329"/>
  <c r="Q29" i="329" s="1"/>
  <c r="B29" i="329"/>
  <c r="P29" i="329" s="1"/>
  <c r="AJ17" i="329"/>
  <c r="T17" i="329"/>
  <c r="S17" i="329"/>
  <c r="R17" i="329"/>
  <c r="G17" i="329"/>
  <c r="Q17" i="329" s="1"/>
  <c r="B17" i="329"/>
  <c r="P17" i="329" s="1"/>
  <c r="AJ16" i="329"/>
  <c r="T16" i="329"/>
  <c r="S16" i="329"/>
  <c r="R16" i="329"/>
  <c r="G16" i="329"/>
  <c r="Q16" i="329" s="1"/>
  <c r="B16" i="329"/>
  <c r="P16" i="329" s="1"/>
  <c r="AJ15" i="329"/>
  <c r="T15" i="329"/>
  <c r="S15" i="329"/>
  <c r="R15" i="329"/>
  <c r="G15" i="329"/>
  <c r="Q15" i="329" s="1"/>
  <c r="B15" i="329"/>
  <c r="P15" i="329" s="1"/>
  <c r="AJ14" i="329"/>
  <c r="T14" i="329"/>
  <c r="S14" i="329"/>
  <c r="R14" i="329"/>
  <c r="G14" i="329"/>
  <c r="Q14" i="329" s="1"/>
  <c r="B14" i="329"/>
  <c r="P14" i="329" s="1"/>
  <c r="AJ13" i="329"/>
  <c r="T13" i="329"/>
  <c r="S13" i="329"/>
  <c r="R13" i="329"/>
  <c r="G13" i="329"/>
  <c r="Q13" i="329" s="1"/>
  <c r="B13" i="329"/>
  <c r="P13" i="329" s="1"/>
  <c r="D9" i="329"/>
  <c r="AJ17" i="328"/>
  <c r="T17" i="328"/>
  <c r="S17" i="328"/>
  <c r="R17" i="328"/>
  <c r="G17" i="328"/>
  <c r="Q17" i="328" s="1"/>
  <c r="B17" i="328"/>
  <c r="P17" i="328" s="1"/>
  <c r="AJ21" i="328"/>
  <c r="T21" i="328"/>
  <c r="S21" i="328"/>
  <c r="R21" i="328"/>
  <c r="G21" i="328"/>
  <c r="Q21" i="328" s="1"/>
  <c r="B21" i="328"/>
  <c r="P21" i="328" s="1"/>
  <c r="AJ20" i="328"/>
  <c r="T20" i="328"/>
  <c r="S20" i="328"/>
  <c r="R20" i="328"/>
  <c r="G20" i="328"/>
  <c r="Q20" i="328" s="1"/>
  <c r="B20" i="328"/>
  <c r="P20" i="328" s="1"/>
  <c r="AJ19" i="328"/>
  <c r="T19" i="328"/>
  <c r="S19" i="328"/>
  <c r="R19" i="328"/>
  <c r="G19" i="328"/>
  <c r="Q19" i="328" s="1"/>
  <c r="B19" i="328"/>
  <c r="P19" i="328" s="1"/>
  <c r="AJ18" i="328"/>
  <c r="T18" i="328"/>
  <c r="S18" i="328"/>
  <c r="R18" i="328"/>
  <c r="G18" i="328"/>
  <c r="Q18" i="328" s="1"/>
  <c r="B18" i="328"/>
  <c r="P18" i="328" s="1"/>
  <c r="AJ16" i="328"/>
  <c r="T16" i="328"/>
  <c r="S16" i="328"/>
  <c r="R16" i="328"/>
  <c r="G16" i="328"/>
  <c r="Q16" i="328" s="1"/>
  <c r="B16" i="328"/>
  <c r="P16" i="328" s="1"/>
  <c r="AJ15" i="328"/>
  <c r="T15" i="328"/>
  <c r="S15" i="328"/>
  <c r="R15" i="328"/>
  <c r="G15" i="328"/>
  <c r="Q15" i="328" s="1"/>
  <c r="B15" i="328"/>
  <c r="P15" i="328" s="1"/>
  <c r="AJ14" i="328"/>
  <c r="T14" i="328"/>
  <c r="S14" i="328"/>
  <c r="R14" i="328"/>
  <c r="G14" i="328"/>
  <c r="Q14" i="328" s="1"/>
  <c r="B14" i="328"/>
  <c r="P14" i="328" s="1"/>
  <c r="AJ13" i="328"/>
  <c r="T13" i="328"/>
  <c r="S13" i="328"/>
  <c r="R13" i="328"/>
  <c r="G13" i="328"/>
  <c r="Q13" i="328" s="1"/>
  <c r="B13" i="328"/>
  <c r="P13" i="328" s="1"/>
  <c r="D9" i="328"/>
  <c r="AJ20" i="327"/>
  <c r="T20" i="327"/>
  <c r="S20" i="327"/>
  <c r="R20" i="327"/>
  <c r="G20" i="327"/>
  <c r="Q20" i="327" s="1"/>
  <c r="B20" i="327"/>
  <c r="P20" i="327" s="1"/>
  <c r="AJ19" i="327"/>
  <c r="T19" i="327"/>
  <c r="S19" i="327"/>
  <c r="R19" i="327"/>
  <c r="G19" i="327"/>
  <c r="Q19" i="327" s="1"/>
  <c r="B19" i="327"/>
  <c r="P19" i="327" s="1"/>
  <c r="AJ18" i="327"/>
  <c r="T18" i="327"/>
  <c r="S18" i="327"/>
  <c r="R18" i="327"/>
  <c r="G18" i="327"/>
  <c r="Q18" i="327" s="1"/>
  <c r="B18" i="327"/>
  <c r="P18" i="327" s="1"/>
  <c r="AJ17" i="327"/>
  <c r="T17" i="327"/>
  <c r="S17" i="327"/>
  <c r="R17" i="327"/>
  <c r="G17" i="327"/>
  <c r="Q17" i="327" s="1"/>
  <c r="B17" i="327"/>
  <c r="P17" i="327" s="1"/>
  <c r="AJ16" i="327"/>
  <c r="T16" i="327"/>
  <c r="S16" i="327"/>
  <c r="R16" i="327"/>
  <c r="G16" i="327"/>
  <c r="Q16" i="327" s="1"/>
  <c r="B16" i="327"/>
  <c r="P16" i="327" s="1"/>
  <c r="AJ15" i="327"/>
  <c r="T15" i="327"/>
  <c r="S15" i="327"/>
  <c r="R15" i="327"/>
  <c r="G15" i="327"/>
  <c r="Q15" i="327" s="1"/>
  <c r="B15" i="327"/>
  <c r="P15" i="327" s="1"/>
  <c r="AJ14" i="327"/>
  <c r="T14" i="327"/>
  <c r="S14" i="327"/>
  <c r="R14" i="327"/>
  <c r="G14" i="327"/>
  <c r="Q14" i="327" s="1"/>
  <c r="B14" i="327"/>
  <c r="P14" i="327" s="1"/>
  <c r="AJ13" i="327"/>
  <c r="T13" i="327"/>
  <c r="S13" i="327"/>
  <c r="R13" i="327"/>
  <c r="G13" i="327"/>
  <c r="Q13" i="327" s="1"/>
  <c r="B13" i="327"/>
  <c r="P13" i="327" s="1"/>
  <c r="D9" i="327"/>
  <c r="AJ17" i="326"/>
  <c r="T17" i="326"/>
  <c r="S17" i="326"/>
  <c r="R17" i="326"/>
  <c r="G17" i="326"/>
  <c r="Q17" i="326" s="1"/>
  <c r="B17" i="326"/>
  <c r="P17" i="326" s="1"/>
  <c r="AJ23" i="326"/>
  <c r="T23" i="326"/>
  <c r="S23" i="326"/>
  <c r="R23" i="326"/>
  <c r="G23" i="326"/>
  <c r="Q23" i="326" s="1"/>
  <c r="B23" i="326"/>
  <c r="P23" i="326" s="1"/>
  <c r="AJ22" i="326"/>
  <c r="T22" i="326"/>
  <c r="S22" i="326"/>
  <c r="R22" i="326"/>
  <c r="G22" i="326"/>
  <c r="Q22" i="326" s="1"/>
  <c r="B22" i="326"/>
  <c r="P22" i="326" s="1"/>
  <c r="AJ21" i="326"/>
  <c r="T21" i="326"/>
  <c r="S21" i="326"/>
  <c r="R21" i="326"/>
  <c r="G21" i="326"/>
  <c r="Q21" i="326" s="1"/>
  <c r="B21" i="326"/>
  <c r="P21" i="326" s="1"/>
  <c r="AJ20" i="326"/>
  <c r="T20" i="326"/>
  <c r="S20" i="326"/>
  <c r="R20" i="326"/>
  <c r="G20" i="326"/>
  <c r="Q20" i="326" s="1"/>
  <c r="B20" i="326"/>
  <c r="P20" i="326" s="1"/>
  <c r="AJ19" i="326"/>
  <c r="T19" i="326"/>
  <c r="S19" i="326"/>
  <c r="R19" i="326"/>
  <c r="G19" i="326"/>
  <c r="Q19" i="326" s="1"/>
  <c r="B19" i="326"/>
  <c r="P19" i="326" s="1"/>
  <c r="AJ18" i="326"/>
  <c r="T18" i="326"/>
  <c r="S18" i="326"/>
  <c r="R18" i="326"/>
  <c r="G18" i="326"/>
  <c r="Q18" i="326" s="1"/>
  <c r="B18" i="326"/>
  <c r="P18" i="326" s="1"/>
  <c r="AJ16" i="326"/>
  <c r="T16" i="326"/>
  <c r="S16" i="326"/>
  <c r="R16" i="326"/>
  <c r="G16" i="326"/>
  <c r="Q16" i="326" s="1"/>
  <c r="B16" i="326"/>
  <c r="P16" i="326" s="1"/>
  <c r="AJ15" i="326"/>
  <c r="T15" i="326"/>
  <c r="S15" i="326"/>
  <c r="R15" i="326"/>
  <c r="G15" i="326"/>
  <c r="Q15" i="326" s="1"/>
  <c r="B15" i="326"/>
  <c r="P15" i="326" s="1"/>
  <c r="AJ14" i="326"/>
  <c r="T14" i="326"/>
  <c r="S14" i="326"/>
  <c r="R14" i="326"/>
  <c r="G14" i="326"/>
  <c r="Q14" i="326" s="1"/>
  <c r="B14" i="326"/>
  <c r="P14" i="326" s="1"/>
  <c r="AJ13" i="326"/>
  <c r="T13" i="326"/>
  <c r="S13" i="326"/>
  <c r="R13" i="326"/>
  <c r="G13" i="326"/>
  <c r="Q13" i="326" s="1"/>
  <c r="B13" i="326"/>
  <c r="P13" i="326" s="1"/>
  <c r="D9" i="326"/>
  <c r="AJ19" i="325"/>
  <c r="T19" i="325"/>
  <c r="S19" i="325"/>
  <c r="R19" i="325"/>
  <c r="G19" i="325"/>
  <c r="Q19" i="325" s="1"/>
  <c r="B19" i="325"/>
  <c r="P19" i="325" s="1"/>
  <c r="AJ22" i="325"/>
  <c r="T22" i="325"/>
  <c r="S22" i="325"/>
  <c r="R22" i="325"/>
  <c r="G22" i="325"/>
  <c r="Q22" i="325" s="1"/>
  <c r="B22" i="325"/>
  <c r="P22" i="325" s="1"/>
  <c r="AJ21" i="325"/>
  <c r="T21" i="325"/>
  <c r="S21" i="325"/>
  <c r="R21" i="325"/>
  <c r="G21" i="325"/>
  <c r="Q21" i="325" s="1"/>
  <c r="B21" i="325"/>
  <c r="P21" i="325" s="1"/>
  <c r="AJ20" i="325"/>
  <c r="T20" i="325"/>
  <c r="S20" i="325"/>
  <c r="R20" i="325"/>
  <c r="G20" i="325"/>
  <c r="Q20" i="325" s="1"/>
  <c r="B20" i="325"/>
  <c r="P20" i="325" s="1"/>
  <c r="AJ18" i="325"/>
  <c r="T18" i="325"/>
  <c r="S18" i="325"/>
  <c r="R18" i="325"/>
  <c r="G18" i="325"/>
  <c r="Q18" i="325" s="1"/>
  <c r="B18" i="325"/>
  <c r="P18" i="325" s="1"/>
  <c r="AJ17" i="325"/>
  <c r="T17" i="325"/>
  <c r="S17" i="325"/>
  <c r="R17" i="325"/>
  <c r="G17" i="325"/>
  <c r="Q17" i="325" s="1"/>
  <c r="B17" i="325"/>
  <c r="P17" i="325" s="1"/>
  <c r="AJ16" i="325"/>
  <c r="T16" i="325"/>
  <c r="S16" i="325"/>
  <c r="R16" i="325"/>
  <c r="G16" i="325"/>
  <c r="Q16" i="325" s="1"/>
  <c r="B16" i="325"/>
  <c r="P16" i="325" s="1"/>
  <c r="AJ15" i="325"/>
  <c r="T15" i="325"/>
  <c r="S15" i="325"/>
  <c r="R15" i="325"/>
  <c r="G15" i="325"/>
  <c r="Q15" i="325" s="1"/>
  <c r="B15" i="325"/>
  <c r="P15" i="325" s="1"/>
  <c r="AJ14" i="325"/>
  <c r="T14" i="325"/>
  <c r="S14" i="325"/>
  <c r="R14" i="325"/>
  <c r="G14" i="325"/>
  <c r="Q14" i="325" s="1"/>
  <c r="B14" i="325"/>
  <c r="P14" i="325" s="1"/>
  <c r="AJ13" i="325"/>
  <c r="T13" i="325"/>
  <c r="S13" i="325"/>
  <c r="R13" i="325"/>
  <c r="G13" i="325"/>
  <c r="Q13" i="325" s="1"/>
  <c r="B13" i="325"/>
  <c r="P13" i="325" s="1"/>
  <c r="D9" i="325"/>
  <c r="AJ18" i="324"/>
  <c r="T18" i="324"/>
  <c r="S18" i="324"/>
  <c r="R18" i="324"/>
  <c r="G18" i="324"/>
  <c r="Q18" i="324" s="1"/>
  <c r="B18" i="324"/>
  <c r="P18" i="324" s="1"/>
  <c r="AJ21" i="324"/>
  <c r="T21" i="324"/>
  <c r="S21" i="324"/>
  <c r="R21" i="324"/>
  <c r="G21" i="324"/>
  <c r="Q21" i="324" s="1"/>
  <c r="B21" i="324"/>
  <c r="P21" i="324" s="1"/>
  <c r="AJ20" i="324"/>
  <c r="T20" i="324"/>
  <c r="S20" i="324"/>
  <c r="R20" i="324"/>
  <c r="G20" i="324"/>
  <c r="Q20" i="324" s="1"/>
  <c r="B20" i="324"/>
  <c r="P20" i="324" s="1"/>
  <c r="AJ19" i="324"/>
  <c r="T19" i="324"/>
  <c r="S19" i="324"/>
  <c r="R19" i="324"/>
  <c r="G19" i="324"/>
  <c r="Q19" i="324" s="1"/>
  <c r="B19" i="324"/>
  <c r="P19" i="324" s="1"/>
  <c r="AJ17" i="324"/>
  <c r="T17" i="324"/>
  <c r="S17" i="324"/>
  <c r="R17" i="324"/>
  <c r="G17" i="324"/>
  <c r="Q17" i="324" s="1"/>
  <c r="B17" i="324"/>
  <c r="P17" i="324" s="1"/>
  <c r="AJ16" i="324"/>
  <c r="T16" i="324"/>
  <c r="S16" i="324"/>
  <c r="R16" i="324"/>
  <c r="G16" i="324"/>
  <c r="Q16" i="324" s="1"/>
  <c r="B16" i="324"/>
  <c r="P16" i="324" s="1"/>
  <c r="AJ15" i="324"/>
  <c r="T15" i="324"/>
  <c r="S15" i="324"/>
  <c r="R15" i="324"/>
  <c r="G15" i="324"/>
  <c r="Q15" i="324" s="1"/>
  <c r="B15" i="324"/>
  <c r="P15" i="324" s="1"/>
  <c r="AJ14" i="324"/>
  <c r="T14" i="324"/>
  <c r="S14" i="324"/>
  <c r="R14" i="324"/>
  <c r="G14" i="324"/>
  <c r="Q14" i="324" s="1"/>
  <c r="B14" i="324"/>
  <c r="P14" i="324" s="1"/>
  <c r="AJ13" i="324"/>
  <c r="T13" i="324"/>
  <c r="S13" i="324"/>
  <c r="R13" i="324"/>
  <c r="G13" i="324"/>
  <c r="Q13" i="324" s="1"/>
  <c r="B13" i="324"/>
  <c r="P13" i="324" s="1"/>
  <c r="D9" i="324"/>
  <c r="AJ20" i="323"/>
  <c r="T20" i="323"/>
  <c r="S20" i="323"/>
  <c r="R20" i="323"/>
  <c r="G20" i="323"/>
  <c r="Q20" i="323" s="1"/>
  <c r="B20" i="323"/>
  <c r="P20" i="323" s="1"/>
  <c r="AJ19" i="323"/>
  <c r="T19" i="323"/>
  <c r="S19" i="323"/>
  <c r="R19" i="323"/>
  <c r="G19" i="323"/>
  <c r="Q19" i="323" s="1"/>
  <c r="B19" i="323"/>
  <c r="P19" i="323" s="1"/>
  <c r="AJ18" i="323"/>
  <c r="T18" i="323"/>
  <c r="S18" i="323"/>
  <c r="R18" i="323"/>
  <c r="G18" i="323"/>
  <c r="Q18" i="323" s="1"/>
  <c r="B18" i="323"/>
  <c r="P18" i="323" s="1"/>
  <c r="AJ17" i="323"/>
  <c r="T17" i="323"/>
  <c r="S17" i="323"/>
  <c r="R17" i="323"/>
  <c r="G17" i="323"/>
  <c r="Q17" i="323" s="1"/>
  <c r="B17" i="323"/>
  <c r="P17" i="323" s="1"/>
  <c r="AJ16" i="323"/>
  <c r="T16" i="323"/>
  <c r="S16" i="323"/>
  <c r="R16" i="323"/>
  <c r="G16" i="323"/>
  <c r="Q16" i="323" s="1"/>
  <c r="B16" i="323"/>
  <c r="P16" i="323" s="1"/>
  <c r="AJ15" i="323"/>
  <c r="T15" i="323"/>
  <c r="S15" i="323"/>
  <c r="R15" i="323"/>
  <c r="G15" i="323"/>
  <c r="Q15" i="323" s="1"/>
  <c r="B15" i="323"/>
  <c r="P15" i="323" s="1"/>
  <c r="AJ14" i="323"/>
  <c r="T14" i="323"/>
  <c r="S14" i="323"/>
  <c r="R14" i="323"/>
  <c r="G14" i="323"/>
  <c r="Q14" i="323" s="1"/>
  <c r="B14" i="323"/>
  <c r="P14" i="323" s="1"/>
  <c r="AJ13" i="323"/>
  <c r="T13" i="323"/>
  <c r="S13" i="323"/>
  <c r="R13" i="323"/>
  <c r="G13" i="323"/>
  <c r="Q13" i="323" s="1"/>
  <c r="B13" i="323"/>
  <c r="P13" i="323" s="1"/>
  <c r="D9" i="323"/>
  <c r="AJ23" i="322"/>
  <c r="T23" i="322"/>
  <c r="S23" i="322"/>
  <c r="R23" i="322"/>
  <c r="G23" i="322"/>
  <c r="Q23" i="322" s="1"/>
  <c r="B23" i="322"/>
  <c r="P23" i="322" s="1"/>
  <c r="AJ22" i="322"/>
  <c r="T22" i="322"/>
  <c r="S22" i="322"/>
  <c r="R22" i="322"/>
  <c r="G22" i="322"/>
  <c r="Q22" i="322" s="1"/>
  <c r="B22" i="322"/>
  <c r="P22" i="322" s="1"/>
  <c r="AJ21" i="322"/>
  <c r="T21" i="322"/>
  <c r="S21" i="322"/>
  <c r="R21" i="322"/>
  <c r="G21" i="322"/>
  <c r="Q21" i="322" s="1"/>
  <c r="B21" i="322"/>
  <c r="P21" i="322" s="1"/>
  <c r="AJ27" i="322"/>
  <c r="T27" i="322"/>
  <c r="S27" i="322"/>
  <c r="R27" i="322"/>
  <c r="G27" i="322"/>
  <c r="Q27" i="322" s="1"/>
  <c r="B27" i="322"/>
  <c r="P27" i="322" s="1"/>
  <c r="AJ26" i="322"/>
  <c r="T26" i="322"/>
  <c r="S26" i="322"/>
  <c r="R26" i="322"/>
  <c r="G26" i="322"/>
  <c r="Q26" i="322" s="1"/>
  <c r="B26" i="322"/>
  <c r="P26" i="322" s="1"/>
  <c r="AJ25" i="322"/>
  <c r="T25" i="322"/>
  <c r="S25" i="322"/>
  <c r="R25" i="322"/>
  <c r="G25" i="322"/>
  <c r="Q25" i="322" s="1"/>
  <c r="B25" i="322"/>
  <c r="P25" i="322" s="1"/>
  <c r="AJ24" i="322"/>
  <c r="T24" i="322"/>
  <c r="S24" i="322"/>
  <c r="R24" i="322"/>
  <c r="G24" i="322"/>
  <c r="Q24" i="322" s="1"/>
  <c r="B24" i="322"/>
  <c r="P24" i="322" s="1"/>
  <c r="AJ20" i="322"/>
  <c r="T20" i="322"/>
  <c r="S20" i="322"/>
  <c r="R20" i="322"/>
  <c r="G20" i="322"/>
  <c r="Q20" i="322" s="1"/>
  <c r="B20" i="322"/>
  <c r="P20" i="322" s="1"/>
  <c r="AJ19" i="322"/>
  <c r="T19" i="322"/>
  <c r="S19" i="322"/>
  <c r="R19" i="322"/>
  <c r="G19" i="322"/>
  <c r="Q19" i="322" s="1"/>
  <c r="B19" i="322"/>
  <c r="P19" i="322" s="1"/>
  <c r="AJ18" i="322"/>
  <c r="T18" i="322"/>
  <c r="S18" i="322"/>
  <c r="R18" i="322"/>
  <c r="G18" i="322"/>
  <c r="Q18" i="322" s="1"/>
  <c r="B18" i="322"/>
  <c r="P18" i="322" s="1"/>
  <c r="AJ17" i="322"/>
  <c r="T17" i="322"/>
  <c r="S17" i="322"/>
  <c r="R17" i="322"/>
  <c r="G17" i="322"/>
  <c r="Q17" i="322" s="1"/>
  <c r="B17" i="322"/>
  <c r="P17" i="322" s="1"/>
  <c r="AJ16" i="322"/>
  <c r="T16" i="322"/>
  <c r="S16" i="322"/>
  <c r="R16" i="322"/>
  <c r="G16" i="322"/>
  <c r="Q16" i="322" s="1"/>
  <c r="B16" i="322"/>
  <c r="P16" i="322" s="1"/>
  <c r="AJ15" i="322"/>
  <c r="T15" i="322"/>
  <c r="S15" i="322"/>
  <c r="R15" i="322"/>
  <c r="G15" i="322"/>
  <c r="Q15" i="322" s="1"/>
  <c r="B15" i="322"/>
  <c r="P15" i="322" s="1"/>
  <c r="AJ14" i="322"/>
  <c r="T14" i="322"/>
  <c r="S14" i="322"/>
  <c r="R14" i="322"/>
  <c r="G14" i="322"/>
  <c r="Q14" i="322" s="1"/>
  <c r="B14" i="322"/>
  <c r="P14" i="322" s="1"/>
  <c r="AJ13" i="322"/>
  <c r="T13" i="322"/>
  <c r="S13" i="322"/>
  <c r="R13" i="322"/>
  <c r="G13" i="322"/>
  <c r="Q13" i="322" s="1"/>
  <c r="B13" i="322"/>
  <c r="P13" i="322" s="1"/>
  <c r="D9" i="322"/>
  <c r="AJ21" i="321"/>
  <c r="T21" i="321"/>
  <c r="S21" i="321"/>
  <c r="R21" i="321"/>
  <c r="G21" i="321"/>
  <c r="Q21" i="321" s="1"/>
  <c r="B21" i="321"/>
  <c r="P21" i="321" s="1"/>
  <c r="AJ24" i="321"/>
  <c r="T24" i="321"/>
  <c r="S24" i="321"/>
  <c r="R24" i="321"/>
  <c r="G24" i="321"/>
  <c r="Q24" i="321" s="1"/>
  <c r="B24" i="321"/>
  <c r="P24" i="321" s="1"/>
  <c r="AJ23" i="321"/>
  <c r="T23" i="321"/>
  <c r="S23" i="321"/>
  <c r="R23" i="321"/>
  <c r="G23" i="321"/>
  <c r="Q23" i="321" s="1"/>
  <c r="B23" i="321"/>
  <c r="P23" i="321" s="1"/>
  <c r="AJ22" i="321"/>
  <c r="T22" i="321"/>
  <c r="S22" i="321"/>
  <c r="R22" i="321"/>
  <c r="G22" i="321"/>
  <c r="Q22" i="321" s="1"/>
  <c r="B22" i="321"/>
  <c r="P22" i="321" s="1"/>
  <c r="AJ20" i="321"/>
  <c r="T20" i="321"/>
  <c r="S20" i="321"/>
  <c r="R20" i="321"/>
  <c r="G20" i="321"/>
  <c r="Q20" i="321" s="1"/>
  <c r="B20" i="321"/>
  <c r="P20" i="321" s="1"/>
  <c r="AJ19" i="321"/>
  <c r="T19" i="321"/>
  <c r="S19" i="321"/>
  <c r="R19" i="321"/>
  <c r="G19" i="321"/>
  <c r="Q19" i="321" s="1"/>
  <c r="B19" i="321"/>
  <c r="P19" i="321" s="1"/>
  <c r="AJ18" i="321"/>
  <c r="T18" i="321"/>
  <c r="S18" i="321"/>
  <c r="R18" i="321"/>
  <c r="G18" i="321"/>
  <c r="Q18" i="321" s="1"/>
  <c r="B18" i="321"/>
  <c r="P18" i="321" s="1"/>
  <c r="AJ17" i="321"/>
  <c r="T17" i="321"/>
  <c r="S17" i="321"/>
  <c r="R17" i="321"/>
  <c r="G17" i="321"/>
  <c r="Q17" i="321" s="1"/>
  <c r="B17" i="321"/>
  <c r="P17" i="321" s="1"/>
  <c r="AJ16" i="321"/>
  <c r="T16" i="321"/>
  <c r="S16" i="321"/>
  <c r="R16" i="321"/>
  <c r="G16" i="321"/>
  <c r="Q16" i="321" s="1"/>
  <c r="B16" i="321"/>
  <c r="P16" i="321" s="1"/>
  <c r="AJ15" i="321"/>
  <c r="T15" i="321"/>
  <c r="S15" i="321"/>
  <c r="R15" i="321"/>
  <c r="G15" i="321"/>
  <c r="Q15" i="321" s="1"/>
  <c r="B15" i="321"/>
  <c r="P15" i="321" s="1"/>
  <c r="AJ14" i="321"/>
  <c r="T14" i="321"/>
  <c r="S14" i="321"/>
  <c r="R14" i="321"/>
  <c r="G14" i="321"/>
  <c r="Q14" i="321" s="1"/>
  <c r="B14" i="321"/>
  <c r="P14" i="321" s="1"/>
  <c r="AJ13" i="321"/>
  <c r="T13" i="321"/>
  <c r="S13" i="321"/>
  <c r="R13" i="321"/>
  <c r="G13" i="321"/>
  <c r="Q13" i="321" s="1"/>
  <c r="B13" i="321"/>
  <c r="P13" i="321" s="1"/>
  <c r="D9" i="321"/>
  <c r="AJ19" i="320"/>
  <c r="T19" i="320"/>
  <c r="S19" i="320"/>
  <c r="R19" i="320"/>
  <c r="G19" i="320"/>
  <c r="Q19" i="320" s="1"/>
  <c r="B19" i="320"/>
  <c r="P19" i="320" s="1"/>
  <c r="AJ23" i="320"/>
  <c r="T23" i="320"/>
  <c r="S23" i="320"/>
  <c r="R23" i="320"/>
  <c r="G23" i="320"/>
  <c r="Q23" i="320" s="1"/>
  <c r="B23" i="320"/>
  <c r="P23" i="320" s="1"/>
  <c r="AJ22" i="320"/>
  <c r="T22" i="320"/>
  <c r="S22" i="320"/>
  <c r="R22" i="320"/>
  <c r="G22" i="320"/>
  <c r="Q22" i="320" s="1"/>
  <c r="B22" i="320"/>
  <c r="P22" i="320" s="1"/>
  <c r="AJ21" i="320"/>
  <c r="T21" i="320"/>
  <c r="S21" i="320"/>
  <c r="R21" i="320"/>
  <c r="G21" i="320"/>
  <c r="Q21" i="320" s="1"/>
  <c r="B21" i="320"/>
  <c r="P21" i="320" s="1"/>
  <c r="AJ20" i="320"/>
  <c r="T20" i="320"/>
  <c r="S20" i="320"/>
  <c r="R20" i="320"/>
  <c r="G20" i="320"/>
  <c r="Q20" i="320" s="1"/>
  <c r="B20" i="320"/>
  <c r="P20" i="320" s="1"/>
  <c r="AJ18" i="320"/>
  <c r="T18" i="320"/>
  <c r="S18" i="320"/>
  <c r="R18" i="320"/>
  <c r="G18" i="320"/>
  <c r="Q18" i="320" s="1"/>
  <c r="B18" i="320"/>
  <c r="P18" i="320" s="1"/>
  <c r="AJ17" i="320"/>
  <c r="T17" i="320"/>
  <c r="S17" i="320"/>
  <c r="R17" i="320"/>
  <c r="G17" i="320"/>
  <c r="Q17" i="320" s="1"/>
  <c r="B17" i="320"/>
  <c r="P17" i="320" s="1"/>
  <c r="AJ16" i="320"/>
  <c r="T16" i="320"/>
  <c r="S16" i="320"/>
  <c r="R16" i="320"/>
  <c r="G16" i="320"/>
  <c r="Q16" i="320" s="1"/>
  <c r="B16" i="320"/>
  <c r="P16" i="320" s="1"/>
  <c r="AJ15" i="320"/>
  <c r="T15" i="320"/>
  <c r="S15" i="320"/>
  <c r="R15" i="320"/>
  <c r="G15" i="320"/>
  <c r="Q15" i="320" s="1"/>
  <c r="B15" i="320"/>
  <c r="P15" i="320" s="1"/>
  <c r="AJ14" i="320"/>
  <c r="T14" i="320"/>
  <c r="S14" i="320"/>
  <c r="R14" i="320"/>
  <c r="G14" i="320"/>
  <c r="Q14" i="320" s="1"/>
  <c r="B14" i="320"/>
  <c r="P14" i="320" s="1"/>
  <c r="AJ13" i="320"/>
  <c r="T13" i="320"/>
  <c r="S13" i="320"/>
  <c r="R13" i="320"/>
  <c r="G13" i="320"/>
  <c r="Q13" i="320" s="1"/>
  <c r="B13" i="320"/>
  <c r="P13" i="320" s="1"/>
  <c r="D9" i="320"/>
  <c r="AJ20" i="319"/>
  <c r="T20" i="319"/>
  <c r="S20" i="319"/>
  <c r="R20" i="319"/>
  <c r="G20" i="319"/>
  <c r="Q20" i="319" s="1"/>
  <c r="B20" i="319"/>
  <c r="P20" i="319" s="1"/>
  <c r="AJ22" i="319"/>
  <c r="T22" i="319"/>
  <c r="S22" i="319"/>
  <c r="R22" i="319"/>
  <c r="G22" i="319"/>
  <c r="Q22" i="319" s="1"/>
  <c r="B22" i="319"/>
  <c r="P22" i="319" s="1"/>
  <c r="AJ21" i="319"/>
  <c r="T21" i="319"/>
  <c r="S21" i="319"/>
  <c r="R21" i="319"/>
  <c r="G21" i="319"/>
  <c r="Q21" i="319" s="1"/>
  <c r="B21" i="319"/>
  <c r="P21" i="319" s="1"/>
  <c r="AJ19" i="319"/>
  <c r="T19" i="319"/>
  <c r="S19" i="319"/>
  <c r="R19" i="319"/>
  <c r="G19" i="319"/>
  <c r="Q19" i="319" s="1"/>
  <c r="B19" i="319"/>
  <c r="P19" i="319" s="1"/>
  <c r="AJ18" i="319"/>
  <c r="T18" i="319"/>
  <c r="S18" i="319"/>
  <c r="R18" i="319"/>
  <c r="G18" i="319"/>
  <c r="Q18" i="319" s="1"/>
  <c r="B18" i="319"/>
  <c r="P18" i="319" s="1"/>
  <c r="AJ17" i="319"/>
  <c r="T17" i="319"/>
  <c r="S17" i="319"/>
  <c r="R17" i="319"/>
  <c r="G17" i="319"/>
  <c r="Q17" i="319" s="1"/>
  <c r="B17" i="319"/>
  <c r="P17" i="319" s="1"/>
  <c r="AJ16" i="319"/>
  <c r="T16" i="319"/>
  <c r="S16" i="319"/>
  <c r="R16" i="319"/>
  <c r="G16" i="319"/>
  <c r="Q16" i="319" s="1"/>
  <c r="B16" i="319"/>
  <c r="P16" i="319" s="1"/>
  <c r="AJ15" i="319"/>
  <c r="T15" i="319"/>
  <c r="S15" i="319"/>
  <c r="R15" i="319"/>
  <c r="G15" i="319"/>
  <c r="Q15" i="319" s="1"/>
  <c r="B15" i="319"/>
  <c r="P15" i="319" s="1"/>
  <c r="AJ14" i="319"/>
  <c r="T14" i="319"/>
  <c r="S14" i="319"/>
  <c r="R14" i="319"/>
  <c r="G14" i="319"/>
  <c r="Q14" i="319" s="1"/>
  <c r="B14" i="319"/>
  <c r="P14" i="319" s="1"/>
  <c r="AJ13" i="319"/>
  <c r="T13" i="319"/>
  <c r="S13" i="319"/>
  <c r="R13" i="319"/>
  <c r="G13" i="319"/>
  <c r="Q13" i="319" s="1"/>
  <c r="B13" i="319"/>
  <c r="P13" i="319" s="1"/>
  <c r="D9" i="319"/>
  <c r="AJ18" i="318"/>
  <c r="T18" i="318"/>
  <c r="S18" i="318"/>
  <c r="R18" i="318"/>
  <c r="G18" i="318"/>
  <c r="Q18" i="318" s="1"/>
  <c r="B18" i="318"/>
  <c r="P18" i="318" s="1"/>
  <c r="AJ21" i="318"/>
  <c r="T21" i="318"/>
  <c r="S21" i="318"/>
  <c r="R21" i="318"/>
  <c r="G21" i="318"/>
  <c r="Q21" i="318" s="1"/>
  <c r="B21" i="318"/>
  <c r="P21" i="318" s="1"/>
  <c r="AJ20" i="318"/>
  <c r="T20" i="318"/>
  <c r="S20" i="318"/>
  <c r="R20" i="318"/>
  <c r="G20" i="318"/>
  <c r="Q20" i="318" s="1"/>
  <c r="B20" i="318"/>
  <c r="P20" i="318" s="1"/>
  <c r="AJ19" i="318"/>
  <c r="T19" i="318"/>
  <c r="S19" i="318"/>
  <c r="R19" i="318"/>
  <c r="G19" i="318"/>
  <c r="Q19" i="318" s="1"/>
  <c r="B19" i="318"/>
  <c r="P19" i="318" s="1"/>
  <c r="AJ17" i="318"/>
  <c r="T17" i="318"/>
  <c r="S17" i="318"/>
  <c r="R17" i="318"/>
  <c r="G17" i="318"/>
  <c r="Q17" i="318" s="1"/>
  <c r="B17" i="318"/>
  <c r="P17" i="318" s="1"/>
  <c r="AJ16" i="318"/>
  <c r="T16" i="318"/>
  <c r="S16" i="318"/>
  <c r="R16" i="318"/>
  <c r="G16" i="318"/>
  <c r="Q16" i="318" s="1"/>
  <c r="B16" i="318"/>
  <c r="P16" i="318" s="1"/>
  <c r="AJ15" i="318"/>
  <c r="T15" i="318"/>
  <c r="S15" i="318"/>
  <c r="R15" i="318"/>
  <c r="G15" i="318"/>
  <c r="Q15" i="318" s="1"/>
  <c r="B15" i="318"/>
  <c r="P15" i="318" s="1"/>
  <c r="AJ14" i="318"/>
  <c r="T14" i="318"/>
  <c r="S14" i="318"/>
  <c r="R14" i="318"/>
  <c r="G14" i="318"/>
  <c r="Q14" i="318" s="1"/>
  <c r="B14" i="318"/>
  <c r="P14" i="318" s="1"/>
  <c r="AJ13" i="318"/>
  <c r="T13" i="318"/>
  <c r="S13" i="318"/>
  <c r="R13" i="318"/>
  <c r="G13" i="318"/>
  <c r="Q13" i="318" s="1"/>
  <c r="B13" i="318"/>
  <c r="P13" i="318" s="1"/>
  <c r="D9" i="318"/>
  <c r="AJ20" i="317"/>
  <c r="T20" i="317"/>
  <c r="S20" i="317"/>
  <c r="R20" i="317"/>
  <c r="G20" i="317"/>
  <c r="Q20" i="317" s="1"/>
  <c r="B20" i="317"/>
  <c r="P20" i="317" s="1"/>
  <c r="AJ19" i="317"/>
  <c r="T19" i="317"/>
  <c r="S19" i="317"/>
  <c r="R19" i="317"/>
  <c r="G19" i="317"/>
  <c r="Q19" i="317" s="1"/>
  <c r="B19" i="317"/>
  <c r="P19" i="317" s="1"/>
  <c r="AJ18" i="317"/>
  <c r="T18" i="317"/>
  <c r="S18" i="317"/>
  <c r="R18" i="317"/>
  <c r="G18" i="317"/>
  <c r="Q18" i="317" s="1"/>
  <c r="B18" i="317"/>
  <c r="P18" i="317" s="1"/>
  <c r="AJ17" i="317"/>
  <c r="T17" i="317"/>
  <c r="S17" i="317"/>
  <c r="R17" i="317"/>
  <c r="G17" i="317"/>
  <c r="Q17" i="317" s="1"/>
  <c r="B17" i="317"/>
  <c r="P17" i="317" s="1"/>
  <c r="AJ16" i="317"/>
  <c r="T16" i="317"/>
  <c r="S16" i="317"/>
  <c r="R16" i="317"/>
  <c r="G16" i="317"/>
  <c r="Q16" i="317" s="1"/>
  <c r="B16" i="317"/>
  <c r="P16" i="317" s="1"/>
  <c r="AJ15" i="317"/>
  <c r="T15" i="317"/>
  <c r="S15" i="317"/>
  <c r="R15" i="317"/>
  <c r="G15" i="317"/>
  <c r="Q15" i="317" s="1"/>
  <c r="B15" i="317"/>
  <c r="P15" i="317" s="1"/>
  <c r="AJ14" i="317"/>
  <c r="T14" i="317"/>
  <c r="S14" i="317"/>
  <c r="R14" i="317"/>
  <c r="G14" i="317"/>
  <c r="Q14" i="317" s="1"/>
  <c r="B14" i="317"/>
  <c r="P14" i="317" s="1"/>
  <c r="AJ13" i="317"/>
  <c r="T13" i="317"/>
  <c r="S13" i="317"/>
  <c r="R13" i="317"/>
  <c r="G13" i="317"/>
  <c r="Q13" i="317" s="1"/>
  <c r="B13" i="317"/>
  <c r="P13" i="317" s="1"/>
  <c r="D9" i="317"/>
  <c r="AJ20" i="316"/>
  <c r="T20" i="316"/>
  <c r="S20" i="316"/>
  <c r="R20" i="316"/>
  <c r="G20" i="316"/>
  <c r="Q20" i="316" s="1"/>
  <c r="B20" i="316"/>
  <c r="P20" i="316" s="1"/>
  <c r="AJ19" i="316"/>
  <c r="T19" i="316"/>
  <c r="S19" i="316"/>
  <c r="R19" i="316"/>
  <c r="G19" i="316"/>
  <c r="Q19" i="316" s="1"/>
  <c r="B19" i="316"/>
  <c r="P19" i="316" s="1"/>
  <c r="AJ18" i="316"/>
  <c r="T18" i="316"/>
  <c r="S18" i="316"/>
  <c r="R18" i="316"/>
  <c r="G18" i="316"/>
  <c r="Q18" i="316" s="1"/>
  <c r="B18" i="316"/>
  <c r="P18" i="316" s="1"/>
  <c r="AJ17" i="316"/>
  <c r="T17" i="316"/>
  <c r="S17" i="316"/>
  <c r="R17" i="316"/>
  <c r="G17" i="316"/>
  <c r="Q17" i="316" s="1"/>
  <c r="B17" i="316"/>
  <c r="P17" i="316" s="1"/>
  <c r="AJ16" i="316"/>
  <c r="T16" i="316"/>
  <c r="S16" i="316"/>
  <c r="R16" i="316"/>
  <c r="G16" i="316"/>
  <c r="Q16" i="316" s="1"/>
  <c r="B16" i="316"/>
  <c r="P16" i="316" s="1"/>
  <c r="AJ15" i="316"/>
  <c r="T15" i="316"/>
  <c r="S15" i="316"/>
  <c r="R15" i="316"/>
  <c r="G15" i="316"/>
  <c r="Q15" i="316" s="1"/>
  <c r="B15" i="316"/>
  <c r="P15" i="316" s="1"/>
  <c r="AJ14" i="316"/>
  <c r="T14" i="316"/>
  <c r="S14" i="316"/>
  <c r="R14" i="316"/>
  <c r="G14" i="316"/>
  <c r="Q14" i="316" s="1"/>
  <c r="B14" i="316"/>
  <c r="P14" i="316" s="1"/>
  <c r="AJ13" i="316"/>
  <c r="T13" i="316"/>
  <c r="S13" i="316"/>
  <c r="R13" i="316"/>
  <c r="G13" i="316"/>
  <c r="Q13" i="316" s="1"/>
  <c r="B13" i="316"/>
  <c r="P13" i="316" s="1"/>
  <c r="D9" i="316"/>
  <c r="AJ19" i="315"/>
  <c r="T19" i="315"/>
  <c r="S19" i="315"/>
  <c r="R19" i="315"/>
  <c r="G19" i="315"/>
  <c r="Q19" i="315" s="1"/>
  <c r="B19" i="315"/>
  <c r="P19" i="315" s="1"/>
  <c r="AJ18" i="315"/>
  <c r="T18" i="315"/>
  <c r="S18" i="315"/>
  <c r="R18" i="315"/>
  <c r="G18" i="315"/>
  <c r="Q18" i="315" s="1"/>
  <c r="B18" i="315"/>
  <c r="P18" i="315" s="1"/>
  <c r="AJ17" i="315"/>
  <c r="T17" i="315"/>
  <c r="S17" i="315"/>
  <c r="R17" i="315"/>
  <c r="G17" i="315"/>
  <c r="Q17" i="315" s="1"/>
  <c r="B17" i="315"/>
  <c r="P17" i="315" s="1"/>
  <c r="AJ16" i="315"/>
  <c r="T16" i="315"/>
  <c r="S16" i="315"/>
  <c r="R16" i="315"/>
  <c r="G16" i="315"/>
  <c r="Q16" i="315" s="1"/>
  <c r="B16" i="315"/>
  <c r="P16" i="315" s="1"/>
  <c r="AJ15" i="315"/>
  <c r="T15" i="315"/>
  <c r="S15" i="315"/>
  <c r="R15" i="315"/>
  <c r="G15" i="315"/>
  <c r="Q15" i="315" s="1"/>
  <c r="B15" i="315"/>
  <c r="P15" i="315" s="1"/>
  <c r="AJ14" i="315"/>
  <c r="T14" i="315"/>
  <c r="S14" i="315"/>
  <c r="R14" i="315"/>
  <c r="G14" i="315"/>
  <c r="Q14" i="315" s="1"/>
  <c r="B14" i="315"/>
  <c r="P14" i="315" s="1"/>
  <c r="AJ13" i="315"/>
  <c r="T13" i="315"/>
  <c r="S13" i="315"/>
  <c r="R13" i="315"/>
  <c r="G13" i="315"/>
  <c r="Q13" i="315" s="1"/>
  <c r="B13" i="315"/>
  <c r="P13" i="315" s="1"/>
  <c r="D9" i="315"/>
  <c r="AJ19" i="314"/>
  <c r="T19" i="314"/>
  <c r="S19" i="314"/>
  <c r="R19" i="314"/>
  <c r="G19" i="314"/>
  <c r="Q19" i="314" s="1"/>
  <c r="B19" i="314"/>
  <c r="P19" i="314" s="1"/>
  <c r="AJ18" i="314"/>
  <c r="T18" i="314"/>
  <c r="S18" i="314"/>
  <c r="R18" i="314"/>
  <c r="G18" i="314"/>
  <c r="Q18" i="314" s="1"/>
  <c r="B18" i="314"/>
  <c r="P18" i="314" s="1"/>
  <c r="AJ17" i="314"/>
  <c r="T17" i="314"/>
  <c r="S17" i="314"/>
  <c r="R17" i="314"/>
  <c r="G17" i="314"/>
  <c r="Q17" i="314" s="1"/>
  <c r="B17" i="314"/>
  <c r="P17" i="314" s="1"/>
  <c r="AJ16" i="314"/>
  <c r="T16" i="314"/>
  <c r="S16" i="314"/>
  <c r="R16" i="314"/>
  <c r="G16" i="314"/>
  <c r="Q16" i="314" s="1"/>
  <c r="B16" i="314"/>
  <c r="P16" i="314" s="1"/>
  <c r="AJ15" i="314"/>
  <c r="T15" i="314"/>
  <c r="S15" i="314"/>
  <c r="R15" i="314"/>
  <c r="G15" i="314"/>
  <c r="Q15" i="314" s="1"/>
  <c r="B15" i="314"/>
  <c r="P15" i="314" s="1"/>
  <c r="AJ14" i="314"/>
  <c r="T14" i="314"/>
  <c r="S14" i="314"/>
  <c r="R14" i="314"/>
  <c r="G14" i="314"/>
  <c r="Q14" i="314" s="1"/>
  <c r="B14" i="314"/>
  <c r="P14" i="314" s="1"/>
  <c r="AJ13" i="314"/>
  <c r="T13" i="314"/>
  <c r="S13" i="314"/>
  <c r="R13" i="314"/>
  <c r="G13" i="314"/>
  <c r="Q13" i="314" s="1"/>
  <c r="B13" i="314"/>
  <c r="P13" i="314" s="1"/>
  <c r="D9" i="314"/>
  <c r="AJ20" i="313"/>
  <c r="T20" i="313"/>
  <c r="S20" i="313"/>
  <c r="R20" i="313"/>
  <c r="G20" i="313"/>
  <c r="Q20" i="313" s="1"/>
  <c r="B20" i="313"/>
  <c r="P20" i="313" s="1"/>
  <c r="AJ19" i="313"/>
  <c r="T19" i="313"/>
  <c r="S19" i="313"/>
  <c r="R19" i="313"/>
  <c r="G19" i="313"/>
  <c r="Q19" i="313" s="1"/>
  <c r="B19" i="313"/>
  <c r="P19" i="313" s="1"/>
  <c r="AJ18" i="313"/>
  <c r="T18" i="313"/>
  <c r="S18" i="313"/>
  <c r="R18" i="313"/>
  <c r="G18" i="313"/>
  <c r="Q18" i="313" s="1"/>
  <c r="B18" i="313"/>
  <c r="P18" i="313" s="1"/>
  <c r="AJ17" i="313"/>
  <c r="T17" i="313"/>
  <c r="S17" i="313"/>
  <c r="R17" i="313"/>
  <c r="G17" i="313"/>
  <c r="Q17" i="313" s="1"/>
  <c r="B17" i="313"/>
  <c r="P17" i="313" s="1"/>
  <c r="AJ16" i="313"/>
  <c r="T16" i="313"/>
  <c r="S16" i="313"/>
  <c r="R16" i="313"/>
  <c r="G16" i="313"/>
  <c r="Q16" i="313" s="1"/>
  <c r="B16" i="313"/>
  <c r="P16" i="313" s="1"/>
  <c r="AJ15" i="313"/>
  <c r="T15" i="313"/>
  <c r="S15" i="313"/>
  <c r="R15" i="313"/>
  <c r="G15" i="313"/>
  <c r="Q15" i="313" s="1"/>
  <c r="B15" i="313"/>
  <c r="P15" i="313" s="1"/>
  <c r="AJ14" i="313"/>
  <c r="T14" i="313"/>
  <c r="S14" i="313"/>
  <c r="R14" i="313"/>
  <c r="G14" i="313"/>
  <c r="Q14" i="313" s="1"/>
  <c r="B14" i="313"/>
  <c r="P14" i="313" s="1"/>
  <c r="AJ13" i="313"/>
  <c r="T13" i="313"/>
  <c r="S13" i="313"/>
  <c r="R13" i="313"/>
  <c r="G13" i="313"/>
  <c r="Q13" i="313" s="1"/>
  <c r="B13" i="313"/>
  <c r="P13" i="313" s="1"/>
  <c r="D9" i="313"/>
  <c r="AJ20" i="312"/>
  <c r="T20" i="312"/>
  <c r="S20" i="312"/>
  <c r="R20" i="312"/>
  <c r="G20" i="312"/>
  <c r="Q20" i="312" s="1"/>
  <c r="B20" i="312"/>
  <c r="P20" i="312" s="1"/>
  <c r="AJ19" i="312"/>
  <c r="T19" i="312"/>
  <c r="S19" i="312"/>
  <c r="R19" i="312"/>
  <c r="G19" i="312"/>
  <c r="Q19" i="312" s="1"/>
  <c r="B19" i="312"/>
  <c r="P19" i="312" s="1"/>
  <c r="AJ18" i="312"/>
  <c r="T18" i="312"/>
  <c r="S18" i="312"/>
  <c r="R18" i="312"/>
  <c r="G18" i="312"/>
  <c r="Q18" i="312" s="1"/>
  <c r="B18" i="312"/>
  <c r="P18" i="312" s="1"/>
  <c r="AJ17" i="312"/>
  <c r="T17" i="312"/>
  <c r="S17" i="312"/>
  <c r="R17" i="312"/>
  <c r="G17" i="312"/>
  <c r="Q17" i="312" s="1"/>
  <c r="B17" i="312"/>
  <c r="P17" i="312" s="1"/>
  <c r="AJ16" i="312"/>
  <c r="T16" i="312"/>
  <c r="S16" i="312"/>
  <c r="R16" i="312"/>
  <c r="G16" i="312"/>
  <c r="Q16" i="312" s="1"/>
  <c r="B16" i="312"/>
  <c r="P16" i="312" s="1"/>
  <c r="AJ15" i="312"/>
  <c r="T15" i="312"/>
  <c r="S15" i="312"/>
  <c r="R15" i="312"/>
  <c r="G15" i="312"/>
  <c r="Q15" i="312" s="1"/>
  <c r="B15" i="312"/>
  <c r="P15" i="312" s="1"/>
  <c r="AJ14" i="312"/>
  <c r="T14" i="312"/>
  <c r="S14" i="312"/>
  <c r="R14" i="312"/>
  <c r="G14" i="312"/>
  <c r="Q14" i="312" s="1"/>
  <c r="B14" i="312"/>
  <c r="P14" i="312" s="1"/>
  <c r="AJ13" i="312"/>
  <c r="T13" i="312"/>
  <c r="S13" i="312"/>
  <c r="R13" i="312"/>
  <c r="G13" i="312"/>
  <c r="Q13" i="312" s="1"/>
  <c r="B13" i="312"/>
  <c r="P13" i="312" s="1"/>
  <c r="D9" i="312"/>
  <c r="C1145" i="174" l="1"/>
  <c r="W1145" i="174" s="1"/>
  <c r="B13" i="311"/>
  <c r="AJ33" i="311"/>
  <c r="T33" i="311"/>
  <c r="S33" i="311"/>
  <c r="R33" i="311"/>
  <c r="G33" i="311"/>
  <c r="Q33" i="311" s="1"/>
  <c r="B33" i="311"/>
  <c r="P33" i="311" s="1"/>
  <c r="AJ32" i="311"/>
  <c r="T32" i="311"/>
  <c r="S32" i="311"/>
  <c r="G32" i="311"/>
  <c r="R32" i="311" s="1"/>
  <c r="B32" i="311"/>
  <c r="P32" i="311" s="1"/>
  <c r="AJ31" i="311"/>
  <c r="T31" i="311"/>
  <c r="S31" i="311"/>
  <c r="G31" i="311"/>
  <c r="R31" i="311" s="1"/>
  <c r="B31" i="311"/>
  <c r="P31" i="311" s="1"/>
  <c r="AJ30" i="311"/>
  <c r="T30" i="311"/>
  <c r="S30" i="311"/>
  <c r="R30" i="311"/>
  <c r="G30" i="311"/>
  <c r="Q30" i="311" s="1"/>
  <c r="B30" i="311"/>
  <c r="P30" i="311" s="1"/>
  <c r="AJ29" i="311"/>
  <c r="T29" i="311"/>
  <c r="S29" i="311"/>
  <c r="R29" i="311"/>
  <c r="G29" i="311"/>
  <c r="Q29" i="311" s="1"/>
  <c r="B29" i="311"/>
  <c r="P29" i="311" s="1"/>
  <c r="AJ28" i="311"/>
  <c r="T28" i="311"/>
  <c r="S28" i="311"/>
  <c r="G28" i="311"/>
  <c r="Q28" i="311" s="1"/>
  <c r="B28" i="311"/>
  <c r="P28" i="311" s="1"/>
  <c r="AJ27" i="311"/>
  <c r="T27" i="311"/>
  <c r="S27" i="311"/>
  <c r="G27" i="311"/>
  <c r="R27" i="311" s="1"/>
  <c r="B27" i="311"/>
  <c r="P27" i="311" s="1"/>
  <c r="AJ26" i="311"/>
  <c r="T26" i="311"/>
  <c r="S26" i="311"/>
  <c r="R26" i="311"/>
  <c r="G26" i="311"/>
  <c r="Q26" i="311" s="1"/>
  <c r="B26" i="311"/>
  <c r="P26" i="311" s="1"/>
  <c r="AJ25" i="311"/>
  <c r="T25" i="311"/>
  <c r="S25" i="311"/>
  <c r="G25" i="311"/>
  <c r="R25" i="311" s="1"/>
  <c r="B25" i="311"/>
  <c r="P25" i="311" s="1"/>
  <c r="AJ24" i="311"/>
  <c r="T24" i="311"/>
  <c r="S24" i="311"/>
  <c r="G24" i="311"/>
  <c r="R24" i="311" s="1"/>
  <c r="B24" i="311"/>
  <c r="P24" i="311" s="1"/>
  <c r="AJ23" i="311"/>
  <c r="T23" i="311"/>
  <c r="S23" i="311"/>
  <c r="R23" i="311"/>
  <c r="G23" i="311"/>
  <c r="Q23" i="311" s="1"/>
  <c r="B23" i="311"/>
  <c r="P23" i="311" s="1"/>
  <c r="AJ22" i="311"/>
  <c r="T22" i="311"/>
  <c r="S22" i="311"/>
  <c r="R22" i="311"/>
  <c r="G22" i="311"/>
  <c r="Q22" i="311" s="1"/>
  <c r="B22" i="311"/>
  <c r="P22" i="311" s="1"/>
  <c r="AJ21" i="311"/>
  <c r="T21" i="311"/>
  <c r="S21" i="311"/>
  <c r="P21" i="311"/>
  <c r="G21" i="311"/>
  <c r="R21" i="311" s="1"/>
  <c r="B21" i="311"/>
  <c r="AJ20" i="311"/>
  <c r="T20" i="311"/>
  <c r="S20" i="311"/>
  <c r="G20" i="311"/>
  <c r="R20" i="311" s="1"/>
  <c r="B20" i="311"/>
  <c r="P20" i="311" s="1"/>
  <c r="AJ19" i="311"/>
  <c r="T19" i="311"/>
  <c r="S19" i="311"/>
  <c r="R19" i="311"/>
  <c r="G19" i="311"/>
  <c r="Q19" i="311" s="1"/>
  <c r="B19" i="311"/>
  <c r="P19" i="311" s="1"/>
  <c r="AJ18" i="311"/>
  <c r="T18" i="311"/>
  <c r="S18" i="311"/>
  <c r="R18" i="311"/>
  <c r="G18" i="311"/>
  <c r="Q18" i="311" s="1"/>
  <c r="B18" i="311"/>
  <c r="P18" i="311" s="1"/>
  <c r="AJ34" i="311"/>
  <c r="T34" i="311"/>
  <c r="S34" i="311"/>
  <c r="G34" i="311"/>
  <c r="R34" i="311" s="1"/>
  <c r="B34" i="311"/>
  <c r="P34" i="311" s="1"/>
  <c r="AJ17" i="311"/>
  <c r="T17" i="311"/>
  <c r="S17" i="311"/>
  <c r="G17" i="311"/>
  <c r="R17" i="311" s="1"/>
  <c r="B17" i="311"/>
  <c r="P17" i="311" s="1"/>
  <c r="AJ16" i="311"/>
  <c r="T16" i="311"/>
  <c r="S16" i="311"/>
  <c r="G16" i="311"/>
  <c r="R16" i="311" s="1"/>
  <c r="B16" i="311"/>
  <c r="P16" i="311" s="1"/>
  <c r="AJ15" i="311"/>
  <c r="T15" i="311"/>
  <c r="S15" i="311"/>
  <c r="R15" i="311"/>
  <c r="G15" i="311"/>
  <c r="Q15" i="311" s="1"/>
  <c r="B15" i="311"/>
  <c r="P15" i="311" s="1"/>
  <c r="AJ14" i="311"/>
  <c r="T14" i="311"/>
  <c r="S14" i="311"/>
  <c r="R14" i="311"/>
  <c r="G14" i="311"/>
  <c r="Q14" i="311" s="1"/>
  <c r="B14" i="311"/>
  <c r="P14" i="311" s="1"/>
  <c r="AJ13" i="311"/>
  <c r="T13" i="311"/>
  <c r="S13" i="311"/>
  <c r="R13" i="311"/>
  <c r="G13" i="311"/>
  <c r="Q13" i="311" s="1"/>
  <c r="P13" i="311"/>
  <c r="D9" i="311"/>
  <c r="Q27" i="311" l="1"/>
  <c r="Q24" i="311"/>
  <c r="Q20" i="311"/>
  <c r="R28" i="311"/>
  <c r="Q31" i="311"/>
  <c r="Q17" i="311"/>
  <c r="Q32" i="311"/>
  <c r="Q25" i="311"/>
  <c r="Q21" i="311"/>
  <c r="Q16" i="311"/>
  <c r="Q34" i="311"/>
  <c r="B106" i="25"/>
  <c r="B105" i="25"/>
  <c r="B104" i="25"/>
  <c r="B103" i="25"/>
  <c r="B102" i="25"/>
  <c r="B101" i="25"/>
  <c r="B100" i="25"/>
  <c r="B99" i="25"/>
  <c r="B98" i="25"/>
  <c r="B97" i="25"/>
  <c r="B96" i="25"/>
  <c r="B95" i="25"/>
  <c r="B94" i="25"/>
  <c r="B93" i="25"/>
  <c r="B92" i="25"/>
  <c r="B91" i="25"/>
  <c r="B90" i="25"/>
  <c r="B89" i="25"/>
  <c r="B88" i="25"/>
  <c r="B87" i="25"/>
  <c r="B86" i="25"/>
  <c r="B85" i="25"/>
  <c r="B84" i="25"/>
  <c r="B83" i="25"/>
  <c r="B82" i="25"/>
  <c r="B81" i="25"/>
  <c r="B80" i="25"/>
  <c r="B79" i="25"/>
  <c r="B72" i="25"/>
  <c r="B71" i="25"/>
  <c r="B70" i="25"/>
  <c r="B69" i="25"/>
  <c r="B68" i="25"/>
  <c r="B67" i="25"/>
  <c r="B66" i="25"/>
  <c r="B65" i="25"/>
  <c r="B64" i="25"/>
  <c r="B63" i="25"/>
  <c r="B62" i="25"/>
  <c r="B61" i="25"/>
  <c r="B60" i="25"/>
  <c r="B59" i="25"/>
  <c r="B58" i="25"/>
  <c r="B57" i="25"/>
  <c r="B56" i="25"/>
  <c r="B55" i="25"/>
  <c r="B54" i="25"/>
  <c r="B53" i="25"/>
  <c r="B52" i="25"/>
  <c r="B51" i="25"/>
  <c r="B50" i="25"/>
  <c r="B49" i="25"/>
  <c r="B48" i="25"/>
  <c r="B47" i="25"/>
  <c r="B46" i="25"/>
  <c r="B45" i="25"/>
  <c r="B44" i="25"/>
  <c r="B43" i="25"/>
  <c r="B42" i="25"/>
  <c r="B41" i="25"/>
  <c r="B40" i="25"/>
  <c r="B39" i="25"/>
  <c r="B38" i="25"/>
  <c r="B37" i="25"/>
  <c r="B36" i="25"/>
  <c r="B35" i="25"/>
  <c r="B34" i="25"/>
  <c r="B33" i="25"/>
  <c r="B32" i="25"/>
  <c r="B31" i="25"/>
  <c r="B30" i="25"/>
  <c r="B29" i="25"/>
  <c r="B28" i="25"/>
  <c r="B27" i="25"/>
  <c r="B26" i="25"/>
  <c r="B25" i="25"/>
  <c r="B24" i="25"/>
  <c r="B23" i="25"/>
  <c r="B22" i="25"/>
  <c r="B21" i="25"/>
  <c r="B20" i="25"/>
  <c r="B19" i="25"/>
  <c r="B18" i="25"/>
  <c r="B17" i="25"/>
  <c r="B16" i="25"/>
  <c r="B15" i="25"/>
  <c r="B14" i="25"/>
  <c r="B13" i="25"/>
  <c r="B12" i="25"/>
  <c r="B11" i="25"/>
  <c r="B10" i="25"/>
  <c r="B9" i="25"/>
  <c r="B8" i="25"/>
  <c r="B152" i="25"/>
  <c r="B151" i="25"/>
  <c r="B150" i="25"/>
  <c r="B149" i="25"/>
  <c r="B148" i="25"/>
  <c r="B147" i="25"/>
  <c r="B146" i="25"/>
  <c r="B145" i="25"/>
  <c r="B144" i="25"/>
  <c r="B143" i="25"/>
  <c r="B142" i="25"/>
  <c r="B141" i="25"/>
  <c r="B140" i="25"/>
  <c r="B139" i="25"/>
  <c r="B138" i="25"/>
  <c r="B137" i="25"/>
  <c r="B136" i="25"/>
  <c r="B135" i="25"/>
  <c r="B134" i="25"/>
  <c r="B133" i="25"/>
  <c r="B132" i="25"/>
  <c r="B131" i="25"/>
  <c r="B130" i="25"/>
  <c r="B129" i="25"/>
  <c r="B128" i="25"/>
  <c r="B127" i="25"/>
  <c r="B126" i="25"/>
  <c r="B125" i="25"/>
  <c r="B124" i="25"/>
  <c r="B123" i="25"/>
  <c r="B122" i="25"/>
  <c r="B121" i="25"/>
  <c r="B120" i="25"/>
  <c r="B119" i="25"/>
  <c r="E1139" i="174" l="1"/>
  <c r="E1127" i="174"/>
  <c r="E1115" i="174"/>
  <c r="E1103" i="174"/>
  <c r="E1091" i="174"/>
  <c r="E1079" i="174"/>
  <c r="T1136" i="174"/>
  <c r="T1124" i="174"/>
  <c r="T1112" i="174"/>
  <c r="T1100" i="174"/>
  <c r="T1088" i="174"/>
  <c r="T1076" i="174"/>
  <c r="E1067" i="174"/>
  <c r="T1064" i="174"/>
  <c r="E22" i="174"/>
  <c r="T16" i="174"/>
  <c r="T7" i="174"/>
  <c r="AJ21" i="310"/>
  <c r="T21" i="310"/>
  <c r="S21" i="310"/>
  <c r="R21" i="310"/>
  <c r="G21" i="310"/>
  <c r="Q21" i="310" s="1"/>
  <c r="B21" i="310"/>
  <c r="P21" i="310" s="1"/>
  <c r="AJ20" i="310"/>
  <c r="T20" i="310"/>
  <c r="S20" i="310"/>
  <c r="R20" i="310"/>
  <c r="G20" i="310"/>
  <c r="Q20" i="310" s="1"/>
  <c r="B20" i="310"/>
  <c r="P20" i="310" s="1"/>
  <c r="AJ19" i="310"/>
  <c r="T19" i="310"/>
  <c r="S19" i="310"/>
  <c r="R19" i="310"/>
  <c r="G19" i="310"/>
  <c r="Q19" i="310" s="1"/>
  <c r="B19" i="310"/>
  <c r="P19" i="310" s="1"/>
  <c r="AJ18" i="310"/>
  <c r="T18" i="310"/>
  <c r="S18" i="310"/>
  <c r="R18" i="310"/>
  <c r="G18" i="310"/>
  <c r="Q18" i="310" s="1"/>
  <c r="B18" i="310"/>
  <c r="P18" i="310" s="1"/>
  <c r="AJ17" i="310"/>
  <c r="T17" i="310"/>
  <c r="S17" i="310"/>
  <c r="R17" i="310"/>
  <c r="G17" i="310"/>
  <c r="Q17" i="310" s="1"/>
  <c r="B17" i="310"/>
  <c r="P17" i="310" s="1"/>
  <c r="AJ16" i="310"/>
  <c r="T16" i="310"/>
  <c r="S16" i="310"/>
  <c r="R16" i="310"/>
  <c r="G16" i="310"/>
  <c r="Q16" i="310" s="1"/>
  <c r="B16" i="310"/>
  <c r="P16" i="310" s="1"/>
  <c r="AJ15" i="310"/>
  <c r="T15" i="310"/>
  <c r="S15" i="310"/>
  <c r="R15" i="310"/>
  <c r="G15" i="310"/>
  <c r="Q15" i="310" s="1"/>
  <c r="B15" i="310"/>
  <c r="P15" i="310" s="1"/>
  <c r="AJ14" i="310"/>
  <c r="T14" i="310"/>
  <c r="S14" i="310"/>
  <c r="R14" i="310"/>
  <c r="G14" i="310"/>
  <c r="Q14" i="310" s="1"/>
  <c r="B14" i="310"/>
  <c r="P14" i="310" s="1"/>
  <c r="AJ13" i="310"/>
  <c r="T13" i="310"/>
  <c r="S13" i="310"/>
  <c r="R13" i="310"/>
  <c r="G13" i="310"/>
  <c r="Q13" i="310" s="1"/>
  <c r="B13" i="310"/>
  <c r="P13" i="310" s="1"/>
  <c r="D9" i="310"/>
  <c r="D9" i="280"/>
  <c r="D9" i="281"/>
  <c r="D9" i="282"/>
  <c r="D9" i="283"/>
  <c r="D9" i="284"/>
  <c r="D9" i="285"/>
  <c r="D9" i="286"/>
  <c r="D9" i="287"/>
  <c r="D9" i="288"/>
  <c r="D9" i="289"/>
  <c r="D9" i="290"/>
  <c r="D9" i="291"/>
  <c r="D9" i="292"/>
  <c r="D9" i="293"/>
  <c r="D9" i="294"/>
  <c r="D9" i="295"/>
  <c r="D9" i="296"/>
  <c r="D9" i="297"/>
  <c r="D9" i="298"/>
  <c r="D9" i="299"/>
  <c r="D9" i="300"/>
  <c r="D9" i="301"/>
  <c r="D9" i="302"/>
  <c r="D9" i="303"/>
  <c r="D9" i="304"/>
  <c r="D9" i="305"/>
  <c r="D9" i="306"/>
  <c r="D9" i="307"/>
  <c r="D9" i="308"/>
  <c r="D9" i="279"/>
  <c r="D9" i="172"/>
  <c r="D9" i="179"/>
  <c r="D9" i="181"/>
  <c r="D9" i="182"/>
  <c r="D9" i="185"/>
  <c r="D9" i="186"/>
  <c r="D9" i="187"/>
  <c r="D9" i="197"/>
  <c r="D9" i="198"/>
  <c r="D9" i="199"/>
  <c r="D9" i="200"/>
  <c r="D9" i="201"/>
  <c r="D9" i="202"/>
  <c r="D9" i="203"/>
  <c r="D9" i="204"/>
  <c r="D9" i="205"/>
  <c r="D9" i="206"/>
  <c r="D9" i="207"/>
  <c r="D9" i="208"/>
  <c r="D9" i="209"/>
  <c r="D9" i="210"/>
  <c r="D9" i="211"/>
  <c r="D9" i="212"/>
  <c r="D9" i="213"/>
  <c r="D9" i="214"/>
  <c r="D9" i="215"/>
  <c r="D9" i="216"/>
  <c r="D9" i="217"/>
  <c r="D9" i="218"/>
  <c r="D9" i="219"/>
  <c r="D9" i="220"/>
  <c r="D9" i="221"/>
  <c r="D9" i="222"/>
  <c r="D9" i="223"/>
  <c r="D9" i="224"/>
  <c r="D9" i="225"/>
  <c r="D9" i="226"/>
  <c r="D9" i="227"/>
  <c r="D9" i="228"/>
  <c r="D9" i="229"/>
  <c r="D9" i="230"/>
  <c r="D9" i="231"/>
  <c r="D9" i="232"/>
  <c r="D9" i="233"/>
  <c r="D9" i="234"/>
  <c r="D9" i="235"/>
  <c r="D9" i="236"/>
  <c r="D9" i="237"/>
  <c r="D9" i="238"/>
  <c r="D9" i="239"/>
  <c r="D9" i="240"/>
  <c r="D9" i="241"/>
  <c r="D9" i="242"/>
  <c r="D9" i="243"/>
  <c r="D9" i="244"/>
  <c r="D9" i="245"/>
  <c r="D9" i="247"/>
  <c r="D9" i="248"/>
  <c r="D9" i="249"/>
  <c r="D9" i="250"/>
  <c r="D9" i="251"/>
  <c r="D9" i="252"/>
  <c r="D9" i="253"/>
  <c r="D9" i="254"/>
  <c r="D9" i="255"/>
  <c r="D9" i="256"/>
  <c r="D9" i="257"/>
  <c r="D9" i="258"/>
  <c r="D9" i="259"/>
  <c r="D9" i="260"/>
  <c r="D9" i="261"/>
  <c r="D9" i="262"/>
  <c r="D9" i="263"/>
  <c r="D9" i="264"/>
  <c r="D9" i="265"/>
  <c r="D9" i="266"/>
  <c r="D9" i="267"/>
  <c r="D9" i="268"/>
  <c r="D9" i="269"/>
  <c r="D9" i="271"/>
  <c r="D9" i="272"/>
  <c r="D9" i="273"/>
  <c r="D9" i="274"/>
  <c r="D9" i="275"/>
  <c r="D9" i="276"/>
  <c r="D9" i="277"/>
  <c r="D9" i="278"/>
  <c r="D9" i="309"/>
  <c r="AJ23" i="309"/>
  <c r="T23" i="309"/>
  <c r="S23" i="309"/>
  <c r="G23" i="309"/>
  <c r="R23" i="309" s="1"/>
  <c r="B23" i="309"/>
  <c r="P23" i="309" s="1"/>
  <c r="AJ22" i="309"/>
  <c r="T22" i="309"/>
  <c r="S22" i="309"/>
  <c r="G22" i="309"/>
  <c r="R22" i="309" s="1"/>
  <c r="B22" i="309"/>
  <c r="P22" i="309" s="1"/>
  <c r="AJ21" i="309"/>
  <c r="T21" i="309"/>
  <c r="S21" i="309"/>
  <c r="R21" i="309"/>
  <c r="G21" i="309"/>
  <c r="Q21" i="309" s="1"/>
  <c r="B21" i="309"/>
  <c r="P21" i="309" s="1"/>
  <c r="AJ20" i="309"/>
  <c r="T20" i="309"/>
  <c r="S20" i="309"/>
  <c r="R20" i="309"/>
  <c r="G20" i="309"/>
  <c r="Q20" i="309" s="1"/>
  <c r="B20" i="309"/>
  <c r="P20" i="309" s="1"/>
  <c r="AJ19" i="309"/>
  <c r="T19" i="309"/>
  <c r="S19" i="309"/>
  <c r="R19" i="309"/>
  <c r="G19" i="309"/>
  <c r="Q19" i="309" s="1"/>
  <c r="B19" i="309"/>
  <c r="P19" i="309" s="1"/>
  <c r="AJ18" i="309"/>
  <c r="T18" i="309"/>
  <c r="S18" i="309"/>
  <c r="R18" i="309"/>
  <c r="G18" i="309"/>
  <c r="Q18" i="309" s="1"/>
  <c r="B18" i="309"/>
  <c r="P18" i="309" s="1"/>
  <c r="AJ17" i="309"/>
  <c r="T17" i="309"/>
  <c r="S17" i="309"/>
  <c r="R17" i="309"/>
  <c r="G17" i="309"/>
  <c r="Q17" i="309" s="1"/>
  <c r="B17" i="309"/>
  <c r="P17" i="309" s="1"/>
  <c r="AJ16" i="309"/>
  <c r="T16" i="309"/>
  <c r="S16" i="309"/>
  <c r="R16" i="309"/>
  <c r="G16" i="309"/>
  <c r="Q16" i="309" s="1"/>
  <c r="B16" i="309"/>
  <c r="P16" i="309" s="1"/>
  <c r="AJ15" i="309"/>
  <c r="T15" i="309"/>
  <c r="S15" i="309"/>
  <c r="R15" i="309"/>
  <c r="G15" i="309"/>
  <c r="Q15" i="309" s="1"/>
  <c r="B15" i="309"/>
  <c r="P15" i="309" s="1"/>
  <c r="AJ14" i="309"/>
  <c r="T14" i="309"/>
  <c r="S14" i="309"/>
  <c r="R14" i="309"/>
  <c r="G14" i="309"/>
  <c r="Q14" i="309" s="1"/>
  <c r="B14" i="309"/>
  <c r="P14" i="309" s="1"/>
  <c r="AJ13" i="309"/>
  <c r="T13" i="309"/>
  <c r="S13" i="309"/>
  <c r="R13" i="309"/>
  <c r="G13" i="309"/>
  <c r="Q13" i="309" s="1"/>
  <c r="B13" i="309"/>
  <c r="P13" i="309" s="1"/>
  <c r="BK55" i="25"/>
  <c r="A55" i="25"/>
  <c r="BK54" i="25"/>
  <c r="A54" i="25"/>
  <c r="BK53" i="25"/>
  <c r="A53" i="25"/>
  <c r="BK52" i="25"/>
  <c r="A52" i="25"/>
  <c r="BK51" i="25"/>
  <c r="A51" i="25"/>
  <c r="BK50" i="25"/>
  <c r="A50" i="25"/>
  <c r="BK49" i="25"/>
  <c r="A49" i="25"/>
  <c r="BK48" i="25"/>
  <c r="A48" i="25"/>
  <c r="BK47" i="25"/>
  <c r="A47" i="25"/>
  <c r="BK46" i="25"/>
  <c r="A46" i="25"/>
  <c r="BK45" i="25"/>
  <c r="A45" i="25"/>
  <c r="BK44" i="25"/>
  <c r="A44" i="25"/>
  <c r="BK43" i="25"/>
  <c r="A43" i="25"/>
  <c r="BK42" i="25"/>
  <c r="A42" i="25"/>
  <c r="BK41" i="25"/>
  <c r="A41" i="25"/>
  <c r="BK40" i="25"/>
  <c r="A40" i="25"/>
  <c r="BK39" i="25"/>
  <c r="A39" i="25"/>
  <c r="BK38" i="25"/>
  <c r="A38" i="25"/>
  <c r="BK37" i="25"/>
  <c r="A37" i="25"/>
  <c r="BK36" i="25"/>
  <c r="A36" i="25"/>
  <c r="AM53" i="25"/>
  <c r="AM43" i="25"/>
  <c r="AM49" i="25"/>
  <c r="AM37" i="25"/>
  <c r="AM40" i="25"/>
  <c r="AM48" i="25"/>
  <c r="AM36" i="25"/>
  <c r="AM50" i="25"/>
  <c r="AM54" i="25"/>
  <c r="AM42" i="25"/>
  <c r="AM45" i="25"/>
  <c r="AM46" i="25"/>
  <c r="AM39" i="25"/>
  <c r="AM52" i="25"/>
  <c r="AM44" i="25"/>
  <c r="AM55" i="25"/>
  <c r="AM51" i="25"/>
  <c r="AM38" i="25"/>
  <c r="AM47" i="25"/>
  <c r="AM41" i="25"/>
  <c r="Q23" i="309" l="1"/>
  <c r="Q22" i="309"/>
  <c r="BK96" i="25"/>
  <c r="A96" i="25"/>
  <c r="BK70" i="25"/>
  <c r="A70" i="25"/>
  <c r="C14" i="174"/>
  <c r="W14" i="174" s="1"/>
  <c r="C13" i="174"/>
  <c r="W13" i="174" s="1"/>
  <c r="W12" i="174"/>
  <c r="AM96" i="25"/>
  <c r="AM70" i="25"/>
  <c r="W5" i="174" l="1"/>
  <c r="W3" i="174"/>
  <c r="W1060" i="174"/>
  <c r="R1064" i="174"/>
  <c r="C1061" i="174" s="1"/>
  <c r="W1061" i="174" s="1"/>
  <c r="C4" i="174" l="1"/>
  <c r="W4" i="174" s="1"/>
  <c r="C1062" i="174"/>
  <c r="W1062" i="174" s="1"/>
  <c r="AJ26" i="308" l="1"/>
  <c r="T26" i="308"/>
  <c r="S26" i="308"/>
  <c r="R26" i="308"/>
  <c r="G26" i="308"/>
  <c r="Q26" i="308" s="1"/>
  <c r="B26" i="308"/>
  <c r="P26" i="308" s="1"/>
  <c r="AJ25" i="308"/>
  <c r="T25" i="308"/>
  <c r="S25" i="308"/>
  <c r="R25" i="308"/>
  <c r="G25" i="308"/>
  <c r="Q25" i="308" s="1"/>
  <c r="B25" i="308"/>
  <c r="P25" i="308" s="1"/>
  <c r="AJ24" i="308"/>
  <c r="T24" i="308"/>
  <c r="S24" i="308"/>
  <c r="R24" i="308"/>
  <c r="G24" i="308"/>
  <c r="Q24" i="308" s="1"/>
  <c r="B24" i="308"/>
  <c r="P24" i="308" s="1"/>
  <c r="AJ23" i="308"/>
  <c r="T23" i="308"/>
  <c r="S23" i="308"/>
  <c r="R23" i="308"/>
  <c r="G23" i="308"/>
  <c r="Q23" i="308" s="1"/>
  <c r="B23" i="308"/>
  <c r="P23" i="308" s="1"/>
  <c r="AJ22" i="308"/>
  <c r="T22" i="308"/>
  <c r="S22" i="308"/>
  <c r="R22" i="308"/>
  <c r="G22" i="308"/>
  <c r="Q22" i="308" s="1"/>
  <c r="B22" i="308"/>
  <c r="P22" i="308" s="1"/>
  <c r="AJ21" i="308"/>
  <c r="T21" i="308"/>
  <c r="S21" i="308"/>
  <c r="R21" i="308"/>
  <c r="G21" i="308"/>
  <c r="Q21" i="308" s="1"/>
  <c r="B21" i="308"/>
  <c r="P21" i="308" s="1"/>
  <c r="AJ20" i="308"/>
  <c r="T20" i="308"/>
  <c r="S20" i="308"/>
  <c r="R20" i="308"/>
  <c r="G20" i="308"/>
  <c r="Q20" i="308" s="1"/>
  <c r="B20" i="308"/>
  <c r="P20" i="308" s="1"/>
  <c r="AJ19" i="308"/>
  <c r="T19" i="308"/>
  <c r="S19" i="308"/>
  <c r="R19" i="308"/>
  <c r="G19" i="308"/>
  <c r="Q19" i="308" s="1"/>
  <c r="B19" i="308"/>
  <c r="P19" i="308" s="1"/>
  <c r="AJ27" i="308"/>
  <c r="T27" i="308"/>
  <c r="S27" i="308"/>
  <c r="R27" i="308"/>
  <c r="G27" i="308"/>
  <c r="Q27" i="308" s="1"/>
  <c r="B27" i="308"/>
  <c r="P27" i="308" s="1"/>
  <c r="AJ18" i="308"/>
  <c r="T18" i="308"/>
  <c r="S18" i="308"/>
  <c r="R18" i="308"/>
  <c r="G18" i="308"/>
  <c r="Q18" i="308" s="1"/>
  <c r="B18" i="308"/>
  <c r="P18" i="308" s="1"/>
  <c r="AJ17" i="308"/>
  <c r="T17" i="308"/>
  <c r="S17" i="308"/>
  <c r="R17" i="308"/>
  <c r="G17" i="308"/>
  <c r="Q17" i="308" s="1"/>
  <c r="B17" i="308"/>
  <c r="P17" i="308" s="1"/>
  <c r="AJ16" i="308"/>
  <c r="T16" i="308"/>
  <c r="S16" i="308"/>
  <c r="R16" i="308"/>
  <c r="G16" i="308"/>
  <c r="Q16" i="308" s="1"/>
  <c r="B16" i="308"/>
  <c r="P16" i="308" s="1"/>
  <c r="AJ15" i="308"/>
  <c r="T15" i="308"/>
  <c r="S15" i="308"/>
  <c r="R15" i="308"/>
  <c r="G15" i="308"/>
  <c r="Q15" i="308" s="1"/>
  <c r="B15" i="308"/>
  <c r="P15" i="308" s="1"/>
  <c r="AJ14" i="308"/>
  <c r="T14" i="308"/>
  <c r="S14" i="308"/>
  <c r="R14" i="308"/>
  <c r="G14" i="308"/>
  <c r="Q14" i="308" s="1"/>
  <c r="B14" i="308"/>
  <c r="P14" i="308" s="1"/>
  <c r="AJ13" i="308"/>
  <c r="T13" i="308"/>
  <c r="S13" i="308"/>
  <c r="R13" i="308"/>
  <c r="G13" i="308"/>
  <c r="Q13" i="308" s="1"/>
  <c r="B13" i="308"/>
  <c r="P13" i="308" s="1"/>
  <c r="AJ20" i="307"/>
  <c r="T20" i="307"/>
  <c r="S20" i="307"/>
  <c r="R20" i="307"/>
  <c r="G20" i="307"/>
  <c r="Q20" i="307" s="1"/>
  <c r="B20" i="307"/>
  <c r="P20" i="307" s="1"/>
  <c r="AJ22" i="307"/>
  <c r="T22" i="307"/>
  <c r="S22" i="307"/>
  <c r="R22" i="307"/>
  <c r="G22" i="307"/>
  <c r="Q22" i="307" s="1"/>
  <c r="B22" i="307"/>
  <c r="P22" i="307" s="1"/>
  <c r="AJ21" i="307"/>
  <c r="T21" i="307"/>
  <c r="S21" i="307"/>
  <c r="R21" i="307"/>
  <c r="G21" i="307"/>
  <c r="Q21" i="307" s="1"/>
  <c r="B21" i="307"/>
  <c r="P21" i="307" s="1"/>
  <c r="AJ19" i="307"/>
  <c r="T19" i="307"/>
  <c r="S19" i="307"/>
  <c r="R19" i="307"/>
  <c r="G19" i="307"/>
  <c r="Q19" i="307" s="1"/>
  <c r="B19" i="307"/>
  <c r="P19" i="307" s="1"/>
  <c r="AJ18" i="307"/>
  <c r="T18" i="307"/>
  <c r="S18" i="307"/>
  <c r="R18" i="307"/>
  <c r="G18" i="307"/>
  <c r="Q18" i="307" s="1"/>
  <c r="B18" i="307"/>
  <c r="P18" i="307" s="1"/>
  <c r="AJ17" i="307"/>
  <c r="T17" i="307"/>
  <c r="S17" i="307"/>
  <c r="R17" i="307"/>
  <c r="G17" i="307"/>
  <c r="Q17" i="307" s="1"/>
  <c r="B17" i="307"/>
  <c r="P17" i="307" s="1"/>
  <c r="AJ16" i="307"/>
  <c r="T16" i="307"/>
  <c r="S16" i="307"/>
  <c r="R16" i="307"/>
  <c r="G16" i="307"/>
  <c r="Q16" i="307" s="1"/>
  <c r="B16" i="307"/>
  <c r="P16" i="307" s="1"/>
  <c r="AJ15" i="307"/>
  <c r="T15" i="307"/>
  <c r="S15" i="307"/>
  <c r="R15" i="307"/>
  <c r="G15" i="307"/>
  <c r="Q15" i="307" s="1"/>
  <c r="B15" i="307"/>
  <c r="P15" i="307" s="1"/>
  <c r="AJ14" i="307"/>
  <c r="T14" i="307"/>
  <c r="S14" i="307"/>
  <c r="R14" i="307"/>
  <c r="G14" i="307"/>
  <c r="Q14" i="307" s="1"/>
  <c r="B14" i="307"/>
  <c r="P14" i="307" s="1"/>
  <c r="AJ13" i="307"/>
  <c r="T13" i="307"/>
  <c r="S13" i="307"/>
  <c r="R13" i="307"/>
  <c r="G13" i="307"/>
  <c r="Q13" i="307" s="1"/>
  <c r="B13" i="307"/>
  <c r="P13" i="307" s="1"/>
  <c r="AJ21" i="306"/>
  <c r="T21" i="306"/>
  <c r="S21" i="306"/>
  <c r="R21" i="306"/>
  <c r="G21" i="306"/>
  <c r="Q21" i="306" s="1"/>
  <c r="B21" i="306"/>
  <c r="P21" i="306" s="1"/>
  <c r="AJ20" i="306"/>
  <c r="T20" i="306"/>
  <c r="S20" i="306"/>
  <c r="R20" i="306"/>
  <c r="G20" i="306"/>
  <c r="Q20" i="306" s="1"/>
  <c r="B20" i="306"/>
  <c r="P20" i="306" s="1"/>
  <c r="AJ19" i="306"/>
  <c r="T19" i="306"/>
  <c r="S19" i="306"/>
  <c r="R19" i="306"/>
  <c r="G19" i="306"/>
  <c r="Q19" i="306" s="1"/>
  <c r="B19" i="306"/>
  <c r="P19" i="306" s="1"/>
  <c r="AJ18" i="306"/>
  <c r="T18" i="306"/>
  <c r="S18" i="306"/>
  <c r="R18" i="306"/>
  <c r="G18" i="306"/>
  <c r="Q18" i="306" s="1"/>
  <c r="B18" i="306"/>
  <c r="P18" i="306" s="1"/>
  <c r="AJ17" i="306"/>
  <c r="T17" i="306"/>
  <c r="S17" i="306"/>
  <c r="R17" i="306"/>
  <c r="G17" i="306"/>
  <c r="Q17" i="306" s="1"/>
  <c r="B17" i="306"/>
  <c r="P17" i="306" s="1"/>
  <c r="AJ16" i="306"/>
  <c r="T16" i="306"/>
  <c r="S16" i="306"/>
  <c r="R16" i="306"/>
  <c r="G16" i="306"/>
  <c r="Q16" i="306" s="1"/>
  <c r="B16" i="306"/>
  <c r="P16" i="306" s="1"/>
  <c r="AJ15" i="306"/>
  <c r="T15" i="306"/>
  <c r="S15" i="306"/>
  <c r="R15" i="306"/>
  <c r="G15" i="306"/>
  <c r="Q15" i="306" s="1"/>
  <c r="B15" i="306"/>
  <c r="P15" i="306" s="1"/>
  <c r="AJ14" i="306"/>
  <c r="T14" i="306"/>
  <c r="S14" i="306"/>
  <c r="R14" i="306"/>
  <c r="G14" i="306"/>
  <c r="Q14" i="306" s="1"/>
  <c r="B14" i="306"/>
  <c r="P14" i="306" s="1"/>
  <c r="AJ13" i="306"/>
  <c r="T13" i="306"/>
  <c r="S13" i="306"/>
  <c r="R13" i="306"/>
  <c r="G13" i="306"/>
  <c r="Q13" i="306" s="1"/>
  <c r="B13" i="306"/>
  <c r="P13" i="306" s="1"/>
  <c r="AJ31" i="305"/>
  <c r="T31" i="305"/>
  <c r="S31" i="305"/>
  <c r="R31" i="305"/>
  <c r="G31" i="305"/>
  <c r="Q31" i="305" s="1"/>
  <c r="B31" i="305"/>
  <c r="P31" i="305" s="1"/>
  <c r="AJ30" i="305"/>
  <c r="T30" i="305"/>
  <c r="S30" i="305"/>
  <c r="R30" i="305"/>
  <c r="G30" i="305"/>
  <c r="Q30" i="305" s="1"/>
  <c r="B30" i="305"/>
  <c r="P30" i="305" s="1"/>
  <c r="AJ29" i="305"/>
  <c r="T29" i="305"/>
  <c r="S29" i="305"/>
  <c r="R29" i="305"/>
  <c r="G29" i="305"/>
  <c r="Q29" i="305" s="1"/>
  <c r="B29" i="305"/>
  <c r="P29" i="305" s="1"/>
  <c r="AJ28" i="305"/>
  <c r="T28" i="305"/>
  <c r="S28" i="305"/>
  <c r="R28" i="305"/>
  <c r="G28" i="305"/>
  <c r="Q28" i="305" s="1"/>
  <c r="B28" i="305"/>
  <c r="P28" i="305" s="1"/>
  <c r="AJ27" i="305"/>
  <c r="T27" i="305"/>
  <c r="S27" i="305"/>
  <c r="R27" i="305"/>
  <c r="G27" i="305"/>
  <c r="Q27" i="305" s="1"/>
  <c r="B27" i="305"/>
  <c r="P27" i="305" s="1"/>
  <c r="AJ26" i="305"/>
  <c r="T26" i="305"/>
  <c r="S26" i="305"/>
  <c r="R26" i="305"/>
  <c r="G26" i="305"/>
  <c r="Q26" i="305" s="1"/>
  <c r="B26" i="305"/>
  <c r="P26" i="305" s="1"/>
  <c r="AJ25" i="305"/>
  <c r="T25" i="305"/>
  <c r="S25" i="305"/>
  <c r="R25" i="305"/>
  <c r="G25" i="305"/>
  <c r="Q25" i="305" s="1"/>
  <c r="B25" i="305"/>
  <c r="P25" i="305" s="1"/>
  <c r="AJ24" i="305"/>
  <c r="T24" i="305"/>
  <c r="S24" i="305"/>
  <c r="R24" i="305"/>
  <c r="G24" i="305"/>
  <c r="Q24" i="305" s="1"/>
  <c r="B24" i="305"/>
  <c r="P24" i="305" s="1"/>
  <c r="AJ23" i="305"/>
  <c r="T23" i="305"/>
  <c r="S23" i="305"/>
  <c r="R23" i="305"/>
  <c r="G23" i="305"/>
  <c r="Q23" i="305" s="1"/>
  <c r="B23" i="305"/>
  <c r="P23" i="305" s="1"/>
  <c r="AJ22" i="305"/>
  <c r="T22" i="305"/>
  <c r="S22" i="305"/>
  <c r="R22" i="305"/>
  <c r="G22" i="305"/>
  <c r="Q22" i="305" s="1"/>
  <c r="B22" i="305"/>
  <c r="P22" i="305" s="1"/>
  <c r="AJ21" i="305"/>
  <c r="T21" i="305"/>
  <c r="S21" i="305"/>
  <c r="R21" i="305"/>
  <c r="G21" i="305"/>
  <c r="Q21" i="305" s="1"/>
  <c r="B21" i="305"/>
  <c r="P21" i="305" s="1"/>
  <c r="AJ20" i="305"/>
  <c r="T20" i="305"/>
  <c r="S20" i="305"/>
  <c r="R20" i="305"/>
  <c r="G20" i="305"/>
  <c r="Q20" i="305" s="1"/>
  <c r="B20" i="305"/>
  <c r="P20" i="305" s="1"/>
  <c r="AJ19" i="305"/>
  <c r="T19" i="305"/>
  <c r="S19" i="305"/>
  <c r="R19" i="305"/>
  <c r="G19" i="305"/>
  <c r="Q19" i="305" s="1"/>
  <c r="B19" i="305"/>
  <c r="P19" i="305" s="1"/>
  <c r="AJ33" i="305"/>
  <c r="T33" i="305"/>
  <c r="S33" i="305"/>
  <c r="R33" i="305"/>
  <c r="G33" i="305"/>
  <c r="Q33" i="305" s="1"/>
  <c r="B33" i="305"/>
  <c r="P33" i="305" s="1"/>
  <c r="AJ32" i="305"/>
  <c r="T32" i="305"/>
  <c r="S32" i="305"/>
  <c r="R32" i="305"/>
  <c r="G32" i="305"/>
  <c r="Q32" i="305" s="1"/>
  <c r="B32" i="305"/>
  <c r="P32" i="305" s="1"/>
  <c r="AJ18" i="305"/>
  <c r="T18" i="305"/>
  <c r="S18" i="305"/>
  <c r="R18" i="305"/>
  <c r="G18" i="305"/>
  <c r="Q18" i="305" s="1"/>
  <c r="B18" i="305"/>
  <c r="P18" i="305" s="1"/>
  <c r="AJ17" i="305"/>
  <c r="T17" i="305"/>
  <c r="S17" i="305"/>
  <c r="R17" i="305"/>
  <c r="G17" i="305"/>
  <c r="Q17" i="305" s="1"/>
  <c r="B17" i="305"/>
  <c r="P17" i="305" s="1"/>
  <c r="AJ16" i="305"/>
  <c r="T16" i="305"/>
  <c r="S16" i="305"/>
  <c r="R16" i="305"/>
  <c r="G16" i="305"/>
  <c r="Q16" i="305" s="1"/>
  <c r="B16" i="305"/>
  <c r="P16" i="305" s="1"/>
  <c r="AJ15" i="305"/>
  <c r="T15" i="305"/>
  <c r="S15" i="305"/>
  <c r="R15" i="305"/>
  <c r="G15" i="305"/>
  <c r="Q15" i="305" s="1"/>
  <c r="B15" i="305"/>
  <c r="P15" i="305" s="1"/>
  <c r="AJ14" i="305"/>
  <c r="T14" i="305"/>
  <c r="S14" i="305"/>
  <c r="R14" i="305"/>
  <c r="G14" i="305"/>
  <c r="Q14" i="305" s="1"/>
  <c r="B14" i="305"/>
  <c r="P14" i="305" s="1"/>
  <c r="AJ13" i="305"/>
  <c r="T13" i="305"/>
  <c r="S13" i="305"/>
  <c r="R13" i="305"/>
  <c r="G13" i="305"/>
  <c r="Q13" i="305" s="1"/>
  <c r="B13" i="305"/>
  <c r="P13" i="305" s="1"/>
  <c r="AJ20" i="304"/>
  <c r="T20" i="304"/>
  <c r="S20" i="304"/>
  <c r="R20" i="304"/>
  <c r="G20" i="304"/>
  <c r="Q20" i="304" s="1"/>
  <c r="B20" i="304"/>
  <c r="P20" i="304" s="1"/>
  <c r="AJ19" i="304"/>
  <c r="T19" i="304"/>
  <c r="S19" i="304"/>
  <c r="R19" i="304"/>
  <c r="G19" i="304"/>
  <c r="Q19" i="304" s="1"/>
  <c r="B19" i="304"/>
  <c r="P19" i="304" s="1"/>
  <c r="AJ18" i="304"/>
  <c r="T18" i="304"/>
  <c r="S18" i="304"/>
  <c r="R18" i="304"/>
  <c r="G18" i="304"/>
  <c r="Q18" i="304" s="1"/>
  <c r="B18" i="304"/>
  <c r="P18" i="304" s="1"/>
  <c r="AJ17" i="304"/>
  <c r="T17" i="304"/>
  <c r="S17" i="304"/>
  <c r="R17" i="304"/>
  <c r="G17" i="304"/>
  <c r="Q17" i="304" s="1"/>
  <c r="B17" i="304"/>
  <c r="P17" i="304" s="1"/>
  <c r="AJ16" i="304"/>
  <c r="T16" i="304"/>
  <c r="S16" i="304"/>
  <c r="R16" i="304"/>
  <c r="G16" i="304"/>
  <c r="Q16" i="304" s="1"/>
  <c r="B16" i="304"/>
  <c r="P16" i="304" s="1"/>
  <c r="AJ15" i="304"/>
  <c r="T15" i="304"/>
  <c r="S15" i="304"/>
  <c r="R15" i="304"/>
  <c r="G15" i="304"/>
  <c r="Q15" i="304" s="1"/>
  <c r="B15" i="304"/>
  <c r="P15" i="304" s="1"/>
  <c r="AJ14" i="304"/>
  <c r="T14" i="304"/>
  <c r="S14" i="304"/>
  <c r="R14" i="304"/>
  <c r="G14" i="304"/>
  <c r="Q14" i="304" s="1"/>
  <c r="B14" i="304"/>
  <c r="P14" i="304" s="1"/>
  <c r="AJ13" i="304"/>
  <c r="T13" i="304"/>
  <c r="S13" i="304"/>
  <c r="R13" i="304"/>
  <c r="G13" i="304"/>
  <c r="Q13" i="304" s="1"/>
  <c r="B13" i="304"/>
  <c r="P13" i="304" s="1"/>
  <c r="AJ28" i="303"/>
  <c r="T28" i="303"/>
  <c r="S28" i="303"/>
  <c r="R28" i="303"/>
  <c r="G28" i="303"/>
  <c r="Q28" i="303" s="1"/>
  <c r="B28" i="303"/>
  <c r="P28" i="303" s="1"/>
  <c r="AJ27" i="303"/>
  <c r="T27" i="303"/>
  <c r="S27" i="303"/>
  <c r="R27" i="303"/>
  <c r="G27" i="303"/>
  <c r="Q27" i="303" s="1"/>
  <c r="B27" i="303"/>
  <c r="P27" i="303" s="1"/>
  <c r="AJ26" i="303"/>
  <c r="T26" i="303"/>
  <c r="S26" i="303"/>
  <c r="R26" i="303"/>
  <c r="G26" i="303"/>
  <c r="Q26" i="303" s="1"/>
  <c r="B26" i="303"/>
  <c r="P26" i="303" s="1"/>
  <c r="AJ25" i="303"/>
  <c r="T25" i="303"/>
  <c r="S25" i="303"/>
  <c r="R25" i="303"/>
  <c r="G25" i="303"/>
  <c r="Q25" i="303" s="1"/>
  <c r="B25" i="303"/>
  <c r="P25" i="303" s="1"/>
  <c r="AJ24" i="303"/>
  <c r="T24" i="303"/>
  <c r="S24" i="303"/>
  <c r="R24" i="303"/>
  <c r="G24" i="303"/>
  <c r="Q24" i="303" s="1"/>
  <c r="B24" i="303"/>
  <c r="P24" i="303" s="1"/>
  <c r="AJ23" i="303"/>
  <c r="T23" i="303"/>
  <c r="S23" i="303"/>
  <c r="R23" i="303"/>
  <c r="G23" i="303"/>
  <c r="Q23" i="303" s="1"/>
  <c r="B23" i="303"/>
  <c r="P23" i="303" s="1"/>
  <c r="AJ22" i="303"/>
  <c r="T22" i="303"/>
  <c r="S22" i="303"/>
  <c r="R22" i="303"/>
  <c r="G22" i="303"/>
  <c r="Q22" i="303" s="1"/>
  <c r="B22" i="303"/>
  <c r="P22" i="303" s="1"/>
  <c r="AJ21" i="303"/>
  <c r="T21" i="303"/>
  <c r="S21" i="303"/>
  <c r="R21" i="303"/>
  <c r="G21" i="303"/>
  <c r="Q21" i="303" s="1"/>
  <c r="B21" i="303"/>
  <c r="P21" i="303" s="1"/>
  <c r="AJ20" i="303"/>
  <c r="T20" i="303"/>
  <c r="S20" i="303"/>
  <c r="R20" i="303"/>
  <c r="G20" i="303"/>
  <c r="Q20" i="303" s="1"/>
  <c r="B20" i="303"/>
  <c r="P20" i="303" s="1"/>
  <c r="AJ19" i="303"/>
  <c r="T19" i="303"/>
  <c r="S19" i="303"/>
  <c r="R19" i="303"/>
  <c r="G19" i="303"/>
  <c r="Q19" i="303" s="1"/>
  <c r="B19" i="303"/>
  <c r="P19" i="303" s="1"/>
  <c r="AJ18" i="303"/>
  <c r="T18" i="303"/>
  <c r="S18" i="303"/>
  <c r="R18" i="303"/>
  <c r="G18" i="303"/>
  <c r="Q18" i="303" s="1"/>
  <c r="B18" i="303"/>
  <c r="P18" i="303" s="1"/>
  <c r="AJ17" i="303"/>
  <c r="T17" i="303"/>
  <c r="S17" i="303"/>
  <c r="R17" i="303"/>
  <c r="G17" i="303"/>
  <c r="Q17" i="303" s="1"/>
  <c r="B17" i="303"/>
  <c r="P17" i="303" s="1"/>
  <c r="AJ16" i="303"/>
  <c r="T16" i="303"/>
  <c r="S16" i="303"/>
  <c r="R16" i="303"/>
  <c r="G16" i="303"/>
  <c r="Q16" i="303" s="1"/>
  <c r="B16" i="303"/>
  <c r="P16" i="303" s="1"/>
  <c r="AJ15" i="303"/>
  <c r="T15" i="303"/>
  <c r="S15" i="303"/>
  <c r="R15" i="303"/>
  <c r="G15" i="303"/>
  <c r="Q15" i="303" s="1"/>
  <c r="B15" i="303"/>
  <c r="P15" i="303" s="1"/>
  <c r="AJ14" i="303"/>
  <c r="T14" i="303"/>
  <c r="S14" i="303"/>
  <c r="R14" i="303"/>
  <c r="G14" i="303"/>
  <c r="Q14" i="303" s="1"/>
  <c r="B14" i="303"/>
  <c r="P14" i="303" s="1"/>
  <c r="AJ13" i="303"/>
  <c r="T13" i="303"/>
  <c r="S13" i="303"/>
  <c r="R13" i="303"/>
  <c r="G13" i="303"/>
  <c r="Q13" i="303" s="1"/>
  <c r="B13" i="303"/>
  <c r="P13" i="303" s="1"/>
  <c r="AJ29" i="302"/>
  <c r="T29" i="302"/>
  <c r="S29" i="302"/>
  <c r="R29" i="302"/>
  <c r="G29" i="302"/>
  <c r="Q29" i="302" s="1"/>
  <c r="B29" i="302"/>
  <c r="P29" i="302" s="1"/>
  <c r="AJ28" i="302"/>
  <c r="T28" i="302"/>
  <c r="S28" i="302"/>
  <c r="R28" i="302"/>
  <c r="G28" i="302"/>
  <c r="Q28" i="302" s="1"/>
  <c r="B28" i="302"/>
  <c r="P28" i="302" s="1"/>
  <c r="AJ27" i="302"/>
  <c r="T27" i="302"/>
  <c r="S27" i="302"/>
  <c r="R27" i="302"/>
  <c r="G27" i="302"/>
  <c r="Q27" i="302" s="1"/>
  <c r="B27" i="302"/>
  <c r="P27" i="302" s="1"/>
  <c r="AJ26" i="302"/>
  <c r="T26" i="302"/>
  <c r="S26" i="302"/>
  <c r="R26" i="302"/>
  <c r="G26" i="302"/>
  <c r="Q26" i="302" s="1"/>
  <c r="B26" i="302"/>
  <c r="P26" i="302" s="1"/>
  <c r="AJ25" i="302"/>
  <c r="T25" i="302"/>
  <c r="S25" i="302"/>
  <c r="R25" i="302"/>
  <c r="G25" i="302"/>
  <c r="Q25" i="302" s="1"/>
  <c r="B25" i="302"/>
  <c r="P25" i="302" s="1"/>
  <c r="AJ24" i="302"/>
  <c r="T24" i="302"/>
  <c r="S24" i="302"/>
  <c r="R24" i="302"/>
  <c r="G24" i="302"/>
  <c r="Q24" i="302" s="1"/>
  <c r="B24" i="302"/>
  <c r="P24" i="302" s="1"/>
  <c r="AJ23" i="302"/>
  <c r="T23" i="302"/>
  <c r="S23" i="302"/>
  <c r="R23" i="302"/>
  <c r="G23" i="302"/>
  <c r="Q23" i="302" s="1"/>
  <c r="B23" i="302"/>
  <c r="P23" i="302" s="1"/>
  <c r="AJ22" i="302"/>
  <c r="T22" i="302"/>
  <c r="S22" i="302"/>
  <c r="R22" i="302"/>
  <c r="G22" i="302"/>
  <c r="Q22" i="302" s="1"/>
  <c r="B22" i="302"/>
  <c r="P22" i="302" s="1"/>
  <c r="AJ21" i="302"/>
  <c r="T21" i="302"/>
  <c r="S21" i="302"/>
  <c r="R21" i="302"/>
  <c r="G21" i="302"/>
  <c r="Q21" i="302" s="1"/>
  <c r="B21" i="302"/>
  <c r="P21" i="302" s="1"/>
  <c r="AJ20" i="302"/>
  <c r="T20" i="302"/>
  <c r="S20" i="302"/>
  <c r="R20" i="302"/>
  <c r="G20" i="302"/>
  <c r="Q20" i="302" s="1"/>
  <c r="B20" i="302"/>
  <c r="P20" i="302" s="1"/>
  <c r="AJ19" i="302"/>
  <c r="T19" i="302"/>
  <c r="S19" i="302"/>
  <c r="R19" i="302"/>
  <c r="G19" i="302"/>
  <c r="Q19" i="302" s="1"/>
  <c r="B19" i="302"/>
  <c r="P19" i="302" s="1"/>
  <c r="AJ18" i="302"/>
  <c r="T18" i="302"/>
  <c r="S18" i="302"/>
  <c r="R18" i="302"/>
  <c r="G18" i="302"/>
  <c r="Q18" i="302" s="1"/>
  <c r="B18" i="302"/>
  <c r="P18" i="302" s="1"/>
  <c r="AJ17" i="302"/>
  <c r="T17" i="302"/>
  <c r="S17" i="302"/>
  <c r="R17" i="302"/>
  <c r="G17" i="302"/>
  <c r="Q17" i="302" s="1"/>
  <c r="B17" i="302"/>
  <c r="P17" i="302" s="1"/>
  <c r="AJ16" i="302"/>
  <c r="T16" i="302"/>
  <c r="S16" i="302"/>
  <c r="R16" i="302"/>
  <c r="G16" i="302"/>
  <c r="Q16" i="302" s="1"/>
  <c r="B16" i="302"/>
  <c r="P16" i="302" s="1"/>
  <c r="AJ15" i="302"/>
  <c r="T15" i="302"/>
  <c r="S15" i="302"/>
  <c r="R15" i="302"/>
  <c r="G15" i="302"/>
  <c r="Q15" i="302" s="1"/>
  <c r="B15" i="302"/>
  <c r="P15" i="302" s="1"/>
  <c r="AJ14" i="302"/>
  <c r="T14" i="302"/>
  <c r="S14" i="302"/>
  <c r="R14" i="302"/>
  <c r="G14" i="302"/>
  <c r="Q14" i="302" s="1"/>
  <c r="B14" i="302"/>
  <c r="P14" i="302" s="1"/>
  <c r="AJ13" i="302"/>
  <c r="T13" i="302"/>
  <c r="S13" i="302"/>
  <c r="R13" i="302"/>
  <c r="G13" i="302"/>
  <c r="Q13" i="302" s="1"/>
  <c r="B13" i="302"/>
  <c r="P13" i="302" s="1"/>
  <c r="AJ21" i="301"/>
  <c r="T21" i="301"/>
  <c r="S21" i="301"/>
  <c r="R21" i="301"/>
  <c r="G21" i="301"/>
  <c r="Q21" i="301" s="1"/>
  <c r="B21" i="301"/>
  <c r="P21" i="301" s="1"/>
  <c r="AJ20" i="301"/>
  <c r="T20" i="301"/>
  <c r="S20" i="301"/>
  <c r="R20" i="301"/>
  <c r="G20" i="301"/>
  <c r="Q20" i="301" s="1"/>
  <c r="B20" i="301"/>
  <c r="P20" i="301" s="1"/>
  <c r="AJ19" i="301"/>
  <c r="T19" i="301"/>
  <c r="S19" i="301"/>
  <c r="R19" i="301"/>
  <c r="G19" i="301"/>
  <c r="Q19" i="301" s="1"/>
  <c r="B19" i="301"/>
  <c r="P19" i="301" s="1"/>
  <c r="AJ18" i="301"/>
  <c r="T18" i="301"/>
  <c r="S18" i="301"/>
  <c r="R18" i="301"/>
  <c r="G18" i="301"/>
  <c r="Q18" i="301" s="1"/>
  <c r="B18" i="301"/>
  <c r="P18" i="301" s="1"/>
  <c r="AJ17" i="301"/>
  <c r="T17" i="301"/>
  <c r="S17" i="301"/>
  <c r="R17" i="301"/>
  <c r="G17" i="301"/>
  <c r="Q17" i="301" s="1"/>
  <c r="B17" i="301"/>
  <c r="P17" i="301" s="1"/>
  <c r="AJ16" i="301"/>
  <c r="T16" i="301"/>
  <c r="S16" i="301"/>
  <c r="R16" i="301"/>
  <c r="G16" i="301"/>
  <c r="Q16" i="301" s="1"/>
  <c r="B16" i="301"/>
  <c r="P16" i="301" s="1"/>
  <c r="AJ15" i="301"/>
  <c r="T15" i="301"/>
  <c r="S15" i="301"/>
  <c r="R15" i="301"/>
  <c r="G15" i="301"/>
  <c r="Q15" i="301" s="1"/>
  <c r="B15" i="301"/>
  <c r="P15" i="301" s="1"/>
  <c r="AJ14" i="301"/>
  <c r="T14" i="301"/>
  <c r="S14" i="301"/>
  <c r="R14" i="301"/>
  <c r="G14" i="301"/>
  <c r="Q14" i="301" s="1"/>
  <c r="B14" i="301"/>
  <c r="P14" i="301" s="1"/>
  <c r="AJ13" i="301"/>
  <c r="T13" i="301"/>
  <c r="S13" i="301"/>
  <c r="R13" i="301"/>
  <c r="G13" i="301"/>
  <c r="Q13" i="301" s="1"/>
  <c r="B13" i="301"/>
  <c r="P13" i="301" s="1"/>
  <c r="AJ27" i="300"/>
  <c r="T27" i="300"/>
  <c r="S27" i="300"/>
  <c r="R27" i="300"/>
  <c r="G27" i="300"/>
  <c r="Q27" i="300" s="1"/>
  <c r="B27" i="300"/>
  <c r="P27" i="300" s="1"/>
  <c r="AJ26" i="300"/>
  <c r="T26" i="300"/>
  <c r="S26" i="300"/>
  <c r="R26" i="300"/>
  <c r="G26" i="300"/>
  <c r="Q26" i="300" s="1"/>
  <c r="B26" i="300"/>
  <c r="P26" i="300" s="1"/>
  <c r="AJ25" i="300"/>
  <c r="T25" i="300"/>
  <c r="S25" i="300"/>
  <c r="R25" i="300"/>
  <c r="G25" i="300"/>
  <c r="Q25" i="300" s="1"/>
  <c r="B25" i="300"/>
  <c r="P25" i="300" s="1"/>
  <c r="AJ24" i="300"/>
  <c r="T24" i="300"/>
  <c r="S24" i="300"/>
  <c r="R24" i="300"/>
  <c r="G24" i="300"/>
  <c r="Q24" i="300" s="1"/>
  <c r="B24" i="300"/>
  <c r="P24" i="300" s="1"/>
  <c r="AJ23" i="300"/>
  <c r="T23" i="300"/>
  <c r="S23" i="300"/>
  <c r="R23" i="300"/>
  <c r="G23" i="300"/>
  <c r="Q23" i="300" s="1"/>
  <c r="B23" i="300"/>
  <c r="P23" i="300" s="1"/>
  <c r="AJ22" i="300"/>
  <c r="T22" i="300"/>
  <c r="S22" i="300"/>
  <c r="R22" i="300"/>
  <c r="G22" i="300"/>
  <c r="Q22" i="300" s="1"/>
  <c r="B22" i="300"/>
  <c r="P22" i="300" s="1"/>
  <c r="AJ21" i="300"/>
  <c r="T21" i="300"/>
  <c r="S21" i="300"/>
  <c r="R21" i="300"/>
  <c r="G21" i="300"/>
  <c r="Q21" i="300" s="1"/>
  <c r="B21" i="300"/>
  <c r="P21" i="300" s="1"/>
  <c r="AJ20" i="300"/>
  <c r="T20" i="300"/>
  <c r="S20" i="300"/>
  <c r="R20" i="300"/>
  <c r="G20" i="300"/>
  <c r="Q20" i="300" s="1"/>
  <c r="B20" i="300"/>
  <c r="P20" i="300" s="1"/>
  <c r="AJ19" i="300"/>
  <c r="T19" i="300"/>
  <c r="S19" i="300"/>
  <c r="R19" i="300"/>
  <c r="G19" i="300"/>
  <c r="Q19" i="300" s="1"/>
  <c r="B19" i="300"/>
  <c r="P19" i="300" s="1"/>
  <c r="AJ18" i="300"/>
  <c r="T18" i="300"/>
  <c r="S18" i="300"/>
  <c r="R18" i="300"/>
  <c r="G18" i="300"/>
  <c r="Q18" i="300" s="1"/>
  <c r="B18" i="300"/>
  <c r="P18" i="300" s="1"/>
  <c r="AJ29" i="300"/>
  <c r="T29" i="300"/>
  <c r="S29" i="300"/>
  <c r="R29" i="300"/>
  <c r="G29" i="300"/>
  <c r="Q29" i="300" s="1"/>
  <c r="B29" i="300"/>
  <c r="P29" i="300" s="1"/>
  <c r="AJ28" i="300"/>
  <c r="T28" i="300"/>
  <c r="S28" i="300"/>
  <c r="R28" i="300"/>
  <c r="G28" i="300"/>
  <c r="Q28" i="300" s="1"/>
  <c r="B28" i="300"/>
  <c r="P28" i="300" s="1"/>
  <c r="AJ17" i="300"/>
  <c r="T17" i="300"/>
  <c r="S17" i="300"/>
  <c r="R17" i="300"/>
  <c r="G17" i="300"/>
  <c r="Q17" i="300" s="1"/>
  <c r="B17" i="300"/>
  <c r="P17" i="300" s="1"/>
  <c r="AJ16" i="300"/>
  <c r="T16" i="300"/>
  <c r="S16" i="300"/>
  <c r="R16" i="300"/>
  <c r="G16" i="300"/>
  <c r="Q16" i="300" s="1"/>
  <c r="B16" i="300"/>
  <c r="P16" i="300" s="1"/>
  <c r="AJ15" i="300"/>
  <c r="T15" i="300"/>
  <c r="S15" i="300"/>
  <c r="R15" i="300"/>
  <c r="G15" i="300"/>
  <c r="Q15" i="300" s="1"/>
  <c r="B15" i="300"/>
  <c r="P15" i="300" s="1"/>
  <c r="AJ14" i="300"/>
  <c r="T14" i="300"/>
  <c r="S14" i="300"/>
  <c r="R14" i="300"/>
  <c r="G14" i="300"/>
  <c r="Q14" i="300" s="1"/>
  <c r="B14" i="300"/>
  <c r="P14" i="300" s="1"/>
  <c r="AJ13" i="300"/>
  <c r="T13" i="300"/>
  <c r="S13" i="300"/>
  <c r="R13" i="300"/>
  <c r="G13" i="300"/>
  <c r="Q13" i="300" s="1"/>
  <c r="B13" i="300"/>
  <c r="P13" i="300" s="1"/>
  <c r="AJ19" i="299"/>
  <c r="T19" i="299"/>
  <c r="S19" i="299"/>
  <c r="R19" i="299"/>
  <c r="G19" i="299"/>
  <c r="Q19" i="299" s="1"/>
  <c r="B19" i="299"/>
  <c r="P19" i="299" s="1"/>
  <c r="AJ18" i="299"/>
  <c r="T18" i="299"/>
  <c r="S18" i="299"/>
  <c r="R18" i="299"/>
  <c r="G18" i="299"/>
  <c r="Q18" i="299" s="1"/>
  <c r="B18" i="299"/>
  <c r="P18" i="299" s="1"/>
  <c r="AJ17" i="299"/>
  <c r="T17" i="299"/>
  <c r="S17" i="299"/>
  <c r="R17" i="299"/>
  <c r="G17" i="299"/>
  <c r="Q17" i="299" s="1"/>
  <c r="B17" i="299"/>
  <c r="P17" i="299" s="1"/>
  <c r="AJ16" i="299"/>
  <c r="T16" i="299"/>
  <c r="S16" i="299"/>
  <c r="R16" i="299"/>
  <c r="G16" i="299"/>
  <c r="Q16" i="299" s="1"/>
  <c r="B16" i="299"/>
  <c r="P16" i="299" s="1"/>
  <c r="AJ15" i="299"/>
  <c r="T15" i="299"/>
  <c r="S15" i="299"/>
  <c r="R15" i="299"/>
  <c r="G15" i="299"/>
  <c r="Q15" i="299" s="1"/>
  <c r="B15" i="299"/>
  <c r="P15" i="299" s="1"/>
  <c r="AJ14" i="299"/>
  <c r="T14" i="299"/>
  <c r="S14" i="299"/>
  <c r="R14" i="299"/>
  <c r="G14" i="299"/>
  <c r="Q14" i="299" s="1"/>
  <c r="B14" i="299"/>
  <c r="P14" i="299" s="1"/>
  <c r="AJ13" i="299"/>
  <c r="T13" i="299"/>
  <c r="S13" i="299"/>
  <c r="R13" i="299"/>
  <c r="G13" i="299"/>
  <c r="Q13" i="299" s="1"/>
  <c r="B13" i="299"/>
  <c r="P13" i="299" s="1"/>
  <c r="AJ33" i="298"/>
  <c r="T33" i="298"/>
  <c r="S33" i="298"/>
  <c r="R33" i="298"/>
  <c r="G33" i="298"/>
  <c r="Q33" i="298" s="1"/>
  <c r="B33" i="298"/>
  <c r="P33" i="298" s="1"/>
  <c r="AJ32" i="298"/>
  <c r="T32" i="298"/>
  <c r="S32" i="298"/>
  <c r="R32" i="298"/>
  <c r="G32" i="298"/>
  <c r="Q32" i="298" s="1"/>
  <c r="B32" i="298"/>
  <c r="P32" i="298" s="1"/>
  <c r="AJ31" i="298"/>
  <c r="T31" i="298"/>
  <c r="S31" i="298"/>
  <c r="R31" i="298"/>
  <c r="G31" i="298"/>
  <c r="Q31" i="298" s="1"/>
  <c r="B31" i="298"/>
  <c r="P31" i="298" s="1"/>
  <c r="AJ30" i="298"/>
  <c r="T30" i="298"/>
  <c r="S30" i="298"/>
  <c r="R30" i="298"/>
  <c r="G30" i="298"/>
  <c r="Q30" i="298" s="1"/>
  <c r="B30" i="298"/>
  <c r="P30" i="298" s="1"/>
  <c r="AJ29" i="298"/>
  <c r="T29" i="298"/>
  <c r="S29" i="298"/>
  <c r="R29" i="298"/>
  <c r="G29" i="298"/>
  <c r="Q29" i="298" s="1"/>
  <c r="B29" i="298"/>
  <c r="P29" i="298" s="1"/>
  <c r="AJ28" i="298"/>
  <c r="T28" i="298"/>
  <c r="S28" i="298"/>
  <c r="R28" i="298"/>
  <c r="G28" i="298"/>
  <c r="Q28" i="298" s="1"/>
  <c r="B28" i="298"/>
  <c r="P28" i="298" s="1"/>
  <c r="AJ27" i="298"/>
  <c r="T27" i="298"/>
  <c r="S27" i="298"/>
  <c r="R27" i="298"/>
  <c r="G27" i="298"/>
  <c r="Q27" i="298" s="1"/>
  <c r="B27" i="298"/>
  <c r="P27" i="298" s="1"/>
  <c r="AJ26" i="298"/>
  <c r="T26" i="298"/>
  <c r="S26" i="298"/>
  <c r="R26" i="298"/>
  <c r="G26" i="298"/>
  <c r="Q26" i="298" s="1"/>
  <c r="B26" i="298"/>
  <c r="P26" i="298" s="1"/>
  <c r="AJ25" i="298"/>
  <c r="T25" i="298"/>
  <c r="S25" i="298"/>
  <c r="R25" i="298"/>
  <c r="G25" i="298"/>
  <c r="Q25" i="298" s="1"/>
  <c r="B25" i="298"/>
  <c r="P25" i="298" s="1"/>
  <c r="AJ24" i="298"/>
  <c r="T24" i="298"/>
  <c r="S24" i="298"/>
  <c r="R24" i="298"/>
  <c r="G24" i="298"/>
  <c r="Q24" i="298" s="1"/>
  <c r="B24" i="298"/>
  <c r="P24" i="298" s="1"/>
  <c r="AJ23" i="298"/>
  <c r="T23" i="298"/>
  <c r="S23" i="298"/>
  <c r="R23" i="298"/>
  <c r="G23" i="298"/>
  <c r="Q23" i="298" s="1"/>
  <c r="B23" i="298"/>
  <c r="P23" i="298" s="1"/>
  <c r="AJ22" i="298"/>
  <c r="T22" i="298"/>
  <c r="S22" i="298"/>
  <c r="R22" i="298"/>
  <c r="G22" i="298"/>
  <c r="Q22" i="298" s="1"/>
  <c r="B22" i="298"/>
  <c r="P22" i="298" s="1"/>
  <c r="AJ21" i="298"/>
  <c r="T21" i="298"/>
  <c r="S21" i="298"/>
  <c r="R21" i="298"/>
  <c r="G21" i="298"/>
  <c r="Q21" i="298" s="1"/>
  <c r="B21" i="298"/>
  <c r="P21" i="298" s="1"/>
  <c r="AJ34" i="298"/>
  <c r="T34" i="298"/>
  <c r="S34" i="298"/>
  <c r="R34" i="298"/>
  <c r="G34" i="298"/>
  <c r="Q34" i="298" s="1"/>
  <c r="B34" i="298"/>
  <c r="P34" i="298" s="1"/>
  <c r="AJ20" i="298"/>
  <c r="T20" i="298"/>
  <c r="S20" i="298"/>
  <c r="R20" i="298"/>
  <c r="G20" i="298"/>
  <c r="Q20" i="298" s="1"/>
  <c r="B20" i="298"/>
  <c r="P20" i="298" s="1"/>
  <c r="AJ19" i="298"/>
  <c r="T19" i="298"/>
  <c r="S19" i="298"/>
  <c r="R19" i="298"/>
  <c r="G19" i="298"/>
  <c r="Q19" i="298" s="1"/>
  <c r="B19" i="298"/>
  <c r="P19" i="298" s="1"/>
  <c r="AJ18" i="298"/>
  <c r="T18" i="298"/>
  <c r="S18" i="298"/>
  <c r="R18" i="298"/>
  <c r="G18" i="298"/>
  <c r="Q18" i="298" s="1"/>
  <c r="B18" i="298"/>
  <c r="P18" i="298" s="1"/>
  <c r="AJ17" i="298"/>
  <c r="T17" i="298"/>
  <c r="S17" i="298"/>
  <c r="R17" i="298"/>
  <c r="G17" i="298"/>
  <c r="Q17" i="298" s="1"/>
  <c r="B17" i="298"/>
  <c r="P17" i="298" s="1"/>
  <c r="AJ16" i="298"/>
  <c r="T16" i="298"/>
  <c r="S16" i="298"/>
  <c r="R16" i="298"/>
  <c r="G16" i="298"/>
  <c r="Q16" i="298" s="1"/>
  <c r="B16" i="298"/>
  <c r="P16" i="298" s="1"/>
  <c r="AJ15" i="298"/>
  <c r="T15" i="298"/>
  <c r="S15" i="298"/>
  <c r="R15" i="298"/>
  <c r="G15" i="298"/>
  <c r="Q15" i="298" s="1"/>
  <c r="B15" i="298"/>
  <c r="P15" i="298" s="1"/>
  <c r="AJ14" i="298"/>
  <c r="T14" i="298"/>
  <c r="S14" i="298"/>
  <c r="R14" i="298"/>
  <c r="G14" i="298"/>
  <c r="Q14" i="298" s="1"/>
  <c r="B14" i="298"/>
  <c r="P14" i="298" s="1"/>
  <c r="AJ13" i="298"/>
  <c r="T13" i="298"/>
  <c r="S13" i="298"/>
  <c r="R13" i="298"/>
  <c r="G13" i="298"/>
  <c r="Q13" i="298" s="1"/>
  <c r="B13" i="298"/>
  <c r="P13" i="298" s="1"/>
  <c r="BK97" i="25"/>
  <c r="A97" i="25"/>
  <c r="BK103" i="25"/>
  <c r="A103" i="25"/>
  <c r="BK102" i="25"/>
  <c r="A102" i="25"/>
  <c r="BK101" i="25"/>
  <c r="A101" i="25"/>
  <c r="BK100" i="25"/>
  <c r="A100" i="25"/>
  <c r="BK99" i="25"/>
  <c r="A99" i="25"/>
  <c r="BK98" i="25"/>
  <c r="A98" i="25"/>
  <c r="BK95" i="25"/>
  <c r="A95" i="25"/>
  <c r="AJ22" i="297"/>
  <c r="T22" i="297"/>
  <c r="S22" i="297"/>
  <c r="R22" i="297"/>
  <c r="G22" i="297"/>
  <c r="Q22" i="297" s="1"/>
  <c r="B22" i="297"/>
  <c r="P22" i="297" s="1"/>
  <c r="AJ21" i="297"/>
  <c r="T21" i="297"/>
  <c r="S21" i="297"/>
  <c r="R21" i="297"/>
  <c r="G21" i="297"/>
  <c r="Q21" i="297" s="1"/>
  <c r="B21" i="297"/>
  <c r="P21" i="297" s="1"/>
  <c r="AJ20" i="297"/>
  <c r="T20" i="297"/>
  <c r="S20" i="297"/>
  <c r="R20" i="297"/>
  <c r="G20" i="297"/>
  <c r="Q20" i="297" s="1"/>
  <c r="B20" i="297"/>
  <c r="P20" i="297" s="1"/>
  <c r="AJ19" i="297"/>
  <c r="T19" i="297"/>
  <c r="S19" i="297"/>
  <c r="R19" i="297"/>
  <c r="G19" i="297"/>
  <c r="Q19" i="297" s="1"/>
  <c r="B19" i="297"/>
  <c r="P19" i="297" s="1"/>
  <c r="AJ18" i="297"/>
  <c r="T18" i="297"/>
  <c r="S18" i="297"/>
  <c r="R18" i="297"/>
  <c r="G18" i="297"/>
  <c r="Q18" i="297" s="1"/>
  <c r="B18" i="297"/>
  <c r="P18" i="297" s="1"/>
  <c r="AJ17" i="297"/>
  <c r="T17" i="297"/>
  <c r="S17" i="297"/>
  <c r="R17" i="297"/>
  <c r="G17" i="297"/>
  <c r="Q17" i="297" s="1"/>
  <c r="B17" i="297"/>
  <c r="P17" i="297" s="1"/>
  <c r="AJ16" i="297"/>
  <c r="T16" i="297"/>
  <c r="S16" i="297"/>
  <c r="R16" i="297"/>
  <c r="G16" i="297"/>
  <c r="Q16" i="297" s="1"/>
  <c r="B16" i="297"/>
  <c r="P16" i="297" s="1"/>
  <c r="AJ15" i="297"/>
  <c r="T15" i="297"/>
  <c r="S15" i="297"/>
  <c r="R15" i="297"/>
  <c r="G15" i="297"/>
  <c r="Q15" i="297" s="1"/>
  <c r="B15" i="297"/>
  <c r="P15" i="297" s="1"/>
  <c r="AJ14" i="297"/>
  <c r="T14" i="297"/>
  <c r="S14" i="297"/>
  <c r="R14" i="297"/>
  <c r="G14" i="297"/>
  <c r="Q14" i="297" s="1"/>
  <c r="B14" i="297"/>
  <c r="P14" i="297" s="1"/>
  <c r="AJ13" i="297"/>
  <c r="T13" i="297"/>
  <c r="S13" i="297"/>
  <c r="R13" i="297"/>
  <c r="G13" i="297"/>
  <c r="Q13" i="297" s="1"/>
  <c r="B13" i="297"/>
  <c r="P13" i="297" s="1"/>
  <c r="AJ45" i="296"/>
  <c r="T45" i="296"/>
  <c r="S45" i="296"/>
  <c r="R45" i="296"/>
  <c r="G45" i="296"/>
  <c r="Q45" i="296" s="1"/>
  <c r="B45" i="296"/>
  <c r="P45" i="296" s="1"/>
  <c r="AJ44" i="296"/>
  <c r="T44" i="296"/>
  <c r="S44" i="296"/>
  <c r="R44" i="296"/>
  <c r="G44" i="296"/>
  <c r="Q44" i="296" s="1"/>
  <c r="B44" i="296"/>
  <c r="P44" i="296" s="1"/>
  <c r="AJ50" i="296"/>
  <c r="T50" i="296"/>
  <c r="S50" i="296"/>
  <c r="R50" i="296"/>
  <c r="G50" i="296"/>
  <c r="Q50" i="296" s="1"/>
  <c r="B50" i="296"/>
  <c r="P50" i="296" s="1"/>
  <c r="AJ49" i="296"/>
  <c r="T49" i="296"/>
  <c r="S49" i="296"/>
  <c r="R49" i="296"/>
  <c r="G49" i="296"/>
  <c r="Q49" i="296" s="1"/>
  <c r="B49" i="296"/>
  <c r="P49" i="296" s="1"/>
  <c r="AJ48" i="296"/>
  <c r="T48" i="296"/>
  <c r="S48" i="296"/>
  <c r="R48" i="296"/>
  <c r="G48" i="296"/>
  <c r="Q48" i="296" s="1"/>
  <c r="B48" i="296"/>
  <c r="P48" i="296" s="1"/>
  <c r="AJ47" i="296"/>
  <c r="T47" i="296"/>
  <c r="S47" i="296"/>
  <c r="R47" i="296"/>
  <c r="G47" i="296"/>
  <c r="Q47" i="296" s="1"/>
  <c r="B47" i="296"/>
  <c r="P47" i="296" s="1"/>
  <c r="AJ46" i="296"/>
  <c r="T46" i="296"/>
  <c r="S46" i="296"/>
  <c r="R46" i="296"/>
  <c r="G46" i="296"/>
  <c r="Q46" i="296" s="1"/>
  <c r="B46" i="296"/>
  <c r="P46" i="296" s="1"/>
  <c r="AJ43" i="296"/>
  <c r="T43" i="296"/>
  <c r="S43" i="296"/>
  <c r="R43" i="296"/>
  <c r="G43" i="296"/>
  <c r="Q43" i="296" s="1"/>
  <c r="B43" i="296"/>
  <c r="P43" i="296" s="1"/>
  <c r="AJ42" i="296"/>
  <c r="T42" i="296"/>
  <c r="S42" i="296"/>
  <c r="R42" i="296"/>
  <c r="G42" i="296"/>
  <c r="Q42" i="296" s="1"/>
  <c r="B42" i="296"/>
  <c r="P42" i="296" s="1"/>
  <c r="AJ41" i="296"/>
  <c r="T41" i="296"/>
  <c r="S41" i="296"/>
  <c r="R41" i="296"/>
  <c r="G41" i="296"/>
  <c r="Q41" i="296" s="1"/>
  <c r="B41" i="296"/>
  <c r="P41" i="296" s="1"/>
  <c r="AJ40" i="296"/>
  <c r="T40" i="296"/>
  <c r="S40" i="296"/>
  <c r="R40" i="296"/>
  <c r="G40" i="296"/>
  <c r="Q40" i="296" s="1"/>
  <c r="B40" i="296"/>
  <c r="P40" i="296" s="1"/>
  <c r="AJ39" i="296"/>
  <c r="T39" i="296"/>
  <c r="S39" i="296"/>
  <c r="R39" i="296"/>
  <c r="G39" i="296"/>
  <c r="Q39" i="296" s="1"/>
  <c r="B39" i="296"/>
  <c r="P39" i="296" s="1"/>
  <c r="AJ38" i="296"/>
  <c r="T38" i="296"/>
  <c r="S38" i="296"/>
  <c r="R38" i="296"/>
  <c r="G38" i="296"/>
  <c r="Q38" i="296" s="1"/>
  <c r="B38" i="296"/>
  <c r="P38" i="296" s="1"/>
  <c r="AJ37" i="296"/>
  <c r="T37" i="296"/>
  <c r="S37" i="296"/>
  <c r="R37" i="296"/>
  <c r="G37" i="296"/>
  <c r="Q37" i="296" s="1"/>
  <c r="B37" i="296"/>
  <c r="P37" i="296" s="1"/>
  <c r="AJ36" i="296"/>
  <c r="T36" i="296"/>
  <c r="S36" i="296"/>
  <c r="R36" i="296"/>
  <c r="G36" i="296"/>
  <c r="Q36" i="296" s="1"/>
  <c r="B36" i="296"/>
  <c r="P36" i="296" s="1"/>
  <c r="AJ35" i="296"/>
  <c r="T35" i="296"/>
  <c r="S35" i="296"/>
  <c r="R35" i="296"/>
  <c r="G35" i="296"/>
  <c r="Q35" i="296" s="1"/>
  <c r="B35" i="296"/>
  <c r="P35" i="296" s="1"/>
  <c r="AJ34" i="296"/>
  <c r="T34" i="296"/>
  <c r="S34" i="296"/>
  <c r="R34" i="296"/>
  <c r="G34" i="296"/>
  <c r="Q34" i="296" s="1"/>
  <c r="B34" i="296"/>
  <c r="P34" i="296" s="1"/>
  <c r="AJ33" i="296"/>
  <c r="T33" i="296"/>
  <c r="S33" i="296"/>
  <c r="R33" i="296"/>
  <c r="G33" i="296"/>
  <c r="Q33" i="296" s="1"/>
  <c r="B33" i="296"/>
  <c r="P33" i="296" s="1"/>
  <c r="AJ32" i="296"/>
  <c r="T32" i="296"/>
  <c r="S32" i="296"/>
  <c r="R32" i="296"/>
  <c r="G32" i="296"/>
  <c r="Q32" i="296" s="1"/>
  <c r="B32" i="296"/>
  <c r="P32" i="296" s="1"/>
  <c r="AJ31" i="296"/>
  <c r="T31" i="296"/>
  <c r="S31" i="296"/>
  <c r="R31" i="296"/>
  <c r="G31" i="296"/>
  <c r="Q31" i="296" s="1"/>
  <c r="B31" i="296"/>
  <c r="P31" i="296" s="1"/>
  <c r="AJ30" i="296"/>
  <c r="T30" i="296"/>
  <c r="S30" i="296"/>
  <c r="R30" i="296"/>
  <c r="G30" i="296"/>
  <c r="Q30" i="296" s="1"/>
  <c r="B30" i="296"/>
  <c r="P30" i="296" s="1"/>
  <c r="AJ29" i="296"/>
  <c r="T29" i="296"/>
  <c r="S29" i="296"/>
  <c r="R29" i="296"/>
  <c r="G29" i="296"/>
  <c r="Q29" i="296" s="1"/>
  <c r="B29" i="296"/>
  <c r="P29" i="296" s="1"/>
  <c r="AJ28" i="296"/>
  <c r="T28" i="296"/>
  <c r="S28" i="296"/>
  <c r="R28" i="296"/>
  <c r="G28" i="296"/>
  <c r="Q28" i="296" s="1"/>
  <c r="B28" i="296"/>
  <c r="P28" i="296" s="1"/>
  <c r="AJ27" i="296"/>
  <c r="T27" i="296"/>
  <c r="S27" i="296"/>
  <c r="R27" i="296"/>
  <c r="G27" i="296"/>
  <c r="Q27" i="296" s="1"/>
  <c r="B27" i="296"/>
  <c r="P27" i="296" s="1"/>
  <c r="AJ26" i="296"/>
  <c r="T26" i="296"/>
  <c r="S26" i="296"/>
  <c r="R26" i="296"/>
  <c r="G26" i="296"/>
  <c r="Q26" i="296" s="1"/>
  <c r="B26" i="296"/>
  <c r="P26" i="296" s="1"/>
  <c r="AJ25" i="296"/>
  <c r="T25" i="296"/>
  <c r="S25" i="296"/>
  <c r="R25" i="296"/>
  <c r="G25" i="296"/>
  <c r="Q25" i="296" s="1"/>
  <c r="B25" i="296"/>
  <c r="P25" i="296" s="1"/>
  <c r="AJ24" i="296"/>
  <c r="T24" i="296"/>
  <c r="S24" i="296"/>
  <c r="R24" i="296"/>
  <c r="G24" i="296"/>
  <c r="Q24" i="296" s="1"/>
  <c r="B24" i="296"/>
  <c r="P24" i="296" s="1"/>
  <c r="AJ23" i="296"/>
  <c r="T23" i="296"/>
  <c r="S23" i="296"/>
  <c r="R23" i="296"/>
  <c r="G23" i="296"/>
  <c r="Q23" i="296" s="1"/>
  <c r="B23" i="296"/>
  <c r="P23" i="296" s="1"/>
  <c r="AJ22" i="296"/>
  <c r="T22" i="296"/>
  <c r="S22" i="296"/>
  <c r="R22" i="296"/>
  <c r="G22" i="296"/>
  <c r="Q22" i="296" s="1"/>
  <c r="B22" i="296"/>
  <c r="P22" i="296" s="1"/>
  <c r="AJ21" i="296"/>
  <c r="T21" i="296"/>
  <c r="S21" i="296"/>
  <c r="R21" i="296"/>
  <c r="G21" i="296"/>
  <c r="Q21" i="296" s="1"/>
  <c r="B21" i="296"/>
  <c r="P21" i="296" s="1"/>
  <c r="AJ52" i="296"/>
  <c r="T52" i="296"/>
  <c r="S52" i="296"/>
  <c r="R52" i="296"/>
  <c r="G52" i="296"/>
  <c r="Q52" i="296" s="1"/>
  <c r="B52" i="296"/>
  <c r="P52" i="296" s="1"/>
  <c r="AJ51" i="296"/>
  <c r="T51" i="296"/>
  <c r="S51" i="296"/>
  <c r="R51" i="296"/>
  <c r="G51" i="296"/>
  <c r="Q51" i="296" s="1"/>
  <c r="B51" i="296"/>
  <c r="P51" i="296" s="1"/>
  <c r="AJ20" i="296"/>
  <c r="T20" i="296"/>
  <c r="S20" i="296"/>
  <c r="R20" i="296"/>
  <c r="G20" i="296"/>
  <c r="Q20" i="296" s="1"/>
  <c r="B20" i="296"/>
  <c r="P20" i="296" s="1"/>
  <c r="AJ19" i="296"/>
  <c r="T19" i="296"/>
  <c r="S19" i="296"/>
  <c r="R19" i="296"/>
  <c r="G19" i="296"/>
  <c r="Q19" i="296" s="1"/>
  <c r="B19" i="296"/>
  <c r="P19" i="296" s="1"/>
  <c r="AJ18" i="296"/>
  <c r="T18" i="296"/>
  <c r="S18" i="296"/>
  <c r="R18" i="296"/>
  <c r="G18" i="296"/>
  <c r="Q18" i="296" s="1"/>
  <c r="B18" i="296"/>
  <c r="P18" i="296" s="1"/>
  <c r="AJ17" i="296"/>
  <c r="T17" i="296"/>
  <c r="S17" i="296"/>
  <c r="R17" i="296"/>
  <c r="G17" i="296"/>
  <c r="Q17" i="296" s="1"/>
  <c r="B17" i="296"/>
  <c r="P17" i="296" s="1"/>
  <c r="AJ16" i="296"/>
  <c r="T16" i="296"/>
  <c r="S16" i="296"/>
  <c r="R16" i="296"/>
  <c r="G16" i="296"/>
  <c r="Q16" i="296" s="1"/>
  <c r="B16" i="296"/>
  <c r="P16" i="296" s="1"/>
  <c r="AJ15" i="296"/>
  <c r="T15" i="296"/>
  <c r="S15" i="296"/>
  <c r="R15" i="296"/>
  <c r="G15" i="296"/>
  <c r="Q15" i="296" s="1"/>
  <c r="B15" i="296"/>
  <c r="P15" i="296" s="1"/>
  <c r="AJ14" i="296"/>
  <c r="T14" i="296"/>
  <c r="S14" i="296"/>
  <c r="R14" i="296"/>
  <c r="G14" i="296"/>
  <c r="Q14" i="296" s="1"/>
  <c r="B14" i="296"/>
  <c r="P14" i="296" s="1"/>
  <c r="AJ13" i="296"/>
  <c r="T13" i="296"/>
  <c r="S13" i="296"/>
  <c r="R13" i="296"/>
  <c r="G13" i="296"/>
  <c r="Q13" i="296" s="1"/>
  <c r="B13" i="296"/>
  <c r="P13" i="296" s="1"/>
  <c r="AJ22" i="295"/>
  <c r="T22" i="295"/>
  <c r="S22" i="295"/>
  <c r="R22" i="295"/>
  <c r="G22" i="295"/>
  <c r="Q22" i="295" s="1"/>
  <c r="B22" i="295"/>
  <c r="P22" i="295" s="1"/>
  <c r="AJ21" i="295"/>
  <c r="T21" i="295"/>
  <c r="S21" i="295"/>
  <c r="R21" i="295"/>
  <c r="G21" i="295"/>
  <c r="Q21" i="295" s="1"/>
  <c r="B21" i="295"/>
  <c r="P21" i="295" s="1"/>
  <c r="AJ20" i="295"/>
  <c r="T20" i="295"/>
  <c r="S20" i="295"/>
  <c r="R20" i="295"/>
  <c r="G20" i="295"/>
  <c r="Q20" i="295" s="1"/>
  <c r="B20" i="295"/>
  <c r="P20" i="295" s="1"/>
  <c r="AJ19" i="295"/>
  <c r="T19" i="295"/>
  <c r="S19" i="295"/>
  <c r="R19" i="295"/>
  <c r="G19" i="295"/>
  <c r="Q19" i="295" s="1"/>
  <c r="B19" i="295"/>
  <c r="P19" i="295" s="1"/>
  <c r="AJ18" i="295"/>
  <c r="T18" i="295"/>
  <c r="S18" i="295"/>
  <c r="R18" i="295"/>
  <c r="G18" i="295"/>
  <c r="Q18" i="295" s="1"/>
  <c r="B18" i="295"/>
  <c r="P18" i="295" s="1"/>
  <c r="AJ17" i="295"/>
  <c r="T17" i="295"/>
  <c r="S17" i="295"/>
  <c r="R17" i="295"/>
  <c r="G17" i="295"/>
  <c r="Q17" i="295" s="1"/>
  <c r="B17" i="295"/>
  <c r="P17" i="295" s="1"/>
  <c r="AJ16" i="295"/>
  <c r="T16" i="295"/>
  <c r="S16" i="295"/>
  <c r="R16" i="295"/>
  <c r="G16" i="295"/>
  <c r="Q16" i="295" s="1"/>
  <c r="B16" i="295"/>
  <c r="P16" i="295" s="1"/>
  <c r="AJ15" i="295"/>
  <c r="T15" i="295"/>
  <c r="S15" i="295"/>
  <c r="R15" i="295"/>
  <c r="G15" i="295"/>
  <c r="Q15" i="295" s="1"/>
  <c r="B15" i="295"/>
  <c r="P15" i="295" s="1"/>
  <c r="AJ14" i="295"/>
  <c r="T14" i="295"/>
  <c r="S14" i="295"/>
  <c r="R14" i="295"/>
  <c r="G14" i="295"/>
  <c r="Q14" i="295" s="1"/>
  <c r="B14" i="295"/>
  <c r="P14" i="295" s="1"/>
  <c r="AJ13" i="295"/>
  <c r="T13" i="295"/>
  <c r="S13" i="295"/>
  <c r="R13" i="295"/>
  <c r="G13" i="295"/>
  <c r="Q13" i="295" s="1"/>
  <c r="B13" i="295"/>
  <c r="P13" i="295" s="1"/>
  <c r="AJ23" i="294"/>
  <c r="T23" i="294"/>
  <c r="S23" i="294"/>
  <c r="R23" i="294"/>
  <c r="G23" i="294"/>
  <c r="Q23" i="294" s="1"/>
  <c r="B23" i="294"/>
  <c r="P23" i="294" s="1"/>
  <c r="AJ22" i="294"/>
  <c r="T22" i="294"/>
  <c r="S22" i="294"/>
  <c r="R22" i="294"/>
  <c r="G22" i="294"/>
  <c r="Q22" i="294" s="1"/>
  <c r="B22" i="294"/>
  <c r="P22" i="294" s="1"/>
  <c r="AJ21" i="294"/>
  <c r="T21" i="294"/>
  <c r="S21" i="294"/>
  <c r="R21" i="294"/>
  <c r="G21" i="294"/>
  <c r="Q21" i="294" s="1"/>
  <c r="B21" i="294"/>
  <c r="P21" i="294" s="1"/>
  <c r="AJ20" i="294"/>
  <c r="T20" i="294"/>
  <c r="S20" i="294"/>
  <c r="R20" i="294"/>
  <c r="G20" i="294"/>
  <c r="Q20" i="294" s="1"/>
  <c r="B20" i="294"/>
  <c r="P20" i="294" s="1"/>
  <c r="AJ19" i="294"/>
  <c r="T19" i="294"/>
  <c r="S19" i="294"/>
  <c r="R19" i="294"/>
  <c r="G19" i="294"/>
  <c r="Q19" i="294" s="1"/>
  <c r="B19" i="294"/>
  <c r="P19" i="294" s="1"/>
  <c r="AJ18" i="294"/>
  <c r="T18" i="294"/>
  <c r="S18" i="294"/>
  <c r="R18" i="294"/>
  <c r="G18" i="294"/>
  <c r="Q18" i="294" s="1"/>
  <c r="B18" i="294"/>
  <c r="P18" i="294" s="1"/>
  <c r="AJ17" i="294"/>
  <c r="T17" i="294"/>
  <c r="S17" i="294"/>
  <c r="R17" i="294"/>
  <c r="G17" i="294"/>
  <c r="Q17" i="294" s="1"/>
  <c r="B17" i="294"/>
  <c r="P17" i="294" s="1"/>
  <c r="AJ16" i="294"/>
  <c r="T16" i="294"/>
  <c r="S16" i="294"/>
  <c r="R16" i="294"/>
  <c r="G16" i="294"/>
  <c r="Q16" i="294" s="1"/>
  <c r="B16" i="294"/>
  <c r="P16" i="294" s="1"/>
  <c r="AJ15" i="294"/>
  <c r="T15" i="294"/>
  <c r="S15" i="294"/>
  <c r="R15" i="294"/>
  <c r="G15" i="294"/>
  <c r="Q15" i="294" s="1"/>
  <c r="B15" i="294"/>
  <c r="P15" i="294" s="1"/>
  <c r="AJ14" i="294"/>
  <c r="T14" i="294"/>
  <c r="S14" i="294"/>
  <c r="R14" i="294"/>
  <c r="G14" i="294"/>
  <c r="Q14" i="294" s="1"/>
  <c r="B14" i="294"/>
  <c r="P14" i="294" s="1"/>
  <c r="AJ13" i="294"/>
  <c r="T13" i="294"/>
  <c r="S13" i="294"/>
  <c r="R13" i="294"/>
  <c r="G13" i="294"/>
  <c r="Q13" i="294" s="1"/>
  <c r="B13" i="294"/>
  <c r="P13" i="294" s="1"/>
  <c r="AJ21" i="293"/>
  <c r="T21" i="293"/>
  <c r="S21" i="293"/>
  <c r="R21" i="293"/>
  <c r="G21" i="293"/>
  <c r="Q21" i="293" s="1"/>
  <c r="B21" i="293"/>
  <c r="P21" i="293" s="1"/>
  <c r="AJ23" i="293"/>
  <c r="T23" i="293"/>
  <c r="S23" i="293"/>
  <c r="R23" i="293"/>
  <c r="G23" i="293"/>
  <c r="Q23" i="293" s="1"/>
  <c r="B23" i="293"/>
  <c r="P23" i="293" s="1"/>
  <c r="AJ22" i="293"/>
  <c r="T22" i="293"/>
  <c r="S22" i="293"/>
  <c r="R22" i="293"/>
  <c r="G22" i="293"/>
  <c r="Q22" i="293" s="1"/>
  <c r="B22" i="293"/>
  <c r="P22" i="293" s="1"/>
  <c r="AJ20" i="293"/>
  <c r="T20" i="293"/>
  <c r="S20" i="293"/>
  <c r="R20" i="293"/>
  <c r="G20" i="293"/>
  <c r="Q20" i="293" s="1"/>
  <c r="B20" i="293"/>
  <c r="P20" i="293" s="1"/>
  <c r="AJ19" i="293"/>
  <c r="T19" i="293"/>
  <c r="S19" i="293"/>
  <c r="R19" i="293"/>
  <c r="G19" i="293"/>
  <c r="Q19" i="293" s="1"/>
  <c r="B19" i="293"/>
  <c r="P19" i="293" s="1"/>
  <c r="AJ18" i="293"/>
  <c r="T18" i="293"/>
  <c r="S18" i="293"/>
  <c r="R18" i="293"/>
  <c r="G18" i="293"/>
  <c r="Q18" i="293" s="1"/>
  <c r="B18" i="293"/>
  <c r="P18" i="293" s="1"/>
  <c r="AJ17" i="293"/>
  <c r="T17" i="293"/>
  <c r="S17" i="293"/>
  <c r="R17" i="293"/>
  <c r="G17" i="293"/>
  <c r="Q17" i="293" s="1"/>
  <c r="B17" i="293"/>
  <c r="P17" i="293" s="1"/>
  <c r="AJ16" i="293"/>
  <c r="T16" i="293"/>
  <c r="S16" i="293"/>
  <c r="R16" i="293"/>
  <c r="G16" i="293"/>
  <c r="Q16" i="293" s="1"/>
  <c r="B16" i="293"/>
  <c r="P16" i="293" s="1"/>
  <c r="AJ15" i="293"/>
  <c r="T15" i="293"/>
  <c r="S15" i="293"/>
  <c r="R15" i="293"/>
  <c r="G15" i="293"/>
  <c r="Q15" i="293" s="1"/>
  <c r="B15" i="293"/>
  <c r="P15" i="293" s="1"/>
  <c r="AJ14" i="293"/>
  <c r="T14" i="293"/>
  <c r="S14" i="293"/>
  <c r="R14" i="293"/>
  <c r="G14" i="293"/>
  <c r="Q14" i="293" s="1"/>
  <c r="B14" i="293"/>
  <c r="P14" i="293" s="1"/>
  <c r="AJ13" i="293"/>
  <c r="T13" i="293"/>
  <c r="S13" i="293"/>
  <c r="R13" i="293"/>
  <c r="G13" i="293"/>
  <c r="Q13" i="293" s="1"/>
  <c r="B13" i="293"/>
  <c r="P13" i="293" s="1"/>
  <c r="AJ22" i="292"/>
  <c r="T22" i="292"/>
  <c r="S22" i="292"/>
  <c r="R22" i="292"/>
  <c r="G22" i="292"/>
  <c r="Q22" i="292" s="1"/>
  <c r="B22" i="292"/>
  <c r="P22" i="292" s="1"/>
  <c r="AJ21" i="292"/>
  <c r="T21" i="292"/>
  <c r="S21" i="292"/>
  <c r="R21" i="292"/>
  <c r="G21" i="292"/>
  <c r="Q21" i="292" s="1"/>
  <c r="B21" i="292"/>
  <c r="P21" i="292" s="1"/>
  <c r="AJ20" i="292"/>
  <c r="T20" i="292"/>
  <c r="S20" i="292"/>
  <c r="R20" i="292"/>
  <c r="G20" i="292"/>
  <c r="Q20" i="292" s="1"/>
  <c r="B20" i="292"/>
  <c r="P20" i="292" s="1"/>
  <c r="AJ19" i="292"/>
  <c r="T19" i="292"/>
  <c r="S19" i="292"/>
  <c r="R19" i="292"/>
  <c r="G19" i="292"/>
  <c r="Q19" i="292" s="1"/>
  <c r="B19" i="292"/>
  <c r="P19" i="292" s="1"/>
  <c r="AJ18" i="292"/>
  <c r="T18" i="292"/>
  <c r="S18" i="292"/>
  <c r="R18" i="292"/>
  <c r="G18" i="292"/>
  <c r="Q18" i="292" s="1"/>
  <c r="B18" i="292"/>
  <c r="P18" i="292" s="1"/>
  <c r="AJ17" i="292"/>
  <c r="T17" i="292"/>
  <c r="S17" i="292"/>
  <c r="R17" i="292"/>
  <c r="G17" i="292"/>
  <c r="Q17" i="292" s="1"/>
  <c r="B17" i="292"/>
  <c r="P17" i="292" s="1"/>
  <c r="AJ16" i="292"/>
  <c r="T16" i="292"/>
  <c r="S16" i="292"/>
  <c r="R16" i="292"/>
  <c r="G16" i="292"/>
  <c r="Q16" i="292" s="1"/>
  <c r="B16" i="292"/>
  <c r="P16" i="292" s="1"/>
  <c r="AJ15" i="292"/>
  <c r="T15" i="292"/>
  <c r="S15" i="292"/>
  <c r="R15" i="292"/>
  <c r="G15" i="292"/>
  <c r="Q15" i="292" s="1"/>
  <c r="B15" i="292"/>
  <c r="P15" i="292" s="1"/>
  <c r="AJ14" i="292"/>
  <c r="T14" i="292"/>
  <c r="S14" i="292"/>
  <c r="R14" i="292"/>
  <c r="G14" i="292"/>
  <c r="Q14" i="292" s="1"/>
  <c r="B14" i="292"/>
  <c r="P14" i="292" s="1"/>
  <c r="AJ13" i="292"/>
  <c r="T13" i="292"/>
  <c r="S13" i="292"/>
  <c r="R13" i="292"/>
  <c r="G13" i="292"/>
  <c r="Q13" i="292" s="1"/>
  <c r="B13" i="292"/>
  <c r="P13" i="292" s="1"/>
  <c r="AJ22" i="291"/>
  <c r="T22" i="291"/>
  <c r="S22" i="291"/>
  <c r="R22" i="291"/>
  <c r="G22" i="291"/>
  <c r="Q22" i="291" s="1"/>
  <c r="B22" i="291"/>
  <c r="P22" i="291" s="1"/>
  <c r="AJ24" i="291"/>
  <c r="T24" i="291"/>
  <c r="S24" i="291"/>
  <c r="R24" i="291"/>
  <c r="G24" i="291"/>
  <c r="Q24" i="291" s="1"/>
  <c r="B24" i="291"/>
  <c r="P24" i="291" s="1"/>
  <c r="AJ23" i="291"/>
  <c r="T23" i="291"/>
  <c r="S23" i="291"/>
  <c r="R23" i="291"/>
  <c r="G23" i="291"/>
  <c r="Q23" i="291" s="1"/>
  <c r="B23" i="291"/>
  <c r="P23" i="291" s="1"/>
  <c r="AJ21" i="291"/>
  <c r="T21" i="291"/>
  <c r="S21" i="291"/>
  <c r="R21" i="291"/>
  <c r="G21" i="291"/>
  <c r="Q21" i="291" s="1"/>
  <c r="B21" i="291"/>
  <c r="P21" i="291" s="1"/>
  <c r="AJ20" i="291"/>
  <c r="T20" i="291"/>
  <c r="S20" i="291"/>
  <c r="R20" i="291"/>
  <c r="G20" i="291"/>
  <c r="Q20" i="291" s="1"/>
  <c r="B20" i="291"/>
  <c r="P20" i="291" s="1"/>
  <c r="AJ19" i="291"/>
  <c r="T19" i="291"/>
  <c r="S19" i="291"/>
  <c r="R19" i="291"/>
  <c r="G19" i="291"/>
  <c r="Q19" i="291" s="1"/>
  <c r="B19" i="291"/>
  <c r="P19" i="291" s="1"/>
  <c r="AJ18" i="291"/>
  <c r="T18" i="291"/>
  <c r="S18" i="291"/>
  <c r="R18" i="291"/>
  <c r="G18" i="291"/>
  <c r="Q18" i="291" s="1"/>
  <c r="B18" i="291"/>
  <c r="P18" i="291" s="1"/>
  <c r="AJ17" i="291"/>
  <c r="T17" i="291"/>
  <c r="S17" i="291"/>
  <c r="R17" i="291"/>
  <c r="G17" i="291"/>
  <c r="Q17" i="291" s="1"/>
  <c r="B17" i="291"/>
  <c r="P17" i="291" s="1"/>
  <c r="AJ16" i="291"/>
  <c r="T16" i="291"/>
  <c r="S16" i="291"/>
  <c r="R16" i="291"/>
  <c r="G16" i="291"/>
  <c r="Q16" i="291" s="1"/>
  <c r="B16" i="291"/>
  <c r="P16" i="291" s="1"/>
  <c r="AJ15" i="291"/>
  <c r="T15" i="291"/>
  <c r="S15" i="291"/>
  <c r="R15" i="291"/>
  <c r="G15" i="291"/>
  <c r="Q15" i="291" s="1"/>
  <c r="B15" i="291"/>
  <c r="P15" i="291" s="1"/>
  <c r="AJ14" i="291"/>
  <c r="T14" i="291"/>
  <c r="S14" i="291"/>
  <c r="R14" i="291"/>
  <c r="G14" i="291"/>
  <c r="Q14" i="291" s="1"/>
  <c r="B14" i="291"/>
  <c r="P14" i="291" s="1"/>
  <c r="AJ13" i="291"/>
  <c r="T13" i="291"/>
  <c r="S13" i="291"/>
  <c r="R13" i="291"/>
  <c r="G13" i="291"/>
  <c r="Q13" i="291" s="1"/>
  <c r="B13" i="291"/>
  <c r="P13" i="291" s="1"/>
  <c r="AJ23" i="290"/>
  <c r="T23" i="290"/>
  <c r="S23" i="290"/>
  <c r="R23" i="290"/>
  <c r="G23" i="290"/>
  <c r="Q23" i="290" s="1"/>
  <c r="B23" i="290"/>
  <c r="P23" i="290" s="1"/>
  <c r="AJ22" i="290"/>
  <c r="T22" i="290"/>
  <c r="S22" i="290"/>
  <c r="R22" i="290"/>
  <c r="G22" i="290"/>
  <c r="Q22" i="290" s="1"/>
  <c r="B22" i="290"/>
  <c r="P22" i="290" s="1"/>
  <c r="AJ21" i="290"/>
  <c r="T21" i="290"/>
  <c r="S21" i="290"/>
  <c r="R21" i="290"/>
  <c r="G21" i="290"/>
  <c r="Q21" i="290" s="1"/>
  <c r="B21" i="290"/>
  <c r="P21" i="290" s="1"/>
  <c r="AJ20" i="290"/>
  <c r="T20" i="290"/>
  <c r="S20" i="290"/>
  <c r="R20" i="290"/>
  <c r="G20" i="290"/>
  <c r="Q20" i="290" s="1"/>
  <c r="B20" i="290"/>
  <c r="P20" i="290" s="1"/>
  <c r="AJ19" i="290"/>
  <c r="T19" i="290"/>
  <c r="S19" i="290"/>
  <c r="R19" i="290"/>
  <c r="G19" i="290"/>
  <c r="Q19" i="290" s="1"/>
  <c r="B19" i="290"/>
  <c r="P19" i="290" s="1"/>
  <c r="AJ18" i="290"/>
  <c r="T18" i="290"/>
  <c r="S18" i="290"/>
  <c r="R18" i="290"/>
  <c r="G18" i="290"/>
  <c r="Q18" i="290" s="1"/>
  <c r="B18" i="290"/>
  <c r="P18" i="290" s="1"/>
  <c r="AJ17" i="290"/>
  <c r="T17" i="290"/>
  <c r="S17" i="290"/>
  <c r="R17" i="290"/>
  <c r="G17" i="290"/>
  <c r="Q17" i="290" s="1"/>
  <c r="B17" i="290"/>
  <c r="P17" i="290" s="1"/>
  <c r="AJ16" i="290"/>
  <c r="T16" i="290"/>
  <c r="S16" i="290"/>
  <c r="R16" i="290"/>
  <c r="G16" i="290"/>
  <c r="Q16" i="290" s="1"/>
  <c r="B16" i="290"/>
  <c r="P16" i="290" s="1"/>
  <c r="AJ15" i="290"/>
  <c r="T15" i="290"/>
  <c r="S15" i="290"/>
  <c r="R15" i="290"/>
  <c r="G15" i="290"/>
  <c r="Q15" i="290" s="1"/>
  <c r="B15" i="290"/>
  <c r="P15" i="290" s="1"/>
  <c r="AJ14" i="290"/>
  <c r="T14" i="290"/>
  <c r="S14" i="290"/>
  <c r="R14" i="290"/>
  <c r="G14" i="290"/>
  <c r="Q14" i="290" s="1"/>
  <c r="B14" i="290"/>
  <c r="P14" i="290" s="1"/>
  <c r="AJ13" i="290"/>
  <c r="T13" i="290"/>
  <c r="S13" i="290"/>
  <c r="R13" i="290"/>
  <c r="G13" i="290"/>
  <c r="Q13" i="290" s="1"/>
  <c r="B13" i="290"/>
  <c r="P13" i="290" s="1"/>
  <c r="AJ22" i="289"/>
  <c r="T22" i="289"/>
  <c r="S22" i="289"/>
  <c r="R22" i="289"/>
  <c r="G22" i="289"/>
  <c r="Q22" i="289" s="1"/>
  <c r="B22" i="289"/>
  <c r="P22" i="289" s="1"/>
  <c r="AJ21" i="289"/>
  <c r="T21" i="289"/>
  <c r="S21" i="289"/>
  <c r="R21" i="289"/>
  <c r="G21" i="289"/>
  <c r="Q21" i="289" s="1"/>
  <c r="B21" i="289"/>
  <c r="P21" i="289" s="1"/>
  <c r="AJ20" i="289"/>
  <c r="T20" i="289"/>
  <c r="S20" i="289"/>
  <c r="R20" i="289"/>
  <c r="G20" i="289"/>
  <c r="Q20" i="289" s="1"/>
  <c r="B20" i="289"/>
  <c r="P20" i="289" s="1"/>
  <c r="AJ19" i="289"/>
  <c r="T19" i="289"/>
  <c r="S19" i="289"/>
  <c r="R19" i="289"/>
  <c r="G19" i="289"/>
  <c r="Q19" i="289" s="1"/>
  <c r="B19" i="289"/>
  <c r="P19" i="289" s="1"/>
  <c r="AJ29" i="289"/>
  <c r="T29" i="289"/>
  <c r="S29" i="289"/>
  <c r="R29" i="289"/>
  <c r="G29" i="289"/>
  <c r="Q29" i="289" s="1"/>
  <c r="B29" i="289"/>
  <c r="P29" i="289" s="1"/>
  <c r="AJ28" i="289"/>
  <c r="T28" i="289"/>
  <c r="S28" i="289"/>
  <c r="R28" i="289"/>
  <c r="G28" i="289"/>
  <c r="Q28" i="289" s="1"/>
  <c r="B28" i="289"/>
  <c r="P28" i="289" s="1"/>
  <c r="AJ27" i="289"/>
  <c r="T27" i="289"/>
  <c r="S27" i="289"/>
  <c r="R27" i="289"/>
  <c r="G27" i="289"/>
  <c r="Q27" i="289" s="1"/>
  <c r="B27" i="289"/>
  <c r="P27" i="289" s="1"/>
  <c r="AJ26" i="289"/>
  <c r="T26" i="289"/>
  <c r="S26" i="289"/>
  <c r="R26" i="289"/>
  <c r="G26" i="289"/>
  <c r="Q26" i="289" s="1"/>
  <c r="B26" i="289"/>
  <c r="P26" i="289" s="1"/>
  <c r="AJ25" i="289"/>
  <c r="T25" i="289"/>
  <c r="S25" i="289"/>
  <c r="R25" i="289"/>
  <c r="G25" i="289"/>
  <c r="Q25" i="289" s="1"/>
  <c r="B25" i="289"/>
  <c r="P25" i="289" s="1"/>
  <c r="AJ24" i="289"/>
  <c r="T24" i="289"/>
  <c r="S24" i="289"/>
  <c r="R24" i="289"/>
  <c r="G24" i="289"/>
  <c r="Q24" i="289" s="1"/>
  <c r="B24" i="289"/>
  <c r="P24" i="289" s="1"/>
  <c r="AJ23" i="289"/>
  <c r="T23" i="289"/>
  <c r="S23" i="289"/>
  <c r="R23" i="289"/>
  <c r="G23" i="289"/>
  <c r="Q23" i="289" s="1"/>
  <c r="B23" i="289"/>
  <c r="P23" i="289" s="1"/>
  <c r="AJ18" i="289"/>
  <c r="T18" i="289"/>
  <c r="S18" i="289"/>
  <c r="R18" i="289"/>
  <c r="G18" i="289"/>
  <c r="Q18" i="289" s="1"/>
  <c r="B18" i="289"/>
  <c r="P18" i="289" s="1"/>
  <c r="AJ17" i="289"/>
  <c r="T17" i="289"/>
  <c r="S17" i="289"/>
  <c r="R17" i="289"/>
  <c r="G17" i="289"/>
  <c r="Q17" i="289" s="1"/>
  <c r="B17" i="289"/>
  <c r="P17" i="289" s="1"/>
  <c r="AJ16" i="289"/>
  <c r="T16" i="289"/>
  <c r="S16" i="289"/>
  <c r="R16" i="289"/>
  <c r="G16" i="289"/>
  <c r="Q16" i="289" s="1"/>
  <c r="B16" i="289"/>
  <c r="P16" i="289" s="1"/>
  <c r="AJ15" i="289"/>
  <c r="T15" i="289"/>
  <c r="S15" i="289"/>
  <c r="R15" i="289"/>
  <c r="G15" i="289"/>
  <c r="Q15" i="289" s="1"/>
  <c r="B15" i="289"/>
  <c r="P15" i="289" s="1"/>
  <c r="AJ14" i="289"/>
  <c r="T14" i="289"/>
  <c r="S14" i="289"/>
  <c r="R14" i="289"/>
  <c r="G14" i="289"/>
  <c r="Q14" i="289" s="1"/>
  <c r="B14" i="289"/>
  <c r="P14" i="289" s="1"/>
  <c r="AJ13" i="289"/>
  <c r="T13" i="289"/>
  <c r="S13" i="289"/>
  <c r="R13" i="289"/>
  <c r="G13" i="289"/>
  <c r="Q13" i="289" s="1"/>
  <c r="B13" i="289"/>
  <c r="P13" i="289" s="1"/>
  <c r="AJ23" i="288"/>
  <c r="T23" i="288"/>
  <c r="S23" i="288"/>
  <c r="R23" i="288"/>
  <c r="G23" i="288"/>
  <c r="Q23" i="288" s="1"/>
  <c r="B23" i="288"/>
  <c r="P23" i="288" s="1"/>
  <c r="AJ22" i="288"/>
  <c r="T22" i="288"/>
  <c r="S22" i="288"/>
  <c r="R22" i="288"/>
  <c r="G22" i="288"/>
  <c r="Q22" i="288" s="1"/>
  <c r="B22" i="288"/>
  <c r="P22" i="288" s="1"/>
  <c r="AJ21" i="288"/>
  <c r="T21" i="288"/>
  <c r="S21" i="288"/>
  <c r="R21" i="288"/>
  <c r="G21" i="288"/>
  <c r="Q21" i="288" s="1"/>
  <c r="B21" i="288"/>
  <c r="P21" i="288" s="1"/>
  <c r="AJ20" i="288"/>
  <c r="T20" i="288"/>
  <c r="S20" i="288"/>
  <c r="R20" i="288"/>
  <c r="G20" i="288"/>
  <c r="Q20" i="288" s="1"/>
  <c r="B20" i="288"/>
  <c r="P20" i="288" s="1"/>
  <c r="AJ25" i="288"/>
  <c r="T25" i="288"/>
  <c r="S25" i="288"/>
  <c r="R25" i="288"/>
  <c r="G25" i="288"/>
  <c r="Q25" i="288" s="1"/>
  <c r="B25" i="288"/>
  <c r="P25" i="288" s="1"/>
  <c r="AJ24" i="288"/>
  <c r="T24" i="288"/>
  <c r="S24" i="288"/>
  <c r="R24" i="288"/>
  <c r="G24" i="288"/>
  <c r="Q24" i="288" s="1"/>
  <c r="B24" i="288"/>
  <c r="P24" i="288" s="1"/>
  <c r="AJ19" i="288"/>
  <c r="T19" i="288"/>
  <c r="S19" i="288"/>
  <c r="R19" i="288"/>
  <c r="G19" i="288"/>
  <c r="Q19" i="288" s="1"/>
  <c r="B19" i="288"/>
  <c r="P19" i="288" s="1"/>
  <c r="AJ18" i="288"/>
  <c r="T18" i="288"/>
  <c r="S18" i="288"/>
  <c r="R18" i="288"/>
  <c r="G18" i="288"/>
  <c r="Q18" i="288" s="1"/>
  <c r="B18" i="288"/>
  <c r="P18" i="288" s="1"/>
  <c r="AJ17" i="288"/>
  <c r="T17" i="288"/>
  <c r="S17" i="288"/>
  <c r="R17" i="288"/>
  <c r="G17" i="288"/>
  <c r="Q17" i="288" s="1"/>
  <c r="B17" i="288"/>
  <c r="P17" i="288" s="1"/>
  <c r="AJ16" i="288"/>
  <c r="T16" i="288"/>
  <c r="S16" i="288"/>
  <c r="R16" i="288"/>
  <c r="G16" i="288"/>
  <c r="Q16" i="288" s="1"/>
  <c r="B16" i="288"/>
  <c r="P16" i="288" s="1"/>
  <c r="AJ15" i="288"/>
  <c r="T15" i="288"/>
  <c r="S15" i="288"/>
  <c r="R15" i="288"/>
  <c r="G15" i="288"/>
  <c r="Q15" i="288" s="1"/>
  <c r="B15" i="288"/>
  <c r="P15" i="288" s="1"/>
  <c r="AJ14" i="288"/>
  <c r="T14" i="288"/>
  <c r="S14" i="288"/>
  <c r="R14" i="288"/>
  <c r="G14" i="288"/>
  <c r="Q14" i="288" s="1"/>
  <c r="B14" i="288"/>
  <c r="P14" i="288" s="1"/>
  <c r="AJ13" i="288"/>
  <c r="T13" i="288"/>
  <c r="S13" i="288"/>
  <c r="R13" i="288"/>
  <c r="G13" i="288"/>
  <c r="Q13" i="288" s="1"/>
  <c r="B13" i="288"/>
  <c r="P13" i="288" s="1"/>
  <c r="BK92" i="25"/>
  <c r="A92" i="25"/>
  <c r="BK91" i="25"/>
  <c r="A91" i="25"/>
  <c r="BK90" i="25"/>
  <c r="A90" i="25"/>
  <c r="BK89" i="25"/>
  <c r="A89" i="25"/>
  <c r="BK88" i="25"/>
  <c r="A88" i="25"/>
  <c r="BK87" i="25"/>
  <c r="A87" i="25"/>
  <c r="BK86" i="25"/>
  <c r="A86" i="25"/>
  <c r="BK85" i="25"/>
  <c r="A85" i="25"/>
  <c r="BK104" i="25"/>
  <c r="A104" i="25"/>
  <c r="BK94" i="25"/>
  <c r="A94" i="25"/>
  <c r="BK93" i="25"/>
  <c r="A93" i="25"/>
  <c r="AJ21" i="287"/>
  <c r="T21" i="287"/>
  <c r="S21" i="287"/>
  <c r="R21" i="287"/>
  <c r="G21" i="287"/>
  <c r="Q21" i="287" s="1"/>
  <c r="B21" i="287"/>
  <c r="P21" i="287" s="1"/>
  <c r="AJ20" i="287"/>
  <c r="T20" i="287"/>
  <c r="S20" i="287"/>
  <c r="R20" i="287"/>
  <c r="G20" i="287"/>
  <c r="Q20" i="287" s="1"/>
  <c r="B20" i="287"/>
  <c r="P20" i="287" s="1"/>
  <c r="AJ19" i="287"/>
  <c r="T19" i="287"/>
  <c r="S19" i="287"/>
  <c r="R19" i="287"/>
  <c r="G19" i="287"/>
  <c r="Q19" i="287" s="1"/>
  <c r="B19" i="287"/>
  <c r="P19" i="287" s="1"/>
  <c r="AJ18" i="287"/>
  <c r="T18" i="287"/>
  <c r="S18" i="287"/>
  <c r="R18" i="287"/>
  <c r="G18" i="287"/>
  <c r="Q18" i="287" s="1"/>
  <c r="B18" i="287"/>
  <c r="P18" i="287" s="1"/>
  <c r="AJ17" i="287"/>
  <c r="T17" i="287"/>
  <c r="S17" i="287"/>
  <c r="R17" i="287"/>
  <c r="G17" i="287"/>
  <c r="Q17" i="287" s="1"/>
  <c r="B17" i="287"/>
  <c r="P17" i="287" s="1"/>
  <c r="AJ16" i="287"/>
  <c r="T16" i="287"/>
  <c r="S16" i="287"/>
  <c r="R16" i="287"/>
  <c r="G16" i="287"/>
  <c r="Q16" i="287" s="1"/>
  <c r="B16" i="287"/>
  <c r="P16" i="287" s="1"/>
  <c r="AJ15" i="287"/>
  <c r="T15" i="287"/>
  <c r="S15" i="287"/>
  <c r="R15" i="287"/>
  <c r="G15" i="287"/>
  <c r="Q15" i="287" s="1"/>
  <c r="B15" i="287"/>
  <c r="P15" i="287" s="1"/>
  <c r="AJ14" i="287"/>
  <c r="T14" i="287"/>
  <c r="S14" i="287"/>
  <c r="R14" i="287"/>
  <c r="G14" i="287"/>
  <c r="Q14" i="287" s="1"/>
  <c r="B14" i="287"/>
  <c r="P14" i="287" s="1"/>
  <c r="AJ13" i="287"/>
  <c r="T13" i="287"/>
  <c r="S13" i="287"/>
  <c r="R13" i="287"/>
  <c r="G13" i="287"/>
  <c r="Q13" i="287" s="1"/>
  <c r="B13" i="287"/>
  <c r="P13" i="287" s="1"/>
  <c r="AJ27" i="286"/>
  <c r="T27" i="286"/>
  <c r="S27" i="286"/>
  <c r="R27" i="286"/>
  <c r="G27" i="286"/>
  <c r="Q27" i="286" s="1"/>
  <c r="B27" i="286"/>
  <c r="P27" i="286" s="1"/>
  <c r="AJ26" i="286"/>
  <c r="T26" i="286"/>
  <c r="S26" i="286"/>
  <c r="R26" i="286"/>
  <c r="G26" i="286"/>
  <c r="Q26" i="286" s="1"/>
  <c r="B26" i="286"/>
  <c r="P26" i="286" s="1"/>
  <c r="AJ25" i="286"/>
  <c r="T25" i="286"/>
  <c r="S25" i="286"/>
  <c r="R25" i="286"/>
  <c r="G25" i="286"/>
  <c r="Q25" i="286" s="1"/>
  <c r="B25" i="286"/>
  <c r="P25" i="286" s="1"/>
  <c r="AJ24" i="286"/>
  <c r="T24" i="286"/>
  <c r="S24" i="286"/>
  <c r="R24" i="286"/>
  <c r="G24" i="286"/>
  <c r="Q24" i="286" s="1"/>
  <c r="B24" i="286"/>
  <c r="P24" i="286" s="1"/>
  <c r="AJ23" i="286"/>
  <c r="T23" i="286"/>
  <c r="S23" i="286"/>
  <c r="R23" i="286"/>
  <c r="G23" i="286"/>
  <c r="Q23" i="286" s="1"/>
  <c r="B23" i="286"/>
  <c r="P23" i="286" s="1"/>
  <c r="AJ22" i="286"/>
  <c r="T22" i="286"/>
  <c r="S22" i="286"/>
  <c r="R22" i="286"/>
  <c r="G22" i="286"/>
  <c r="Q22" i="286" s="1"/>
  <c r="B22" i="286"/>
  <c r="P22" i="286" s="1"/>
  <c r="AJ21" i="286"/>
  <c r="T21" i="286"/>
  <c r="S21" i="286"/>
  <c r="R21" i="286"/>
  <c r="G21" i="286"/>
  <c r="Q21" i="286" s="1"/>
  <c r="B21" i="286"/>
  <c r="P21" i="286" s="1"/>
  <c r="AJ20" i="286"/>
  <c r="T20" i="286"/>
  <c r="S20" i="286"/>
  <c r="R20" i="286"/>
  <c r="G20" i="286"/>
  <c r="Q20" i="286" s="1"/>
  <c r="B20" i="286"/>
  <c r="P20" i="286" s="1"/>
  <c r="AJ19" i="286"/>
  <c r="T19" i="286"/>
  <c r="S19" i="286"/>
  <c r="R19" i="286"/>
  <c r="G19" i="286"/>
  <c r="Q19" i="286" s="1"/>
  <c r="B19" i="286"/>
  <c r="P19" i="286" s="1"/>
  <c r="AJ18" i="286"/>
  <c r="T18" i="286"/>
  <c r="S18" i="286"/>
  <c r="R18" i="286"/>
  <c r="G18" i="286"/>
  <c r="Q18" i="286" s="1"/>
  <c r="B18" i="286"/>
  <c r="P18" i="286" s="1"/>
  <c r="AJ29" i="286"/>
  <c r="T29" i="286"/>
  <c r="S29" i="286"/>
  <c r="R29" i="286"/>
  <c r="G29" i="286"/>
  <c r="Q29" i="286" s="1"/>
  <c r="B29" i="286"/>
  <c r="P29" i="286" s="1"/>
  <c r="AJ28" i="286"/>
  <c r="T28" i="286"/>
  <c r="S28" i="286"/>
  <c r="R28" i="286"/>
  <c r="G28" i="286"/>
  <c r="Q28" i="286" s="1"/>
  <c r="B28" i="286"/>
  <c r="P28" i="286" s="1"/>
  <c r="AJ17" i="286"/>
  <c r="T17" i="286"/>
  <c r="S17" i="286"/>
  <c r="R17" i="286"/>
  <c r="G17" i="286"/>
  <c r="Q17" i="286" s="1"/>
  <c r="B17" i="286"/>
  <c r="P17" i="286" s="1"/>
  <c r="AJ16" i="286"/>
  <c r="T16" i="286"/>
  <c r="S16" i="286"/>
  <c r="R16" i="286"/>
  <c r="G16" i="286"/>
  <c r="Q16" i="286" s="1"/>
  <c r="B16" i="286"/>
  <c r="P16" i="286" s="1"/>
  <c r="AJ15" i="286"/>
  <c r="T15" i="286"/>
  <c r="S15" i="286"/>
  <c r="R15" i="286"/>
  <c r="G15" i="286"/>
  <c r="Q15" i="286" s="1"/>
  <c r="B15" i="286"/>
  <c r="P15" i="286" s="1"/>
  <c r="AJ14" i="286"/>
  <c r="T14" i="286"/>
  <c r="S14" i="286"/>
  <c r="R14" i="286"/>
  <c r="G14" i="286"/>
  <c r="Q14" i="286" s="1"/>
  <c r="B14" i="286"/>
  <c r="P14" i="286" s="1"/>
  <c r="AJ13" i="286"/>
  <c r="T13" i="286"/>
  <c r="S13" i="286"/>
  <c r="R13" i="286"/>
  <c r="G13" i="286"/>
  <c r="Q13" i="286" s="1"/>
  <c r="B13" i="286"/>
  <c r="P13" i="286" s="1"/>
  <c r="AJ19" i="285"/>
  <c r="T19" i="285"/>
  <c r="S19" i="285"/>
  <c r="R19" i="285"/>
  <c r="G19" i="285"/>
  <c r="Q19" i="285" s="1"/>
  <c r="B19" i="285"/>
  <c r="P19" i="285" s="1"/>
  <c r="AJ18" i="285"/>
  <c r="T18" i="285"/>
  <c r="S18" i="285"/>
  <c r="R18" i="285"/>
  <c r="G18" i="285"/>
  <c r="Q18" i="285" s="1"/>
  <c r="B18" i="285"/>
  <c r="P18" i="285" s="1"/>
  <c r="AJ17" i="285"/>
  <c r="T17" i="285"/>
  <c r="S17" i="285"/>
  <c r="R17" i="285"/>
  <c r="G17" i="285"/>
  <c r="Q17" i="285" s="1"/>
  <c r="B17" i="285"/>
  <c r="P17" i="285" s="1"/>
  <c r="AJ16" i="285"/>
  <c r="T16" i="285"/>
  <c r="S16" i="285"/>
  <c r="R16" i="285"/>
  <c r="G16" i="285"/>
  <c r="Q16" i="285" s="1"/>
  <c r="B16" i="285"/>
  <c r="P16" i="285" s="1"/>
  <c r="AJ15" i="285"/>
  <c r="T15" i="285"/>
  <c r="S15" i="285"/>
  <c r="R15" i="285"/>
  <c r="G15" i="285"/>
  <c r="Q15" i="285" s="1"/>
  <c r="B15" i="285"/>
  <c r="P15" i="285" s="1"/>
  <c r="AJ14" i="285"/>
  <c r="T14" i="285"/>
  <c r="S14" i="285"/>
  <c r="R14" i="285"/>
  <c r="G14" i="285"/>
  <c r="Q14" i="285" s="1"/>
  <c r="B14" i="285"/>
  <c r="P14" i="285" s="1"/>
  <c r="AJ13" i="285"/>
  <c r="T13" i="285"/>
  <c r="S13" i="285"/>
  <c r="R13" i="285"/>
  <c r="G13" i="285"/>
  <c r="Q13" i="285" s="1"/>
  <c r="B13" i="285"/>
  <c r="P13" i="285" s="1"/>
  <c r="BK84" i="25"/>
  <c r="A84" i="25"/>
  <c r="BK83" i="25"/>
  <c r="A83" i="25"/>
  <c r="BK82" i="25"/>
  <c r="A82" i="25"/>
  <c r="AJ19" i="284"/>
  <c r="T19" i="284"/>
  <c r="S19" i="284"/>
  <c r="R19" i="284"/>
  <c r="G19" i="284"/>
  <c r="Q19" i="284" s="1"/>
  <c r="B19" i="284"/>
  <c r="P19" i="284" s="1"/>
  <c r="AJ21" i="284"/>
  <c r="T21" i="284"/>
  <c r="S21" i="284"/>
  <c r="R21" i="284"/>
  <c r="G21" i="284"/>
  <c r="Q21" i="284" s="1"/>
  <c r="B21" i="284"/>
  <c r="P21" i="284" s="1"/>
  <c r="AJ20" i="284"/>
  <c r="T20" i="284"/>
  <c r="S20" i="284"/>
  <c r="R20" i="284"/>
  <c r="G20" i="284"/>
  <c r="Q20" i="284" s="1"/>
  <c r="B20" i="284"/>
  <c r="P20" i="284" s="1"/>
  <c r="AJ18" i="284"/>
  <c r="T18" i="284"/>
  <c r="S18" i="284"/>
  <c r="R18" i="284"/>
  <c r="G18" i="284"/>
  <c r="Q18" i="284" s="1"/>
  <c r="B18" i="284"/>
  <c r="P18" i="284" s="1"/>
  <c r="AJ17" i="284"/>
  <c r="T17" i="284"/>
  <c r="S17" i="284"/>
  <c r="R17" i="284"/>
  <c r="G17" i="284"/>
  <c r="Q17" i="284" s="1"/>
  <c r="B17" i="284"/>
  <c r="P17" i="284" s="1"/>
  <c r="AJ16" i="284"/>
  <c r="T16" i="284"/>
  <c r="S16" i="284"/>
  <c r="R16" i="284"/>
  <c r="G16" i="284"/>
  <c r="Q16" i="284" s="1"/>
  <c r="B16" i="284"/>
  <c r="P16" i="284" s="1"/>
  <c r="AJ15" i="284"/>
  <c r="T15" i="284"/>
  <c r="S15" i="284"/>
  <c r="R15" i="284"/>
  <c r="G15" i="284"/>
  <c r="Q15" i="284" s="1"/>
  <c r="B15" i="284"/>
  <c r="P15" i="284" s="1"/>
  <c r="AJ14" i="284"/>
  <c r="T14" i="284"/>
  <c r="S14" i="284"/>
  <c r="R14" i="284"/>
  <c r="G14" i="284"/>
  <c r="Q14" i="284" s="1"/>
  <c r="B14" i="284"/>
  <c r="P14" i="284" s="1"/>
  <c r="AJ13" i="284"/>
  <c r="T13" i="284"/>
  <c r="S13" i="284"/>
  <c r="R13" i="284"/>
  <c r="G13" i="284"/>
  <c r="Q13" i="284" s="1"/>
  <c r="B13" i="284"/>
  <c r="P13" i="284" s="1"/>
  <c r="AJ32" i="283"/>
  <c r="T32" i="283"/>
  <c r="S32" i="283"/>
  <c r="R32" i="283"/>
  <c r="G32" i="283"/>
  <c r="Q32" i="283" s="1"/>
  <c r="B32" i="283"/>
  <c r="P32" i="283" s="1"/>
  <c r="AJ31" i="283"/>
  <c r="T31" i="283"/>
  <c r="S31" i="283"/>
  <c r="R31" i="283"/>
  <c r="G31" i="283"/>
  <c r="Q31" i="283" s="1"/>
  <c r="B31" i="283"/>
  <c r="P31" i="283" s="1"/>
  <c r="AJ30" i="283"/>
  <c r="T30" i="283"/>
  <c r="S30" i="283"/>
  <c r="R30" i="283"/>
  <c r="G30" i="283"/>
  <c r="Q30" i="283" s="1"/>
  <c r="B30" i="283"/>
  <c r="P30" i="283" s="1"/>
  <c r="AJ29" i="283"/>
  <c r="T29" i="283"/>
  <c r="S29" i="283"/>
  <c r="R29" i="283"/>
  <c r="G29" i="283"/>
  <c r="Q29" i="283" s="1"/>
  <c r="B29" i="283"/>
  <c r="P29" i="283" s="1"/>
  <c r="AJ28" i="283"/>
  <c r="T28" i="283"/>
  <c r="S28" i="283"/>
  <c r="R28" i="283"/>
  <c r="G28" i="283"/>
  <c r="Q28" i="283" s="1"/>
  <c r="B28" i="283"/>
  <c r="P28" i="283" s="1"/>
  <c r="AJ27" i="283"/>
  <c r="T27" i="283"/>
  <c r="S27" i="283"/>
  <c r="R27" i="283"/>
  <c r="G27" i="283"/>
  <c r="Q27" i="283" s="1"/>
  <c r="B27" i="283"/>
  <c r="P27" i="283" s="1"/>
  <c r="AJ26" i="283"/>
  <c r="T26" i="283"/>
  <c r="S26" i="283"/>
  <c r="R26" i="283"/>
  <c r="G26" i="283"/>
  <c r="Q26" i="283" s="1"/>
  <c r="B26" i="283"/>
  <c r="P26" i="283" s="1"/>
  <c r="AJ25" i="283"/>
  <c r="T25" i="283"/>
  <c r="S25" i="283"/>
  <c r="R25" i="283"/>
  <c r="G25" i="283"/>
  <c r="Q25" i="283" s="1"/>
  <c r="B25" i="283"/>
  <c r="P25" i="283" s="1"/>
  <c r="AJ24" i="283"/>
  <c r="T24" i="283"/>
  <c r="S24" i="283"/>
  <c r="R24" i="283"/>
  <c r="G24" i="283"/>
  <c r="Q24" i="283" s="1"/>
  <c r="B24" i="283"/>
  <c r="P24" i="283" s="1"/>
  <c r="AJ23" i="283"/>
  <c r="T23" i="283"/>
  <c r="S23" i="283"/>
  <c r="R23" i="283"/>
  <c r="G23" i="283"/>
  <c r="Q23" i="283" s="1"/>
  <c r="B23" i="283"/>
  <c r="P23" i="283" s="1"/>
  <c r="AJ22" i="283"/>
  <c r="T22" i="283"/>
  <c r="S22" i="283"/>
  <c r="R22" i="283"/>
  <c r="G22" i="283"/>
  <c r="Q22" i="283" s="1"/>
  <c r="B22" i="283"/>
  <c r="P22" i="283" s="1"/>
  <c r="AJ21" i="283"/>
  <c r="T21" i="283"/>
  <c r="S21" i="283"/>
  <c r="R21" i="283"/>
  <c r="G21" i="283"/>
  <c r="Q21" i="283" s="1"/>
  <c r="B21" i="283"/>
  <c r="P21" i="283" s="1"/>
  <c r="AJ20" i="283"/>
  <c r="T20" i="283"/>
  <c r="S20" i="283"/>
  <c r="R20" i="283"/>
  <c r="G20" i="283"/>
  <c r="Q20" i="283" s="1"/>
  <c r="B20" i="283"/>
  <c r="P20" i="283" s="1"/>
  <c r="AJ19" i="283"/>
  <c r="T19" i="283"/>
  <c r="S19" i="283"/>
  <c r="R19" i="283"/>
  <c r="G19" i="283"/>
  <c r="Q19" i="283" s="1"/>
  <c r="B19" i="283"/>
  <c r="P19" i="283" s="1"/>
  <c r="AJ33" i="283"/>
  <c r="T33" i="283"/>
  <c r="S33" i="283"/>
  <c r="R33" i="283"/>
  <c r="G33" i="283"/>
  <c r="Q33" i="283" s="1"/>
  <c r="B33" i="283"/>
  <c r="P33" i="283" s="1"/>
  <c r="AJ18" i="283"/>
  <c r="T18" i="283"/>
  <c r="S18" i="283"/>
  <c r="R18" i="283"/>
  <c r="G18" i="283"/>
  <c r="Q18" i="283" s="1"/>
  <c r="B18" i="283"/>
  <c r="P18" i="283" s="1"/>
  <c r="AJ17" i="283"/>
  <c r="T17" i="283"/>
  <c r="S17" i="283"/>
  <c r="R17" i="283"/>
  <c r="G17" i="283"/>
  <c r="Q17" i="283" s="1"/>
  <c r="B17" i="283"/>
  <c r="P17" i="283" s="1"/>
  <c r="AJ16" i="283"/>
  <c r="T16" i="283"/>
  <c r="S16" i="283"/>
  <c r="R16" i="283"/>
  <c r="G16" i="283"/>
  <c r="Q16" i="283" s="1"/>
  <c r="B16" i="283"/>
  <c r="P16" i="283" s="1"/>
  <c r="AJ15" i="283"/>
  <c r="T15" i="283"/>
  <c r="S15" i="283"/>
  <c r="R15" i="283"/>
  <c r="G15" i="283"/>
  <c r="Q15" i="283" s="1"/>
  <c r="B15" i="283"/>
  <c r="P15" i="283" s="1"/>
  <c r="AJ14" i="283"/>
  <c r="T14" i="283"/>
  <c r="S14" i="283"/>
  <c r="R14" i="283"/>
  <c r="G14" i="283"/>
  <c r="Q14" i="283" s="1"/>
  <c r="B14" i="283"/>
  <c r="P14" i="283" s="1"/>
  <c r="AJ13" i="283"/>
  <c r="T13" i="283"/>
  <c r="S13" i="283"/>
  <c r="R13" i="283"/>
  <c r="G13" i="283"/>
  <c r="Q13" i="283" s="1"/>
  <c r="B13" i="283"/>
  <c r="P13" i="283" s="1"/>
  <c r="AJ20" i="282"/>
  <c r="T20" i="282"/>
  <c r="S20" i="282"/>
  <c r="R20" i="282"/>
  <c r="G20" i="282"/>
  <c r="Q20" i="282" s="1"/>
  <c r="B20" i="282"/>
  <c r="P20" i="282" s="1"/>
  <c r="AJ19" i="282"/>
  <c r="T19" i="282"/>
  <c r="S19" i="282"/>
  <c r="R19" i="282"/>
  <c r="G19" i="282"/>
  <c r="Q19" i="282" s="1"/>
  <c r="B19" i="282"/>
  <c r="P19" i="282" s="1"/>
  <c r="AJ18" i="282"/>
  <c r="T18" i="282"/>
  <c r="S18" i="282"/>
  <c r="R18" i="282"/>
  <c r="G18" i="282"/>
  <c r="Q18" i="282" s="1"/>
  <c r="B18" i="282"/>
  <c r="P18" i="282" s="1"/>
  <c r="AJ17" i="282"/>
  <c r="T17" i="282"/>
  <c r="S17" i="282"/>
  <c r="R17" i="282"/>
  <c r="G17" i="282"/>
  <c r="Q17" i="282" s="1"/>
  <c r="B17" i="282"/>
  <c r="P17" i="282" s="1"/>
  <c r="AJ16" i="282"/>
  <c r="T16" i="282"/>
  <c r="S16" i="282"/>
  <c r="R16" i="282"/>
  <c r="G16" i="282"/>
  <c r="Q16" i="282" s="1"/>
  <c r="B16" i="282"/>
  <c r="P16" i="282" s="1"/>
  <c r="AJ15" i="282"/>
  <c r="T15" i="282"/>
  <c r="S15" i="282"/>
  <c r="R15" i="282"/>
  <c r="G15" i="282"/>
  <c r="Q15" i="282" s="1"/>
  <c r="B15" i="282"/>
  <c r="P15" i="282" s="1"/>
  <c r="AJ14" i="282"/>
  <c r="T14" i="282"/>
  <c r="S14" i="282"/>
  <c r="R14" i="282"/>
  <c r="G14" i="282"/>
  <c r="Q14" i="282" s="1"/>
  <c r="B14" i="282"/>
  <c r="P14" i="282" s="1"/>
  <c r="AJ13" i="282"/>
  <c r="T13" i="282"/>
  <c r="S13" i="282"/>
  <c r="R13" i="282"/>
  <c r="G13" i="282"/>
  <c r="Q13" i="282" s="1"/>
  <c r="B13" i="282"/>
  <c r="P13" i="282" s="1"/>
  <c r="BK81" i="25"/>
  <c r="A81" i="25"/>
  <c r="BK80" i="25"/>
  <c r="A80" i="25"/>
  <c r="BK79" i="25"/>
  <c r="A79" i="25"/>
  <c r="AJ20" i="281"/>
  <c r="T20" i="281"/>
  <c r="S20" i="281"/>
  <c r="R20" i="281"/>
  <c r="G20" i="281"/>
  <c r="Q20" i="281" s="1"/>
  <c r="B20" i="281"/>
  <c r="P20" i="281" s="1"/>
  <c r="AJ19" i="281"/>
  <c r="T19" i="281"/>
  <c r="S19" i="281"/>
  <c r="R19" i="281"/>
  <c r="G19" i="281"/>
  <c r="Q19" i="281" s="1"/>
  <c r="B19" i="281"/>
  <c r="P19" i="281" s="1"/>
  <c r="AJ18" i="281"/>
  <c r="T18" i="281"/>
  <c r="S18" i="281"/>
  <c r="R18" i="281"/>
  <c r="G18" i="281"/>
  <c r="Q18" i="281" s="1"/>
  <c r="B18" i="281"/>
  <c r="P18" i="281" s="1"/>
  <c r="AJ17" i="281"/>
  <c r="T17" i="281"/>
  <c r="S17" i="281"/>
  <c r="R17" i="281"/>
  <c r="G17" i="281"/>
  <c r="Q17" i="281" s="1"/>
  <c r="B17" i="281"/>
  <c r="P17" i="281" s="1"/>
  <c r="AJ16" i="281"/>
  <c r="T16" i="281"/>
  <c r="S16" i="281"/>
  <c r="R16" i="281"/>
  <c r="G16" i="281"/>
  <c r="Q16" i="281" s="1"/>
  <c r="B16" i="281"/>
  <c r="P16" i="281" s="1"/>
  <c r="AJ15" i="281"/>
  <c r="T15" i="281"/>
  <c r="S15" i="281"/>
  <c r="R15" i="281"/>
  <c r="G15" i="281"/>
  <c r="Q15" i="281" s="1"/>
  <c r="B15" i="281"/>
  <c r="P15" i="281" s="1"/>
  <c r="AJ14" i="281"/>
  <c r="T14" i="281"/>
  <c r="S14" i="281"/>
  <c r="R14" i="281"/>
  <c r="G14" i="281"/>
  <c r="Q14" i="281" s="1"/>
  <c r="B14" i="281"/>
  <c r="P14" i="281" s="1"/>
  <c r="AJ13" i="281"/>
  <c r="T13" i="281"/>
  <c r="S13" i="281"/>
  <c r="R13" i="281"/>
  <c r="G13" i="281"/>
  <c r="Q13" i="281" s="1"/>
  <c r="B13" i="281"/>
  <c r="P13" i="281" s="1"/>
  <c r="AJ20" i="280"/>
  <c r="T20" i="280"/>
  <c r="S20" i="280"/>
  <c r="R20" i="280"/>
  <c r="G20" i="280"/>
  <c r="Q20" i="280" s="1"/>
  <c r="B20" i="280"/>
  <c r="P20" i="280" s="1"/>
  <c r="AJ22" i="280"/>
  <c r="T22" i="280"/>
  <c r="S22" i="280"/>
  <c r="R22" i="280"/>
  <c r="G22" i="280"/>
  <c r="Q22" i="280" s="1"/>
  <c r="B22" i="280"/>
  <c r="P22" i="280" s="1"/>
  <c r="AJ21" i="280"/>
  <c r="T21" i="280"/>
  <c r="S21" i="280"/>
  <c r="R21" i="280"/>
  <c r="G21" i="280"/>
  <c r="Q21" i="280" s="1"/>
  <c r="B21" i="280"/>
  <c r="P21" i="280" s="1"/>
  <c r="AJ19" i="280"/>
  <c r="T19" i="280"/>
  <c r="S19" i="280"/>
  <c r="R19" i="280"/>
  <c r="G19" i="280"/>
  <c r="Q19" i="280" s="1"/>
  <c r="B19" i="280"/>
  <c r="P19" i="280" s="1"/>
  <c r="AJ18" i="280"/>
  <c r="T18" i="280"/>
  <c r="S18" i="280"/>
  <c r="R18" i="280"/>
  <c r="G18" i="280"/>
  <c r="Q18" i="280" s="1"/>
  <c r="B18" i="280"/>
  <c r="P18" i="280" s="1"/>
  <c r="AJ17" i="280"/>
  <c r="T17" i="280"/>
  <c r="S17" i="280"/>
  <c r="R17" i="280"/>
  <c r="G17" i="280"/>
  <c r="Q17" i="280" s="1"/>
  <c r="B17" i="280"/>
  <c r="P17" i="280" s="1"/>
  <c r="AJ16" i="280"/>
  <c r="T16" i="280"/>
  <c r="S16" i="280"/>
  <c r="R16" i="280"/>
  <c r="G16" i="280"/>
  <c r="Q16" i="280" s="1"/>
  <c r="B16" i="280"/>
  <c r="P16" i="280" s="1"/>
  <c r="AJ15" i="280"/>
  <c r="T15" i="280"/>
  <c r="S15" i="280"/>
  <c r="R15" i="280"/>
  <c r="G15" i="280"/>
  <c r="Q15" i="280" s="1"/>
  <c r="B15" i="280"/>
  <c r="P15" i="280" s="1"/>
  <c r="AJ14" i="280"/>
  <c r="T14" i="280"/>
  <c r="S14" i="280"/>
  <c r="R14" i="280"/>
  <c r="G14" i="280"/>
  <c r="Q14" i="280" s="1"/>
  <c r="B14" i="280"/>
  <c r="P14" i="280" s="1"/>
  <c r="AJ13" i="280"/>
  <c r="T13" i="280"/>
  <c r="S13" i="280"/>
  <c r="R13" i="280"/>
  <c r="G13" i="280"/>
  <c r="Q13" i="280" s="1"/>
  <c r="B13" i="280"/>
  <c r="P13" i="280" s="1"/>
  <c r="AJ21" i="279"/>
  <c r="T21" i="279"/>
  <c r="S21" i="279"/>
  <c r="G21" i="279"/>
  <c r="Q21" i="279" s="1"/>
  <c r="B21" i="279"/>
  <c r="P21" i="279" s="1"/>
  <c r="AJ20" i="279"/>
  <c r="T20" i="279"/>
  <c r="S20" i="279"/>
  <c r="R20" i="279"/>
  <c r="G20" i="279"/>
  <c r="Q20" i="279" s="1"/>
  <c r="B20" i="279"/>
  <c r="P20" i="279" s="1"/>
  <c r="AJ19" i="279"/>
  <c r="T19" i="279"/>
  <c r="S19" i="279"/>
  <c r="R19" i="279"/>
  <c r="G19" i="279"/>
  <c r="Q19" i="279" s="1"/>
  <c r="B19" i="279"/>
  <c r="P19" i="279" s="1"/>
  <c r="AJ18" i="279"/>
  <c r="T18" i="279"/>
  <c r="S18" i="279"/>
  <c r="R18" i="279"/>
  <c r="G18" i="279"/>
  <c r="Q18" i="279" s="1"/>
  <c r="B18" i="279"/>
  <c r="P18" i="279" s="1"/>
  <c r="AJ17" i="279"/>
  <c r="T17" i="279"/>
  <c r="S17" i="279"/>
  <c r="R17" i="279"/>
  <c r="G17" i="279"/>
  <c r="Q17" i="279" s="1"/>
  <c r="B17" i="279"/>
  <c r="P17" i="279" s="1"/>
  <c r="AJ16" i="279"/>
  <c r="T16" i="279"/>
  <c r="S16" i="279"/>
  <c r="R16" i="279"/>
  <c r="G16" i="279"/>
  <c r="Q16" i="279" s="1"/>
  <c r="B16" i="279"/>
  <c r="P16" i="279" s="1"/>
  <c r="AJ15" i="279"/>
  <c r="T15" i="279"/>
  <c r="S15" i="279"/>
  <c r="R15" i="279"/>
  <c r="G15" i="279"/>
  <c r="Q15" i="279" s="1"/>
  <c r="B15" i="279"/>
  <c r="P15" i="279" s="1"/>
  <c r="AJ14" i="279"/>
  <c r="T14" i="279"/>
  <c r="S14" i="279"/>
  <c r="R14" i="279"/>
  <c r="G14" i="279"/>
  <c r="Q14" i="279" s="1"/>
  <c r="B14" i="279"/>
  <c r="P14" i="279" s="1"/>
  <c r="AJ13" i="279"/>
  <c r="T13" i="279"/>
  <c r="S13" i="279"/>
  <c r="R13" i="279"/>
  <c r="G13" i="279"/>
  <c r="Q13" i="279" s="1"/>
  <c r="B13" i="279"/>
  <c r="P13" i="279" s="1"/>
  <c r="AJ26" i="278"/>
  <c r="T26" i="278"/>
  <c r="S26" i="278"/>
  <c r="G26" i="278"/>
  <c r="R26" i="278" s="1"/>
  <c r="B26" i="278"/>
  <c r="P26" i="278" s="1"/>
  <c r="AJ25" i="278"/>
  <c r="T25" i="278"/>
  <c r="S25" i="278"/>
  <c r="G25" i="278"/>
  <c r="Q25" i="278" s="1"/>
  <c r="B25" i="278"/>
  <c r="P25" i="278" s="1"/>
  <c r="AJ24" i="278"/>
  <c r="T24" i="278"/>
  <c r="S24" i="278"/>
  <c r="G24" i="278"/>
  <c r="Q24" i="278" s="1"/>
  <c r="B24" i="278"/>
  <c r="P24" i="278" s="1"/>
  <c r="AJ23" i="278"/>
  <c r="T23" i="278"/>
  <c r="S23" i="278"/>
  <c r="G23" i="278"/>
  <c r="Q23" i="278" s="1"/>
  <c r="B23" i="278"/>
  <c r="P23" i="278" s="1"/>
  <c r="AJ22" i="278"/>
  <c r="T22" i="278"/>
  <c r="S22" i="278"/>
  <c r="G22" i="278"/>
  <c r="Q22" i="278" s="1"/>
  <c r="B22" i="278"/>
  <c r="P22" i="278" s="1"/>
  <c r="AJ21" i="278"/>
  <c r="T21" i="278"/>
  <c r="S21" i="278"/>
  <c r="R21" i="278"/>
  <c r="G21" i="278"/>
  <c r="Q21" i="278" s="1"/>
  <c r="B21" i="278"/>
  <c r="P21" i="278" s="1"/>
  <c r="AJ20" i="278"/>
  <c r="T20" i="278"/>
  <c r="S20" i="278"/>
  <c r="R20" i="278"/>
  <c r="G20" i="278"/>
  <c r="Q20" i="278" s="1"/>
  <c r="B20" i="278"/>
  <c r="P20" i="278" s="1"/>
  <c r="AJ19" i="278"/>
  <c r="T19" i="278"/>
  <c r="S19" i="278"/>
  <c r="R19" i="278"/>
  <c r="G19" i="278"/>
  <c r="Q19" i="278" s="1"/>
  <c r="B19" i="278"/>
  <c r="P19" i="278" s="1"/>
  <c r="AJ18" i="278"/>
  <c r="T18" i="278"/>
  <c r="S18" i="278"/>
  <c r="R18" i="278"/>
  <c r="G18" i="278"/>
  <c r="Q18" i="278" s="1"/>
  <c r="B18" i="278"/>
  <c r="P18" i="278" s="1"/>
  <c r="AJ17" i="278"/>
  <c r="T17" i="278"/>
  <c r="S17" i="278"/>
  <c r="R17" i="278"/>
  <c r="G17" i="278"/>
  <c r="Q17" i="278" s="1"/>
  <c r="B17" i="278"/>
  <c r="P17" i="278" s="1"/>
  <c r="AJ16" i="278"/>
  <c r="T16" i="278"/>
  <c r="S16" i="278"/>
  <c r="R16" i="278"/>
  <c r="G16" i="278"/>
  <c r="Q16" i="278" s="1"/>
  <c r="B16" i="278"/>
  <c r="P16" i="278" s="1"/>
  <c r="AJ15" i="278"/>
  <c r="T15" i="278"/>
  <c r="S15" i="278"/>
  <c r="R15" i="278"/>
  <c r="G15" i="278"/>
  <c r="Q15" i="278" s="1"/>
  <c r="B15" i="278"/>
  <c r="P15" i="278" s="1"/>
  <c r="AJ14" i="278"/>
  <c r="T14" i="278"/>
  <c r="S14" i="278"/>
  <c r="R14" i="278"/>
  <c r="G14" i="278"/>
  <c r="Q14" i="278" s="1"/>
  <c r="B14" i="278"/>
  <c r="P14" i="278" s="1"/>
  <c r="AJ13" i="278"/>
  <c r="T13" i="278"/>
  <c r="S13" i="278"/>
  <c r="R13" i="278"/>
  <c r="G13" i="278"/>
  <c r="Q13" i="278" s="1"/>
  <c r="B13" i="278"/>
  <c r="P13" i="278" s="1"/>
  <c r="AJ30" i="277"/>
  <c r="T30" i="277"/>
  <c r="S30" i="277"/>
  <c r="G30" i="277"/>
  <c r="R30" i="277" s="1"/>
  <c r="B30" i="277"/>
  <c r="P30" i="277" s="1"/>
  <c r="AJ29" i="277"/>
  <c r="T29" i="277"/>
  <c r="S29" i="277"/>
  <c r="G29" i="277"/>
  <c r="Q29" i="277" s="1"/>
  <c r="B29" i="277"/>
  <c r="P29" i="277" s="1"/>
  <c r="AJ28" i="277"/>
  <c r="T28" i="277"/>
  <c r="S28" i="277"/>
  <c r="G28" i="277"/>
  <c r="R28" i="277" s="1"/>
  <c r="B28" i="277"/>
  <c r="P28" i="277" s="1"/>
  <c r="AJ27" i="277"/>
  <c r="T27" i="277"/>
  <c r="S27" i="277"/>
  <c r="G27" i="277"/>
  <c r="Q27" i="277" s="1"/>
  <c r="B27" i="277"/>
  <c r="P27" i="277" s="1"/>
  <c r="AJ32" i="277"/>
  <c r="T32" i="277"/>
  <c r="S32" i="277"/>
  <c r="G32" i="277"/>
  <c r="R32" i="277" s="1"/>
  <c r="B32" i="277"/>
  <c r="P32" i="277" s="1"/>
  <c r="AJ31" i="277"/>
  <c r="T31" i="277"/>
  <c r="S31" i="277"/>
  <c r="G31" i="277"/>
  <c r="R31" i="277" s="1"/>
  <c r="B31" i="277"/>
  <c r="P31" i="277" s="1"/>
  <c r="AJ26" i="277"/>
  <c r="T26" i="277"/>
  <c r="S26" i="277"/>
  <c r="G26" i="277"/>
  <c r="R26" i="277" s="1"/>
  <c r="B26" i="277"/>
  <c r="P26" i="277" s="1"/>
  <c r="AJ25" i="277"/>
  <c r="T25" i="277"/>
  <c r="S25" i="277"/>
  <c r="G25" i="277"/>
  <c r="Q25" i="277" s="1"/>
  <c r="B25" i="277"/>
  <c r="P25" i="277" s="1"/>
  <c r="AJ24" i="277"/>
  <c r="T24" i="277"/>
  <c r="S24" i="277"/>
  <c r="G24" i="277"/>
  <c r="R24" i="277" s="1"/>
  <c r="B24" i="277"/>
  <c r="P24" i="277" s="1"/>
  <c r="AJ23" i="277"/>
  <c r="T23" i="277"/>
  <c r="S23" i="277"/>
  <c r="G23" i="277"/>
  <c r="R23" i="277" s="1"/>
  <c r="B23" i="277"/>
  <c r="P23" i="277" s="1"/>
  <c r="AJ22" i="277"/>
  <c r="T22" i="277"/>
  <c r="S22" i="277"/>
  <c r="R22" i="277"/>
  <c r="G22" i="277"/>
  <c r="Q22" i="277" s="1"/>
  <c r="B22" i="277"/>
  <c r="P22" i="277" s="1"/>
  <c r="AJ21" i="277"/>
  <c r="T21" i="277"/>
  <c r="S21" i="277"/>
  <c r="R21" i="277"/>
  <c r="G21" i="277"/>
  <c r="Q21" i="277" s="1"/>
  <c r="B21" i="277"/>
  <c r="P21" i="277" s="1"/>
  <c r="AJ20" i="277"/>
  <c r="T20" i="277"/>
  <c r="S20" i="277"/>
  <c r="R20" i="277"/>
  <c r="G20" i="277"/>
  <c r="Q20" i="277" s="1"/>
  <c r="B20" i="277"/>
  <c r="P20" i="277" s="1"/>
  <c r="AJ19" i="277"/>
  <c r="T19" i="277"/>
  <c r="S19" i="277"/>
  <c r="R19" i="277"/>
  <c r="G19" i="277"/>
  <c r="Q19" i="277" s="1"/>
  <c r="B19" i="277"/>
  <c r="P19" i="277" s="1"/>
  <c r="AJ18" i="277"/>
  <c r="T18" i="277"/>
  <c r="S18" i="277"/>
  <c r="R18" i="277"/>
  <c r="G18" i="277"/>
  <c r="Q18" i="277" s="1"/>
  <c r="B18" i="277"/>
  <c r="P18" i="277" s="1"/>
  <c r="AJ17" i="277"/>
  <c r="T17" i="277"/>
  <c r="S17" i="277"/>
  <c r="R17" i="277"/>
  <c r="G17" i="277"/>
  <c r="Q17" i="277" s="1"/>
  <c r="B17" i="277"/>
  <c r="P17" i="277" s="1"/>
  <c r="AJ16" i="277"/>
  <c r="T16" i="277"/>
  <c r="S16" i="277"/>
  <c r="R16" i="277"/>
  <c r="G16" i="277"/>
  <c r="Q16" i="277" s="1"/>
  <c r="B16" i="277"/>
  <c r="P16" i="277" s="1"/>
  <c r="AJ15" i="277"/>
  <c r="T15" i="277"/>
  <c r="S15" i="277"/>
  <c r="R15" i="277"/>
  <c r="G15" i="277"/>
  <c r="Q15" i="277" s="1"/>
  <c r="B15" i="277"/>
  <c r="P15" i="277" s="1"/>
  <c r="AJ14" i="277"/>
  <c r="T14" i="277"/>
  <c r="S14" i="277"/>
  <c r="R14" i="277"/>
  <c r="G14" i="277"/>
  <c r="Q14" i="277" s="1"/>
  <c r="B14" i="277"/>
  <c r="P14" i="277" s="1"/>
  <c r="AJ13" i="277"/>
  <c r="T13" i="277"/>
  <c r="S13" i="277"/>
  <c r="R13" i="277"/>
  <c r="G13" i="277"/>
  <c r="Q13" i="277" s="1"/>
  <c r="B13" i="277"/>
  <c r="P13" i="277" s="1"/>
  <c r="AJ26" i="276"/>
  <c r="T26" i="276"/>
  <c r="S26" i="276"/>
  <c r="G26" i="276"/>
  <c r="R26" i="276" s="1"/>
  <c r="B26" i="276"/>
  <c r="P26" i="276" s="1"/>
  <c r="AJ25" i="276"/>
  <c r="T25" i="276"/>
  <c r="S25" i="276"/>
  <c r="G25" i="276"/>
  <c r="R25" i="276" s="1"/>
  <c r="B25" i="276"/>
  <c r="P25" i="276" s="1"/>
  <c r="AJ24" i="276"/>
  <c r="T24" i="276"/>
  <c r="S24" i="276"/>
  <c r="G24" i="276"/>
  <c r="R24" i="276" s="1"/>
  <c r="B24" i="276"/>
  <c r="P24" i="276" s="1"/>
  <c r="AJ23" i="276"/>
  <c r="T23" i="276"/>
  <c r="S23" i="276"/>
  <c r="G23" i="276"/>
  <c r="Q23" i="276" s="1"/>
  <c r="B23" i="276"/>
  <c r="P23" i="276" s="1"/>
  <c r="AJ22" i="276"/>
  <c r="T22" i="276"/>
  <c r="S22" i="276"/>
  <c r="G22" i="276"/>
  <c r="R22" i="276" s="1"/>
  <c r="B22" i="276"/>
  <c r="P22" i="276" s="1"/>
  <c r="AJ21" i="276"/>
  <c r="T21" i="276"/>
  <c r="S21" i="276"/>
  <c r="G21" i="276"/>
  <c r="R21" i="276" s="1"/>
  <c r="B21" i="276"/>
  <c r="P21" i="276" s="1"/>
  <c r="AJ20" i="276"/>
  <c r="T20" i="276"/>
  <c r="S20" i="276"/>
  <c r="G20" i="276"/>
  <c r="R20" i="276" s="1"/>
  <c r="B20" i="276"/>
  <c r="P20" i="276" s="1"/>
  <c r="AJ28" i="276"/>
  <c r="T28" i="276"/>
  <c r="S28" i="276"/>
  <c r="G28" i="276"/>
  <c r="R28" i="276" s="1"/>
  <c r="B28" i="276"/>
  <c r="P28" i="276" s="1"/>
  <c r="AJ27" i="276"/>
  <c r="T27" i="276"/>
  <c r="S27" i="276"/>
  <c r="G27" i="276"/>
  <c r="Q27" i="276" s="1"/>
  <c r="B27" i="276"/>
  <c r="P27" i="276" s="1"/>
  <c r="AJ19" i="276"/>
  <c r="T19" i="276"/>
  <c r="S19" i="276"/>
  <c r="R19" i="276"/>
  <c r="G19" i="276"/>
  <c r="Q19" i="276" s="1"/>
  <c r="B19" i="276"/>
  <c r="P19" i="276" s="1"/>
  <c r="AJ18" i="276"/>
  <c r="T18" i="276"/>
  <c r="S18" i="276"/>
  <c r="G18" i="276"/>
  <c r="Q18" i="276" s="1"/>
  <c r="B18" i="276"/>
  <c r="P18" i="276" s="1"/>
  <c r="AJ17" i="276"/>
  <c r="T17" i="276"/>
  <c r="S17" i="276"/>
  <c r="G17" i="276"/>
  <c r="R17" i="276" s="1"/>
  <c r="B17" i="276"/>
  <c r="P17" i="276" s="1"/>
  <c r="AJ16" i="276"/>
  <c r="T16" i="276"/>
  <c r="S16" i="276"/>
  <c r="R16" i="276"/>
  <c r="G16" i="276"/>
  <c r="Q16" i="276" s="1"/>
  <c r="B16" i="276"/>
  <c r="P16" i="276" s="1"/>
  <c r="AJ15" i="276"/>
  <c r="T15" i="276"/>
  <c r="S15" i="276"/>
  <c r="R15" i="276"/>
  <c r="G15" i="276"/>
  <c r="Q15" i="276" s="1"/>
  <c r="B15" i="276"/>
  <c r="P15" i="276" s="1"/>
  <c r="AJ14" i="276"/>
  <c r="T14" i="276"/>
  <c r="S14" i="276"/>
  <c r="R14" i="276"/>
  <c r="G14" i="276"/>
  <c r="Q14" i="276" s="1"/>
  <c r="B14" i="276"/>
  <c r="P14" i="276" s="1"/>
  <c r="AJ13" i="276"/>
  <c r="T13" i="276"/>
  <c r="S13" i="276"/>
  <c r="R13" i="276"/>
  <c r="G13" i="276"/>
  <c r="Q13" i="276" s="1"/>
  <c r="B13" i="276"/>
  <c r="P13" i="276" s="1"/>
  <c r="AJ21" i="275"/>
  <c r="T21" i="275"/>
  <c r="S21" i="275"/>
  <c r="G21" i="275"/>
  <c r="R21" i="275" s="1"/>
  <c r="B21" i="275"/>
  <c r="P21" i="275" s="1"/>
  <c r="AJ20" i="275"/>
  <c r="T20" i="275"/>
  <c r="S20" i="275"/>
  <c r="G20" i="275"/>
  <c r="R20" i="275" s="1"/>
  <c r="B20" i="275"/>
  <c r="P20" i="275" s="1"/>
  <c r="AJ19" i="275"/>
  <c r="T19" i="275"/>
  <c r="S19" i="275"/>
  <c r="G19" i="275"/>
  <c r="R19" i="275" s="1"/>
  <c r="B19" i="275"/>
  <c r="P19" i="275" s="1"/>
  <c r="AJ18" i="275"/>
  <c r="T18" i="275"/>
  <c r="S18" i="275"/>
  <c r="G18" i="275"/>
  <c r="R18" i="275" s="1"/>
  <c r="B18" i="275"/>
  <c r="P18" i="275" s="1"/>
  <c r="AJ17" i="275"/>
  <c r="T17" i="275"/>
  <c r="S17" i="275"/>
  <c r="G17" i="275"/>
  <c r="R17" i="275" s="1"/>
  <c r="B17" i="275"/>
  <c r="P17" i="275" s="1"/>
  <c r="AJ16" i="275"/>
  <c r="T16" i="275"/>
  <c r="S16" i="275"/>
  <c r="R16" i="275"/>
  <c r="G16" i="275"/>
  <c r="Q16" i="275" s="1"/>
  <c r="B16" i="275"/>
  <c r="P16" i="275" s="1"/>
  <c r="AJ15" i="275"/>
  <c r="T15" i="275"/>
  <c r="S15" i="275"/>
  <c r="R15" i="275"/>
  <c r="G15" i="275"/>
  <c r="Q15" i="275" s="1"/>
  <c r="B15" i="275"/>
  <c r="P15" i="275" s="1"/>
  <c r="AJ14" i="275"/>
  <c r="T14" i="275"/>
  <c r="S14" i="275"/>
  <c r="R14" i="275"/>
  <c r="G14" i="275"/>
  <c r="Q14" i="275" s="1"/>
  <c r="B14" i="275"/>
  <c r="P14" i="275" s="1"/>
  <c r="AJ13" i="275"/>
  <c r="T13" i="275"/>
  <c r="S13" i="275"/>
  <c r="R13" i="275"/>
  <c r="G13" i="275"/>
  <c r="Q13" i="275" s="1"/>
  <c r="B13" i="275"/>
  <c r="P13" i="275" s="1"/>
  <c r="AJ21" i="274"/>
  <c r="T21" i="274"/>
  <c r="S21" i="274"/>
  <c r="G21" i="274"/>
  <c r="R21" i="274" s="1"/>
  <c r="B21" i="274"/>
  <c r="P21" i="274" s="1"/>
  <c r="AJ20" i="274"/>
  <c r="T20" i="274"/>
  <c r="S20" i="274"/>
  <c r="G20" i="274"/>
  <c r="Q20" i="274" s="1"/>
  <c r="B20" i="274"/>
  <c r="P20" i="274" s="1"/>
  <c r="AJ19" i="274"/>
  <c r="T19" i="274"/>
  <c r="S19" i="274"/>
  <c r="G19" i="274"/>
  <c r="Q19" i="274" s="1"/>
  <c r="B19" i="274"/>
  <c r="P19" i="274" s="1"/>
  <c r="AJ18" i="274"/>
  <c r="T18" i="274"/>
  <c r="S18" i="274"/>
  <c r="G18" i="274"/>
  <c r="Q18" i="274" s="1"/>
  <c r="B18" i="274"/>
  <c r="P18" i="274" s="1"/>
  <c r="AJ17" i="274"/>
  <c r="T17" i="274"/>
  <c r="S17" i="274"/>
  <c r="G17" i="274"/>
  <c r="Q17" i="274" s="1"/>
  <c r="B17" i="274"/>
  <c r="P17" i="274" s="1"/>
  <c r="AJ16" i="274"/>
  <c r="T16" i="274"/>
  <c r="S16" i="274"/>
  <c r="R16" i="274"/>
  <c r="G16" i="274"/>
  <c r="Q16" i="274" s="1"/>
  <c r="B16" i="274"/>
  <c r="P16" i="274" s="1"/>
  <c r="AJ15" i="274"/>
  <c r="T15" i="274"/>
  <c r="S15" i="274"/>
  <c r="R15" i="274"/>
  <c r="G15" i="274"/>
  <c r="Q15" i="274" s="1"/>
  <c r="B15" i="274"/>
  <c r="P15" i="274" s="1"/>
  <c r="AJ14" i="274"/>
  <c r="T14" i="274"/>
  <c r="S14" i="274"/>
  <c r="R14" i="274"/>
  <c r="G14" i="274"/>
  <c r="Q14" i="274" s="1"/>
  <c r="B14" i="274"/>
  <c r="P14" i="274" s="1"/>
  <c r="AJ13" i="274"/>
  <c r="T13" i="274"/>
  <c r="S13" i="274"/>
  <c r="R13" i="274"/>
  <c r="G13" i="274"/>
  <c r="Q13" i="274" s="1"/>
  <c r="B13" i="274"/>
  <c r="P13" i="274" s="1"/>
  <c r="AJ26" i="273"/>
  <c r="T26" i="273"/>
  <c r="S26" i="273"/>
  <c r="G26" i="273"/>
  <c r="R26" i="273" s="1"/>
  <c r="B26" i="273"/>
  <c r="P26" i="273" s="1"/>
  <c r="AJ25" i="273"/>
  <c r="T25" i="273"/>
  <c r="S25" i="273"/>
  <c r="G25" i="273"/>
  <c r="Q25" i="273" s="1"/>
  <c r="B25" i="273"/>
  <c r="P25" i="273" s="1"/>
  <c r="AJ24" i="273"/>
  <c r="T24" i="273"/>
  <c r="S24" i="273"/>
  <c r="G24" i="273"/>
  <c r="R24" i="273" s="1"/>
  <c r="B24" i="273"/>
  <c r="P24" i="273" s="1"/>
  <c r="AJ23" i="273"/>
  <c r="T23" i="273"/>
  <c r="S23" i="273"/>
  <c r="G23" i="273"/>
  <c r="Q23" i="273" s="1"/>
  <c r="B23" i="273"/>
  <c r="P23" i="273" s="1"/>
  <c r="AJ22" i="273"/>
  <c r="T22" i="273"/>
  <c r="S22" i="273"/>
  <c r="G22" i="273"/>
  <c r="R22" i="273" s="1"/>
  <c r="B22" i="273"/>
  <c r="P22" i="273" s="1"/>
  <c r="AJ21" i="273"/>
  <c r="T21" i="273"/>
  <c r="S21" i="273"/>
  <c r="G21" i="273"/>
  <c r="R21" i="273" s="1"/>
  <c r="B21" i="273"/>
  <c r="P21" i="273" s="1"/>
  <c r="AJ20" i="273"/>
  <c r="T20" i="273"/>
  <c r="S20" i="273"/>
  <c r="G20" i="273"/>
  <c r="R20" i="273" s="1"/>
  <c r="B20" i="273"/>
  <c r="P20" i="273" s="1"/>
  <c r="AJ19" i="273"/>
  <c r="T19" i="273"/>
  <c r="S19" i="273"/>
  <c r="G19" i="273"/>
  <c r="Q19" i="273" s="1"/>
  <c r="B19" i="273"/>
  <c r="P19" i="273" s="1"/>
  <c r="AJ18" i="273"/>
  <c r="T18" i="273"/>
  <c r="S18" i="273"/>
  <c r="G18" i="273"/>
  <c r="R18" i="273" s="1"/>
  <c r="B18" i="273"/>
  <c r="P18" i="273" s="1"/>
  <c r="AJ17" i="273"/>
  <c r="T17" i="273"/>
  <c r="S17" i="273"/>
  <c r="R17" i="273"/>
  <c r="G17" i="273"/>
  <c r="Q17" i="273" s="1"/>
  <c r="B17" i="273"/>
  <c r="P17" i="273" s="1"/>
  <c r="AJ16" i="273"/>
  <c r="T16" i="273"/>
  <c r="S16" i="273"/>
  <c r="G16" i="273"/>
  <c r="Q16" i="273" s="1"/>
  <c r="B16" i="273"/>
  <c r="P16" i="273" s="1"/>
  <c r="AJ15" i="273"/>
  <c r="T15" i="273"/>
  <c r="S15" i="273"/>
  <c r="R15" i="273"/>
  <c r="G15" i="273"/>
  <c r="Q15" i="273" s="1"/>
  <c r="B15" i="273"/>
  <c r="P15" i="273" s="1"/>
  <c r="AJ14" i="273"/>
  <c r="T14" i="273"/>
  <c r="S14" i="273"/>
  <c r="G14" i="273"/>
  <c r="R14" i="273" s="1"/>
  <c r="B14" i="273"/>
  <c r="P14" i="273" s="1"/>
  <c r="AJ13" i="273"/>
  <c r="T13" i="273"/>
  <c r="S13" i="273"/>
  <c r="R13" i="273"/>
  <c r="G13" i="273"/>
  <c r="Q13" i="273" s="1"/>
  <c r="B13" i="273"/>
  <c r="P13" i="273" s="1"/>
  <c r="AJ19" i="272"/>
  <c r="T19" i="272"/>
  <c r="S19" i="272"/>
  <c r="G19" i="272"/>
  <c r="R19" i="272" s="1"/>
  <c r="B19" i="272"/>
  <c r="P19" i="272" s="1"/>
  <c r="AJ18" i="272"/>
  <c r="T18" i="272"/>
  <c r="S18" i="272"/>
  <c r="G18" i="272"/>
  <c r="Q18" i="272" s="1"/>
  <c r="B18" i="272"/>
  <c r="P18" i="272" s="1"/>
  <c r="AJ17" i="272"/>
  <c r="T17" i="272"/>
  <c r="S17" i="272"/>
  <c r="G17" i="272"/>
  <c r="R17" i="272" s="1"/>
  <c r="B17" i="272"/>
  <c r="P17" i="272" s="1"/>
  <c r="AJ16" i="272"/>
  <c r="T16" i="272"/>
  <c r="S16" i="272"/>
  <c r="G16" i="272"/>
  <c r="R16" i="272" s="1"/>
  <c r="B16" i="272"/>
  <c r="P16" i="272" s="1"/>
  <c r="AJ15" i="272"/>
  <c r="T15" i="272"/>
  <c r="S15" i="272"/>
  <c r="G15" i="272"/>
  <c r="R15" i="272" s="1"/>
  <c r="B15" i="272"/>
  <c r="P15" i="272" s="1"/>
  <c r="AJ14" i="272"/>
  <c r="T14" i="272"/>
  <c r="S14" i="272"/>
  <c r="G14" i="272"/>
  <c r="R14" i="272" s="1"/>
  <c r="B14" i="272"/>
  <c r="P14" i="272" s="1"/>
  <c r="AJ13" i="272"/>
  <c r="T13" i="272"/>
  <c r="S13" i="272"/>
  <c r="R13" i="272"/>
  <c r="G13" i="272"/>
  <c r="Q13" i="272" s="1"/>
  <c r="B13" i="272"/>
  <c r="P13" i="272" s="1"/>
  <c r="AJ36" i="271"/>
  <c r="T36" i="271"/>
  <c r="S36" i="271"/>
  <c r="G36" i="271"/>
  <c r="R36" i="271" s="1"/>
  <c r="B36" i="271"/>
  <c r="P36" i="271" s="1"/>
  <c r="AJ35" i="271"/>
  <c r="T35" i="271"/>
  <c r="S35" i="271"/>
  <c r="G35" i="271"/>
  <c r="Q35" i="271" s="1"/>
  <c r="B35" i="271"/>
  <c r="P35" i="271" s="1"/>
  <c r="AJ34" i="271"/>
  <c r="T34" i="271"/>
  <c r="S34" i="271"/>
  <c r="G34" i="271"/>
  <c r="Q34" i="271" s="1"/>
  <c r="B34" i="271"/>
  <c r="P34" i="271" s="1"/>
  <c r="AJ33" i="271"/>
  <c r="T33" i="271"/>
  <c r="S33" i="271"/>
  <c r="G33" i="271"/>
  <c r="R33" i="271" s="1"/>
  <c r="B33" i="271"/>
  <c r="P33" i="271" s="1"/>
  <c r="AJ32" i="271"/>
  <c r="T32" i="271"/>
  <c r="S32" i="271"/>
  <c r="G32" i="271"/>
  <c r="R32" i="271" s="1"/>
  <c r="B32" i="271"/>
  <c r="P32" i="271" s="1"/>
  <c r="AJ31" i="271"/>
  <c r="T31" i="271"/>
  <c r="S31" i="271"/>
  <c r="G31" i="271"/>
  <c r="R31" i="271" s="1"/>
  <c r="B31" i="271"/>
  <c r="P31" i="271" s="1"/>
  <c r="AJ30" i="271"/>
  <c r="T30" i="271"/>
  <c r="S30" i="271"/>
  <c r="G30" i="271"/>
  <c r="R30" i="271" s="1"/>
  <c r="B30" i="271"/>
  <c r="P30" i="271" s="1"/>
  <c r="AJ29" i="271"/>
  <c r="T29" i="271"/>
  <c r="S29" i="271"/>
  <c r="G29" i="271"/>
  <c r="R29" i="271" s="1"/>
  <c r="B29" i="271"/>
  <c r="P29" i="271" s="1"/>
  <c r="AJ28" i="271"/>
  <c r="T28" i="271"/>
  <c r="S28" i="271"/>
  <c r="R28" i="271"/>
  <c r="G28" i="271"/>
  <c r="Q28" i="271" s="1"/>
  <c r="B28" i="271"/>
  <c r="P28" i="271" s="1"/>
  <c r="AJ38" i="271"/>
  <c r="T38" i="271"/>
  <c r="S38" i="271"/>
  <c r="G38" i="271"/>
  <c r="R38" i="271" s="1"/>
  <c r="B38" i="271"/>
  <c r="P38" i="271" s="1"/>
  <c r="AJ37" i="271"/>
  <c r="T37" i="271"/>
  <c r="S37" i="271"/>
  <c r="G37" i="271"/>
  <c r="Q37" i="271" s="1"/>
  <c r="B37" i="271"/>
  <c r="P37" i="271" s="1"/>
  <c r="AJ27" i="271"/>
  <c r="T27" i="271"/>
  <c r="S27" i="271"/>
  <c r="G27" i="271"/>
  <c r="R27" i="271" s="1"/>
  <c r="B27" i="271"/>
  <c r="P27" i="271" s="1"/>
  <c r="AJ26" i="271"/>
  <c r="T26" i="271"/>
  <c r="S26" i="271"/>
  <c r="G26" i="271"/>
  <c r="R26" i="271" s="1"/>
  <c r="B26" i="271"/>
  <c r="P26" i="271" s="1"/>
  <c r="AJ25" i="271"/>
  <c r="T25" i="271"/>
  <c r="S25" i="271"/>
  <c r="G25" i="271"/>
  <c r="R25" i="271" s="1"/>
  <c r="B25" i="271"/>
  <c r="P25" i="271" s="1"/>
  <c r="AJ24" i="271"/>
  <c r="T24" i="271"/>
  <c r="S24" i="271"/>
  <c r="G24" i="271"/>
  <c r="R24" i="271" s="1"/>
  <c r="B24" i="271"/>
  <c r="P24" i="271" s="1"/>
  <c r="AJ23" i="271"/>
  <c r="T23" i="271"/>
  <c r="S23" i="271"/>
  <c r="G23" i="271"/>
  <c r="R23" i="271" s="1"/>
  <c r="B23" i="271"/>
  <c r="P23" i="271" s="1"/>
  <c r="AJ22" i="271"/>
  <c r="T22" i="271"/>
  <c r="S22" i="271"/>
  <c r="G22" i="271"/>
  <c r="R22" i="271" s="1"/>
  <c r="B22" i="271"/>
  <c r="P22" i="271" s="1"/>
  <c r="AJ21" i="271"/>
  <c r="T21" i="271"/>
  <c r="S21" i="271"/>
  <c r="G21" i="271"/>
  <c r="R21" i="271" s="1"/>
  <c r="B21" i="271"/>
  <c r="P21" i="271" s="1"/>
  <c r="AJ20" i="271"/>
  <c r="T20" i="271"/>
  <c r="S20" i="271"/>
  <c r="G20" i="271"/>
  <c r="R20" i="271" s="1"/>
  <c r="B20" i="271"/>
  <c r="P20" i="271" s="1"/>
  <c r="AJ19" i="271"/>
  <c r="T19" i="271"/>
  <c r="S19" i="271"/>
  <c r="G19" i="271"/>
  <c r="R19" i="271" s="1"/>
  <c r="B19" i="271"/>
  <c r="P19" i="271" s="1"/>
  <c r="AJ18" i="271"/>
  <c r="T18" i="271"/>
  <c r="S18" i="271"/>
  <c r="G18" i="271"/>
  <c r="R18" i="271" s="1"/>
  <c r="B18" i="271"/>
  <c r="P18" i="271" s="1"/>
  <c r="AJ17" i="271"/>
  <c r="T17" i="271"/>
  <c r="S17" i="271"/>
  <c r="G17" i="271"/>
  <c r="R17" i="271" s="1"/>
  <c r="B17" i="271"/>
  <c r="P17" i="271" s="1"/>
  <c r="AJ16" i="271"/>
  <c r="T16" i="271"/>
  <c r="S16" i="271"/>
  <c r="G16" i="271"/>
  <c r="R16" i="271" s="1"/>
  <c r="B16" i="271"/>
  <c r="P16" i="271" s="1"/>
  <c r="AJ15" i="271"/>
  <c r="T15" i="271"/>
  <c r="S15" i="271"/>
  <c r="G15" i="271"/>
  <c r="R15" i="271" s="1"/>
  <c r="B15" i="271"/>
  <c r="P15" i="271" s="1"/>
  <c r="AJ14" i="271"/>
  <c r="T14" i="271"/>
  <c r="S14" i="271"/>
  <c r="R14" i="271"/>
  <c r="G14" i="271"/>
  <c r="Q14" i="271" s="1"/>
  <c r="B14" i="271"/>
  <c r="P14" i="271" s="1"/>
  <c r="AJ13" i="271"/>
  <c r="T13" i="271"/>
  <c r="S13" i="271"/>
  <c r="R13" i="271"/>
  <c r="G13" i="271"/>
  <c r="Q13" i="271" s="1"/>
  <c r="B13" i="271"/>
  <c r="P13" i="271" s="1"/>
  <c r="AJ15" i="269"/>
  <c r="T15" i="269"/>
  <c r="S15" i="269"/>
  <c r="G15" i="269"/>
  <c r="R15" i="269" s="1"/>
  <c r="B15" i="269"/>
  <c r="P15" i="269" s="1"/>
  <c r="AJ14" i="269"/>
  <c r="T14" i="269"/>
  <c r="S14" i="269"/>
  <c r="R14" i="269"/>
  <c r="G14" i="269"/>
  <c r="Q14" i="269" s="1"/>
  <c r="B14" i="269"/>
  <c r="P14" i="269" s="1"/>
  <c r="AJ13" i="269"/>
  <c r="T13" i="269"/>
  <c r="S13" i="269"/>
  <c r="R13" i="269"/>
  <c r="G13" i="269"/>
  <c r="Q13" i="269" s="1"/>
  <c r="B13" i="269"/>
  <c r="P13" i="269" s="1"/>
  <c r="AJ18" i="268"/>
  <c r="T18" i="268"/>
  <c r="S18" i="268"/>
  <c r="G18" i="268"/>
  <c r="R18" i="268" s="1"/>
  <c r="B18" i="268"/>
  <c r="P18" i="268" s="1"/>
  <c r="AJ20" i="268"/>
  <c r="T20" i="268"/>
  <c r="S20" i="268"/>
  <c r="G20" i="268"/>
  <c r="R20" i="268" s="1"/>
  <c r="B20" i="268"/>
  <c r="P20" i="268" s="1"/>
  <c r="AJ19" i="268"/>
  <c r="T19" i="268"/>
  <c r="S19" i="268"/>
  <c r="G19" i="268"/>
  <c r="R19" i="268" s="1"/>
  <c r="B19" i="268"/>
  <c r="P19" i="268" s="1"/>
  <c r="AJ17" i="268"/>
  <c r="T17" i="268"/>
  <c r="S17" i="268"/>
  <c r="G17" i="268"/>
  <c r="R17" i="268" s="1"/>
  <c r="B17" i="268"/>
  <c r="P17" i="268" s="1"/>
  <c r="AJ16" i="268"/>
  <c r="T16" i="268"/>
  <c r="S16" i="268"/>
  <c r="G16" i="268"/>
  <c r="R16" i="268" s="1"/>
  <c r="B16" i="268"/>
  <c r="P16" i="268" s="1"/>
  <c r="AJ15" i="268"/>
  <c r="T15" i="268"/>
  <c r="S15" i="268"/>
  <c r="G15" i="268"/>
  <c r="R15" i="268" s="1"/>
  <c r="B15" i="268"/>
  <c r="P15" i="268" s="1"/>
  <c r="AJ14" i="268"/>
  <c r="T14" i="268"/>
  <c r="S14" i="268"/>
  <c r="G14" i="268"/>
  <c r="R14" i="268" s="1"/>
  <c r="B14" i="268"/>
  <c r="P14" i="268" s="1"/>
  <c r="AJ13" i="268"/>
  <c r="T13" i="268"/>
  <c r="S13" i="268"/>
  <c r="R13" i="268"/>
  <c r="G13" i="268"/>
  <c r="Q13" i="268" s="1"/>
  <c r="B13" i="268"/>
  <c r="P13" i="268" s="1"/>
  <c r="AJ42" i="267"/>
  <c r="T42" i="267"/>
  <c r="S42" i="267"/>
  <c r="G42" i="267"/>
  <c r="R42" i="267" s="1"/>
  <c r="B42" i="267"/>
  <c r="P42" i="267" s="1"/>
  <c r="AJ41" i="267"/>
  <c r="T41" i="267"/>
  <c r="S41" i="267"/>
  <c r="G41" i="267"/>
  <c r="R41" i="267" s="1"/>
  <c r="B41" i="267"/>
  <c r="P41" i="267" s="1"/>
  <c r="AJ40" i="267"/>
  <c r="T40" i="267"/>
  <c r="S40" i="267"/>
  <c r="G40" i="267"/>
  <c r="R40" i="267" s="1"/>
  <c r="B40" i="267"/>
  <c r="P40" i="267" s="1"/>
  <c r="AJ39" i="267"/>
  <c r="T39" i="267"/>
  <c r="S39" i="267"/>
  <c r="G39" i="267"/>
  <c r="R39" i="267" s="1"/>
  <c r="B39" i="267"/>
  <c r="P39" i="267" s="1"/>
  <c r="AJ38" i="267"/>
  <c r="T38" i="267"/>
  <c r="S38" i="267"/>
  <c r="G38" i="267"/>
  <c r="Q38" i="267" s="1"/>
  <c r="B38" i="267"/>
  <c r="P38" i="267" s="1"/>
  <c r="AJ37" i="267"/>
  <c r="T37" i="267"/>
  <c r="S37" i="267"/>
  <c r="G37" i="267"/>
  <c r="R37" i="267" s="1"/>
  <c r="B37" i="267"/>
  <c r="P37" i="267" s="1"/>
  <c r="AJ36" i="267"/>
  <c r="T36" i="267"/>
  <c r="S36" i="267"/>
  <c r="G36" i="267"/>
  <c r="R36" i="267" s="1"/>
  <c r="B36" i="267"/>
  <c r="P36" i="267" s="1"/>
  <c r="AJ35" i="267"/>
  <c r="T35" i="267"/>
  <c r="S35" i="267"/>
  <c r="G35" i="267"/>
  <c r="R35" i="267" s="1"/>
  <c r="B35" i="267"/>
  <c r="P35" i="267" s="1"/>
  <c r="AJ34" i="267"/>
  <c r="T34" i="267"/>
  <c r="S34" i="267"/>
  <c r="G34" i="267"/>
  <c r="R34" i="267" s="1"/>
  <c r="B34" i="267"/>
  <c r="P34" i="267" s="1"/>
  <c r="AJ33" i="267"/>
  <c r="T33" i="267"/>
  <c r="S33" i="267"/>
  <c r="G33" i="267"/>
  <c r="R33" i="267" s="1"/>
  <c r="B33" i="267"/>
  <c r="P33" i="267" s="1"/>
  <c r="AJ32" i="267"/>
  <c r="T32" i="267"/>
  <c r="S32" i="267"/>
  <c r="R32" i="267"/>
  <c r="G32" i="267"/>
  <c r="Q32" i="267" s="1"/>
  <c r="B32" i="267"/>
  <c r="P32" i="267" s="1"/>
  <c r="AJ31" i="267"/>
  <c r="T31" i="267"/>
  <c r="S31" i="267"/>
  <c r="G31" i="267"/>
  <c r="R31" i="267" s="1"/>
  <c r="B31" i="267"/>
  <c r="P31" i="267" s="1"/>
  <c r="AJ30" i="267"/>
  <c r="T30" i="267"/>
  <c r="S30" i="267"/>
  <c r="G30" i="267"/>
  <c r="Q30" i="267" s="1"/>
  <c r="B30" i="267"/>
  <c r="P30" i="267" s="1"/>
  <c r="AJ29" i="267"/>
  <c r="T29" i="267"/>
  <c r="S29" i="267"/>
  <c r="G29" i="267"/>
  <c r="R29" i="267" s="1"/>
  <c r="B29" i="267"/>
  <c r="P29" i="267" s="1"/>
  <c r="AJ28" i="267"/>
  <c r="T28" i="267"/>
  <c r="S28" i="267"/>
  <c r="G28" i="267"/>
  <c r="R28" i="267" s="1"/>
  <c r="B28" i="267"/>
  <c r="P28" i="267" s="1"/>
  <c r="AJ27" i="267"/>
  <c r="T27" i="267"/>
  <c r="S27" i="267"/>
  <c r="G27" i="267"/>
  <c r="R27" i="267" s="1"/>
  <c r="B27" i="267"/>
  <c r="P27" i="267" s="1"/>
  <c r="AJ26" i="267"/>
  <c r="T26" i="267"/>
  <c r="S26" i="267"/>
  <c r="G26" i="267"/>
  <c r="Q26" i="267" s="1"/>
  <c r="B26" i="267"/>
  <c r="P26" i="267" s="1"/>
  <c r="AJ25" i="267"/>
  <c r="T25" i="267"/>
  <c r="S25" i="267"/>
  <c r="G25" i="267"/>
  <c r="R25" i="267" s="1"/>
  <c r="B25" i="267"/>
  <c r="P25" i="267" s="1"/>
  <c r="AJ24" i="267"/>
  <c r="T24" i="267"/>
  <c r="S24" i="267"/>
  <c r="G24" i="267"/>
  <c r="R24" i="267" s="1"/>
  <c r="B24" i="267"/>
  <c r="P24" i="267" s="1"/>
  <c r="AJ23" i="267"/>
  <c r="T23" i="267"/>
  <c r="S23" i="267"/>
  <c r="G23" i="267"/>
  <c r="R23" i="267" s="1"/>
  <c r="B23" i="267"/>
  <c r="P23" i="267" s="1"/>
  <c r="AJ22" i="267"/>
  <c r="T22" i="267"/>
  <c r="S22" i="267"/>
  <c r="G22" i="267"/>
  <c r="R22" i="267" s="1"/>
  <c r="B22" i="267"/>
  <c r="P22" i="267" s="1"/>
  <c r="AJ21" i="267"/>
  <c r="T21" i="267"/>
  <c r="S21" i="267"/>
  <c r="G21" i="267"/>
  <c r="R21" i="267" s="1"/>
  <c r="B21" i="267"/>
  <c r="P21" i="267" s="1"/>
  <c r="AJ20" i="267"/>
  <c r="T20" i="267"/>
  <c r="S20" i="267"/>
  <c r="G20" i="267"/>
  <c r="R20" i="267" s="1"/>
  <c r="B20" i="267"/>
  <c r="P20" i="267" s="1"/>
  <c r="AJ19" i="267"/>
  <c r="T19" i="267"/>
  <c r="S19" i="267"/>
  <c r="G19" i="267"/>
  <c r="R19" i="267" s="1"/>
  <c r="B19" i="267"/>
  <c r="P19" i="267" s="1"/>
  <c r="AJ18" i="267"/>
  <c r="T18" i="267"/>
  <c r="S18" i="267"/>
  <c r="G18" i="267"/>
  <c r="R18" i="267" s="1"/>
  <c r="B18" i="267"/>
  <c r="P18" i="267" s="1"/>
  <c r="AJ44" i="267"/>
  <c r="T44" i="267"/>
  <c r="S44" i="267"/>
  <c r="G44" i="267"/>
  <c r="R44" i="267" s="1"/>
  <c r="B44" i="267"/>
  <c r="P44" i="267" s="1"/>
  <c r="AJ43" i="267"/>
  <c r="T43" i="267"/>
  <c r="S43" i="267"/>
  <c r="G43" i="267"/>
  <c r="Q43" i="267" s="1"/>
  <c r="B43" i="267"/>
  <c r="P43" i="267" s="1"/>
  <c r="AJ17" i="267"/>
  <c r="T17" i="267"/>
  <c r="S17" i="267"/>
  <c r="R17" i="267"/>
  <c r="G17" i="267"/>
  <c r="Q17" i="267" s="1"/>
  <c r="B17" i="267"/>
  <c r="P17" i="267" s="1"/>
  <c r="AJ16" i="267"/>
  <c r="T16" i="267"/>
  <c r="S16" i="267"/>
  <c r="R16" i="267"/>
  <c r="G16" i="267"/>
  <c r="Q16" i="267" s="1"/>
  <c r="B16" i="267"/>
  <c r="P16" i="267" s="1"/>
  <c r="AJ15" i="267"/>
  <c r="T15" i="267"/>
  <c r="S15" i="267"/>
  <c r="G15" i="267"/>
  <c r="R15" i="267" s="1"/>
  <c r="B15" i="267"/>
  <c r="P15" i="267" s="1"/>
  <c r="AJ14" i="267"/>
  <c r="T14" i="267"/>
  <c r="S14" i="267"/>
  <c r="G14" i="267"/>
  <c r="R14" i="267" s="1"/>
  <c r="B14" i="267"/>
  <c r="P14" i="267" s="1"/>
  <c r="AJ13" i="267"/>
  <c r="T13" i="267"/>
  <c r="S13" i="267"/>
  <c r="R13" i="267"/>
  <c r="G13" i="267"/>
  <c r="Q13" i="267" s="1"/>
  <c r="B13" i="267"/>
  <c r="P13" i="267" s="1"/>
  <c r="AJ16" i="266"/>
  <c r="T16" i="266"/>
  <c r="S16" i="266"/>
  <c r="G16" i="266"/>
  <c r="R16" i="266" s="1"/>
  <c r="B16" i="266"/>
  <c r="P16" i="266" s="1"/>
  <c r="AJ15" i="266"/>
  <c r="T15" i="266"/>
  <c r="S15" i="266"/>
  <c r="G15" i="266"/>
  <c r="R15" i="266" s="1"/>
  <c r="B15" i="266"/>
  <c r="P15" i="266" s="1"/>
  <c r="AJ14" i="266"/>
  <c r="T14" i="266"/>
  <c r="S14" i="266"/>
  <c r="G14" i="266"/>
  <c r="R14" i="266" s="1"/>
  <c r="B14" i="266"/>
  <c r="P14" i="266" s="1"/>
  <c r="AJ13" i="266"/>
  <c r="T13" i="266"/>
  <c r="S13" i="266"/>
  <c r="R13" i="266"/>
  <c r="G13" i="266"/>
  <c r="Q13" i="266" s="1"/>
  <c r="B13" i="266"/>
  <c r="P13" i="266" s="1"/>
  <c r="AJ15" i="265"/>
  <c r="T15" i="265"/>
  <c r="S15" i="265"/>
  <c r="G15" i="265"/>
  <c r="Q15" i="265" s="1"/>
  <c r="B15" i="265"/>
  <c r="P15" i="265" s="1"/>
  <c r="AJ19" i="265"/>
  <c r="T19" i="265"/>
  <c r="S19" i="265"/>
  <c r="G19" i="265"/>
  <c r="R19" i="265" s="1"/>
  <c r="B19" i="265"/>
  <c r="P19" i="265" s="1"/>
  <c r="AJ18" i="265"/>
  <c r="T18" i="265"/>
  <c r="S18" i="265"/>
  <c r="G18" i="265"/>
  <c r="R18" i="265" s="1"/>
  <c r="B18" i="265"/>
  <c r="P18" i="265" s="1"/>
  <c r="AJ17" i="265"/>
  <c r="T17" i="265"/>
  <c r="S17" i="265"/>
  <c r="G17" i="265"/>
  <c r="R17" i="265" s="1"/>
  <c r="B17" i="265"/>
  <c r="P17" i="265" s="1"/>
  <c r="AJ16" i="265"/>
  <c r="T16" i="265"/>
  <c r="S16" i="265"/>
  <c r="G16" i="265"/>
  <c r="Q16" i="265" s="1"/>
  <c r="B16" i="265"/>
  <c r="P16" i="265" s="1"/>
  <c r="AJ14" i="265"/>
  <c r="T14" i="265"/>
  <c r="S14" i="265"/>
  <c r="G14" i="265"/>
  <c r="Q14" i="265" s="1"/>
  <c r="B14" i="265"/>
  <c r="P14" i="265" s="1"/>
  <c r="AJ13" i="265"/>
  <c r="T13" i="265"/>
  <c r="S13" i="265"/>
  <c r="R13" i="265"/>
  <c r="G13" i="265"/>
  <c r="Q13" i="265" s="1"/>
  <c r="B13" i="265"/>
  <c r="P13" i="265" s="1"/>
  <c r="BK68" i="25"/>
  <c r="A68" i="25"/>
  <c r="BK67" i="25"/>
  <c r="A67" i="25"/>
  <c r="BK66" i="25"/>
  <c r="A66" i="25"/>
  <c r="BK65" i="25"/>
  <c r="A65" i="25"/>
  <c r="BK64" i="25"/>
  <c r="A64" i="25"/>
  <c r="BK63" i="25"/>
  <c r="A63" i="25"/>
  <c r="BK62" i="25"/>
  <c r="A62" i="25"/>
  <c r="BK61" i="25"/>
  <c r="A61" i="25"/>
  <c r="BK60" i="25"/>
  <c r="A60" i="25"/>
  <c r="BK59" i="25"/>
  <c r="A59" i="25"/>
  <c r="BK58" i="25"/>
  <c r="A58" i="25"/>
  <c r="BK57" i="25"/>
  <c r="A57" i="25"/>
  <c r="BK56" i="25"/>
  <c r="A56" i="25"/>
  <c r="AJ18" i="264"/>
  <c r="T18" i="264"/>
  <c r="S18" i="264"/>
  <c r="G18" i="264"/>
  <c r="R18" i="264" s="1"/>
  <c r="B18" i="264"/>
  <c r="P18" i="264" s="1"/>
  <c r="AJ17" i="264"/>
  <c r="T17" i="264"/>
  <c r="S17" i="264"/>
  <c r="G17" i="264"/>
  <c r="Q17" i="264" s="1"/>
  <c r="B17" i="264"/>
  <c r="P17" i="264" s="1"/>
  <c r="AJ16" i="264"/>
  <c r="T16" i="264"/>
  <c r="S16" i="264"/>
  <c r="G16" i="264"/>
  <c r="Q16" i="264" s="1"/>
  <c r="B16" i="264"/>
  <c r="P16" i="264" s="1"/>
  <c r="AJ15" i="264"/>
  <c r="T15" i="264"/>
  <c r="S15" i="264"/>
  <c r="R15" i="264"/>
  <c r="G15" i="264"/>
  <c r="Q15" i="264" s="1"/>
  <c r="B15" i="264"/>
  <c r="P15" i="264" s="1"/>
  <c r="AJ14" i="264"/>
  <c r="T14" i="264"/>
  <c r="S14" i="264"/>
  <c r="R14" i="264"/>
  <c r="G14" i="264"/>
  <c r="Q14" i="264" s="1"/>
  <c r="B14" i="264"/>
  <c r="P14" i="264" s="1"/>
  <c r="AJ13" i="264"/>
  <c r="T13" i="264"/>
  <c r="S13" i="264"/>
  <c r="R13" i="264"/>
  <c r="G13" i="264"/>
  <c r="Q13" i="264" s="1"/>
  <c r="B13" i="264"/>
  <c r="P13" i="264" s="1"/>
  <c r="AJ20" i="263"/>
  <c r="T20" i="263"/>
  <c r="S20" i="263"/>
  <c r="G20" i="263"/>
  <c r="Q20" i="263" s="1"/>
  <c r="B20" i="263"/>
  <c r="P20" i="263" s="1"/>
  <c r="AJ19" i="263"/>
  <c r="T19" i="263"/>
  <c r="S19" i="263"/>
  <c r="R19" i="263"/>
  <c r="G19" i="263"/>
  <c r="Q19" i="263" s="1"/>
  <c r="B19" i="263"/>
  <c r="P19" i="263" s="1"/>
  <c r="AJ18" i="263"/>
  <c r="T18" i="263"/>
  <c r="S18" i="263"/>
  <c r="R18" i="263"/>
  <c r="G18" i="263"/>
  <c r="Q18" i="263" s="1"/>
  <c r="B18" i="263"/>
  <c r="P18" i="263" s="1"/>
  <c r="AJ22" i="263"/>
  <c r="T22" i="263"/>
  <c r="S22" i="263"/>
  <c r="G22" i="263"/>
  <c r="Q22" i="263" s="1"/>
  <c r="B22" i="263"/>
  <c r="P22" i="263" s="1"/>
  <c r="AJ21" i="263"/>
  <c r="T21" i="263"/>
  <c r="S21" i="263"/>
  <c r="G21" i="263"/>
  <c r="Q21" i="263" s="1"/>
  <c r="B21" i="263"/>
  <c r="P21" i="263" s="1"/>
  <c r="AJ17" i="263"/>
  <c r="T17" i="263"/>
  <c r="S17" i="263"/>
  <c r="R17" i="263"/>
  <c r="G17" i="263"/>
  <c r="Q17" i="263" s="1"/>
  <c r="B17" i="263"/>
  <c r="P17" i="263" s="1"/>
  <c r="AJ16" i="263"/>
  <c r="T16" i="263"/>
  <c r="S16" i="263"/>
  <c r="R16" i="263"/>
  <c r="G16" i="263"/>
  <c r="Q16" i="263" s="1"/>
  <c r="B16" i="263"/>
  <c r="P16" i="263" s="1"/>
  <c r="AJ15" i="263"/>
  <c r="T15" i="263"/>
  <c r="S15" i="263"/>
  <c r="R15" i="263"/>
  <c r="G15" i="263"/>
  <c r="Q15" i="263" s="1"/>
  <c r="B15" i="263"/>
  <c r="P15" i="263" s="1"/>
  <c r="AJ14" i="263"/>
  <c r="T14" i="263"/>
  <c r="S14" i="263"/>
  <c r="R14" i="263"/>
  <c r="G14" i="263"/>
  <c r="Q14" i="263" s="1"/>
  <c r="B14" i="263"/>
  <c r="P14" i="263" s="1"/>
  <c r="AJ13" i="263"/>
  <c r="T13" i="263"/>
  <c r="S13" i="263"/>
  <c r="R13" i="263"/>
  <c r="G13" i="263"/>
  <c r="Q13" i="263" s="1"/>
  <c r="B13" i="263"/>
  <c r="P13" i="263" s="1"/>
  <c r="AJ162" i="262"/>
  <c r="T162" i="262"/>
  <c r="S162" i="262"/>
  <c r="R162" i="262"/>
  <c r="G162" i="262"/>
  <c r="Q162" i="262" s="1"/>
  <c r="B162" i="262"/>
  <c r="P162" i="262" s="1"/>
  <c r="AJ161" i="262"/>
  <c r="T161" i="262"/>
  <c r="S161" i="262"/>
  <c r="R161" i="262"/>
  <c r="G161" i="262"/>
  <c r="Q161" i="262" s="1"/>
  <c r="B161" i="262"/>
  <c r="P161" i="262" s="1"/>
  <c r="AJ160" i="262"/>
  <c r="T160" i="262"/>
  <c r="S160" i="262"/>
  <c r="R160" i="262"/>
  <c r="G160" i="262"/>
  <c r="Q160" i="262" s="1"/>
  <c r="B160" i="262"/>
  <c r="P160" i="262" s="1"/>
  <c r="AJ159" i="262"/>
  <c r="T159" i="262"/>
  <c r="S159" i="262"/>
  <c r="R159" i="262"/>
  <c r="G159" i="262"/>
  <c r="Q159" i="262" s="1"/>
  <c r="B159" i="262"/>
  <c r="P159" i="262" s="1"/>
  <c r="AJ158" i="262"/>
  <c r="T158" i="262"/>
  <c r="S158" i="262"/>
  <c r="R158" i="262"/>
  <c r="G158" i="262"/>
  <c r="Q158" i="262" s="1"/>
  <c r="B158" i="262"/>
  <c r="P158" i="262" s="1"/>
  <c r="AJ157" i="262"/>
  <c r="T157" i="262"/>
  <c r="S157" i="262"/>
  <c r="R157" i="262"/>
  <c r="G157" i="262"/>
  <c r="Q157" i="262" s="1"/>
  <c r="B157" i="262"/>
  <c r="P157" i="262" s="1"/>
  <c r="AJ156" i="262"/>
  <c r="T156" i="262"/>
  <c r="S156" i="262"/>
  <c r="R156" i="262"/>
  <c r="G156" i="262"/>
  <c r="Q156" i="262" s="1"/>
  <c r="B156" i="262"/>
  <c r="P156" i="262" s="1"/>
  <c r="AJ155" i="262"/>
  <c r="T155" i="262"/>
  <c r="S155" i="262"/>
  <c r="R155" i="262"/>
  <c r="G155" i="262"/>
  <c r="Q155" i="262" s="1"/>
  <c r="B155" i="262"/>
  <c r="P155" i="262" s="1"/>
  <c r="AJ154" i="262"/>
  <c r="T154" i="262"/>
  <c r="S154" i="262"/>
  <c r="R154" i="262"/>
  <c r="G154" i="262"/>
  <c r="Q154" i="262" s="1"/>
  <c r="B154" i="262"/>
  <c r="P154" i="262" s="1"/>
  <c r="AJ153" i="262"/>
  <c r="T153" i="262"/>
  <c r="S153" i="262"/>
  <c r="R153" i="262"/>
  <c r="G153" i="262"/>
  <c r="Q153" i="262" s="1"/>
  <c r="B153" i="262"/>
  <c r="P153" i="262" s="1"/>
  <c r="AJ152" i="262"/>
  <c r="T152" i="262"/>
  <c r="S152" i="262"/>
  <c r="R152" i="262"/>
  <c r="G152" i="262"/>
  <c r="Q152" i="262" s="1"/>
  <c r="B152" i="262"/>
  <c r="P152" i="262" s="1"/>
  <c r="AJ151" i="262"/>
  <c r="T151" i="262"/>
  <c r="S151" i="262"/>
  <c r="R151" i="262"/>
  <c r="G151" i="262"/>
  <c r="Q151" i="262" s="1"/>
  <c r="B151" i="262"/>
  <c r="P151" i="262" s="1"/>
  <c r="AJ150" i="262"/>
  <c r="T150" i="262"/>
  <c r="S150" i="262"/>
  <c r="R150" i="262"/>
  <c r="G150" i="262"/>
  <c r="Q150" i="262" s="1"/>
  <c r="B150" i="262"/>
  <c r="P150" i="262" s="1"/>
  <c r="AJ149" i="262"/>
  <c r="T149" i="262"/>
  <c r="S149" i="262"/>
  <c r="R149" i="262"/>
  <c r="G149" i="262"/>
  <c r="Q149" i="262" s="1"/>
  <c r="B149" i="262"/>
  <c r="P149" i="262" s="1"/>
  <c r="AJ148" i="262"/>
  <c r="T148" i="262"/>
  <c r="S148" i="262"/>
  <c r="R148" i="262"/>
  <c r="G148" i="262"/>
  <c r="Q148" i="262" s="1"/>
  <c r="B148" i="262"/>
  <c r="P148" i="262" s="1"/>
  <c r="AJ147" i="262"/>
  <c r="T147" i="262"/>
  <c r="S147" i="262"/>
  <c r="R147" i="262"/>
  <c r="G147" i="262"/>
  <c r="Q147" i="262" s="1"/>
  <c r="B147" i="262"/>
  <c r="P147" i="262" s="1"/>
  <c r="AJ146" i="262"/>
  <c r="T146" i="262"/>
  <c r="S146" i="262"/>
  <c r="R146" i="262"/>
  <c r="G146" i="262"/>
  <c r="Q146" i="262" s="1"/>
  <c r="B146" i="262"/>
  <c r="P146" i="262" s="1"/>
  <c r="AJ145" i="262"/>
  <c r="T145" i="262"/>
  <c r="S145" i="262"/>
  <c r="R145" i="262"/>
  <c r="G145" i="262"/>
  <c r="Q145" i="262" s="1"/>
  <c r="B145" i="262"/>
  <c r="P145" i="262" s="1"/>
  <c r="AJ144" i="262"/>
  <c r="T144" i="262"/>
  <c r="S144" i="262"/>
  <c r="R144" i="262"/>
  <c r="G144" i="262"/>
  <c r="Q144" i="262" s="1"/>
  <c r="B144" i="262"/>
  <c r="P144" i="262" s="1"/>
  <c r="AJ143" i="262"/>
  <c r="T143" i="262"/>
  <c r="S143" i="262"/>
  <c r="R143" i="262"/>
  <c r="G143" i="262"/>
  <c r="Q143" i="262" s="1"/>
  <c r="B143" i="262"/>
  <c r="P143" i="262" s="1"/>
  <c r="AJ142" i="262"/>
  <c r="T142" i="262"/>
  <c r="S142" i="262"/>
  <c r="R142" i="262"/>
  <c r="G142" i="262"/>
  <c r="Q142" i="262" s="1"/>
  <c r="B142" i="262"/>
  <c r="P142" i="262" s="1"/>
  <c r="AJ141" i="262"/>
  <c r="T141" i="262"/>
  <c r="S141" i="262"/>
  <c r="R141" i="262"/>
  <c r="G141" i="262"/>
  <c r="Q141" i="262" s="1"/>
  <c r="B141" i="262"/>
  <c r="P141" i="262" s="1"/>
  <c r="AJ140" i="262"/>
  <c r="T140" i="262"/>
  <c r="S140" i="262"/>
  <c r="R140" i="262"/>
  <c r="G140" i="262"/>
  <c r="Q140" i="262" s="1"/>
  <c r="B140" i="262"/>
  <c r="P140" i="262" s="1"/>
  <c r="AJ139" i="262"/>
  <c r="T139" i="262"/>
  <c r="S139" i="262"/>
  <c r="R139" i="262"/>
  <c r="G139" i="262"/>
  <c r="Q139" i="262" s="1"/>
  <c r="B139" i="262"/>
  <c r="P139" i="262" s="1"/>
  <c r="AJ138" i="262"/>
  <c r="T138" i="262"/>
  <c r="S138" i="262"/>
  <c r="R138" i="262"/>
  <c r="G138" i="262"/>
  <c r="Q138" i="262" s="1"/>
  <c r="B138" i="262"/>
  <c r="P138" i="262" s="1"/>
  <c r="AJ137" i="262"/>
  <c r="T137" i="262"/>
  <c r="S137" i="262"/>
  <c r="R137" i="262"/>
  <c r="G137" i="262"/>
  <c r="Q137" i="262" s="1"/>
  <c r="B137" i="262"/>
  <c r="P137" i="262" s="1"/>
  <c r="AJ136" i="262"/>
  <c r="T136" i="262"/>
  <c r="S136" i="262"/>
  <c r="R136" i="262"/>
  <c r="G136" i="262"/>
  <c r="Q136" i="262" s="1"/>
  <c r="B136" i="262"/>
  <c r="P136" i="262" s="1"/>
  <c r="AJ135" i="262"/>
  <c r="T135" i="262"/>
  <c r="S135" i="262"/>
  <c r="R135" i="262"/>
  <c r="G135" i="262"/>
  <c r="Q135" i="262" s="1"/>
  <c r="B135" i="262"/>
  <c r="P135" i="262" s="1"/>
  <c r="AJ134" i="262"/>
  <c r="T134" i="262"/>
  <c r="S134" i="262"/>
  <c r="R134" i="262"/>
  <c r="G134" i="262"/>
  <c r="Q134" i="262" s="1"/>
  <c r="B134" i="262"/>
  <c r="P134" i="262" s="1"/>
  <c r="AJ133" i="262"/>
  <c r="T133" i="262"/>
  <c r="S133" i="262"/>
  <c r="R133" i="262"/>
  <c r="G133" i="262"/>
  <c r="Q133" i="262" s="1"/>
  <c r="B133" i="262"/>
  <c r="P133" i="262" s="1"/>
  <c r="AJ132" i="262"/>
  <c r="T132" i="262"/>
  <c r="S132" i="262"/>
  <c r="R132" i="262"/>
  <c r="G132" i="262"/>
  <c r="Q132" i="262" s="1"/>
  <c r="B132" i="262"/>
  <c r="P132" i="262" s="1"/>
  <c r="AJ131" i="262"/>
  <c r="T131" i="262"/>
  <c r="S131" i="262"/>
  <c r="R131" i="262"/>
  <c r="G131" i="262"/>
  <c r="Q131" i="262" s="1"/>
  <c r="B131" i="262"/>
  <c r="P131" i="262" s="1"/>
  <c r="AJ130" i="262"/>
  <c r="T130" i="262"/>
  <c r="S130" i="262"/>
  <c r="R130" i="262"/>
  <c r="G130" i="262"/>
  <c r="Q130" i="262" s="1"/>
  <c r="B130" i="262"/>
  <c r="P130" i="262" s="1"/>
  <c r="AJ129" i="262"/>
  <c r="T129" i="262"/>
  <c r="S129" i="262"/>
  <c r="R129" i="262"/>
  <c r="G129" i="262"/>
  <c r="Q129" i="262" s="1"/>
  <c r="B129" i="262"/>
  <c r="P129" i="262" s="1"/>
  <c r="AJ128" i="262"/>
  <c r="T128" i="262"/>
  <c r="S128" i="262"/>
  <c r="R128" i="262"/>
  <c r="G128" i="262"/>
  <c r="Q128" i="262" s="1"/>
  <c r="B128" i="262"/>
  <c r="P128" i="262" s="1"/>
  <c r="AJ127" i="262"/>
  <c r="T127" i="262"/>
  <c r="S127" i="262"/>
  <c r="R127" i="262"/>
  <c r="G127" i="262"/>
  <c r="Q127" i="262" s="1"/>
  <c r="B127" i="262"/>
  <c r="P127" i="262" s="1"/>
  <c r="AJ126" i="262"/>
  <c r="T126" i="262"/>
  <c r="S126" i="262"/>
  <c r="R126" i="262"/>
  <c r="G126" i="262"/>
  <c r="Q126" i="262" s="1"/>
  <c r="B126" i="262"/>
  <c r="P126" i="262" s="1"/>
  <c r="AJ125" i="262"/>
  <c r="T125" i="262"/>
  <c r="S125" i="262"/>
  <c r="R125" i="262"/>
  <c r="G125" i="262"/>
  <c r="Q125" i="262" s="1"/>
  <c r="B125" i="262"/>
  <c r="P125" i="262" s="1"/>
  <c r="AJ124" i="262"/>
  <c r="T124" i="262"/>
  <c r="S124" i="262"/>
  <c r="R124" i="262"/>
  <c r="G124" i="262"/>
  <c r="Q124" i="262" s="1"/>
  <c r="B124" i="262"/>
  <c r="P124" i="262" s="1"/>
  <c r="AJ123" i="262"/>
  <c r="T123" i="262"/>
  <c r="S123" i="262"/>
  <c r="R123" i="262"/>
  <c r="G123" i="262"/>
  <c r="Q123" i="262" s="1"/>
  <c r="B123" i="262"/>
  <c r="P123" i="262" s="1"/>
  <c r="AJ122" i="262"/>
  <c r="T122" i="262"/>
  <c r="S122" i="262"/>
  <c r="R122" i="262"/>
  <c r="G122" i="262"/>
  <c r="Q122" i="262" s="1"/>
  <c r="B122" i="262"/>
  <c r="P122" i="262" s="1"/>
  <c r="AJ121" i="262"/>
  <c r="T121" i="262"/>
  <c r="S121" i="262"/>
  <c r="R121" i="262"/>
  <c r="G121" i="262"/>
  <c r="Q121" i="262" s="1"/>
  <c r="B121" i="262"/>
  <c r="P121" i="262" s="1"/>
  <c r="AJ120" i="262"/>
  <c r="T120" i="262"/>
  <c r="S120" i="262"/>
  <c r="R120" i="262"/>
  <c r="G120" i="262"/>
  <c r="Q120" i="262" s="1"/>
  <c r="B120" i="262"/>
  <c r="P120" i="262" s="1"/>
  <c r="AJ119" i="262"/>
  <c r="T119" i="262"/>
  <c r="S119" i="262"/>
  <c r="R119" i="262"/>
  <c r="G119" i="262"/>
  <c r="Q119" i="262" s="1"/>
  <c r="B119" i="262"/>
  <c r="P119" i="262" s="1"/>
  <c r="AJ118" i="262"/>
  <c r="T118" i="262"/>
  <c r="S118" i="262"/>
  <c r="R118" i="262"/>
  <c r="G118" i="262"/>
  <c r="Q118" i="262" s="1"/>
  <c r="B118" i="262"/>
  <c r="P118" i="262" s="1"/>
  <c r="AJ117" i="262"/>
  <c r="T117" i="262"/>
  <c r="S117" i="262"/>
  <c r="R117" i="262"/>
  <c r="G117" i="262"/>
  <c r="Q117" i="262" s="1"/>
  <c r="B117" i="262"/>
  <c r="P117" i="262" s="1"/>
  <c r="AJ116" i="262"/>
  <c r="T116" i="262"/>
  <c r="S116" i="262"/>
  <c r="R116" i="262"/>
  <c r="G116" i="262"/>
  <c r="Q116" i="262" s="1"/>
  <c r="B116" i="262"/>
  <c r="P116" i="262" s="1"/>
  <c r="AJ115" i="262"/>
  <c r="T115" i="262"/>
  <c r="S115" i="262"/>
  <c r="R115" i="262"/>
  <c r="G115" i="262"/>
  <c r="Q115" i="262" s="1"/>
  <c r="B115" i="262"/>
  <c r="P115" i="262" s="1"/>
  <c r="AJ114" i="262"/>
  <c r="T114" i="262"/>
  <c r="S114" i="262"/>
  <c r="R114" i="262"/>
  <c r="G114" i="262"/>
  <c r="Q114" i="262" s="1"/>
  <c r="B114" i="262"/>
  <c r="P114" i="262" s="1"/>
  <c r="AJ113" i="262"/>
  <c r="T113" i="262"/>
  <c r="S113" i="262"/>
  <c r="R113" i="262"/>
  <c r="G113" i="262"/>
  <c r="Q113" i="262" s="1"/>
  <c r="B113" i="262"/>
  <c r="P113" i="262" s="1"/>
  <c r="AJ112" i="262"/>
  <c r="T112" i="262"/>
  <c r="S112" i="262"/>
  <c r="R112" i="262"/>
  <c r="G112" i="262"/>
  <c r="Q112" i="262" s="1"/>
  <c r="B112" i="262"/>
  <c r="P112" i="262" s="1"/>
  <c r="AJ111" i="262"/>
  <c r="T111" i="262"/>
  <c r="S111" i="262"/>
  <c r="R111" i="262"/>
  <c r="G111" i="262"/>
  <c r="Q111" i="262" s="1"/>
  <c r="B111" i="262"/>
  <c r="P111" i="262" s="1"/>
  <c r="AJ110" i="262"/>
  <c r="T110" i="262"/>
  <c r="S110" i="262"/>
  <c r="R110" i="262"/>
  <c r="G110" i="262"/>
  <c r="Q110" i="262" s="1"/>
  <c r="B110" i="262"/>
  <c r="P110" i="262" s="1"/>
  <c r="AJ109" i="262"/>
  <c r="T109" i="262"/>
  <c r="S109" i="262"/>
  <c r="R109" i="262"/>
  <c r="G109" i="262"/>
  <c r="Q109" i="262" s="1"/>
  <c r="B109" i="262"/>
  <c r="P109" i="262" s="1"/>
  <c r="AJ108" i="262"/>
  <c r="T108" i="262"/>
  <c r="S108" i="262"/>
  <c r="R108" i="262"/>
  <c r="G108" i="262"/>
  <c r="Q108" i="262" s="1"/>
  <c r="B108" i="262"/>
  <c r="P108" i="262" s="1"/>
  <c r="AJ107" i="262"/>
  <c r="T107" i="262"/>
  <c r="S107" i="262"/>
  <c r="R107" i="262"/>
  <c r="G107" i="262"/>
  <c r="Q107" i="262" s="1"/>
  <c r="B107" i="262"/>
  <c r="P107" i="262" s="1"/>
  <c r="AJ106" i="262"/>
  <c r="T106" i="262"/>
  <c r="S106" i="262"/>
  <c r="R106" i="262"/>
  <c r="G106" i="262"/>
  <c r="Q106" i="262" s="1"/>
  <c r="B106" i="262"/>
  <c r="P106" i="262" s="1"/>
  <c r="AJ105" i="262"/>
  <c r="T105" i="262"/>
  <c r="S105" i="262"/>
  <c r="R105" i="262"/>
  <c r="G105" i="262"/>
  <c r="Q105" i="262" s="1"/>
  <c r="B105" i="262"/>
  <c r="P105" i="262" s="1"/>
  <c r="AJ104" i="262"/>
  <c r="T104" i="262"/>
  <c r="S104" i="262"/>
  <c r="R104" i="262"/>
  <c r="G104" i="262"/>
  <c r="Q104" i="262" s="1"/>
  <c r="B104" i="262"/>
  <c r="P104" i="262" s="1"/>
  <c r="AJ103" i="262"/>
  <c r="T103" i="262"/>
  <c r="S103" i="262"/>
  <c r="R103" i="262"/>
  <c r="G103" i="262"/>
  <c r="Q103" i="262" s="1"/>
  <c r="B103" i="262"/>
  <c r="P103" i="262" s="1"/>
  <c r="AJ102" i="262"/>
  <c r="T102" i="262"/>
  <c r="S102" i="262"/>
  <c r="R102" i="262"/>
  <c r="G102" i="262"/>
  <c r="Q102" i="262" s="1"/>
  <c r="B102" i="262"/>
  <c r="P102" i="262" s="1"/>
  <c r="AJ101" i="262"/>
  <c r="T101" i="262"/>
  <c r="S101" i="262"/>
  <c r="R101" i="262"/>
  <c r="G101" i="262"/>
  <c r="Q101" i="262" s="1"/>
  <c r="B101" i="262"/>
  <c r="P101" i="262" s="1"/>
  <c r="AJ100" i="262"/>
  <c r="T100" i="262"/>
  <c r="S100" i="262"/>
  <c r="R100" i="262"/>
  <c r="G100" i="262"/>
  <c r="Q100" i="262" s="1"/>
  <c r="B100" i="262"/>
  <c r="P100" i="262" s="1"/>
  <c r="AJ99" i="262"/>
  <c r="T99" i="262"/>
  <c r="S99" i="262"/>
  <c r="R99" i="262"/>
  <c r="G99" i="262"/>
  <c r="Q99" i="262" s="1"/>
  <c r="B99" i="262"/>
  <c r="P99" i="262" s="1"/>
  <c r="AJ98" i="262"/>
  <c r="T98" i="262"/>
  <c r="S98" i="262"/>
  <c r="R98" i="262"/>
  <c r="G98" i="262"/>
  <c r="Q98" i="262" s="1"/>
  <c r="B98" i="262"/>
  <c r="P98" i="262" s="1"/>
  <c r="AJ97" i="262"/>
  <c r="T97" i="262"/>
  <c r="S97" i="262"/>
  <c r="R97" i="262"/>
  <c r="G97" i="262"/>
  <c r="Q97" i="262" s="1"/>
  <c r="B97" i="262"/>
  <c r="P97" i="262" s="1"/>
  <c r="AJ96" i="262"/>
  <c r="T96" i="262"/>
  <c r="S96" i="262"/>
  <c r="R96" i="262"/>
  <c r="G96" i="262"/>
  <c r="Q96" i="262" s="1"/>
  <c r="B96" i="262"/>
  <c r="P96" i="262" s="1"/>
  <c r="AJ95" i="262"/>
  <c r="T95" i="262"/>
  <c r="S95" i="262"/>
  <c r="R95" i="262"/>
  <c r="G95" i="262"/>
  <c r="Q95" i="262" s="1"/>
  <c r="B95" i="262"/>
  <c r="P95" i="262" s="1"/>
  <c r="AJ94" i="262"/>
  <c r="T94" i="262"/>
  <c r="S94" i="262"/>
  <c r="R94" i="262"/>
  <c r="G94" i="262"/>
  <c r="Q94" i="262" s="1"/>
  <c r="B94" i="262"/>
  <c r="P94" i="262" s="1"/>
  <c r="AJ93" i="262"/>
  <c r="T93" i="262"/>
  <c r="S93" i="262"/>
  <c r="R93" i="262"/>
  <c r="G93" i="262"/>
  <c r="Q93" i="262" s="1"/>
  <c r="B93" i="262"/>
  <c r="P93" i="262" s="1"/>
  <c r="AJ92" i="262"/>
  <c r="T92" i="262"/>
  <c r="S92" i="262"/>
  <c r="R92" i="262"/>
  <c r="G92" i="262"/>
  <c r="Q92" i="262" s="1"/>
  <c r="B92" i="262"/>
  <c r="P92" i="262" s="1"/>
  <c r="AJ91" i="262"/>
  <c r="T91" i="262"/>
  <c r="S91" i="262"/>
  <c r="R91" i="262"/>
  <c r="G91" i="262"/>
  <c r="Q91" i="262" s="1"/>
  <c r="B91" i="262"/>
  <c r="P91" i="262" s="1"/>
  <c r="AJ90" i="262"/>
  <c r="T90" i="262"/>
  <c r="S90" i="262"/>
  <c r="R90" i="262"/>
  <c r="G90" i="262"/>
  <c r="Q90" i="262" s="1"/>
  <c r="B90" i="262"/>
  <c r="P90" i="262" s="1"/>
  <c r="AJ89" i="262"/>
  <c r="T89" i="262"/>
  <c r="S89" i="262"/>
  <c r="R89" i="262"/>
  <c r="G89" i="262"/>
  <c r="Q89" i="262" s="1"/>
  <c r="B89" i="262"/>
  <c r="P89" i="262" s="1"/>
  <c r="AJ88" i="262"/>
  <c r="T88" i="262"/>
  <c r="S88" i="262"/>
  <c r="R88" i="262"/>
  <c r="G88" i="262"/>
  <c r="Q88" i="262" s="1"/>
  <c r="B88" i="262"/>
  <c r="P88" i="262" s="1"/>
  <c r="AJ87" i="262"/>
  <c r="T87" i="262"/>
  <c r="S87" i="262"/>
  <c r="R87" i="262"/>
  <c r="G87" i="262"/>
  <c r="Q87" i="262" s="1"/>
  <c r="B87" i="262"/>
  <c r="P87" i="262" s="1"/>
  <c r="AJ86" i="262"/>
  <c r="T86" i="262"/>
  <c r="S86" i="262"/>
  <c r="R86" i="262"/>
  <c r="G86" i="262"/>
  <c r="Q86" i="262" s="1"/>
  <c r="B86" i="262"/>
  <c r="P86" i="262" s="1"/>
  <c r="AJ85" i="262"/>
  <c r="T85" i="262"/>
  <c r="S85" i="262"/>
  <c r="R85" i="262"/>
  <c r="G85" i="262"/>
  <c r="Q85" i="262" s="1"/>
  <c r="B85" i="262"/>
  <c r="P85" i="262" s="1"/>
  <c r="AJ84" i="262"/>
  <c r="T84" i="262"/>
  <c r="S84" i="262"/>
  <c r="R84" i="262"/>
  <c r="G84" i="262"/>
  <c r="Q84" i="262" s="1"/>
  <c r="B84" i="262"/>
  <c r="P84" i="262" s="1"/>
  <c r="AJ83" i="262"/>
  <c r="T83" i="262"/>
  <c r="S83" i="262"/>
  <c r="R83" i="262"/>
  <c r="G83" i="262"/>
  <c r="Q83" i="262" s="1"/>
  <c r="B83" i="262"/>
  <c r="P83" i="262" s="1"/>
  <c r="AJ82" i="262"/>
  <c r="T82" i="262"/>
  <c r="S82" i="262"/>
  <c r="R82" i="262"/>
  <c r="G82" i="262"/>
  <c r="Q82" i="262" s="1"/>
  <c r="B82" i="262"/>
  <c r="P82" i="262" s="1"/>
  <c r="AJ81" i="262"/>
  <c r="T81" i="262"/>
  <c r="S81" i="262"/>
  <c r="R81" i="262"/>
  <c r="G81" i="262"/>
  <c r="Q81" i="262" s="1"/>
  <c r="B81" i="262"/>
  <c r="P81" i="262" s="1"/>
  <c r="AJ80" i="262"/>
  <c r="T80" i="262"/>
  <c r="S80" i="262"/>
  <c r="R80" i="262"/>
  <c r="G80" i="262"/>
  <c r="Q80" i="262" s="1"/>
  <c r="B80" i="262"/>
  <c r="P80" i="262" s="1"/>
  <c r="AJ79" i="262"/>
  <c r="T79" i="262"/>
  <c r="S79" i="262"/>
  <c r="R79" i="262"/>
  <c r="G79" i="262"/>
  <c r="Q79" i="262" s="1"/>
  <c r="B79" i="262"/>
  <c r="P79" i="262" s="1"/>
  <c r="AJ78" i="262"/>
  <c r="T78" i="262"/>
  <c r="S78" i="262"/>
  <c r="R78" i="262"/>
  <c r="G78" i="262"/>
  <c r="Q78" i="262" s="1"/>
  <c r="B78" i="262"/>
  <c r="P78" i="262" s="1"/>
  <c r="AJ77" i="262"/>
  <c r="T77" i="262"/>
  <c r="S77" i="262"/>
  <c r="R77" i="262"/>
  <c r="G77" i="262"/>
  <c r="Q77" i="262" s="1"/>
  <c r="B77" i="262"/>
  <c r="P77" i="262" s="1"/>
  <c r="AJ76" i="262"/>
  <c r="T76" i="262"/>
  <c r="S76" i="262"/>
  <c r="R76" i="262"/>
  <c r="G76" i="262"/>
  <c r="Q76" i="262" s="1"/>
  <c r="B76" i="262"/>
  <c r="P76" i="262" s="1"/>
  <c r="AJ75" i="262"/>
  <c r="T75" i="262"/>
  <c r="S75" i="262"/>
  <c r="R75" i="262"/>
  <c r="G75" i="262"/>
  <c r="Q75" i="262" s="1"/>
  <c r="B75" i="262"/>
  <c r="P75" i="262" s="1"/>
  <c r="AJ74" i="262"/>
  <c r="T74" i="262"/>
  <c r="S74" i="262"/>
  <c r="R74" i="262"/>
  <c r="G74" i="262"/>
  <c r="Q74" i="262" s="1"/>
  <c r="B74" i="262"/>
  <c r="P74" i="262" s="1"/>
  <c r="AJ73" i="262"/>
  <c r="T73" i="262"/>
  <c r="S73" i="262"/>
  <c r="R73" i="262"/>
  <c r="G73" i="262"/>
  <c r="Q73" i="262" s="1"/>
  <c r="B73" i="262"/>
  <c r="P73" i="262" s="1"/>
  <c r="AJ72" i="262"/>
  <c r="T72" i="262"/>
  <c r="S72" i="262"/>
  <c r="R72" i="262"/>
  <c r="G72" i="262"/>
  <c r="Q72" i="262" s="1"/>
  <c r="B72" i="262"/>
  <c r="P72" i="262" s="1"/>
  <c r="AJ71" i="262"/>
  <c r="T71" i="262"/>
  <c r="S71" i="262"/>
  <c r="R71" i="262"/>
  <c r="G71" i="262"/>
  <c r="Q71" i="262" s="1"/>
  <c r="B71" i="262"/>
  <c r="P71" i="262" s="1"/>
  <c r="AJ70" i="262"/>
  <c r="T70" i="262"/>
  <c r="S70" i="262"/>
  <c r="R70" i="262"/>
  <c r="G70" i="262"/>
  <c r="Q70" i="262" s="1"/>
  <c r="B70" i="262"/>
  <c r="P70" i="262" s="1"/>
  <c r="AJ69" i="262"/>
  <c r="T69" i="262"/>
  <c r="S69" i="262"/>
  <c r="R69" i="262"/>
  <c r="G69" i="262"/>
  <c r="Q69" i="262" s="1"/>
  <c r="B69" i="262"/>
  <c r="P69" i="262" s="1"/>
  <c r="AJ68" i="262"/>
  <c r="T68" i="262"/>
  <c r="S68" i="262"/>
  <c r="R68" i="262"/>
  <c r="G68" i="262"/>
  <c r="Q68" i="262" s="1"/>
  <c r="B68" i="262"/>
  <c r="P68" i="262" s="1"/>
  <c r="AJ67" i="262"/>
  <c r="T67" i="262"/>
  <c r="S67" i="262"/>
  <c r="R67" i="262"/>
  <c r="G67" i="262"/>
  <c r="Q67" i="262" s="1"/>
  <c r="B67" i="262"/>
  <c r="P67" i="262" s="1"/>
  <c r="AJ66" i="262"/>
  <c r="T66" i="262"/>
  <c r="S66" i="262"/>
  <c r="R66" i="262"/>
  <c r="G66" i="262"/>
  <c r="Q66" i="262" s="1"/>
  <c r="B66" i="262"/>
  <c r="P66" i="262" s="1"/>
  <c r="AJ65" i="262"/>
  <c r="T65" i="262"/>
  <c r="S65" i="262"/>
  <c r="R65" i="262"/>
  <c r="G65" i="262"/>
  <c r="Q65" i="262" s="1"/>
  <c r="B65" i="262"/>
  <c r="P65" i="262" s="1"/>
  <c r="AJ64" i="262"/>
  <c r="T64" i="262"/>
  <c r="S64" i="262"/>
  <c r="R64" i="262"/>
  <c r="G64" i="262"/>
  <c r="Q64" i="262" s="1"/>
  <c r="B64" i="262"/>
  <c r="P64" i="262" s="1"/>
  <c r="AJ63" i="262"/>
  <c r="T63" i="262"/>
  <c r="S63" i="262"/>
  <c r="R63" i="262"/>
  <c r="G63" i="262"/>
  <c r="Q63" i="262" s="1"/>
  <c r="B63" i="262"/>
  <c r="P63" i="262" s="1"/>
  <c r="AJ62" i="262"/>
  <c r="T62" i="262"/>
  <c r="S62" i="262"/>
  <c r="R62" i="262"/>
  <c r="G62" i="262"/>
  <c r="Q62" i="262" s="1"/>
  <c r="B62" i="262"/>
  <c r="P62" i="262" s="1"/>
  <c r="AJ61" i="262"/>
  <c r="T61" i="262"/>
  <c r="S61" i="262"/>
  <c r="R61" i="262"/>
  <c r="G61" i="262"/>
  <c r="Q61" i="262" s="1"/>
  <c r="B61" i="262"/>
  <c r="P61" i="262" s="1"/>
  <c r="AJ60" i="262"/>
  <c r="T60" i="262"/>
  <c r="S60" i="262"/>
  <c r="R60" i="262"/>
  <c r="G60" i="262"/>
  <c r="Q60" i="262" s="1"/>
  <c r="B60" i="262"/>
  <c r="P60" i="262" s="1"/>
  <c r="AJ59" i="262"/>
  <c r="T59" i="262"/>
  <c r="S59" i="262"/>
  <c r="R59" i="262"/>
  <c r="G59" i="262"/>
  <c r="Q59" i="262" s="1"/>
  <c r="B59" i="262"/>
  <c r="P59" i="262" s="1"/>
  <c r="AJ58" i="262"/>
  <c r="T58" i="262"/>
  <c r="S58" i="262"/>
  <c r="R58" i="262"/>
  <c r="G58" i="262"/>
  <c r="Q58" i="262" s="1"/>
  <c r="B58" i="262"/>
  <c r="P58" i="262" s="1"/>
  <c r="AJ57" i="262"/>
  <c r="T57" i="262"/>
  <c r="S57" i="262"/>
  <c r="R57" i="262"/>
  <c r="G57" i="262"/>
  <c r="Q57" i="262" s="1"/>
  <c r="B57" i="262"/>
  <c r="P57" i="262" s="1"/>
  <c r="AJ56" i="262"/>
  <c r="T56" i="262"/>
  <c r="S56" i="262"/>
  <c r="R56" i="262"/>
  <c r="G56" i="262"/>
  <c r="Q56" i="262" s="1"/>
  <c r="B56" i="262"/>
  <c r="P56" i="262" s="1"/>
  <c r="AJ55" i="262"/>
  <c r="T55" i="262"/>
  <c r="S55" i="262"/>
  <c r="R55" i="262"/>
  <c r="G55" i="262"/>
  <c r="Q55" i="262" s="1"/>
  <c r="B55" i="262"/>
  <c r="P55" i="262" s="1"/>
  <c r="AJ54" i="262"/>
  <c r="T54" i="262"/>
  <c r="S54" i="262"/>
  <c r="R54" i="262"/>
  <c r="G54" i="262"/>
  <c r="Q54" i="262" s="1"/>
  <c r="B54" i="262"/>
  <c r="P54" i="262" s="1"/>
  <c r="AJ53" i="262"/>
  <c r="T53" i="262"/>
  <c r="S53" i="262"/>
  <c r="R53" i="262"/>
  <c r="G53" i="262"/>
  <c r="Q53" i="262" s="1"/>
  <c r="B53" i="262"/>
  <c r="P53" i="262" s="1"/>
  <c r="AJ52" i="262"/>
  <c r="T52" i="262"/>
  <c r="S52" i="262"/>
  <c r="R52" i="262"/>
  <c r="G52" i="262"/>
  <c r="Q52" i="262" s="1"/>
  <c r="B52" i="262"/>
  <c r="P52" i="262" s="1"/>
  <c r="AJ51" i="262"/>
  <c r="T51" i="262"/>
  <c r="S51" i="262"/>
  <c r="R51" i="262"/>
  <c r="G51" i="262"/>
  <c r="Q51" i="262" s="1"/>
  <c r="B51" i="262"/>
  <c r="P51" i="262" s="1"/>
  <c r="AJ50" i="262"/>
  <c r="T50" i="262"/>
  <c r="S50" i="262"/>
  <c r="R50" i="262"/>
  <c r="G50" i="262"/>
  <c r="Q50" i="262" s="1"/>
  <c r="B50" i="262"/>
  <c r="P50" i="262" s="1"/>
  <c r="AJ49" i="262"/>
  <c r="T49" i="262"/>
  <c r="S49" i="262"/>
  <c r="R49" i="262"/>
  <c r="G49" i="262"/>
  <c r="Q49" i="262" s="1"/>
  <c r="B49" i="262"/>
  <c r="P49" i="262" s="1"/>
  <c r="AJ48" i="262"/>
  <c r="T48" i="262"/>
  <c r="S48" i="262"/>
  <c r="R48" i="262"/>
  <c r="G48" i="262"/>
  <c r="Q48" i="262" s="1"/>
  <c r="B48" i="262"/>
  <c r="P48" i="262" s="1"/>
  <c r="AJ47" i="262"/>
  <c r="T47" i="262"/>
  <c r="S47" i="262"/>
  <c r="R47" i="262"/>
  <c r="G47" i="262"/>
  <c r="Q47" i="262" s="1"/>
  <c r="B47" i="262"/>
  <c r="P47" i="262" s="1"/>
  <c r="AJ46" i="262"/>
  <c r="T46" i="262"/>
  <c r="S46" i="262"/>
  <c r="R46" i="262"/>
  <c r="G46" i="262"/>
  <c r="Q46" i="262" s="1"/>
  <c r="B46" i="262"/>
  <c r="P46" i="262" s="1"/>
  <c r="AJ45" i="262"/>
  <c r="T45" i="262"/>
  <c r="S45" i="262"/>
  <c r="R45" i="262"/>
  <c r="G45" i="262"/>
  <c r="Q45" i="262" s="1"/>
  <c r="B45" i="262"/>
  <c r="P45" i="262" s="1"/>
  <c r="AJ44" i="262"/>
  <c r="T44" i="262"/>
  <c r="S44" i="262"/>
  <c r="R44" i="262"/>
  <c r="G44" i="262"/>
  <c r="Q44" i="262" s="1"/>
  <c r="B44" i="262"/>
  <c r="P44" i="262" s="1"/>
  <c r="AJ43" i="262"/>
  <c r="T43" i="262"/>
  <c r="S43" i="262"/>
  <c r="R43" i="262"/>
  <c r="G43" i="262"/>
  <c r="Q43" i="262" s="1"/>
  <c r="B43" i="262"/>
  <c r="P43" i="262" s="1"/>
  <c r="AJ42" i="262"/>
  <c r="T42" i="262"/>
  <c r="S42" i="262"/>
  <c r="R42" i="262"/>
  <c r="G42" i="262"/>
  <c r="Q42" i="262" s="1"/>
  <c r="B42" i="262"/>
  <c r="P42" i="262" s="1"/>
  <c r="AJ41" i="262"/>
  <c r="T41" i="262"/>
  <c r="S41" i="262"/>
  <c r="R41" i="262"/>
  <c r="G41" i="262"/>
  <c r="Q41" i="262" s="1"/>
  <c r="B41" i="262"/>
  <c r="P41" i="262" s="1"/>
  <c r="AJ40" i="262"/>
  <c r="T40" i="262"/>
  <c r="S40" i="262"/>
  <c r="R40" i="262"/>
  <c r="G40" i="262"/>
  <c r="Q40" i="262" s="1"/>
  <c r="B40" i="262"/>
  <c r="P40" i="262" s="1"/>
  <c r="AJ39" i="262"/>
  <c r="T39" i="262"/>
  <c r="S39" i="262"/>
  <c r="R39" i="262"/>
  <c r="G39" i="262"/>
  <c r="Q39" i="262" s="1"/>
  <c r="B39" i="262"/>
  <c r="P39" i="262" s="1"/>
  <c r="AJ38" i="262"/>
  <c r="T38" i="262"/>
  <c r="S38" i="262"/>
  <c r="R38" i="262"/>
  <c r="G38" i="262"/>
  <c r="Q38" i="262" s="1"/>
  <c r="B38" i="262"/>
  <c r="P38" i="262" s="1"/>
  <c r="AJ37" i="262"/>
  <c r="T37" i="262"/>
  <c r="S37" i="262"/>
  <c r="R37" i="262"/>
  <c r="G37" i="262"/>
  <c r="Q37" i="262" s="1"/>
  <c r="B37" i="262"/>
  <c r="P37" i="262" s="1"/>
  <c r="AJ36" i="262"/>
  <c r="T36" i="262"/>
  <c r="S36" i="262"/>
  <c r="R36" i="262"/>
  <c r="G36" i="262"/>
  <c r="Q36" i="262" s="1"/>
  <c r="B36" i="262"/>
  <c r="P36" i="262" s="1"/>
  <c r="AJ35" i="262"/>
  <c r="T35" i="262"/>
  <c r="S35" i="262"/>
  <c r="R35" i="262"/>
  <c r="G35" i="262"/>
  <c r="Q35" i="262" s="1"/>
  <c r="B35" i="262"/>
  <c r="P35" i="262" s="1"/>
  <c r="AJ34" i="262"/>
  <c r="T34" i="262"/>
  <c r="S34" i="262"/>
  <c r="R34" i="262"/>
  <c r="G34" i="262"/>
  <c r="Q34" i="262" s="1"/>
  <c r="B34" i="262"/>
  <c r="P34" i="262" s="1"/>
  <c r="AJ33" i="262"/>
  <c r="T33" i="262"/>
  <c r="S33" i="262"/>
  <c r="R33" i="262"/>
  <c r="G33" i="262"/>
  <c r="Q33" i="262" s="1"/>
  <c r="B33" i="262"/>
  <c r="P33" i="262" s="1"/>
  <c r="AJ32" i="262"/>
  <c r="T32" i="262"/>
  <c r="S32" i="262"/>
  <c r="R32" i="262"/>
  <c r="G32" i="262"/>
  <c r="Q32" i="262" s="1"/>
  <c r="B32" i="262"/>
  <c r="P32" i="262" s="1"/>
  <c r="AJ31" i="262"/>
  <c r="T31" i="262"/>
  <c r="S31" i="262"/>
  <c r="R31" i="262"/>
  <c r="G31" i="262"/>
  <c r="Q31" i="262" s="1"/>
  <c r="B31" i="262"/>
  <c r="P31" i="262" s="1"/>
  <c r="AJ30" i="262"/>
  <c r="T30" i="262"/>
  <c r="S30" i="262"/>
  <c r="R30" i="262"/>
  <c r="G30" i="262"/>
  <c r="Q30" i="262" s="1"/>
  <c r="B30" i="262"/>
  <c r="P30" i="262" s="1"/>
  <c r="AJ29" i="262"/>
  <c r="T29" i="262"/>
  <c r="S29" i="262"/>
  <c r="R29" i="262"/>
  <c r="G29" i="262"/>
  <c r="Q29" i="262" s="1"/>
  <c r="B29" i="262"/>
  <c r="P29" i="262" s="1"/>
  <c r="AJ28" i="262"/>
  <c r="T28" i="262"/>
  <c r="S28" i="262"/>
  <c r="R28" i="262"/>
  <c r="G28" i="262"/>
  <c r="Q28" i="262" s="1"/>
  <c r="B28" i="262"/>
  <c r="P28" i="262" s="1"/>
  <c r="AJ27" i="262"/>
  <c r="T27" i="262"/>
  <c r="S27" i="262"/>
  <c r="R27" i="262"/>
  <c r="G27" i="262"/>
  <c r="Q27" i="262" s="1"/>
  <c r="B27" i="262"/>
  <c r="P27" i="262" s="1"/>
  <c r="AJ26" i="262"/>
  <c r="T26" i="262"/>
  <c r="S26" i="262"/>
  <c r="R26" i="262"/>
  <c r="G26" i="262"/>
  <c r="Q26" i="262" s="1"/>
  <c r="B26" i="262"/>
  <c r="P26" i="262" s="1"/>
  <c r="AJ25" i="262"/>
  <c r="T25" i="262"/>
  <c r="S25" i="262"/>
  <c r="R25" i="262"/>
  <c r="G25" i="262"/>
  <c r="Q25" i="262" s="1"/>
  <c r="B25" i="262"/>
  <c r="P25" i="262" s="1"/>
  <c r="AJ24" i="262"/>
  <c r="T24" i="262"/>
  <c r="S24" i="262"/>
  <c r="R24" i="262"/>
  <c r="G24" i="262"/>
  <c r="Q24" i="262" s="1"/>
  <c r="B24" i="262"/>
  <c r="P24" i="262" s="1"/>
  <c r="AJ23" i="262"/>
  <c r="T23" i="262"/>
  <c r="S23" i="262"/>
  <c r="R23" i="262"/>
  <c r="G23" i="262"/>
  <c r="Q23" i="262" s="1"/>
  <c r="B23" i="262"/>
  <c r="P23" i="262" s="1"/>
  <c r="AJ22" i="262"/>
  <c r="T22" i="262"/>
  <c r="S22" i="262"/>
  <c r="R22" i="262"/>
  <c r="G22" i="262"/>
  <c r="Q22" i="262" s="1"/>
  <c r="B22" i="262"/>
  <c r="P22" i="262" s="1"/>
  <c r="AJ21" i="262"/>
  <c r="T21" i="262"/>
  <c r="S21" i="262"/>
  <c r="R21" i="262"/>
  <c r="G21" i="262"/>
  <c r="Q21" i="262" s="1"/>
  <c r="B21" i="262"/>
  <c r="P21" i="262" s="1"/>
  <c r="AJ20" i="262"/>
  <c r="T20" i="262"/>
  <c r="S20" i="262"/>
  <c r="R20" i="262"/>
  <c r="G20" i="262"/>
  <c r="Q20" i="262" s="1"/>
  <c r="B20" i="262"/>
  <c r="P20" i="262" s="1"/>
  <c r="AJ19" i="262"/>
  <c r="T19" i="262"/>
  <c r="S19" i="262"/>
  <c r="R19" i="262"/>
  <c r="G19" i="262"/>
  <c r="Q19" i="262" s="1"/>
  <c r="B19" i="262"/>
  <c r="P19" i="262" s="1"/>
  <c r="AJ18" i="262"/>
  <c r="T18" i="262"/>
  <c r="S18" i="262"/>
  <c r="R18" i="262"/>
  <c r="G18" i="262"/>
  <c r="Q18" i="262" s="1"/>
  <c r="B18" i="262"/>
  <c r="P18" i="262" s="1"/>
  <c r="AJ163" i="262"/>
  <c r="T163" i="262"/>
  <c r="S163" i="262"/>
  <c r="R163" i="262"/>
  <c r="G163" i="262"/>
  <c r="Q163" i="262" s="1"/>
  <c r="B163" i="262"/>
  <c r="P163" i="262" s="1"/>
  <c r="AJ17" i="262"/>
  <c r="T17" i="262"/>
  <c r="S17" i="262"/>
  <c r="R17" i="262"/>
  <c r="G17" i="262"/>
  <c r="Q17" i="262" s="1"/>
  <c r="B17" i="262"/>
  <c r="P17" i="262" s="1"/>
  <c r="AJ16" i="262"/>
  <c r="T16" i="262"/>
  <c r="S16" i="262"/>
  <c r="R16" i="262"/>
  <c r="G16" i="262"/>
  <c r="Q16" i="262" s="1"/>
  <c r="B16" i="262"/>
  <c r="P16" i="262" s="1"/>
  <c r="AJ15" i="262"/>
  <c r="T15" i="262"/>
  <c r="S15" i="262"/>
  <c r="R15" i="262"/>
  <c r="G15" i="262"/>
  <c r="Q15" i="262" s="1"/>
  <c r="B15" i="262"/>
  <c r="P15" i="262" s="1"/>
  <c r="AJ14" i="262"/>
  <c r="T14" i="262"/>
  <c r="S14" i="262"/>
  <c r="R14" i="262"/>
  <c r="G14" i="262"/>
  <c r="Q14" i="262" s="1"/>
  <c r="B14" i="262"/>
  <c r="P14" i="262" s="1"/>
  <c r="AJ13" i="262"/>
  <c r="T13" i="262"/>
  <c r="S13" i="262"/>
  <c r="R13" i="262"/>
  <c r="G13" i="262"/>
  <c r="Q13" i="262" s="1"/>
  <c r="B13" i="262"/>
  <c r="P13" i="262" s="1"/>
  <c r="AJ19" i="261"/>
  <c r="T19" i="261"/>
  <c r="S19" i="261"/>
  <c r="R19" i="261"/>
  <c r="G19" i="261"/>
  <c r="Q19" i="261" s="1"/>
  <c r="B19" i="261"/>
  <c r="P19" i="261" s="1"/>
  <c r="AJ18" i="261"/>
  <c r="T18" i="261"/>
  <c r="S18" i="261"/>
  <c r="R18" i="261"/>
  <c r="G18" i="261"/>
  <c r="Q18" i="261" s="1"/>
  <c r="B18" i="261"/>
  <c r="P18" i="261" s="1"/>
  <c r="AJ17" i="261"/>
  <c r="T17" i="261"/>
  <c r="S17" i="261"/>
  <c r="R17" i="261"/>
  <c r="G17" i="261"/>
  <c r="Q17" i="261" s="1"/>
  <c r="B17" i="261"/>
  <c r="P17" i="261" s="1"/>
  <c r="AJ16" i="261"/>
  <c r="T16" i="261"/>
  <c r="S16" i="261"/>
  <c r="R16" i="261"/>
  <c r="G16" i="261"/>
  <c r="Q16" i="261" s="1"/>
  <c r="B16" i="261"/>
  <c r="P16" i="261" s="1"/>
  <c r="AJ15" i="261"/>
  <c r="T15" i="261"/>
  <c r="S15" i="261"/>
  <c r="R15" i="261"/>
  <c r="G15" i="261"/>
  <c r="Q15" i="261" s="1"/>
  <c r="B15" i="261"/>
  <c r="P15" i="261" s="1"/>
  <c r="AJ14" i="261"/>
  <c r="T14" i="261"/>
  <c r="S14" i="261"/>
  <c r="R14" i="261"/>
  <c r="G14" i="261"/>
  <c r="Q14" i="261" s="1"/>
  <c r="B14" i="261"/>
  <c r="P14" i="261" s="1"/>
  <c r="AJ13" i="261"/>
  <c r="T13" i="261"/>
  <c r="S13" i="261"/>
  <c r="R13" i="261"/>
  <c r="G13" i="261"/>
  <c r="Q13" i="261" s="1"/>
  <c r="B13" i="261"/>
  <c r="P13" i="261" s="1"/>
  <c r="AJ17" i="260"/>
  <c r="T17" i="260"/>
  <c r="S17" i="260"/>
  <c r="R17" i="260"/>
  <c r="G17" i="260"/>
  <c r="Q17" i="260" s="1"/>
  <c r="B17" i="260"/>
  <c r="P17" i="260" s="1"/>
  <c r="AJ16" i="260"/>
  <c r="T16" i="260"/>
  <c r="S16" i="260"/>
  <c r="R16" i="260"/>
  <c r="G16" i="260"/>
  <c r="Q16" i="260" s="1"/>
  <c r="B16" i="260"/>
  <c r="P16" i="260" s="1"/>
  <c r="AJ15" i="260"/>
  <c r="T15" i="260"/>
  <c r="S15" i="260"/>
  <c r="R15" i="260"/>
  <c r="G15" i="260"/>
  <c r="Q15" i="260" s="1"/>
  <c r="B15" i="260"/>
  <c r="P15" i="260" s="1"/>
  <c r="AJ19" i="260"/>
  <c r="T19" i="260"/>
  <c r="S19" i="260"/>
  <c r="R19" i="260"/>
  <c r="G19" i="260"/>
  <c r="Q19" i="260" s="1"/>
  <c r="B19" i="260"/>
  <c r="P19" i="260" s="1"/>
  <c r="AJ18" i="260"/>
  <c r="T18" i="260"/>
  <c r="S18" i="260"/>
  <c r="R18" i="260"/>
  <c r="G18" i="260"/>
  <c r="Q18" i="260" s="1"/>
  <c r="B18" i="260"/>
  <c r="P18" i="260" s="1"/>
  <c r="AJ14" i="260"/>
  <c r="T14" i="260"/>
  <c r="S14" i="260"/>
  <c r="R14" i="260"/>
  <c r="G14" i="260"/>
  <c r="Q14" i="260" s="1"/>
  <c r="B14" i="260"/>
  <c r="P14" i="260" s="1"/>
  <c r="AJ13" i="260"/>
  <c r="T13" i="260"/>
  <c r="S13" i="260"/>
  <c r="R13" i="260"/>
  <c r="G13" i="260"/>
  <c r="Q13" i="260" s="1"/>
  <c r="B13" i="260"/>
  <c r="P13" i="260" s="1"/>
  <c r="AJ16" i="259"/>
  <c r="T16" i="259"/>
  <c r="S16" i="259"/>
  <c r="R16" i="259"/>
  <c r="G16" i="259"/>
  <c r="Q16" i="259" s="1"/>
  <c r="B16" i="259"/>
  <c r="P16" i="259" s="1"/>
  <c r="AJ15" i="259"/>
  <c r="T15" i="259"/>
  <c r="S15" i="259"/>
  <c r="R15" i="259"/>
  <c r="G15" i="259"/>
  <c r="Q15" i="259" s="1"/>
  <c r="B15" i="259"/>
  <c r="P15" i="259" s="1"/>
  <c r="AJ14" i="259"/>
  <c r="T14" i="259"/>
  <c r="S14" i="259"/>
  <c r="R14" i="259"/>
  <c r="G14" i="259"/>
  <c r="Q14" i="259" s="1"/>
  <c r="B14" i="259"/>
  <c r="P14" i="259" s="1"/>
  <c r="AJ13" i="259"/>
  <c r="T13" i="259"/>
  <c r="S13" i="259"/>
  <c r="R13" i="259"/>
  <c r="G13" i="259"/>
  <c r="Q13" i="259" s="1"/>
  <c r="B13" i="259"/>
  <c r="P13" i="259" s="1"/>
  <c r="AJ21" i="258"/>
  <c r="T21" i="258"/>
  <c r="S21" i="258"/>
  <c r="R21" i="258"/>
  <c r="G21" i="258"/>
  <c r="Q21" i="258" s="1"/>
  <c r="B21" i="258"/>
  <c r="P21" i="258" s="1"/>
  <c r="AJ20" i="258"/>
  <c r="T20" i="258"/>
  <c r="S20" i="258"/>
  <c r="R20" i="258"/>
  <c r="G20" i="258"/>
  <c r="Q20" i="258" s="1"/>
  <c r="B20" i="258"/>
  <c r="P20" i="258" s="1"/>
  <c r="AJ19" i="258"/>
  <c r="T19" i="258"/>
  <c r="S19" i="258"/>
  <c r="R19" i="258"/>
  <c r="G19" i="258"/>
  <c r="Q19" i="258" s="1"/>
  <c r="B19" i="258"/>
  <c r="P19" i="258" s="1"/>
  <c r="AJ18" i="258"/>
  <c r="T18" i="258"/>
  <c r="S18" i="258"/>
  <c r="R18" i="258"/>
  <c r="G18" i="258"/>
  <c r="Q18" i="258" s="1"/>
  <c r="B18" i="258"/>
  <c r="P18" i="258" s="1"/>
  <c r="AJ17" i="258"/>
  <c r="T17" i="258"/>
  <c r="S17" i="258"/>
  <c r="R17" i="258"/>
  <c r="G17" i="258"/>
  <c r="Q17" i="258" s="1"/>
  <c r="B17" i="258"/>
  <c r="P17" i="258" s="1"/>
  <c r="AJ16" i="258"/>
  <c r="T16" i="258"/>
  <c r="S16" i="258"/>
  <c r="R16" i="258"/>
  <c r="G16" i="258"/>
  <c r="Q16" i="258" s="1"/>
  <c r="B16" i="258"/>
  <c r="P16" i="258" s="1"/>
  <c r="AJ23" i="258"/>
  <c r="T23" i="258"/>
  <c r="S23" i="258"/>
  <c r="R23" i="258"/>
  <c r="G23" i="258"/>
  <c r="Q23" i="258" s="1"/>
  <c r="B23" i="258"/>
  <c r="P23" i="258" s="1"/>
  <c r="AJ22" i="258"/>
  <c r="T22" i="258"/>
  <c r="S22" i="258"/>
  <c r="R22" i="258"/>
  <c r="G22" i="258"/>
  <c r="Q22" i="258" s="1"/>
  <c r="B22" i="258"/>
  <c r="P22" i="258" s="1"/>
  <c r="AJ15" i="258"/>
  <c r="T15" i="258"/>
  <c r="S15" i="258"/>
  <c r="R15" i="258"/>
  <c r="G15" i="258"/>
  <c r="Q15" i="258" s="1"/>
  <c r="B15" i="258"/>
  <c r="P15" i="258" s="1"/>
  <c r="AJ14" i="258"/>
  <c r="T14" i="258"/>
  <c r="S14" i="258"/>
  <c r="R14" i="258"/>
  <c r="G14" i="258"/>
  <c r="Q14" i="258" s="1"/>
  <c r="B14" i="258"/>
  <c r="P14" i="258" s="1"/>
  <c r="AJ13" i="258"/>
  <c r="T13" i="258"/>
  <c r="S13" i="258"/>
  <c r="R13" i="258"/>
  <c r="G13" i="258"/>
  <c r="Q13" i="258" s="1"/>
  <c r="B13" i="258"/>
  <c r="P13" i="258" s="1"/>
  <c r="AJ17" i="257"/>
  <c r="T17" i="257"/>
  <c r="S17" i="257"/>
  <c r="R17" i="257"/>
  <c r="G17" i="257"/>
  <c r="Q17" i="257" s="1"/>
  <c r="B17" i="257"/>
  <c r="P17" i="257" s="1"/>
  <c r="AJ16" i="257"/>
  <c r="T16" i="257"/>
  <c r="S16" i="257"/>
  <c r="R16" i="257"/>
  <c r="G16" i="257"/>
  <c r="Q16" i="257" s="1"/>
  <c r="B16" i="257"/>
  <c r="P16" i="257" s="1"/>
  <c r="AJ15" i="257"/>
  <c r="T15" i="257"/>
  <c r="S15" i="257"/>
  <c r="R15" i="257"/>
  <c r="G15" i="257"/>
  <c r="Q15" i="257" s="1"/>
  <c r="B15" i="257"/>
  <c r="P15" i="257" s="1"/>
  <c r="AJ14" i="257"/>
  <c r="T14" i="257"/>
  <c r="S14" i="257"/>
  <c r="R14" i="257"/>
  <c r="G14" i="257"/>
  <c r="Q14" i="257" s="1"/>
  <c r="B14" i="257"/>
  <c r="P14" i="257" s="1"/>
  <c r="AJ13" i="257"/>
  <c r="T13" i="257"/>
  <c r="S13" i="257"/>
  <c r="R13" i="257"/>
  <c r="G13" i="257"/>
  <c r="Q13" i="257" s="1"/>
  <c r="B13" i="257"/>
  <c r="P13" i="257" s="1"/>
  <c r="AJ22" i="256"/>
  <c r="T22" i="256"/>
  <c r="S22" i="256"/>
  <c r="R22" i="256"/>
  <c r="G22" i="256"/>
  <c r="Q22" i="256" s="1"/>
  <c r="B22" i="256"/>
  <c r="P22" i="256" s="1"/>
  <c r="AJ21" i="256"/>
  <c r="T21" i="256"/>
  <c r="S21" i="256"/>
  <c r="R21" i="256"/>
  <c r="G21" i="256"/>
  <c r="Q21" i="256" s="1"/>
  <c r="B21" i="256"/>
  <c r="P21" i="256" s="1"/>
  <c r="AJ20" i="256"/>
  <c r="T20" i="256"/>
  <c r="S20" i="256"/>
  <c r="R20" i="256"/>
  <c r="G20" i="256"/>
  <c r="Q20" i="256" s="1"/>
  <c r="B20" i="256"/>
  <c r="P20" i="256" s="1"/>
  <c r="AJ19" i="256"/>
  <c r="T19" i="256"/>
  <c r="S19" i="256"/>
  <c r="R19" i="256"/>
  <c r="G19" i="256"/>
  <c r="Q19" i="256" s="1"/>
  <c r="B19" i="256"/>
  <c r="P19" i="256" s="1"/>
  <c r="AJ18" i="256"/>
  <c r="T18" i="256"/>
  <c r="S18" i="256"/>
  <c r="R18" i="256"/>
  <c r="G18" i="256"/>
  <c r="Q18" i="256" s="1"/>
  <c r="B18" i="256"/>
  <c r="P18" i="256" s="1"/>
  <c r="AJ17" i="256"/>
  <c r="T17" i="256"/>
  <c r="S17" i="256"/>
  <c r="R17" i="256"/>
  <c r="G17" i="256"/>
  <c r="Q17" i="256" s="1"/>
  <c r="B17" i="256"/>
  <c r="P17" i="256" s="1"/>
  <c r="AJ16" i="256"/>
  <c r="T16" i="256"/>
  <c r="S16" i="256"/>
  <c r="R16" i="256"/>
  <c r="G16" i="256"/>
  <c r="Q16" i="256" s="1"/>
  <c r="B16" i="256"/>
  <c r="P16" i="256" s="1"/>
  <c r="AJ15" i="256"/>
  <c r="T15" i="256"/>
  <c r="S15" i="256"/>
  <c r="R15" i="256"/>
  <c r="G15" i="256"/>
  <c r="Q15" i="256" s="1"/>
  <c r="B15" i="256"/>
  <c r="P15" i="256" s="1"/>
  <c r="AJ14" i="256"/>
  <c r="T14" i="256"/>
  <c r="S14" i="256"/>
  <c r="R14" i="256"/>
  <c r="G14" i="256"/>
  <c r="Q14" i="256" s="1"/>
  <c r="B14" i="256"/>
  <c r="P14" i="256" s="1"/>
  <c r="AJ13" i="256"/>
  <c r="T13" i="256"/>
  <c r="S13" i="256"/>
  <c r="R13" i="256"/>
  <c r="G13" i="256"/>
  <c r="Q13" i="256" s="1"/>
  <c r="B13" i="256"/>
  <c r="P13" i="256" s="1"/>
  <c r="AJ23" i="255"/>
  <c r="T23" i="255"/>
  <c r="S23" i="255"/>
  <c r="R23" i="255"/>
  <c r="G23" i="255"/>
  <c r="Q23" i="255" s="1"/>
  <c r="B23" i="255"/>
  <c r="P23" i="255" s="1"/>
  <c r="AJ22" i="255"/>
  <c r="T22" i="255"/>
  <c r="S22" i="255"/>
  <c r="R22" i="255"/>
  <c r="G22" i="255"/>
  <c r="Q22" i="255" s="1"/>
  <c r="B22" i="255"/>
  <c r="P22" i="255" s="1"/>
  <c r="AJ21" i="255"/>
  <c r="T21" i="255"/>
  <c r="S21" i="255"/>
  <c r="R21" i="255"/>
  <c r="G21" i="255"/>
  <c r="Q21" i="255" s="1"/>
  <c r="B21" i="255"/>
  <c r="P21" i="255" s="1"/>
  <c r="AJ20" i="255"/>
  <c r="T20" i="255"/>
  <c r="S20" i="255"/>
  <c r="R20" i="255"/>
  <c r="G20" i="255"/>
  <c r="Q20" i="255" s="1"/>
  <c r="B20" i="255"/>
  <c r="P20" i="255" s="1"/>
  <c r="AJ19" i="255"/>
  <c r="T19" i="255"/>
  <c r="S19" i="255"/>
  <c r="R19" i="255"/>
  <c r="G19" i="255"/>
  <c r="Q19" i="255" s="1"/>
  <c r="B19" i="255"/>
  <c r="P19" i="255" s="1"/>
  <c r="AJ18" i="255"/>
  <c r="T18" i="255"/>
  <c r="S18" i="255"/>
  <c r="R18" i="255"/>
  <c r="G18" i="255"/>
  <c r="Q18" i="255" s="1"/>
  <c r="B18" i="255"/>
  <c r="P18" i="255" s="1"/>
  <c r="AJ17" i="255"/>
  <c r="T17" i="255"/>
  <c r="S17" i="255"/>
  <c r="R17" i="255"/>
  <c r="G17" i="255"/>
  <c r="Q17" i="255" s="1"/>
  <c r="B17" i="255"/>
  <c r="P17" i="255" s="1"/>
  <c r="AJ16" i="255"/>
  <c r="T16" i="255"/>
  <c r="S16" i="255"/>
  <c r="R16" i="255"/>
  <c r="G16" i="255"/>
  <c r="Q16" i="255" s="1"/>
  <c r="B16" i="255"/>
  <c r="P16" i="255" s="1"/>
  <c r="AJ15" i="255"/>
  <c r="T15" i="255"/>
  <c r="S15" i="255"/>
  <c r="R15" i="255"/>
  <c r="G15" i="255"/>
  <c r="Q15" i="255" s="1"/>
  <c r="B15" i="255"/>
  <c r="P15" i="255" s="1"/>
  <c r="AJ14" i="255"/>
  <c r="T14" i="255"/>
  <c r="S14" i="255"/>
  <c r="R14" i="255"/>
  <c r="G14" i="255"/>
  <c r="Q14" i="255" s="1"/>
  <c r="B14" i="255"/>
  <c r="P14" i="255" s="1"/>
  <c r="AJ13" i="255"/>
  <c r="T13" i="255"/>
  <c r="S13" i="255"/>
  <c r="R13" i="255"/>
  <c r="G13" i="255"/>
  <c r="Q13" i="255" s="1"/>
  <c r="B13" i="255"/>
  <c r="P13" i="255" s="1"/>
  <c r="AJ41" i="254"/>
  <c r="T41" i="254"/>
  <c r="S41" i="254"/>
  <c r="R41" i="254"/>
  <c r="G41" i="254"/>
  <c r="Q41" i="254" s="1"/>
  <c r="B41" i="254"/>
  <c r="P41" i="254" s="1"/>
  <c r="AJ23" i="254"/>
  <c r="T23" i="254"/>
  <c r="S23" i="254"/>
  <c r="R23" i="254"/>
  <c r="G23" i="254"/>
  <c r="Q23" i="254" s="1"/>
  <c r="B23" i="254"/>
  <c r="P23" i="254" s="1"/>
  <c r="AJ22" i="254"/>
  <c r="T22" i="254"/>
  <c r="S22" i="254"/>
  <c r="R22" i="254"/>
  <c r="G22" i="254"/>
  <c r="Q22" i="254" s="1"/>
  <c r="B22" i="254"/>
  <c r="P22" i="254" s="1"/>
  <c r="AJ21" i="254"/>
  <c r="T21" i="254"/>
  <c r="S21" i="254"/>
  <c r="R21" i="254"/>
  <c r="G21" i="254"/>
  <c r="Q21" i="254" s="1"/>
  <c r="B21" i="254"/>
  <c r="P21" i="254" s="1"/>
  <c r="AJ20" i="254"/>
  <c r="T20" i="254"/>
  <c r="S20" i="254"/>
  <c r="R20" i="254"/>
  <c r="G20" i="254"/>
  <c r="Q20" i="254" s="1"/>
  <c r="B20" i="254"/>
  <c r="P20" i="254" s="1"/>
  <c r="AJ19" i="254"/>
  <c r="T19" i="254"/>
  <c r="S19" i="254"/>
  <c r="R19" i="254"/>
  <c r="G19" i="254"/>
  <c r="Q19" i="254" s="1"/>
  <c r="B19" i="254"/>
  <c r="P19" i="254" s="1"/>
  <c r="AJ18" i="254"/>
  <c r="T18" i="254"/>
  <c r="S18" i="254"/>
  <c r="R18" i="254"/>
  <c r="G18" i="254"/>
  <c r="Q18" i="254" s="1"/>
  <c r="B18" i="254"/>
  <c r="P18" i="254" s="1"/>
  <c r="AJ17" i="254"/>
  <c r="T17" i="254"/>
  <c r="S17" i="254"/>
  <c r="R17" i="254"/>
  <c r="G17" i="254"/>
  <c r="Q17" i="254" s="1"/>
  <c r="B17" i="254"/>
  <c r="P17" i="254" s="1"/>
  <c r="AJ16" i="254"/>
  <c r="T16" i="254"/>
  <c r="S16" i="254"/>
  <c r="R16" i="254"/>
  <c r="G16" i="254"/>
  <c r="Q16" i="254" s="1"/>
  <c r="B16" i="254"/>
  <c r="P16" i="254" s="1"/>
  <c r="AJ15" i="254"/>
  <c r="T15" i="254"/>
  <c r="S15" i="254"/>
  <c r="R15" i="254"/>
  <c r="G15" i="254"/>
  <c r="Q15" i="254" s="1"/>
  <c r="B15" i="254"/>
  <c r="P15" i="254" s="1"/>
  <c r="AJ14" i="254"/>
  <c r="T14" i="254"/>
  <c r="S14" i="254"/>
  <c r="R14" i="254"/>
  <c r="G14" i="254"/>
  <c r="Q14" i="254" s="1"/>
  <c r="B14" i="254"/>
  <c r="P14" i="254" s="1"/>
  <c r="AJ43" i="254"/>
  <c r="T43" i="254"/>
  <c r="S43" i="254"/>
  <c r="R43" i="254"/>
  <c r="G43" i="254"/>
  <c r="Q43" i="254" s="1"/>
  <c r="B43" i="254"/>
  <c r="P43" i="254" s="1"/>
  <c r="AJ42" i="254"/>
  <c r="T42" i="254"/>
  <c r="S42" i="254"/>
  <c r="R42" i="254"/>
  <c r="G42" i="254"/>
  <c r="Q42" i="254" s="1"/>
  <c r="B42" i="254"/>
  <c r="P42" i="254" s="1"/>
  <c r="AJ40" i="254"/>
  <c r="T40" i="254"/>
  <c r="S40" i="254"/>
  <c r="R40" i="254"/>
  <c r="G40" i="254"/>
  <c r="Q40" i="254" s="1"/>
  <c r="B40" i="254"/>
  <c r="P40" i="254" s="1"/>
  <c r="AJ39" i="254"/>
  <c r="T39" i="254"/>
  <c r="S39" i="254"/>
  <c r="R39" i="254"/>
  <c r="G39" i="254"/>
  <c r="Q39" i="254" s="1"/>
  <c r="B39" i="254"/>
  <c r="P39" i="254" s="1"/>
  <c r="AJ38" i="254"/>
  <c r="T38" i="254"/>
  <c r="S38" i="254"/>
  <c r="R38" i="254"/>
  <c r="G38" i="254"/>
  <c r="Q38" i="254" s="1"/>
  <c r="B38" i="254"/>
  <c r="P38" i="254" s="1"/>
  <c r="AJ37" i="254"/>
  <c r="T37" i="254"/>
  <c r="S37" i="254"/>
  <c r="R37" i="254"/>
  <c r="G37" i="254"/>
  <c r="Q37" i="254" s="1"/>
  <c r="B37" i="254"/>
  <c r="P37" i="254" s="1"/>
  <c r="AJ36" i="254"/>
  <c r="T36" i="254"/>
  <c r="S36" i="254"/>
  <c r="R36" i="254"/>
  <c r="G36" i="254"/>
  <c r="Q36" i="254" s="1"/>
  <c r="B36" i="254"/>
  <c r="P36" i="254" s="1"/>
  <c r="AJ35" i="254"/>
  <c r="T35" i="254"/>
  <c r="S35" i="254"/>
  <c r="R35" i="254"/>
  <c r="G35" i="254"/>
  <c r="Q35" i="254" s="1"/>
  <c r="B35" i="254"/>
  <c r="P35" i="254" s="1"/>
  <c r="AJ34" i="254"/>
  <c r="T34" i="254"/>
  <c r="S34" i="254"/>
  <c r="R34" i="254"/>
  <c r="G34" i="254"/>
  <c r="Q34" i="254" s="1"/>
  <c r="B34" i="254"/>
  <c r="P34" i="254" s="1"/>
  <c r="AJ33" i="254"/>
  <c r="T33" i="254"/>
  <c r="S33" i="254"/>
  <c r="R33" i="254"/>
  <c r="G33" i="254"/>
  <c r="Q33" i="254" s="1"/>
  <c r="B33" i="254"/>
  <c r="P33" i="254" s="1"/>
  <c r="AJ32" i="254"/>
  <c r="T32" i="254"/>
  <c r="S32" i="254"/>
  <c r="R32" i="254"/>
  <c r="G32" i="254"/>
  <c r="Q32" i="254" s="1"/>
  <c r="B32" i="254"/>
  <c r="P32" i="254" s="1"/>
  <c r="AJ31" i="254"/>
  <c r="T31" i="254"/>
  <c r="S31" i="254"/>
  <c r="R31" i="254"/>
  <c r="G31" i="254"/>
  <c r="Q31" i="254" s="1"/>
  <c r="B31" i="254"/>
  <c r="P31" i="254" s="1"/>
  <c r="AJ30" i="254"/>
  <c r="T30" i="254"/>
  <c r="S30" i="254"/>
  <c r="R30" i="254"/>
  <c r="G30" i="254"/>
  <c r="Q30" i="254" s="1"/>
  <c r="B30" i="254"/>
  <c r="P30" i="254" s="1"/>
  <c r="AJ29" i="254"/>
  <c r="T29" i="254"/>
  <c r="S29" i="254"/>
  <c r="R29" i="254"/>
  <c r="G29" i="254"/>
  <c r="Q29" i="254" s="1"/>
  <c r="B29" i="254"/>
  <c r="P29" i="254" s="1"/>
  <c r="AJ28" i="254"/>
  <c r="T28" i="254"/>
  <c r="S28" i="254"/>
  <c r="R28" i="254"/>
  <c r="G28" i="254"/>
  <c r="Q28" i="254" s="1"/>
  <c r="B28" i="254"/>
  <c r="P28" i="254" s="1"/>
  <c r="AJ27" i="254"/>
  <c r="T27" i="254"/>
  <c r="S27" i="254"/>
  <c r="R27" i="254"/>
  <c r="G27" i="254"/>
  <c r="Q27" i="254" s="1"/>
  <c r="B27" i="254"/>
  <c r="P27" i="254" s="1"/>
  <c r="AJ26" i="254"/>
  <c r="T26" i="254"/>
  <c r="S26" i="254"/>
  <c r="R26" i="254"/>
  <c r="G26" i="254"/>
  <c r="Q26" i="254" s="1"/>
  <c r="B26" i="254"/>
  <c r="P26" i="254" s="1"/>
  <c r="AJ25" i="254"/>
  <c r="T25" i="254"/>
  <c r="S25" i="254"/>
  <c r="R25" i="254"/>
  <c r="G25" i="254"/>
  <c r="Q25" i="254" s="1"/>
  <c r="B25" i="254"/>
  <c r="P25" i="254" s="1"/>
  <c r="AJ24" i="254"/>
  <c r="T24" i="254"/>
  <c r="S24" i="254"/>
  <c r="R24" i="254"/>
  <c r="G24" i="254"/>
  <c r="Q24" i="254" s="1"/>
  <c r="B24" i="254"/>
  <c r="P24" i="254" s="1"/>
  <c r="AJ13" i="254"/>
  <c r="T13" i="254"/>
  <c r="S13" i="254"/>
  <c r="R13" i="254"/>
  <c r="G13" i="254"/>
  <c r="Q13" i="254" s="1"/>
  <c r="B13" i="254"/>
  <c r="P13" i="254" s="1"/>
  <c r="AJ25" i="253"/>
  <c r="T25" i="253"/>
  <c r="S25" i="253"/>
  <c r="R25" i="253"/>
  <c r="G25" i="253"/>
  <c r="Q25" i="253" s="1"/>
  <c r="B25" i="253"/>
  <c r="P25" i="253" s="1"/>
  <c r="AJ24" i="253"/>
  <c r="T24" i="253"/>
  <c r="S24" i="253"/>
  <c r="R24" i="253"/>
  <c r="G24" i="253"/>
  <c r="Q24" i="253" s="1"/>
  <c r="B24" i="253"/>
  <c r="P24" i="253" s="1"/>
  <c r="AJ23" i="253"/>
  <c r="T23" i="253"/>
  <c r="S23" i="253"/>
  <c r="R23" i="253"/>
  <c r="G23" i="253"/>
  <c r="Q23" i="253" s="1"/>
  <c r="B23" i="253"/>
  <c r="P23" i="253" s="1"/>
  <c r="AJ22" i="253"/>
  <c r="T22" i="253"/>
  <c r="S22" i="253"/>
  <c r="R22" i="253"/>
  <c r="G22" i="253"/>
  <c r="Q22" i="253" s="1"/>
  <c r="B22" i="253"/>
  <c r="P22" i="253" s="1"/>
  <c r="AJ21" i="253"/>
  <c r="T21" i="253"/>
  <c r="S21" i="253"/>
  <c r="R21" i="253"/>
  <c r="G21" i="253"/>
  <c r="Q21" i="253" s="1"/>
  <c r="B21" i="253"/>
  <c r="P21" i="253" s="1"/>
  <c r="AJ20" i="253"/>
  <c r="T20" i="253"/>
  <c r="S20" i="253"/>
  <c r="R20" i="253"/>
  <c r="G20" i="253"/>
  <c r="Q20" i="253" s="1"/>
  <c r="B20" i="253"/>
  <c r="P20" i="253" s="1"/>
  <c r="AJ19" i="253"/>
  <c r="T19" i="253"/>
  <c r="S19" i="253"/>
  <c r="R19" i="253"/>
  <c r="G19" i="253"/>
  <c r="Q19" i="253" s="1"/>
  <c r="B19" i="253"/>
  <c r="P19" i="253" s="1"/>
  <c r="AJ18" i="253"/>
  <c r="T18" i="253"/>
  <c r="S18" i="253"/>
  <c r="R18" i="253"/>
  <c r="G18" i="253"/>
  <c r="Q18" i="253" s="1"/>
  <c r="B18" i="253"/>
  <c r="P18" i="253" s="1"/>
  <c r="AJ17" i="253"/>
  <c r="T17" i="253"/>
  <c r="S17" i="253"/>
  <c r="R17" i="253"/>
  <c r="G17" i="253"/>
  <c r="Q17" i="253" s="1"/>
  <c r="B17" i="253"/>
  <c r="P17" i="253" s="1"/>
  <c r="AJ16" i="253"/>
  <c r="T16" i="253"/>
  <c r="S16" i="253"/>
  <c r="R16" i="253"/>
  <c r="G16" i="253"/>
  <c r="Q16" i="253" s="1"/>
  <c r="B16" i="253"/>
  <c r="P16" i="253" s="1"/>
  <c r="AJ15" i="253"/>
  <c r="T15" i="253"/>
  <c r="S15" i="253"/>
  <c r="R15" i="253"/>
  <c r="G15" i="253"/>
  <c r="Q15" i="253" s="1"/>
  <c r="B15" i="253"/>
  <c r="P15" i="253" s="1"/>
  <c r="AJ14" i="253"/>
  <c r="T14" i="253"/>
  <c r="S14" i="253"/>
  <c r="R14" i="253"/>
  <c r="G14" i="253"/>
  <c r="Q14" i="253" s="1"/>
  <c r="B14" i="253"/>
  <c r="P14" i="253" s="1"/>
  <c r="AJ32" i="253"/>
  <c r="T32" i="253"/>
  <c r="S32" i="253"/>
  <c r="G32" i="253"/>
  <c r="R32" i="253" s="1"/>
  <c r="B32" i="253"/>
  <c r="P32" i="253" s="1"/>
  <c r="AJ31" i="253"/>
  <c r="T31" i="253"/>
  <c r="S31" i="253"/>
  <c r="G31" i="253"/>
  <c r="R31" i="253" s="1"/>
  <c r="B31" i="253"/>
  <c r="P31" i="253" s="1"/>
  <c r="AJ30" i="253"/>
  <c r="T30" i="253"/>
  <c r="S30" i="253"/>
  <c r="R30" i="253"/>
  <c r="G30" i="253"/>
  <c r="Q30" i="253" s="1"/>
  <c r="B30" i="253"/>
  <c r="P30" i="253" s="1"/>
  <c r="AJ29" i="253"/>
  <c r="T29" i="253"/>
  <c r="S29" i="253"/>
  <c r="R29" i="253"/>
  <c r="G29" i="253"/>
  <c r="Q29" i="253" s="1"/>
  <c r="B29" i="253"/>
  <c r="P29" i="253" s="1"/>
  <c r="AJ28" i="253"/>
  <c r="T28" i="253"/>
  <c r="S28" i="253"/>
  <c r="R28" i="253"/>
  <c r="G28" i="253"/>
  <c r="Q28" i="253" s="1"/>
  <c r="B28" i="253"/>
  <c r="P28" i="253" s="1"/>
  <c r="AJ27" i="253"/>
  <c r="T27" i="253"/>
  <c r="S27" i="253"/>
  <c r="R27" i="253"/>
  <c r="G27" i="253"/>
  <c r="Q27" i="253" s="1"/>
  <c r="B27" i="253"/>
  <c r="P27" i="253" s="1"/>
  <c r="AJ26" i="253"/>
  <c r="T26" i="253"/>
  <c r="S26" i="253"/>
  <c r="R26" i="253"/>
  <c r="G26" i="253"/>
  <c r="Q26" i="253" s="1"/>
  <c r="B26" i="253"/>
  <c r="P26" i="253" s="1"/>
  <c r="AJ13" i="253"/>
  <c r="T13" i="253"/>
  <c r="S13" i="253"/>
  <c r="G13" i="253"/>
  <c r="R13" i="253" s="1"/>
  <c r="B13" i="253"/>
  <c r="P13" i="253" s="1"/>
  <c r="AJ21" i="252"/>
  <c r="T21" i="252"/>
  <c r="S21" i="252"/>
  <c r="G21" i="252"/>
  <c r="R21" i="252" s="1"/>
  <c r="B21" i="252"/>
  <c r="P21" i="252" s="1"/>
  <c r="AJ20" i="252"/>
  <c r="T20" i="252"/>
  <c r="S20" i="252"/>
  <c r="G20" i="252"/>
  <c r="R20" i="252" s="1"/>
  <c r="B20" i="252"/>
  <c r="P20" i="252" s="1"/>
  <c r="AJ19" i="252"/>
  <c r="T19" i="252"/>
  <c r="S19" i="252"/>
  <c r="G19" i="252"/>
  <c r="R19" i="252" s="1"/>
  <c r="B19" i="252"/>
  <c r="P19" i="252" s="1"/>
  <c r="AJ18" i="252"/>
  <c r="T18" i="252"/>
  <c r="S18" i="252"/>
  <c r="R18" i="252"/>
  <c r="G18" i="252"/>
  <c r="Q18" i="252" s="1"/>
  <c r="B18" i="252"/>
  <c r="P18" i="252" s="1"/>
  <c r="AJ17" i="252"/>
  <c r="T17" i="252"/>
  <c r="S17" i="252"/>
  <c r="R17" i="252"/>
  <c r="G17" i="252"/>
  <c r="Q17" i="252" s="1"/>
  <c r="B17" i="252"/>
  <c r="P17" i="252" s="1"/>
  <c r="AJ16" i="252"/>
  <c r="T16" i="252"/>
  <c r="S16" i="252"/>
  <c r="R16" i="252"/>
  <c r="G16" i="252"/>
  <c r="Q16" i="252" s="1"/>
  <c r="B16" i="252"/>
  <c r="P16" i="252" s="1"/>
  <c r="AJ15" i="252"/>
  <c r="T15" i="252"/>
  <c r="S15" i="252"/>
  <c r="R15" i="252"/>
  <c r="G15" i="252"/>
  <c r="Q15" i="252" s="1"/>
  <c r="B15" i="252"/>
  <c r="P15" i="252" s="1"/>
  <c r="AJ14" i="252"/>
  <c r="T14" i="252"/>
  <c r="S14" i="252"/>
  <c r="R14" i="252"/>
  <c r="G14" i="252"/>
  <c r="Q14" i="252" s="1"/>
  <c r="B14" i="252"/>
  <c r="P14" i="252" s="1"/>
  <c r="AJ13" i="252"/>
  <c r="T13" i="252"/>
  <c r="S13" i="252"/>
  <c r="G13" i="252"/>
  <c r="Q13" i="252" s="1"/>
  <c r="B13" i="252"/>
  <c r="P13" i="252" s="1"/>
  <c r="AJ16" i="251"/>
  <c r="T16" i="251"/>
  <c r="S16" i="251"/>
  <c r="G16" i="251"/>
  <c r="R16" i="251" s="1"/>
  <c r="B16" i="251"/>
  <c r="P16" i="251" s="1"/>
  <c r="AJ15" i="251"/>
  <c r="T15" i="251"/>
  <c r="S15" i="251"/>
  <c r="R15" i="251"/>
  <c r="G15" i="251"/>
  <c r="Q15" i="251" s="1"/>
  <c r="B15" i="251"/>
  <c r="P15" i="251" s="1"/>
  <c r="AJ14" i="251"/>
  <c r="T14" i="251"/>
  <c r="S14" i="251"/>
  <c r="R14" i="251"/>
  <c r="G14" i="251"/>
  <c r="Q14" i="251" s="1"/>
  <c r="B14" i="251"/>
  <c r="P14" i="251" s="1"/>
  <c r="AJ13" i="251"/>
  <c r="T13" i="251"/>
  <c r="S13" i="251"/>
  <c r="G13" i="251"/>
  <c r="Q13" i="251" s="1"/>
  <c r="B13" i="251"/>
  <c r="P13" i="251" s="1"/>
  <c r="AJ22" i="250"/>
  <c r="T22" i="250"/>
  <c r="S22" i="250"/>
  <c r="G22" i="250"/>
  <c r="R22" i="250" s="1"/>
  <c r="B22" i="250"/>
  <c r="P22" i="250" s="1"/>
  <c r="AJ21" i="250"/>
  <c r="T21" i="250"/>
  <c r="S21" i="250"/>
  <c r="G21" i="250"/>
  <c r="Q21" i="250" s="1"/>
  <c r="B21" i="250"/>
  <c r="P21" i="250" s="1"/>
  <c r="AJ20" i="250"/>
  <c r="T20" i="250"/>
  <c r="S20" i="250"/>
  <c r="G20" i="250"/>
  <c r="R20" i="250" s="1"/>
  <c r="B20" i="250"/>
  <c r="P20" i="250" s="1"/>
  <c r="AJ19" i="250"/>
  <c r="T19" i="250"/>
  <c r="S19" i="250"/>
  <c r="G19" i="250"/>
  <c r="R19" i="250" s="1"/>
  <c r="B19" i="250"/>
  <c r="P19" i="250" s="1"/>
  <c r="AJ18" i="250"/>
  <c r="T18" i="250"/>
  <c r="S18" i="250"/>
  <c r="G18" i="250"/>
  <c r="R18" i="250" s="1"/>
  <c r="B18" i="250"/>
  <c r="P18" i="250" s="1"/>
  <c r="AJ17" i="250"/>
  <c r="T17" i="250"/>
  <c r="S17" i="250"/>
  <c r="G17" i="250"/>
  <c r="R17" i="250" s="1"/>
  <c r="B17" i="250"/>
  <c r="P17" i="250" s="1"/>
  <c r="AJ16" i="250"/>
  <c r="T16" i="250"/>
  <c r="S16" i="250"/>
  <c r="G16" i="250"/>
  <c r="R16" i="250" s="1"/>
  <c r="B16" i="250"/>
  <c r="P16" i="250" s="1"/>
  <c r="AJ15" i="250"/>
  <c r="T15" i="250"/>
  <c r="S15" i="250"/>
  <c r="G15" i="250"/>
  <c r="Q15" i="250" s="1"/>
  <c r="B15" i="250"/>
  <c r="P15" i="250" s="1"/>
  <c r="AJ14" i="250"/>
  <c r="T14" i="250"/>
  <c r="S14" i="250"/>
  <c r="G14" i="250"/>
  <c r="R14" i="250" s="1"/>
  <c r="B14" i="250"/>
  <c r="P14" i="250" s="1"/>
  <c r="AJ13" i="250"/>
  <c r="T13" i="250"/>
  <c r="S13" i="250"/>
  <c r="R13" i="250"/>
  <c r="G13" i="250"/>
  <c r="Q13" i="250" s="1"/>
  <c r="B13" i="250"/>
  <c r="P13" i="250" s="1"/>
  <c r="AJ24" i="249"/>
  <c r="T24" i="249"/>
  <c r="S24" i="249"/>
  <c r="G24" i="249"/>
  <c r="Q24" i="249" s="1"/>
  <c r="B24" i="249"/>
  <c r="P24" i="249" s="1"/>
  <c r="AJ23" i="249"/>
  <c r="T23" i="249"/>
  <c r="S23" i="249"/>
  <c r="G23" i="249"/>
  <c r="Q23" i="249" s="1"/>
  <c r="B23" i="249"/>
  <c r="P23" i="249" s="1"/>
  <c r="AJ22" i="249"/>
  <c r="T22" i="249"/>
  <c r="S22" i="249"/>
  <c r="G22" i="249"/>
  <c r="Q22" i="249" s="1"/>
  <c r="B22" i="249"/>
  <c r="P22" i="249" s="1"/>
  <c r="AJ21" i="249"/>
  <c r="T21" i="249"/>
  <c r="S21" i="249"/>
  <c r="G21" i="249"/>
  <c r="Q21" i="249" s="1"/>
  <c r="B21" i="249"/>
  <c r="P21" i="249" s="1"/>
  <c r="AJ20" i="249"/>
  <c r="T20" i="249"/>
  <c r="S20" i="249"/>
  <c r="G20" i="249"/>
  <c r="Q20" i="249" s="1"/>
  <c r="B20" i="249"/>
  <c r="P20" i="249" s="1"/>
  <c r="AJ26" i="249"/>
  <c r="T26" i="249"/>
  <c r="S26" i="249"/>
  <c r="G26" i="249"/>
  <c r="Q26" i="249" s="1"/>
  <c r="B26" i="249"/>
  <c r="P26" i="249" s="1"/>
  <c r="AJ25" i="249"/>
  <c r="T25" i="249"/>
  <c r="S25" i="249"/>
  <c r="G25" i="249"/>
  <c r="Q25" i="249" s="1"/>
  <c r="B25" i="249"/>
  <c r="P25" i="249" s="1"/>
  <c r="AJ19" i="249"/>
  <c r="T19" i="249"/>
  <c r="S19" i="249"/>
  <c r="G19" i="249"/>
  <c r="Q19" i="249" s="1"/>
  <c r="B19" i="249"/>
  <c r="P19" i="249" s="1"/>
  <c r="AJ18" i="249"/>
  <c r="T18" i="249"/>
  <c r="S18" i="249"/>
  <c r="G18" i="249"/>
  <c r="Q18" i="249" s="1"/>
  <c r="B18" i="249"/>
  <c r="P18" i="249" s="1"/>
  <c r="AJ17" i="249"/>
  <c r="T17" i="249"/>
  <c r="S17" i="249"/>
  <c r="G17" i="249"/>
  <c r="Q17" i="249" s="1"/>
  <c r="B17" i="249"/>
  <c r="P17" i="249" s="1"/>
  <c r="AJ16" i="249"/>
  <c r="T16" i="249"/>
  <c r="S16" i="249"/>
  <c r="G16" i="249"/>
  <c r="Q16" i="249" s="1"/>
  <c r="B16" i="249"/>
  <c r="P16" i="249" s="1"/>
  <c r="AJ15" i="249"/>
  <c r="T15" i="249"/>
  <c r="S15" i="249"/>
  <c r="G15" i="249"/>
  <c r="Q15" i="249" s="1"/>
  <c r="B15" i="249"/>
  <c r="P15" i="249" s="1"/>
  <c r="AJ14" i="249"/>
  <c r="T14" i="249"/>
  <c r="S14" i="249"/>
  <c r="G14" i="249"/>
  <c r="Q14" i="249" s="1"/>
  <c r="B14" i="249"/>
  <c r="P14" i="249" s="1"/>
  <c r="AJ13" i="249"/>
  <c r="T13" i="249"/>
  <c r="S13" i="249"/>
  <c r="R13" i="249"/>
  <c r="G13" i="249"/>
  <c r="Q13" i="249" s="1"/>
  <c r="B13" i="249"/>
  <c r="P13" i="249" s="1"/>
  <c r="BK71" i="25"/>
  <c r="A71" i="25"/>
  <c r="BK69" i="25"/>
  <c r="A69" i="25"/>
  <c r="BK35" i="25"/>
  <c r="A35" i="25"/>
  <c r="BK34" i="25"/>
  <c r="A34" i="25"/>
  <c r="BK33" i="25"/>
  <c r="A33" i="25"/>
  <c r="BK32" i="25"/>
  <c r="A32" i="25"/>
  <c r="BK31" i="25"/>
  <c r="A31" i="25"/>
  <c r="BK30" i="25"/>
  <c r="A30" i="25"/>
  <c r="BK29" i="25"/>
  <c r="A29" i="25"/>
  <c r="BK28" i="25"/>
  <c r="A28" i="25"/>
  <c r="BK27" i="25"/>
  <c r="A27" i="25"/>
  <c r="BK26" i="25"/>
  <c r="A26" i="25"/>
  <c r="BK25" i="25"/>
  <c r="A25" i="25"/>
  <c r="BK24" i="25"/>
  <c r="A24" i="25"/>
  <c r="BK23" i="25"/>
  <c r="A23" i="25"/>
  <c r="BK22" i="25"/>
  <c r="A22" i="25"/>
  <c r="BK21" i="25"/>
  <c r="A21" i="25"/>
  <c r="BK20" i="25"/>
  <c r="A20" i="25"/>
  <c r="AJ19" i="248"/>
  <c r="T19" i="248"/>
  <c r="S19" i="248"/>
  <c r="R19" i="248"/>
  <c r="G19" i="248"/>
  <c r="Q19" i="248" s="1"/>
  <c r="B19" i="248"/>
  <c r="P19" i="248" s="1"/>
  <c r="AJ18" i="248"/>
  <c r="T18" i="248"/>
  <c r="S18" i="248"/>
  <c r="R18" i="248"/>
  <c r="G18" i="248"/>
  <c r="Q18" i="248" s="1"/>
  <c r="B18" i="248"/>
  <c r="P18" i="248" s="1"/>
  <c r="AJ17" i="248"/>
  <c r="T17" i="248"/>
  <c r="S17" i="248"/>
  <c r="R17" i="248"/>
  <c r="G17" i="248"/>
  <c r="Q17" i="248" s="1"/>
  <c r="B17" i="248"/>
  <c r="P17" i="248" s="1"/>
  <c r="AJ16" i="248"/>
  <c r="T16" i="248"/>
  <c r="S16" i="248"/>
  <c r="R16" i="248"/>
  <c r="G16" i="248"/>
  <c r="Q16" i="248" s="1"/>
  <c r="B16" i="248"/>
  <c r="P16" i="248" s="1"/>
  <c r="AJ15" i="248"/>
  <c r="T15" i="248"/>
  <c r="S15" i="248"/>
  <c r="R15" i="248"/>
  <c r="G15" i="248"/>
  <c r="Q15" i="248" s="1"/>
  <c r="B15" i="248"/>
  <c r="P15" i="248" s="1"/>
  <c r="AJ21" i="248"/>
  <c r="T21" i="248"/>
  <c r="S21" i="248"/>
  <c r="R21" i="248"/>
  <c r="G21" i="248"/>
  <c r="Q21" i="248" s="1"/>
  <c r="B21" i="248"/>
  <c r="P21" i="248" s="1"/>
  <c r="AJ20" i="248"/>
  <c r="T20" i="248"/>
  <c r="S20" i="248"/>
  <c r="R20" i="248"/>
  <c r="G20" i="248"/>
  <c r="Q20" i="248" s="1"/>
  <c r="B20" i="248"/>
  <c r="P20" i="248" s="1"/>
  <c r="AJ14" i="248"/>
  <c r="T14" i="248"/>
  <c r="S14" i="248"/>
  <c r="R14" i="248"/>
  <c r="G14" i="248"/>
  <c r="Q14" i="248" s="1"/>
  <c r="B14" i="248"/>
  <c r="P14" i="248" s="1"/>
  <c r="AJ13" i="248"/>
  <c r="T13" i="248"/>
  <c r="S13" i="248"/>
  <c r="R13" i="248"/>
  <c r="G13" i="248"/>
  <c r="Q13" i="248" s="1"/>
  <c r="B13" i="248"/>
  <c r="P13" i="248" s="1"/>
  <c r="AJ16" i="247"/>
  <c r="T16" i="247"/>
  <c r="S16" i="247"/>
  <c r="R16" i="247"/>
  <c r="G16" i="247"/>
  <c r="Q16" i="247" s="1"/>
  <c r="B16" i="247"/>
  <c r="P16" i="247" s="1"/>
  <c r="AJ15" i="247"/>
  <c r="T15" i="247"/>
  <c r="S15" i="247"/>
  <c r="R15" i="247"/>
  <c r="G15" i="247"/>
  <c r="Q15" i="247" s="1"/>
  <c r="B15" i="247"/>
  <c r="P15" i="247" s="1"/>
  <c r="AJ14" i="247"/>
  <c r="T14" i="247"/>
  <c r="S14" i="247"/>
  <c r="R14" i="247"/>
  <c r="G14" i="247"/>
  <c r="Q14" i="247" s="1"/>
  <c r="B14" i="247"/>
  <c r="P14" i="247" s="1"/>
  <c r="AJ13" i="247"/>
  <c r="T13" i="247"/>
  <c r="S13" i="247"/>
  <c r="R13" i="247"/>
  <c r="G13" i="247"/>
  <c r="Q13" i="247" s="1"/>
  <c r="B13" i="247"/>
  <c r="P13" i="247" s="1"/>
  <c r="AJ16" i="245"/>
  <c r="T16" i="245"/>
  <c r="S16" i="245"/>
  <c r="R16" i="245"/>
  <c r="G16" i="245"/>
  <c r="Q16" i="245" s="1"/>
  <c r="B16" i="245"/>
  <c r="P16" i="245" s="1"/>
  <c r="AJ15" i="245"/>
  <c r="T15" i="245"/>
  <c r="S15" i="245"/>
  <c r="R15" i="245"/>
  <c r="G15" i="245"/>
  <c r="Q15" i="245" s="1"/>
  <c r="B15" i="245"/>
  <c r="P15" i="245" s="1"/>
  <c r="AJ14" i="245"/>
  <c r="T14" i="245"/>
  <c r="S14" i="245"/>
  <c r="R14" i="245"/>
  <c r="G14" i="245"/>
  <c r="Q14" i="245" s="1"/>
  <c r="B14" i="245"/>
  <c r="P14" i="245" s="1"/>
  <c r="AJ13" i="245"/>
  <c r="T13" i="245"/>
  <c r="S13" i="245"/>
  <c r="R13" i="245"/>
  <c r="G13" i="245"/>
  <c r="Q13" i="245" s="1"/>
  <c r="B13" i="245"/>
  <c r="P13" i="245" s="1"/>
  <c r="AJ19" i="244"/>
  <c r="T19" i="244"/>
  <c r="S19" i="244"/>
  <c r="R19" i="244"/>
  <c r="G19" i="244"/>
  <c r="Q19" i="244" s="1"/>
  <c r="B19" i="244"/>
  <c r="P19" i="244" s="1"/>
  <c r="AJ18" i="244"/>
  <c r="T18" i="244"/>
  <c r="S18" i="244"/>
  <c r="R18" i="244"/>
  <c r="G18" i="244"/>
  <c r="Q18" i="244" s="1"/>
  <c r="B18" i="244"/>
  <c r="P18" i="244" s="1"/>
  <c r="AJ17" i="244"/>
  <c r="T17" i="244"/>
  <c r="S17" i="244"/>
  <c r="R17" i="244"/>
  <c r="G17" i="244"/>
  <c r="Q17" i="244" s="1"/>
  <c r="B17" i="244"/>
  <c r="P17" i="244" s="1"/>
  <c r="AJ16" i="244"/>
  <c r="T16" i="244"/>
  <c r="S16" i="244"/>
  <c r="R16" i="244"/>
  <c r="G16" i="244"/>
  <c r="Q16" i="244" s="1"/>
  <c r="B16" i="244"/>
  <c r="P16" i="244" s="1"/>
  <c r="AJ15" i="244"/>
  <c r="T15" i="244"/>
  <c r="S15" i="244"/>
  <c r="R15" i="244"/>
  <c r="G15" i="244"/>
  <c r="Q15" i="244" s="1"/>
  <c r="B15" i="244"/>
  <c r="P15" i="244" s="1"/>
  <c r="AJ14" i="244"/>
  <c r="T14" i="244"/>
  <c r="S14" i="244"/>
  <c r="R14" i="244"/>
  <c r="G14" i="244"/>
  <c r="Q14" i="244" s="1"/>
  <c r="B14" i="244"/>
  <c r="P14" i="244" s="1"/>
  <c r="AJ13" i="244"/>
  <c r="T13" i="244"/>
  <c r="S13" i="244"/>
  <c r="R13" i="244"/>
  <c r="G13" i="244"/>
  <c r="Q13" i="244" s="1"/>
  <c r="B13" i="244"/>
  <c r="P13" i="244" s="1"/>
  <c r="AJ19" i="243"/>
  <c r="T19" i="243"/>
  <c r="S19" i="243"/>
  <c r="R19" i="243"/>
  <c r="G19" i="243"/>
  <c r="Q19" i="243" s="1"/>
  <c r="B19" i="243"/>
  <c r="P19" i="243" s="1"/>
  <c r="AJ18" i="243"/>
  <c r="T18" i="243"/>
  <c r="S18" i="243"/>
  <c r="R18" i="243"/>
  <c r="G18" i="243"/>
  <c r="Q18" i="243" s="1"/>
  <c r="B18" i="243"/>
  <c r="P18" i="243" s="1"/>
  <c r="AJ17" i="243"/>
  <c r="T17" i="243"/>
  <c r="S17" i="243"/>
  <c r="R17" i="243"/>
  <c r="G17" i="243"/>
  <c r="Q17" i="243" s="1"/>
  <c r="B17" i="243"/>
  <c r="P17" i="243" s="1"/>
  <c r="AJ16" i="243"/>
  <c r="T16" i="243"/>
  <c r="S16" i="243"/>
  <c r="R16" i="243"/>
  <c r="G16" i="243"/>
  <c r="Q16" i="243" s="1"/>
  <c r="B16" i="243"/>
  <c r="P16" i="243" s="1"/>
  <c r="AJ15" i="243"/>
  <c r="T15" i="243"/>
  <c r="S15" i="243"/>
  <c r="R15" i="243"/>
  <c r="G15" i="243"/>
  <c r="Q15" i="243" s="1"/>
  <c r="B15" i="243"/>
  <c r="P15" i="243" s="1"/>
  <c r="AJ14" i="243"/>
  <c r="T14" i="243"/>
  <c r="S14" i="243"/>
  <c r="R14" i="243"/>
  <c r="G14" i="243"/>
  <c r="Q14" i="243" s="1"/>
  <c r="B14" i="243"/>
  <c r="P14" i="243" s="1"/>
  <c r="AJ13" i="243"/>
  <c r="T13" i="243"/>
  <c r="S13" i="243"/>
  <c r="R13" i="243"/>
  <c r="G13" i="243"/>
  <c r="Q13" i="243" s="1"/>
  <c r="B13" i="243"/>
  <c r="P13" i="243" s="1"/>
  <c r="AJ19" i="242"/>
  <c r="T19" i="242"/>
  <c r="S19" i="242"/>
  <c r="R19" i="242"/>
  <c r="G19" i="242"/>
  <c r="Q19" i="242" s="1"/>
  <c r="B19" i="242"/>
  <c r="P19" i="242" s="1"/>
  <c r="AJ18" i="242"/>
  <c r="T18" i="242"/>
  <c r="S18" i="242"/>
  <c r="R18" i="242"/>
  <c r="G18" i="242"/>
  <c r="Q18" i="242" s="1"/>
  <c r="B18" i="242"/>
  <c r="P18" i="242" s="1"/>
  <c r="AJ17" i="242"/>
  <c r="T17" i="242"/>
  <c r="S17" i="242"/>
  <c r="R17" i="242"/>
  <c r="G17" i="242"/>
  <c r="Q17" i="242" s="1"/>
  <c r="B17" i="242"/>
  <c r="P17" i="242" s="1"/>
  <c r="AJ16" i="242"/>
  <c r="T16" i="242"/>
  <c r="S16" i="242"/>
  <c r="R16" i="242"/>
  <c r="G16" i="242"/>
  <c r="Q16" i="242" s="1"/>
  <c r="B16" i="242"/>
  <c r="P16" i="242" s="1"/>
  <c r="AJ15" i="242"/>
  <c r="T15" i="242"/>
  <c r="S15" i="242"/>
  <c r="R15" i="242"/>
  <c r="G15" i="242"/>
  <c r="Q15" i="242" s="1"/>
  <c r="B15" i="242"/>
  <c r="P15" i="242" s="1"/>
  <c r="AJ14" i="242"/>
  <c r="T14" i="242"/>
  <c r="S14" i="242"/>
  <c r="R14" i="242"/>
  <c r="G14" i="242"/>
  <c r="Q14" i="242" s="1"/>
  <c r="B14" i="242"/>
  <c r="P14" i="242" s="1"/>
  <c r="AJ13" i="242"/>
  <c r="T13" i="242"/>
  <c r="S13" i="242"/>
  <c r="R13" i="242"/>
  <c r="G13" i="242"/>
  <c r="Q13" i="242" s="1"/>
  <c r="B13" i="242"/>
  <c r="P13" i="242" s="1"/>
  <c r="AJ15" i="241"/>
  <c r="T15" i="241"/>
  <c r="S15" i="241"/>
  <c r="R15" i="241"/>
  <c r="G15" i="241"/>
  <c r="Q15" i="241" s="1"/>
  <c r="B15" i="241"/>
  <c r="P15" i="241" s="1"/>
  <c r="AJ14" i="241"/>
  <c r="T14" i="241"/>
  <c r="S14" i="241"/>
  <c r="R14" i="241"/>
  <c r="G14" i="241"/>
  <c r="Q14" i="241" s="1"/>
  <c r="B14" i="241"/>
  <c r="P14" i="241" s="1"/>
  <c r="AJ13" i="241"/>
  <c r="T13" i="241"/>
  <c r="S13" i="241"/>
  <c r="R13" i="241"/>
  <c r="G13" i="241"/>
  <c r="Q13" i="241" s="1"/>
  <c r="B13" i="241"/>
  <c r="P13" i="241" s="1"/>
  <c r="AJ17" i="240"/>
  <c r="T17" i="240"/>
  <c r="S17" i="240"/>
  <c r="R17" i="240"/>
  <c r="G17" i="240"/>
  <c r="Q17" i="240" s="1"/>
  <c r="B17" i="240"/>
  <c r="P17" i="240" s="1"/>
  <c r="AJ16" i="240"/>
  <c r="T16" i="240"/>
  <c r="S16" i="240"/>
  <c r="R16" i="240"/>
  <c r="G16" i="240"/>
  <c r="Q16" i="240" s="1"/>
  <c r="B16" i="240"/>
  <c r="P16" i="240" s="1"/>
  <c r="AJ15" i="240"/>
  <c r="T15" i="240"/>
  <c r="S15" i="240"/>
  <c r="R15" i="240"/>
  <c r="G15" i="240"/>
  <c r="Q15" i="240" s="1"/>
  <c r="B15" i="240"/>
  <c r="P15" i="240" s="1"/>
  <c r="AJ14" i="240"/>
  <c r="T14" i="240"/>
  <c r="S14" i="240"/>
  <c r="R14" i="240"/>
  <c r="G14" i="240"/>
  <c r="Q14" i="240" s="1"/>
  <c r="B14" i="240"/>
  <c r="P14" i="240" s="1"/>
  <c r="AJ19" i="240"/>
  <c r="T19" i="240"/>
  <c r="S19" i="240"/>
  <c r="R19" i="240"/>
  <c r="G19" i="240"/>
  <c r="Q19" i="240" s="1"/>
  <c r="B19" i="240"/>
  <c r="P19" i="240" s="1"/>
  <c r="AJ18" i="240"/>
  <c r="T18" i="240"/>
  <c r="S18" i="240"/>
  <c r="R18" i="240"/>
  <c r="G18" i="240"/>
  <c r="Q18" i="240" s="1"/>
  <c r="B18" i="240"/>
  <c r="P18" i="240" s="1"/>
  <c r="AJ13" i="240"/>
  <c r="T13" i="240"/>
  <c r="S13" i="240"/>
  <c r="R13" i="240"/>
  <c r="G13" i="240"/>
  <c r="Q13" i="240" s="1"/>
  <c r="B13" i="240"/>
  <c r="P13" i="240" s="1"/>
  <c r="AJ15" i="239"/>
  <c r="T15" i="239"/>
  <c r="S15" i="239"/>
  <c r="R15" i="239"/>
  <c r="G15" i="239"/>
  <c r="Q15" i="239" s="1"/>
  <c r="B15" i="239"/>
  <c r="P15" i="239" s="1"/>
  <c r="AJ14" i="239"/>
  <c r="T14" i="239"/>
  <c r="S14" i="239"/>
  <c r="R14" i="239"/>
  <c r="G14" i="239"/>
  <c r="Q14" i="239" s="1"/>
  <c r="B14" i="239"/>
  <c r="P14" i="239" s="1"/>
  <c r="AJ13" i="239"/>
  <c r="T13" i="239"/>
  <c r="S13" i="239"/>
  <c r="R13" i="239"/>
  <c r="G13" i="239"/>
  <c r="Q13" i="239" s="1"/>
  <c r="B13" i="239"/>
  <c r="P13" i="239" s="1"/>
  <c r="AJ40" i="238"/>
  <c r="T40" i="238"/>
  <c r="S40" i="238"/>
  <c r="R40" i="238"/>
  <c r="G40" i="238"/>
  <c r="Q40" i="238" s="1"/>
  <c r="B40" i="238"/>
  <c r="P40" i="238" s="1"/>
  <c r="AJ39" i="238"/>
  <c r="T39" i="238"/>
  <c r="S39" i="238"/>
  <c r="R39" i="238"/>
  <c r="G39" i="238"/>
  <c r="Q39" i="238" s="1"/>
  <c r="B39" i="238"/>
  <c r="P39" i="238" s="1"/>
  <c r="AJ38" i="238"/>
  <c r="T38" i="238"/>
  <c r="S38" i="238"/>
  <c r="R38" i="238"/>
  <c r="G38" i="238"/>
  <c r="Q38" i="238" s="1"/>
  <c r="B38" i="238"/>
  <c r="P38" i="238" s="1"/>
  <c r="AJ37" i="238"/>
  <c r="T37" i="238"/>
  <c r="S37" i="238"/>
  <c r="R37" i="238"/>
  <c r="G37" i="238"/>
  <c r="Q37" i="238" s="1"/>
  <c r="B37" i="238"/>
  <c r="P37" i="238" s="1"/>
  <c r="AJ36" i="238"/>
  <c r="T36" i="238"/>
  <c r="S36" i="238"/>
  <c r="R36" i="238"/>
  <c r="G36" i="238"/>
  <c r="Q36" i="238" s="1"/>
  <c r="B36" i="238"/>
  <c r="P36" i="238" s="1"/>
  <c r="AJ35" i="238"/>
  <c r="T35" i="238"/>
  <c r="S35" i="238"/>
  <c r="R35" i="238"/>
  <c r="G35" i="238"/>
  <c r="Q35" i="238" s="1"/>
  <c r="B35" i="238"/>
  <c r="P35" i="238" s="1"/>
  <c r="AJ34" i="238"/>
  <c r="T34" i="238"/>
  <c r="S34" i="238"/>
  <c r="R34" i="238"/>
  <c r="G34" i="238"/>
  <c r="Q34" i="238" s="1"/>
  <c r="B34" i="238"/>
  <c r="P34" i="238" s="1"/>
  <c r="AJ33" i="238"/>
  <c r="T33" i="238"/>
  <c r="S33" i="238"/>
  <c r="R33" i="238"/>
  <c r="G33" i="238"/>
  <c r="Q33" i="238" s="1"/>
  <c r="B33" i="238"/>
  <c r="P33" i="238" s="1"/>
  <c r="AJ32" i="238"/>
  <c r="T32" i="238"/>
  <c r="S32" i="238"/>
  <c r="R32" i="238"/>
  <c r="G32" i="238"/>
  <c r="Q32" i="238" s="1"/>
  <c r="B32" i="238"/>
  <c r="P32" i="238" s="1"/>
  <c r="AJ31" i="238"/>
  <c r="T31" i="238"/>
  <c r="S31" i="238"/>
  <c r="R31" i="238"/>
  <c r="G31" i="238"/>
  <c r="Q31" i="238" s="1"/>
  <c r="B31" i="238"/>
  <c r="P31" i="238" s="1"/>
  <c r="AJ30" i="238"/>
  <c r="T30" i="238"/>
  <c r="S30" i="238"/>
  <c r="R30" i="238"/>
  <c r="G30" i="238"/>
  <c r="Q30" i="238" s="1"/>
  <c r="B30" i="238"/>
  <c r="P30" i="238" s="1"/>
  <c r="AJ29" i="238"/>
  <c r="T29" i="238"/>
  <c r="S29" i="238"/>
  <c r="R29" i="238"/>
  <c r="G29" i="238"/>
  <c r="Q29" i="238" s="1"/>
  <c r="B29" i="238"/>
  <c r="P29" i="238" s="1"/>
  <c r="AJ28" i="238"/>
  <c r="T28" i="238"/>
  <c r="S28" i="238"/>
  <c r="R28" i="238"/>
  <c r="G28" i="238"/>
  <c r="Q28" i="238" s="1"/>
  <c r="B28" i="238"/>
  <c r="P28" i="238" s="1"/>
  <c r="AJ27" i="238"/>
  <c r="T27" i="238"/>
  <c r="S27" i="238"/>
  <c r="R27" i="238"/>
  <c r="G27" i="238"/>
  <c r="Q27" i="238" s="1"/>
  <c r="B27" i="238"/>
  <c r="P27" i="238" s="1"/>
  <c r="AJ26" i="238"/>
  <c r="T26" i="238"/>
  <c r="S26" i="238"/>
  <c r="R26" i="238"/>
  <c r="G26" i="238"/>
  <c r="Q26" i="238" s="1"/>
  <c r="B26" i="238"/>
  <c r="P26" i="238" s="1"/>
  <c r="AJ25" i="238"/>
  <c r="T25" i="238"/>
  <c r="S25" i="238"/>
  <c r="R25" i="238"/>
  <c r="G25" i="238"/>
  <c r="Q25" i="238" s="1"/>
  <c r="B25" i="238"/>
  <c r="P25" i="238" s="1"/>
  <c r="AJ24" i="238"/>
  <c r="T24" i="238"/>
  <c r="S24" i="238"/>
  <c r="R24" i="238"/>
  <c r="G24" i="238"/>
  <c r="Q24" i="238" s="1"/>
  <c r="B24" i="238"/>
  <c r="P24" i="238" s="1"/>
  <c r="AJ23" i="238"/>
  <c r="T23" i="238"/>
  <c r="S23" i="238"/>
  <c r="R23" i="238"/>
  <c r="G23" i="238"/>
  <c r="Q23" i="238" s="1"/>
  <c r="B23" i="238"/>
  <c r="P23" i="238" s="1"/>
  <c r="AJ22" i="238"/>
  <c r="T22" i="238"/>
  <c r="S22" i="238"/>
  <c r="R22" i="238"/>
  <c r="G22" i="238"/>
  <c r="Q22" i="238" s="1"/>
  <c r="B22" i="238"/>
  <c r="P22" i="238" s="1"/>
  <c r="AJ21" i="238"/>
  <c r="T21" i="238"/>
  <c r="S21" i="238"/>
  <c r="R21" i="238"/>
  <c r="G21" i="238"/>
  <c r="Q21" i="238" s="1"/>
  <c r="B21" i="238"/>
  <c r="P21" i="238" s="1"/>
  <c r="AJ20" i="238"/>
  <c r="T20" i="238"/>
  <c r="S20" i="238"/>
  <c r="R20" i="238"/>
  <c r="G20" i="238"/>
  <c r="Q20" i="238" s="1"/>
  <c r="B20" i="238"/>
  <c r="P20" i="238" s="1"/>
  <c r="AJ19" i="238"/>
  <c r="T19" i="238"/>
  <c r="S19" i="238"/>
  <c r="R19" i="238"/>
  <c r="G19" i="238"/>
  <c r="Q19" i="238" s="1"/>
  <c r="B19" i="238"/>
  <c r="P19" i="238" s="1"/>
  <c r="AJ18" i="238"/>
  <c r="T18" i="238"/>
  <c r="S18" i="238"/>
  <c r="R18" i="238"/>
  <c r="G18" i="238"/>
  <c r="Q18" i="238" s="1"/>
  <c r="B18" i="238"/>
  <c r="P18" i="238" s="1"/>
  <c r="AJ17" i="238"/>
  <c r="T17" i="238"/>
  <c r="S17" i="238"/>
  <c r="G17" i="238"/>
  <c r="Q17" i="238" s="1"/>
  <c r="B17" i="238"/>
  <c r="P17" i="238" s="1"/>
  <c r="AJ59" i="238"/>
  <c r="T59" i="238"/>
  <c r="S59" i="238"/>
  <c r="R59" i="238"/>
  <c r="G59" i="238"/>
  <c r="Q59" i="238" s="1"/>
  <c r="B59" i="238"/>
  <c r="P59" i="238" s="1"/>
  <c r="AJ58" i="238"/>
  <c r="T58" i="238"/>
  <c r="S58" i="238"/>
  <c r="R58" i="238"/>
  <c r="G58" i="238"/>
  <c r="Q58" i="238" s="1"/>
  <c r="B58" i="238"/>
  <c r="P58" i="238" s="1"/>
  <c r="AJ57" i="238"/>
  <c r="T57" i="238"/>
  <c r="S57" i="238"/>
  <c r="R57" i="238"/>
  <c r="G57" i="238"/>
  <c r="Q57" i="238" s="1"/>
  <c r="B57" i="238"/>
  <c r="P57" i="238" s="1"/>
  <c r="AJ56" i="238"/>
  <c r="T56" i="238"/>
  <c r="S56" i="238"/>
  <c r="R56" i="238"/>
  <c r="G56" i="238"/>
  <c r="Q56" i="238" s="1"/>
  <c r="B56" i="238"/>
  <c r="P56" i="238" s="1"/>
  <c r="AJ55" i="238"/>
  <c r="T55" i="238"/>
  <c r="S55" i="238"/>
  <c r="R55" i="238"/>
  <c r="G55" i="238"/>
  <c r="Q55" i="238" s="1"/>
  <c r="B55" i="238"/>
  <c r="P55" i="238" s="1"/>
  <c r="AJ54" i="238"/>
  <c r="T54" i="238"/>
  <c r="S54" i="238"/>
  <c r="R54" i="238"/>
  <c r="G54" i="238"/>
  <c r="Q54" i="238" s="1"/>
  <c r="B54" i="238"/>
  <c r="P54" i="238" s="1"/>
  <c r="AJ53" i="238"/>
  <c r="T53" i="238"/>
  <c r="S53" i="238"/>
  <c r="R53" i="238"/>
  <c r="G53" i="238"/>
  <c r="Q53" i="238" s="1"/>
  <c r="B53" i="238"/>
  <c r="P53" i="238" s="1"/>
  <c r="AJ52" i="238"/>
  <c r="T52" i="238"/>
  <c r="S52" i="238"/>
  <c r="R52" i="238"/>
  <c r="G52" i="238"/>
  <c r="Q52" i="238" s="1"/>
  <c r="B52" i="238"/>
  <c r="P52" i="238" s="1"/>
  <c r="AJ51" i="238"/>
  <c r="T51" i="238"/>
  <c r="S51" i="238"/>
  <c r="R51" i="238"/>
  <c r="G51" i="238"/>
  <c r="Q51" i="238" s="1"/>
  <c r="B51" i="238"/>
  <c r="P51" i="238" s="1"/>
  <c r="AJ50" i="238"/>
  <c r="T50" i="238"/>
  <c r="S50" i="238"/>
  <c r="R50" i="238"/>
  <c r="G50" i="238"/>
  <c r="Q50" i="238" s="1"/>
  <c r="B50" i="238"/>
  <c r="P50" i="238" s="1"/>
  <c r="AJ49" i="238"/>
  <c r="T49" i="238"/>
  <c r="S49" i="238"/>
  <c r="R49" i="238"/>
  <c r="G49" i="238"/>
  <c r="Q49" i="238" s="1"/>
  <c r="B49" i="238"/>
  <c r="P49" i="238" s="1"/>
  <c r="AJ48" i="238"/>
  <c r="T48" i="238"/>
  <c r="S48" i="238"/>
  <c r="R48" i="238"/>
  <c r="G48" i="238"/>
  <c r="Q48" i="238" s="1"/>
  <c r="B48" i="238"/>
  <c r="P48" i="238" s="1"/>
  <c r="AJ47" i="238"/>
  <c r="T47" i="238"/>
  <c r="S47" i="238"/>
  <c r="R47" i="238"/>
  <c r="G47" i="238"/>
  <c r="Q47" i="238" s="1"/>
  <c r="B47" i="238"/>
  <c r="P47" i="238" s="1"/>
  <c r="AJ46" i="238"/>
  <c r="T46" i="238"/>
  <c r="S46" i="238"/>
  <c r="R46" i="238"/>
  <c r="G46" i="238"/>
  <c r="Q46" i="238" s="1"/>
  <c r="B46" i="238"/>
  <c r="P46" i="238" s="1"/>
  <c r="AJ45" i="238"/>
  <c r="T45" i="238"/>
  <c r="S45" i="238"/>
  <c r="R45" i="238"/>
  <c r="G45" i="238"/>
  <c r="Q45" i="238" s="1"/>
  <c r="B45" i="238"/>
  <c r="P45" i="238" s="1"/>
  <c r="AJ44" i="238"/>
  <c r="T44" i="238"/>
  <c r="S44" i="238"/>
  <c r="R44" i="238"/>
  <c r="G44" i="238"/>
  <c r="Q44" i="238" s="1"/>
  <c r="B44" i="238"/>
  <c r="P44" i="238" s="1"/>
  <c r="AJ43" i="238"/>
  <c r="T43" i="238"/>
  <c r="S43" i="238"/>
  <c r="R43" i="238"/>
  <c r="G43" i="238"/>
  <c r="Q43" i="238" s="1"/>
  <c r="B43" i="238"/>
  <c r="P43" i="238" s="1"/>
  <c r="AJ42" i="238"/>
  <c r="T42" i="238"/>
  <c r="S42" i="238"/>
  <c r="R42" i="238"/>
  <c r="G42" i="238"/>
  <c r="Q42" i="238" s="1"/>
  <c r="B42" i="238"/>
  <c r="P42" i="238" s="1"/>
  <c r="AJ41" i="238"/>
  <c r="T41" i="238"/>
  <c r="S41" i="238"/>
  <c r="R41" i="238"/>
  <c r="G41" i="238"/>
  <c r="Q41" i="238" s="1"/>
  <c r="B41" i="238"/>
  <c r="P41" i="238" s="1"/>
  <c r="AJ16" i="238"/>
  <c r="T16" i="238"/>
  <c r="S16" i="238"/>
  <c r="R16" i="238"/>
  <c r="G16" i="238"/>
  <c r="Q16" i="238" s="1"/>
  <c r="B16" i="238"/>
  <c r="P16" i="238" s="1"/>
  <c r="AJ15" i="238"/>
  <c r="T15" i="238"/>
  <c r="S15" i="238"/>
  <c r="R15" i="238"/>
  <c r="G15" i="238"/>
  <c r="Q15" i="238" s="1"/>
  <c r="B15" i="238"/>
  <c r="P15" i="238" s="1"/>
  <c r="AJ14" i="238"/>
  <c r="T14" i="238"/>
  <c r="S14" i="238"/>
  <c r="R14" i="238"/>
  <c r="G14" i="238"/>
  <c r="Q14" i="238" s="1"/>
  <c r="B14" i="238"/>
  <c r="P14" i="238" s="1"/>
  <c r="AJ13" i="238"/>
  <c r="T13" i="238"/>
  <c r="S13" i="238"/>
  <c r="R13" i="238"/>
  <c r="G13" i="238"/>
  <c r="Q13" i="238" s="1"/>
  <c r="B13" i="238"/>
  <c r="P13" i="238" s="1"/>
  <c r="AJ34" i="237"/>
  <c r="T34" i="237"/>
  <c r="S34" i="237"/>
  <c r="R34" i="237"/>
  <c r="G34" i="237"/>
  <c r="Q34" i="237" s="1"/>
  <c r="B34" i="237"/>
  <c r="P34" i="237" s="1"/>
  <c r="AJ33" i="237"/>
  <c r="T33" i="237"/>
  <c r="S33" i="237"/>
  <c r="R33" i="237"/>
  <c r="G33" i="237"/>
  <c r="Q33" i="237" s="1"/>
  <c r="B33" i="237"/>
  <c r="P33" i="237" s="1"/>
  <c r="AJ32" i="237"/>
  <c r="T32" i="237"/>
  <c r="S32" i="237"/>
  <c r="R32" i="237"/>
  <c r="G32" i="237"/>
  <c r="Q32" i="237" s="1"/>
  <c r="B32" i="237"/>
  <c r="P32" i="237" s="1"/>
  <c r="AJ31" i="237"/>
  <c r="T31" i="237"/>
  <c r="S31" i="237"/>
  <c r="R31" i="237"/>
  <c r="G31" i="237"/>
  <c r="Q31" i="237" s="1"/>
  <c r="B31" i="237"/>
  <c r="P31" i="237" s="1"/>
  <c r="AJ36" i="237"/>
  <c r="T36" i="237"/>
  <c r="S36" i="237"/>
  <c r="R36" i="237"/>
  <c r="G36" i="237"/>
  <c r="Q36" i="237" s="1"/>
  <c r="B36" i="237"/>
  <c r="P36" i="237" s="1"/>
  <c r="AJ35" i="237"/>
  <c r="T35" i="237"/>
  <c r="S35" i="237"/>
  <c r="R35" i="237"/>
  <c r="G35" i="237"/>
  <c r="Q35" i="237" s="1"/>
  <c r="B35" i="237"/>
  <c r="P35" i="237" s="1"/>
  <c r="AJ30" i="237"/>
  <c r="T30" i="237"/>
  <c r="S30" i="237"/>
  <c r="R30" i="237"/>
  <c r="G30" i="237"/>
  <c r="Q30" i="237" s="1"/>
  <c r="B30" i="237"/>
  <c r="P30" i="237" s="1"/>
  <c r="AJ29" i="237"/>
  <c r="T29" i="237"/>
  <c r="S29" i="237"/>
  <c r="R29" i="237"/>
  <c r="G29" i="237"/>
  <c r="Q29" i="237" s="1"/>
  <c r="B29" i="237"/>
  <c r="P29" i="237" s="1"/>
  <c r="AJ28" i="237"/>
  <c r="T28" i="237"/>
  <c r="S28" i="237"/>
  <c r="R28" i="237"/>
  <c r="G28" i="237"/>
  <c r="Q28" i="237" s="1"/>
  <c r="B28" i="237"/>
  <c r="P28" i="237" s="1"/>
  <c r="AJ27" i="237"/>
  <c r="T27" i="237"/>
  <c r="S27" i="237"/>
  <c r="R27" i="237"/>
  <c r="G27" i="237"/>
  <c r="Q27" i="237" s="1"/>
  <c r="B27" i="237"/>
  <c r="P27" i="237" s="1"/>
  <c r="AJ26" i="237"/>
  <c r="T26" i="237"/>
  <c r="S26" i="237"/>
  <c r="R26" i="237"/>
  <c r="G26" i="237"/>
  <c r="Q26" i="237" s="1"/>
  <c r="B26" i="237"/>
  <c r="P26" i="237" s="1"/>
  <c r="AJ25" i="237"/>
  <c r="T25" i="237"/>
  <c r="S25" i="237"/>
  <c r="R25" i="237"/>
  <c r="G25" i="237"/>
  <c r="Q25" i="237" s="1"/>
  <c r="B25" i="237"/>
  <c r="P25" i="237" s="1"/>
  <c r="AJ24" i="237"/>
  <c r="T24" i="237"/>
  <c r="S24" i="237"/>
  <c r="R24" i="237"/>
  <c r="G24" i="237"/>
  <c r="Q24" i="237" s="1"/>
  <c r="B24" i="237"/>
  <c r="P24" i="237" s="1"/>
  <c r="AJ23" i="237"/>
  <c r="T23" i="237"/>
  <c r="S23" i="237"/>
  <c r="R23" i="237"/>
  <c r="G23" i="237"/>
  <c r="Q23" i="237" s="1"/>
  <c r="B23" i="237"/>
  <c r="P23" i="237" s="1"/>
  <c r="AJ22" i="237"/>
  <c r="T22" i="237"/>
  <c r="S22" i="237"/>
  <c r="R22" i="237"/>
  <c r="G22" i="237"/>
  <c r="Q22" i="237" s="1"/>
  <c r="B22" i="237"/>
  <c r="P22" i="237" s="1"/>
  <c r="AJ21" i="237"/>
  <c r="T21" i="237"/>
  <c r="S21" i="237"/>
  <c r="R21" i="237"/>
  <c r="G21" i="237"/>
  <c r="Q21" i="237" s="1"/>
  <c r="B21" i="237"/>
  <c r="P21" i="237" s="1"/>
  <c r="AJ20" i="237"/>
  <c r="T20" i="237"/>
  <c r="S20" i="237"/>
  <c r="R20" i="237"/>
  <c r="G20" i="237"/>
  <c r="Q20" i="237" s="1"/>
  <c r="B20" i="237"/>
  <c r="P20" i="237" s="1"/>
  <c r="AJ19" i="237"/>
  <c r="T19" i="237"/>
  <c r="S19" i="237"/>
  <c r="R19" i="237"/>
  <c r="G19" i="237"/>
  <c r="Q19" i="237" s="1"/>
  <c r="B19" i="237"/>
  <c r="P19" i="237" s="1"/>
  <c r="AJ18" i="237"/>
  <c r="T18" i="237"/>
  <c r="S18" i="237"/>
  <c r="R18" i="237"/>
  <c r="G18" i="237"/>
  <c r="Q18" i="237" s="1"/>
  <c r="B18" i="237"/>
  <c r="P18" i="237" s="1"/>
  <c r="AJ17" i="237"/>
  <c r="T17" i="237"/>
  <c r="S17" i="237"/>
  <c r="R17" i="237"/>
  <c r="G17" i="237"/>
  <c r="Q17" i="237" s="1"/>
  <c r="B17" i="237"/>
  <c r="P17" i="237" s="1"/>
  <c r="AJ16" i="237"/>
  <c r="T16" i="237"/>
  <c r="S16" i="237"/>
  <c r="R16" i="237"/>
  <c r="G16" i="237"/>
  <c r="Q16" i="237" s="1"/>
  <c r="B16" i="237"/>
  <c r="P16" i="237" s="1"/>
  <c r="AJ15" i="237"/>
  <c r="T15" i="237"/>
  <c r="S15" i="237"/>
  <c r="R15" i="237"/>
  <c r="G15" i="237"/>
  <c r="Q15" i="237" s="1"/>
  <c r="B15" i="237"/>
  <c r="P15" i="237" s="1"/>
  <c r="AJ14" i="237"/>
  <c r="T14" i="237"/>
  <c r="S14" i="237"/>
  <c r="R14" i="237"/>
  <c r="G14" i="237"/>
  <c r="Q14" i="237" s="1"/>
  <c r="B14" i="237"/>
  <c r="P14" i="237" s="1"/>
  <c r="AJ13" i="237"/>
  <c r="T13" i="237"/>
  <c r="S13" i="237"/>
  <c r="R13" i="237"/>
  <c r="G13" i="237"/>
  <c r="Q13" i="237" s="1"/>
  <c r="B13" i="237"/>
  <c r="P13" i="237" s="1"/>
  <c r="AM20" i="25"/>
  <c r="AM84" i="25"/>
  <c r="AM99" i="25"/>
  <c r="AM60" i="25"/>
  <c r="AM59" i="25"/>
  <c r="AM91" i="25"/>
  <c r="AM82" i="25"/>
  <c r="AM101" i="25"/>
  <c r="AM32" i="25"/>
  <c r="AM34" i="25"/>
  <c r="AM83" i="25"/>
  <c r="AM22" i="25"/>
  <c r="AM35" i="25"/>
  <c r="AM89" i="25"/>
  <c r="AM27" i="25"/>
  <c r="AM62" i="25"/>
  <c r="AM86" i="25"/>
  <c r="AM31" i="25"/>
  <c r="AM24" i="25"/>
  <c r="AM67" i="25"/>
  <c r="AM33" i="25"/>
  <c r="AM102" i="25"/>
  <c r="AM94" i="25"/>
  <c r="AM87" i="25"/>
  <c r="AM69" i="25"/>
  <c r="AM79" i="25"/>
  <c r="AM103" i="25"/>
  <c r="AM63" i="25"/>
  <c r="AM29" i="25"/>
  <c r="AM64" i="25"/>
  <c r="AM61" i="25"/>
  <c r="AM72" i="25"/>
  <c r="AM28" i="25"/>
  <c r="AM95" i="25"/>
  <c r="AM80" i="25"/>
  <c r="AM100" i="25"/>
  <c r="AM66" i="25"/>
  <c r="AM81" i="25"/>
  <c r="AM98" i="25"/>
  <c r="AM25" i="25"/>
  <c r="AM58" i="25"/>
  <c r="AM23" i="25"/>
  <c r="AM93" i="25"/>
  <c r="AM68" i="25"/>
  <c r="AM97" i="25"/>
  <c r="AM104" i="25"/>
  <c r="AM56" i="25"/>
  <c r="AM65" i="25"/>
  <c r="AM90" i="25"/>
  <c r="AM71" i="25"/>
  <c r="AM92" i="25"/>
  <c r="AM85" i="25"/>
  <c r="AM26" i="25"/>
  <c r="AM21" i="25"/>
  <c r="AM57" i="25"/>
  <c r="AM88" i="25"/>
  <c r="R17" i="238" l="1"/>
  <c r="Q24" i="276"/>
  <c r="R16" i="249"/>
  <c r="R27" i="276"/>
  <c r="R21" i="263"/>
  <c r="R17" i="274"/>
  <c r="R14" i="249"/>
  <c r="R25" i="249"/>
  <c r="R19" i="249"/>
  <c r="R18" i="274"/>
  <c r="R23" i="249"/>
  <c r="R29" i="277"/>
  <c r="R17" i="249"/>
  <c r="Q24" i="271"/>
  <c r="R20" i="274"/>
  <c r="Q23" i="271"/>
  <c r="R21" i="249"/>
  <c r="R20" i="249"/>
  <c r="R20" i="263"/>
  <c r="Q24" i="267"/>
  <c r="R15" i="249"/>
  <c r="R26" i="249"/>
  <c r="R16" i="264"/>
  <c r="R15" i="265"/>
  <c r="Q17" i="275"/>
  <c r="R24" i="249"/>
  <c r="R16" i="265"/>
  <c r="R18" i="249"/>
  <c r="R22" i="249"/>
  <c r="R13" i="251"/>
  <c r="R13" i="252"/>
  <c r="R22" i="263"/>
  <c r="R14" i="265"/>
  <c r="Q31" i="267"/>
  <c r="Q28" i="277"/>
  <c r="R19" i="274"/>
  <c r="Q18" i="267"/>
  <c r="R17" i="264"/>
  <c r="R21" i="279"/>
  <c r="R22" i="278"/>
  <c r="R25" i="278"/>
  <c r="R24" i="278"/>
  <c r="R23" i="278"/>
  <c r="Q26" i="278"/>
  <c r="R27" i="277"/>
  <c r="Q26" i="277"/>
  <c r="Q31" i="277"/>
  <c r="R25" i="277"/>
  <c r="Q30" i="277"/>
  <c r="Q32" i="277"/>
  <c r="Q23" i="277"/>
  <c r="Q24" i="277"/>
  <c r="R18" i="276"/>
  <c r="R23" i="276"/>
  <c r="Q25" i="276"/>
  <c r="Q20" i="276"/>
  <c r="Q26" i="276"/>
  <c r="Q21" i="276"/>
  <c r="Q22" i="276"/>
  <c r="Q28" i="276"/>
  <c r="Q17" i="276"/>
  <c r="Q18" i="275"/>
  <c r="Q19" i="275"/>
  <c r="Q20" i="275"/>
  <c r="Q21" i="275"/>
  <c r="Q21" i="274"/>
  <c r="R16" i="273"/>
  <c r="Q24" i="273"/>
  <c r="R25" i="273"/>
  <c r="R23" i="273"/>
  <c r="Q18" i="273"/>
  <c r="R19" i="273"/>
  <c r="Q20" i="273"/>
  <c r="Q21" i="273"/>
  <c r="Q14" i="273"/>
  <c r="Q22" i="273"/>
  <c r="Q26" i="273"/>
  <c r="R18" i="272"/>
  <c r="Q16" i="272"/>
  <c r="Q14" i="272"/>
  <c r="Q19" i="272"/>
  <c r="Q15" i="272"/>
  <c r="Q17" i="272"/>
  <c r="Q38" i="271"/>
  <c r="Q22" i="271"/>
  <c r="Q15" i="271"/>
  <c r="Q16" i="271"/>
  <c r="Q27" i="271"/>
  <c r="Q33" i="271"/>
  <c r="R34" i="271"/>
  <c r="R35" i="271"/>
  <c r="Q36" i="271"/>
  <c r="R37" i="271"/>
  <c r="Q19" i="271"/>
  <c r="Q20" i="271"/>
  <c r="Q21" i="271"/>
  <c r="Q29" i="271"/>
  <c r="Q30" i="271"/>
  <c r="Q31" i="271"/>
  <c r="Q32" i="271"/>
  <c r="Q17" i="271"/>
  <c r="Q25" i="271"/>
  <c r="Q18" i="271"/>
  <c r="Q26" i="271"/>
  <c r="Q15" i="269"/>
  <c r="Q16" i="268"/>
  <c r="Q17" i="268"/>
  <c r="Q19" i="268"/>
  <c r="Q18" i="268"/>
  <c r="Q20" i="268"/>
  <c r="Q14" i="268"/>
  <c r="Q15" i="268"/>
  <c r="Q27" i="267"/>
  <c r="Q22" i="267"/>
  <c r="R26" i="267"/>
  <c r="Q34" i="267"/>
  <c r="Q23" i="267"/>
  <c r="Q35" i="267"/>
  <c r="R30" i="267"/>
  <c r="Q19" i="267"/>
  <c r="Q39" i="267"/>
  <c r="Q40" i="267"/>
  <c r="R38" i="267"/>
  <c r="Q42" i="267"/>
  <c r="Q25" i="267"/>
  <c r="Q33" i="267"/>
  <c r="Q41" i="267"/>
  <c r="R43" i="267"/>
  <c r="Q20" i="267"/>
  <c r="Q28" i="267"/>
  <c r="Q36" i="267"/>
  <c r="Q21" i="267"/>
  <c r="Q29" i="267"/>
  <c r="Q37" i="267"/>
  <c r="Q44" i="267"/>
  <c r="Q14" i="267"/>
  <c r="Q15" i="267"/>
  <c r="Q16" i="266"/>
  <c r="Q14" i="266"/>
  <c r="Q15" i="266"/>
  <c r="Q17" i="265"/>
  <c r="Q18" i="265"/>
  <c r="Q19" i="265"/>
  <c r="Q18" i="264"/>
  <c r="Q31" i="253"/>
  <c r="Q13" i="253"/>
  <c r="Q32" i="253"/>
  <c r="Q19" i="252"/>
  <c r="Q20" i="252"/>
  <c r="Q21" i="252"/>
  <c r="Q16" i="251"/>
  <c r="Q19" i="250"/>
  <c r="Q16" i="250"/>
  <c r="Q17" i="250"/>
  <c r="Q20" i="250"/>
  <c r="R21" i="250"/>
  <c r="Q14" i="250"/>
  <c r="R15" i="250"/>
  <c r="Q18" i="250"/>
  <c r="Q22" i="250"/>
  <c r="BK72" i="25"/>
  <c r="A72" i="25"/>
  <c r="AM19" i="25"/>
  <c r="BK19" i="25" l="1"/>
  <c r="A19" i="25"/>
  <c r="AM18" i="25"/>
  <c r="BK18" i="25" l="1"/>
  <c r="A18" i="25"/>
  <c r="BK17" i="25" l="1"/>
  <c r="A17" i="25"/>
  <c r="AM17" i="25"/>
  <c r="AM16" i="25"/>
  <c r="BK16" i="25" l="1"/>
  <c r="A16" i="25"/>
  <c r="BK15" i="25"/>
  <c r="A15" i="25"/>
  <c r="AM15" i="25"/>
  <c r="AM14" i="25"/>
  <c r="BK14" i="25" l="1"/>
  <c r="A14" i="25"/>
  <c r="AM13" i="25"/>
  <c r="BK13" i="25" l="1"/>
  <c r="A13" i="25"/>
  <c r="BK12" i="25"/>
  <c r="A12" i="25"/>
  <c r="BK11" i="25"/>
  <c r="A11" i="25"/>
  <c r="BK10" i="25"/>
  <c r="A10" i="25"/>
  <c r="BK9" i="25"/>
  <c r="A9" i="25"/>
  <c r="BK8" i="25"/>
  <c r="A8" i="25"/>
  <c r="AJ32" i="236"/>
  <c r="T32" i="236"/>
  <c r="S32" i="236"/>
  <c r="R32" i="236"/>
  <c r="G32" i="236"/>
  <c r="Q32" i="236" s="1"/>
  <c r="B32" i="236"/>
  <c r="P32" i="236" s="1"/>
  <c r="AJ31" i="236"/>
  <c r="T31" i="236"/>
  <c r="S31" i="236"/>
  <c r="R31" i="236"/>
  <c r="G31" i="236"/>
  <c r="Q31" i="236" s="1"/>
  <c r="B31" i="236"/>
  <c r="P31" i="236" s="1"/>
  <c r="AJ30" i="236"/>
  <c r="T30" i="236"/>
  <c r="S30" i="236"/>
  <c r="R30" i="236"/>
  <c r="G30" i="236"/>
  <c r="Q30" i="236" s="1"/>
  <c r="B30" i="236"/>
  <c r="P30" i="236" s="1"/>
  <c r="AJ29" i="236"/>
  <c r="T29" i="236"/>
  <c r="S29" i="236"/>
  <c r="R29" i="236"/>
  <c r="G29" i="236"/>
  <c r="Q29" i="236" s="1"/>
  <c r="B29" i="236"/>
  <c r="P29" i="236" s="1"/>
  <c r="AJ28" i="236"/>
  <c r="T28" i="236"/>
  <c r="S28" i="236"/>
  <c r="R28" i="236"/>
  <c r="G28" i="236"/>
  <c r="Q28" i="236" s="1"/>
  <c r="B28" i="236"/>
  <c r="P28" i="236" s="1"/>
  <c r="AJ27" i="236"/>
  <c r="T27" i="236"/>
  <c r="S27" i="236"/>
  <c r="R27" i="236"/>
  <c r="G27" i="236"/>
  <c r="Q27" i="236" s="1"/>
  <c r="B27" i="236"/>
  <c r="P27" i="236" s="1"/>
  <c r="AJ26" i="236"/>
  <c r="T26" i="236"/>
  <c r="S26" i="236"/>
  <c r="R26" i="236"/>
  <c r="G26" i="236"/>
  <c r="Q26" i="236" s="1"/>
  <c r="B26" i="236"/>
  <c r="P26" i="236" s="1"/>
  <c r="AJ25" i="236"/>
  <c r="T25" i="236"/>
  <c r="S25" i="236"/>
  <c r="R25" i="236"/>
  <c r="G25" i="236"/>
  <c r="Q25" i="236" s="1"/>
  <c r="B25" i="236"/>
  <c r="P25" i="236" s="1"/>
  <c r="AJ24" i="236"/>
  <c r="T24" i="236"/>
  <c r="S24" i="236"/>
  <c r="R24" i="236"/>
  <c r="G24" i="236"/>
  <c r="Q24" i="236" s="1"/>
  <c r="B24" i="236"/>
  <c r="P24" i="236" s="1"/>
  <c r="AJ23" i="236"/>
  <c r="T23" i="236"/>
  <c r="S23" i="236"/>
  <c r="R23" i="236"/>
  <c r="G23" i="236"/>
  <c r="Q23" i="236" s="1"/>
  <c r="B23" i="236"/>
  <c r="P23" i="236" s="1"/>
  <c r="AJ22" i="236"/>
  <c r="T22" i="236"/>
  <c r="S22" i="236"/>
  <c r="R22" i="236"/>
  <c r="G22" i="236"/>
  <c r="Q22" i="236" s="1"/>
  <c r="B22" i="236"/>
  <c r="P22" i="236" s="1"/>
  <c r="AJ21" i="236"/>
  <c r="T21" i="236"/>
  <c r="S21" i="236"/>
  <c r="R21" i="236"/>
  <c r="G21" i="236"/>
  <c r="Q21" i="236" s="1"/>
  <c r="B21" i="236"/>
  <c r="P21" i="236" s="1"/>
  <c r="AJ20" i="236"/>
  <c r="T20" i="236"/>
  <c r="S20" i="236"/>
  <c r="R20" i="236"/>
  <c r="G20" i="236"/>
  <c r="Q20" i="236" s="1"/>
  <c r="B20" i="236"/>
  <c r="P20" i="236" s="1"/>
  <c r="AJ19" i="236"/>
  <c r="T19" i="236"/>
  <c r="S19" i="236"/>
  <c r="R19" i="236"/>
  <c r="G19" i="236"/>
  <c r="Q19" i="236" s="1"/>
  <c r="B19" i="236"/>
  <c r="P19" i="236" s="1"/>
  <c r="AJ18" i="236"/>
  <c r="T18" i="236"/>
  <c r="S18" i="236"/>
  <c r="R18" i="236"/>
  <c r="G18" i="236"/>
  <c r="Q18" i="236" s="1"/>
  <c r="B18" i="236"/>
  <c r="P18" i="236" s="1"/>
  <c r="AJ17" i="236"/>
  <c r="T17" i="236"/>
  <c r="S17" i="236"/>
  <c r="G17" i="236"/>
  <c r="R17" i="236" s="1"/>
  <c r="B17" i="236"/>
  <c r="P17" i="236" s="1"/>
  <c r="AJ16" i="236"/>
  <c r="T16" i="236"/>
  <c r="S16" i="236"/>
  <c r="R16" i="236"/>
  <c r="G16" i="236"/>
  <c r="Q16" i="236" s="1"/>
  <c r="B16" i="236"/>
  <c r="P16" i="236" s="1"/>
  <c r="AJ15" i="236"/>
  <c r="T15" i="236"/>
  <c r="S15" i="236"/>
  <c r="R15" i="236"/>
  <c r="G15" i="236"/>
  <c r="Q15" i="236" s="1"/>
  <c r="B15" i="236"/>
  <c r="P15" i="236" s="1"/>
  <c r="AJ14" i="236"/>
  <c r="T14" i="236"/>
  <c r="S14" i="236"/>
  <c r="R14" i="236"/>
  <c r="G14" i="236"/>
  <c r="Q14" i="236" s="1"/>
  <c r="B14" i="236"/>
  <c r="P14" i="236" s="1"/>
  <c r="AJ13" i="236"/>
  <c r="T13" i="236"/>
  <c r="S13" i="236"/>
  <c r="R13" i="236"/>
  <c r="G13" i="236"/>
  <c r="Q13" i="236" s="1"/>
  <c r="B13" i="236"/>
  <c r="P13" i="236" s="1"/>
  <c r="AM9" i="25"/>
  <c r="AM8" i="25"/>
  <c r="AM11" i="25"/>
  <c r="AM10" i="25"/>
  <c r="AM12" i="25"/>
  <c r="D5" i="363" l="1"/>
  <c r="D8" i="363" s="1"/>
  <c r="D4" i="360"/>
  <c r="D4" i="359"/>
  <c r="D5" i="359"/>
  <c r="D8" i="359" s="1"/>
  <c r="D4" i="362"/>
  <c r="D6" i="359"/>
  <c r="D6" i="362"/>
  <c r="D6" i="361"/>
  <c r="D5" i="361"/>
  <c r="D8" i="361" s="1"/>
  <c r="D6" i="364"/>
  <c r="D5" i="364"/>
  <c r="D8" i="364" s="1"/>
  <c r="D4" i="364"/>
  <c r="D5" i="360"/>
  <c r="D8" i="360" s="1"/>
  <c r="D5" i="362"/>
  <c r="D8" i="362" s="1"/>
  <c r="D4" i="363"/>
  <c r="D4" i="361"/>
  <c r="D6" i="360"/>
  <c r="D6" i="363"/>
  <c r="Q17" i="236"/>
  <c r="AS37" i="363" l="1"/>
  <c r="AS27" i="363"/>
  <c r="AS40" i="363"/>
  <c r="AS19" i="363"/>
  <c r="AS31" i="363"/>
  <c r="AS28" i="363"/>
  <c r="AS18" i="363"/>
  <c r="AS23" i="363"/>
  <c r="AS41" i="363"/>
  <c r="AS38" i="363"/>
  <c r="AS15" i="363"/>
  <c r="AS30" i="363"/>
  <c r="AS29" i="363"/>
  <c r="AS34" i="363"/>
  <c r="AS21" i="363"/>
  <c r="AJ11" i="363"/>
  <c r="AS17" i="363"/>
  <c r="AS25" i="363"/>
  <c r="N11" i="363"/>
  <c r="AS20" i="363"/>
  <c r="AS39" i="363"/>
  <c r="AS36" i="363"/>
  <c r="AS26" i="363"/>
  <c r="AS13" i="363"/>
  <c r="AJ10" i="363"/>
  <c r="AS33" i="363"/>
  <c r="AS10" i="363"/>
  <c r="AS16" i="363"/>
  <c r="AS32" i="363"/>
  <c r="AS24" i="363"/>
  <c r="N10" i="363"/>
  <c r="AS22" i="363"/>
  <c r="AS35" i="363"/>
  <c r="AS14" i="363"/>
  <c r="AS12" i="363"/>
  <c r="AS13" i="361"/>
  <c r="AS17" i="361"/>
  <c r="AS10" i="361"/>
  <c r="AS22" i="361"/>
  <c r="AS12" i="361"/>
  <c r="N11" i="361"/>
  <c r="AJ10" i="361"/>
  <c r="AS19" i="361"/>
  <c r="AJ11" i="361"/>
  <c r="AS20" i="361"/>
  <c r="AS15" i="361"/>
  <c r="N10" i="361"/>
  <c r="AS14" i="361"/>
  <c r="AS16" i="361"/>
  <c r="AS21" i="361"/>
  <c r="AS18" i="361"/>
  <c r="AS21" i="360"/>
  <c r="AS17" i="360"/>
  <c r="AS20" i="360"/>
  <c r="N10" i="360"/>
  <c r="AS19" i="360"/>
  <c r="AJ11" i="360"/>
  <c r="AS14" i="360"/>
  <c r="AS10" i="360"/>
  <c r="AJ10" i="360"/>
  <c r="AS15" i="360"/>
  <c r="AS18" i="360"/>
  <c r="AS12" i="360"/>
  <c r="AS16" i="360"/>
  <c r="AS22" i="360"/>
  <c r="AS13" i="360"/>
  <c r="N11" i="360"/>
  <c r="AS45" i="359"/>
  <c r="AS39" i="359"/>
  <c r="AS23" i="359"/>
  <c r="AS46" i="359"/>
  <c r="AS17" i="359"/>
  <c r="AS37" i="359"/>
  <c r="AS31" i="359"/>
  <c r="AS42" i="359"/>
  <c r="N11" i="359"/>
  <c r="AS18" i="359"/>
  <c r="AS36" i="359"/>
  <c r="AJ11" i="359"/>
  <c r="AS28" i="359"/>
  <c r="AS12" i="359"/>
  <c r="AS16" i="359"/>
  <c r="AS33" i="359"/>
  <c r="N10" i="359"/>
  <c r="AS14" i="359"/>
  <c r="AS41" i="359"/>
  <c r="AS27" i="359"/>
  <c r="AS13" i="359"/>
  <c r="AS29" i="359"/>
  <c r="AS44" i="359"/>
  <c r="AS34" i="359"/>
  <c r="AS15" i="359"/>
  <c r="AS21" i="359"/>
  <c r="AS43" i="359"/>
  <c r="AS40" i="359"/>
  <c r="AS30" i="359"/>
  <c r="AS10" i="359"/>
  <c r="AS26" i="359"/>
  <c r="AJ10" i="359"/>
  <c r="AS38" i="359"/>
  <c r="AS32" i="359"/>
  <c r="AS20" i="359"/>
  <c r="AS35" i="359"/>
  <c r="AS24" i="359"/>
  <c r="AS22" i="359"/>
  <c r="AS25" i="359"/>
  <c r="AS19" i="359"/>
  <c r="AS24" i="364"/>
  <c r="AS15" i="364"/>
  <c r="AS19" i="364"/>
  <c r="AS21" i="364"/>
  <c r="AS17" i="364"/>
  <c r="N10" i="364"/>
  <c r="AJ11" i="364"/>
  <c r="AS20" i="364"/>
  <c r="AS18" i="364"/>
  <c r="AS10" i="364"/>
  <c r="AS22" i="364"/>
  <c r="AS13" i="364"/>
  <c r="AS14" i="364"/>
  <c r="AS12" i="364"/>
  <c r="AS16" i="364"/>
  <c r="AJ10" i="364"/>
  <c r="AS23" i="364"/>
  <c r="N11" i="364"/>
  <c r="AS21" i="362"/>
  <c r="AS13" i="362"/>
  <c r="AS17" i="362"/>
  <c r="AS12" i="362"/>
  <c r="AS19" i="362"/>
  <c r="AJ11" i="362"/>
  <c r="AS14" i="362"/>
  <c r="AJ10" i="362"/>
  <c r="AS10" i="362"/>
  <c r="AS23" i="362"/>
  <c r="AS20" i="362"/>
  <c r="AS16" i="362"/>
  <c r="AS15" i="362"/>
  <c r="N10" i="362"/>
  <c r="AS18" i="362"/>
  <c r="AS22" i="362"/>
  <c r="N11" i="362"/>
  <c r="AJ23" i="235"/>
  <c r="T23" i="235"/>
  <c r="S23" i="235"/>
  <c r="R23" i="235"/>
  <c r="G23" i="235"/>
  <c r="Q23" i="235" s="1"/>
  <c r="B23" i="235"/>
  <c r="P23" i="235" s="1"/>
  <c r="AJ26" i="235"/>
  <c r="T26" i="235"/>
  <c r="S26" i="235"/>
  <c r="R26" i="235"/>
  <c r="G26" i="235"/>
  <c r="Q26" i="235" s="1"/>
  <c r="B26" i="235"/>
  <c r="P26" i="235" s="1"/>
  <c r="AJ25" i="235"/>
  <c r="T25" i="235"/>
  <c r="S25" i="235"/>
  <c r="R25" i="235"/>
  <c r="G25" i="235"/>
  <c r="Q25" i="235" s="1"/>
  <c r="B25" i="235"/>
  <c r="P25" i="235" s="1"/>
  <c r="AJ24" i="235"/>
  <c r="T24" i="235"/>
  <c r="S24" i="235"/>
  <c r="R24" i="235"/>
  <c r="G24" i="235"/>
  <c r="Q24" i="235" s="1"/>
  <c r="B24" i="235"/>
  <c r="P24" i="235" s="1"/>
  <c r="AJ22" i="235"/>
  <c r="T22" i="235"/>
  <c r="S22" i="235"/>
  <c r="R22" i="235"/>
  <c r="G22" i="235"/>
  <c r="Q22" i="235" s="1"/>
  <c r="B22" i="235"/>
  <c r="P22" i="235" s="1"/>
  <c r="AJ21" i="235"/>
  <c r="T21" i="235"/>
  <c r="S21" i="235"/>
  <c r="R21" i="235"/>
  <c r="G21" i="235"/>
  <c r="Q21" i="235" s="1"/>
  <c r="B21" i="235"/>
  <c r="P21" i="235" s="1"/>
  <c r="AJ20" i="235"/>
  <c r="T20" i="235"/>
  <c r="S20" i="235"/>
  <c r="R20" i="235"/>
  <c r="G20" i="235"/>
  <c r="Q20" i="235" s="1"/>
  <c r="B20" i="235"/>
  <c r="P20" i="235" s="1"/>
  <c r="AJ19" i="235"/>
  <c r="T19" i="235"/>
  <c r="S19" i="235"/>
  <c r="R19" i="235"/>
  <c r="G19" i="235"/>
  <c r="Q19" i="235" s="1"/>
  <c r="B19" i="235"/>
  <c r="P19" i="235" s="1"/>
  <c r="AJ18" i="235"/>
  <c r="T18" i="235"/>
  <c r="S18" i="235"/>
  <c r="R18" i="235"/>
  <c r="G18" i="235"/>
  <c r="Q18" i="235" s="1"/>
  <c r="B18" i="235"/>
  <c r="P18" i="235" s="1"/>
  <c r="AJ17" i="235"/>
  <c r="T17" i="235"/>
  <c r="S17" i="235"/>
  <c r="G17" i="235"/>
  <c r="R17" i="235" s="1"/>
  <c r="B17" i="235"/>
  <c r="P17" i="235" s="1"/>
  <c r="AJ16" i="235"/>
  <c r="T16" i="235"/>
  <c r="S16" i="235"/>
  <c r="R16" i="235"/>
  <c r="G16" i="235"/>
  <c r="Q16" i="235" s="1"/>
  <c r="B16" i="235"/>
  <c r="P16" i="235" s="1"/>
  <c r="AJ15" i="235"/>
  <c r="T15" i="235"/>
  <c r="S15" i="235"/>
  <c r="R15" i="235"/>
  <c r="G15" i="235"/>
  <c r="Q15" i="235" s="1"/>
  <c r="B15" i="235"/>
  <c r="P15" i="235" s="1"/>
  <c r="AJ14" i="235"/>
  <c r="T14" i="235"/>
  <c r="S14" i="235"/>
  <c r="R14" i="235"/>
  <c r="G14" i="235"/>
  <c r="Q14" i="235" s="1"/>
  <c r="B14" i="235"/>
  <c r="P14" i="235" s="1"/>
  <c r="AJ13" i="235"/>
  <c r="T13" i="235"/>
  <c r="S13" i="235"/>
  <c r="R13" i="235"/>
  <c r="G13" i="235"/>
  <c r="Q13" i="235" s="1"/>
  <c r="B13" i="235"/>
  <c r="P13" i="235" s="1"/>
  <c r="AJ33" i="234"/>
  <c r="T33" i="234"/>
  <c r="S33" i="234"/>
  <c r="R33" i="234"/>
  <c r="G33" i="234"/>
  <c r="Q33" i="234" s="1"/>
  <c r="B33" i="234"/>
  <c r="P33" i="234" s="1"/>
  <c r="AJ32" i="234"/>
  <c r="T32" i="234"/>
  <c r="S32" i="234"/>
  <c r="R32" i="234"/>
  <c r="G32" i="234"/>
  <c r="Q32" i="234" s="1"/>
  <c r="B32" i="234"/>
  <c r="P32" i="234" s="1"/>
  <c r="AJ31" i="234"/>
  <c r="T31" i="234"/>
  <c r="S31" i="234"/>
  <c r="R31" i="234"/>
  <c r="G31" i="234"/>
  <c r="Q31" i="234" s="1"/>
  <c r="B31" i="234"/>
  <c r="P31" i="234" s="1"/>
  <c r="AJ30" i="234"/>
  <c r="T30" i="234"/>
  <c r="S30" i="234"/>
  <c r="R30" i="234"/>
  <c r="G30" i="234"/>
  <c r="Q30" i="234" s="1"/>
  <c r="B30" i="234"/>
  <c r="P30" i="234" s="1"/>
  <c r="AJ29" i="234"/>
  <c r="T29" i="234"/>
  <c r="S29" i="234"/>
  <c r="R29" i="234"/>
  <c r="G29" i="234"/>
  <c r="Q29" i="234" s="1"/>
  <c r="B29" i="234"/>
  <c r="P29" i="234" s="1"/>
  <c r="AJ28" i="234"/>
  <c r="T28" i="234"/>
  <c r="S28" i="234"/>
  <c r="R28" i="234"/>
  <c r="G28" i="234"/>
  <c r="Q28" i="234" s="1"/>
  <c r="B28" i="234"/>
  <c r="P28" i="234" s="1"/>
  <c r="AJ27" i="234"/>
  <c r="T27" i="234"/>
  <c r="S27" i="234"/>
  <c r="R27" i="234"/>
  <c r="G27" i="234"/>
  <c r="Q27" i="234" s="1"/>
  <c r="B27" i="234"/>
  <c r="P27" i="234" s="1"/>
  <c r="AJ26" i="234"/>
  <c r="T26" i="234"/>
  <c r="S26" i="234"/>
  <c r="R26" i="234"/>
  <c r="G26" i="234"/>
  <c r="Q26" i="234" s="1"/>
  <c r="B26" i="234"/>
  <c r="P26" i="234" s="1"/>
  <c r="AJ25" i="234"/>
  <c r="T25" i="234"/>
  <c r="S25" i="234"/>
  <c r="R25" i="234"/>
  <c r="G25" i="234"/>
  <c r="Q25" i="234" s="1"/>
  <c r="B25" i="234"/>
  <c r="P25" i="234" s="1"/>
  <c r="AJ24" i="234"/>
  <c r="T24" i="234"/>
  <c r="S24" i="234"/>
  <c r="R24" i="234"/>
  <c r="G24" i="234"/>
  <c r="Q24" i="234" s="1"/>
  <c r="B24" i="234"/>
  <c r="P24" i="234" s="1"/>
  <c r="AJ23" i="234"/>
  <c r="T23" i="234"/>
  <c r="S23" i="234"/>
  <c r="R23" i="234"/>
  <c r="G23" i="234"/>
  <c r="Q23" i="234" s="1"/>
  <c r="B23" i="234"/>
  <c r="P23" i="234" s="1"/>
  <c r="AJ22" i="234"/>
  <c r="T22" i="234"/>
  <c r="S22" i="234"/>
  <c r="R22" i="234"/>
  <c r="G22" i="234"/>
  <c r="Q22" i="234" s="1"/>
  <c r="B22" i="234"/>
  <c r="P22" i="234" s="1"/>
  <c r="AJ21" i="234"/>
  <c r="T21" i="234"/>
  <c r="S21" i="234"/>
  <c r="R21" i="234"/>
  <c r="G21" i="234"/>
  <c r="Q21" i="234" s="1"/>
  <c r="B21" i="234"/>
  <c r="P21" i="234" s="1"/>
  <c r="AJ20" i="234"/>
  <c r="T20" i="234"/>
  <c r="S20" i="234"/>
  <c r="R20" i="234"/>
  <c r="G20" i="234"/>
  <c r="Q20" i="234" s="1"/>
  <c r="B20" i="234"/>
  <c r="P20" i="234" s="1"/>
  <c r="AJ19" i="234"/>
  <c r="T19" i="234"/>
  <c r="S19" i="234"/>
  <c r="R19" i="234"/>
  <c r="G19" i="234"/>
  <c r="Q19" i="234" s="1"/>
  <c r="B19" i="234"/>
  <c r="P19" i="234" s="1"/>
  <c r="AJ18" i="234"/>
  <c r="T18" i="234"/>
  <c r="S18" i="234"/>
  <c r="R18" i="234"/>
  <c r="G18" i="234"/>
  <c r="Q18" i="234" s="1"/>
  <c r="B18" i="234"/>
  <c r="P18" i="234" s="1"/>
  <c r="AJ17" i="234"/>
  <c r="T17" i="234"/>
  <c r="S17" i="234"/>
  <c r="G17" i="234"/>
  <c r="R17" i="234" s="1"/>
  <c r="B17" i="234"/>
  <c r="P17" i="234" s="1"/>
  <c r="AJ16" i="234"/>
  <c r="T16" i="234"/>
  <c r="S16" i="234"/>
  <c r="R16" i="234"/>
  <c r="G16" i="234"/>
  <c r="Q16" i="234" s="1"/>
  <c r="B16" i="234"/>
  <c r="P16" i="234" s="1"/>
  <c r="AJ15" i="234"/>
  <c r="T15" i="234"/>
  <c r="S15" i="234"/>
  <c r="R15" i="234"/>
  <c r="G15" i="234"/>
  <c r="Q15" i="234" s="1"/>
  <c r="B15" i="234"/>
  <c r="P15" i="234" s="1"/>
  <c r="AJ14" i="234"/>
  <c r="T14" i="234"/>
  <c r="S14" i="234"/>
  <c r="R14" i="234"/>
  <c r="G14" i="234"/>
  <c r="Q14" i="234" s="1"/>
  <c r="B14" i="234"/>
  <c r="P14" i="234" s="1"/>
  <c r="AJ13" i="234"/>
  <c r="T13" i="234"/>
  <c r="S13" i="234"/>
  <c r="R13" i="234"/>
  <c r="G13" i="234"/>
  <c r="Q13" i="234" s="1"/>
  <c r="B13" i="234"/>
  <c r="P13" i="234" s="1"/>
  <c r="AJ25" i="233"/>
  <c r="T25" i="233"/>
  <c r="S25" i="233"/>
  <c r="R25" i="233"/>
  <c r="G25" i="233"/>
  <c r="Q25" i="233" s="1"/>
  <c r="B25" i="233"/>
  <c r="P25" i="233" s="1"/>
  <c r="AJ24" i="233"/>
  <c r="T24" i="233"/>
  <c r="S24" i="233"/>
  <c r="R24" i="233"/>
  <c r="G24" i="233"/>
  <c r="Q24" i="233" s="1"/>
  <c r="B24" i="233"/>
  <c r="P24" i="233" s="1"/>
  <c r="AJ23" i="233"/>
  <c r="T23" i="233"/>
  <c r="S23" i="233"/>
  <c r="R23" i="233"/>
  <c r="G23" i="233"/>
  <c r="Q23" i="233" s="1"/>
  <c r="B23" i="233"/>
  <c r="P23" i="233" s="1"/>
  <c r="AJ22" i="233"/>
  <c r="T22" i="233"/>
  <c r="S22" i="233"/>
  <c r="R22" i="233"/>
  <c r="G22" i="233"/>
  <c r="Q22" i="233" s="1"/>
  <c r="B22" i="233"/>
  <c r="P22" i="233" s="1"/>
  <c r="AJ21" i="233"/>
  <c r="T21" i="233"/>
  <c r="S21" i="233"/>
  <c r="R21" i="233"/>
  <c r="G21" i="233"/>
  <c r="Q21" i="233" s="1"/>
  <c r="B21" i="233"/>
  <c r="P21" i="233" s="1"/>
  <c r="AJ20" i="233"/>
  <c r="T20" i="233"/>
  <c r="S20" i="233"/>
  <c r="R20" i="233"/>
  <c r="G20" i="233"/>
  <c r="Q20" i="233" s="1"/>
  <c r="B20" i="233"/>
  <c r="P20" i="233" s="1"/>
  <c r="AJ19" i="233"/>
  <c r="T19" i="233"/>
  <c r="S19" i="233"/>
  <c r="R19" i="233"/>
  <c r="G19" i="233"/>
  <c r="Q19" i="233" s="1"/>
  <c r="B19" i="233"/>
  <c r="P19" i="233" s="1"/>
  <c r="AJ18" i="233"/>
  <c r="T18" i="233"/>
  <c r="S18" i="233"/>
  <c r="R18" i="233"/>
  <c r="G18" i="233"/>
  <c r="Q18" i="233" s="1"/>
  <c r="B18" i="233"/>
  <c r="P18" i="233" s="1"/>
  <c r="AJ17" i="233"/>
  <c r="T17" i="233"/>
  <c r="S17" i="233"/>
  <c r="G17" i="233"/>
  <c r="R17" i="233" s="1"/>
  <c r="B17" i="233"/>
  <c r="P17" i="233" s="1"/>
  <c r="AJ16" i="233"/>
  <c r="T16" i="233"/>
  <c r="S16" i="233"/>
  <c r="R16" i="233"/>
  <c r="G16" i="233"/>
  <c r="Q16" i="233" s="1"/>
  <c r="B16" i="233"/>
  <c r="P16" i="233" s="1"/>
  <c r="AJ15" i="233"/>
  <c r="T15" i="233"/>
  <c r="S15" i="233"/>
  <c r="R15" i="233"/>
  <c r="G15" i="233"/>
  <c r="Q15" i="233" s="1"/>
  <c r="B15" i="233"/>
  <c r="P15" i="233" s="1"/>
  <c r="AJ14" i="233"/>
  <c r="T14" i="233"/>
  <c r="S14" i="233"/>
  <c r="R14" i="233"/>
  <c r="G14" i="233"/>
  <c r="Q14" i="233" s="1"/>
  <c r="B14" i="233"/>
  <c r="P14" i="233" s="1"/>
  <c r="AJ13" i="233"/>
  <c r="T13" i="233"/>
  <c r="S13" i="233"/>
  <c r="R13" i="233"/>
  <c r="G13" i="233"/>
  <c r="Q13" i="233" s="1"/>
  <c r="B13" i="233"/>
  <c r="P13" i="233" s="1"/>
  <c r="AJ32" i="232"/>
  <c r="T32" i="232"/>
  <c r="S32" i="232"/>
  <c r="R32" i="232"/>
  <c r="G32" i="232"/>
  <c r="Q32" i="232" s="1"/>
  <c r="B32" i="232"/>
  <c r="P32" i="232" s="1"/>
  <c r="AJ31" i="232"/>
  <c r="T31" i="232"/>
  <c r="S31" i="232"/>
  <c r="R31" i="232"/>
  <c r="G31" i="232"/>
  <c r="Q31" i="232" s="1"/>
  <c r="B31" i="232"/>
  <c r="P31" i="232" s="1"/>
  <c r="AJ30" i="232"/>
  <c r="T30" i="232"/>
  <c r="S30" i="232"/>
  <c r="R30" i="232"/>
  <c r="G30" i="232"/>
  <c r="Q30" i="232" s="1"/>
  <c r="B30" i="232"/>
  <c r="P30" i="232" s="1"/>
  <c r="AJ29" i="232"/>
  <c r="T29" i="232"/>
  <c r="S29" i="232"/>
  <c r="R29" i="232"/>
  <c r="G29" i="232"/>
  <c r="Q29" i="232" s="1"/>
  <c r="B29" i="232"/>
  <c r="P29" i="232" s="1"/>
  <c r="AJ28" i="232"/>
  <c r="T28" i="232"/>
  <c r="S28" i="232"/>
  <c r="R28" i="232"/>
  <c r="G28" i="232"/>
  <c r="Q28" i="232" s="1"/>
  <c r="B28" i="232"/>
  <c r="P28" i="232" s="1"/>
  <c r="AJ27" i="232"/>
  <c r="T27" i="232"/>
  <c r="S27" i="232"/>
  <c r="R27" i="232"/>
  <c r="G27" i="232"/>
  <c r="Q27" i="232" s="1"/>
  <c r="B27" i="232"/>
  <c r="P27" i="232" s="1"/>
  <c r="AJ26" i="232"/>
  <c r="T26" i="232"/>
  <c r="S26" i="232"/>
  <c r="R26" i="232"/>
  <c r="G26" i="232"/>
  <c r="Q26" i="232" s="1"/>
  <c r="B26" i="232"/>
  <c r="P26" i="232" s="1"/>
  <c r="AJ25" i="232"/>
  <c r="T25" i="232"/>
  <c r="S25" i="232"/>
  <c r="R25" i="232"/>
  <c r="G25" i="232"/>
  <c r="Q25" i="232" s="1"/>
  <c r="B25" i="232"/>
  <c r="P25" i="232" s="1"/>
  <c r="AJ24" i="232"/>
  <c r="T24" i="232"/>
  <c r="S24" i="232"/>
  <c r="R24" i="232"/>
  <c r="G24" i="232"/>
  <c r="Q24" i="232" s="1"/>
  <c r="B24" i="232"/>
  <c r="P24" i="232" s="1"/>
  <c r="AJ23" i="232"/>
  <c r="T23" i="232"/>
  <c r="S23" i="232"/>
  <c r="R23" i="232"/>
  <c r="G23" i="232"/>
  <c r="Q23" i="232" s="1"/>
  <c r="B23" i="232"/>
  <c r="P23" i="232" s="1"/>
  <c r="AJ22" i="232"/>
  <c r="T22" i="232"/>
  <c r="S22" i="232"/>
  <c r="R22" i="232"/>
  <c r="G22" i="232"/>
  <c r="Q22" i="232" s="1"/>
  <c r="B22" i="232"/>
  <c r="P22" i="232" s="1"/>
  <c r="AJ21" i="232"/>
  <c r="T21" i="232"/>
  <c r="S21" i="232"/>
  <c r="R21" i="232"/>
  <c r="G21" i="232"/>
  <c r="Q21" i="232" s="1"/>
  <c r="B21" i="232"/>
  <c r="P21" i="232" s="1"/>
  <c r="AJ20" i="232"/>
  <c r="T20" i="232"/>
  <c r="S20" i="232"/>
  <c r="R20" i="232"/>
  <c r="G20" i="232"/>
  <c r="Q20" i="232" s="1"/>
  <c r="B20" i="232"/>
  <c r="P20" i="232" s="1"/>
  <c r="AJ19" i="232"/>
  <c r="T19" i="232"/>
  <c r="S19" i="232"/>
  <c r="R19" i="232"/>
  <c r="G19" i="232"/>
  <c r="Q19" i="232" s="1"/>
  <c r="B19" i="232"/>
  <c r="P19" i="232" s="1"/>
  <c r="AJ18" i="232"/>
  <c r="T18" i="232"/>
  <c r="S18" i="232"/>
  <c r="R18" i="232"/>
  <c r="G18" i="232"/>
  <c r="Q18" i="232" s="1"/>
  <c r="B18" i="232"/>
  <c r="P18" i="232" s="1"/>
  <c r="AJ17" i="232"/>
  <c r="T17" i="232"/>
  <c r="S17" i="232"/>
  <c r="G17" i="232"/>
  <c r="Q17" i="232" s="1"/>
  <c r="B17" i="232"/>
  <c r="P17" i="232" s="1"/>
  <c r="AJ16" i="232"/>
  <c r="T16" i="232"/>
  <c r="S16" i="232"/>
  <c r="R16" i="232"/>
  <c r="G16" i="232"/>
  <c r="Q16" i="232" s="1"/>
  <c r="B16" i="232"/>
  <c r="P16" i="232" s="1"/>
  <c r="AJ15" i="232"/>
  <c r="T15" i="232"/>
  <c r="S15" i="232"/>
  <c r="R15" i="232"/>
  <c r="G15" i="232"/>
  <c r="Q15" i="232" s="1"/>
  <c r="B15" i="232"/>
  <c r="P15" i="232" s="1"/>
  <c r="AJ14" i="232"/>
  <c r="T14" i="232"/>
  <c r="S14" i="232"/>
  <c r="R14" i="232"/>
  <c r="G14" i="232"/>
  <c r="Q14" i="232" s="1"/>
  <c r="B14" i="232"/>
  <c r="P14" i="232" s="1"/>
  <c r="AJ13" i="232"/>
  <c r="T13" i="232"/>
  <c r="S13" i="232"/>
  <c r="R13" i="232"/>
  <c r="G13" i="232"/>
  <c r="Q13" i="232" s="1"/>
  <c r="B13" i="232"/>
  <c r="P13" i="232" s="1"/>
  <c r="BK151" i="25"/>
  <c r="A151" i="25"/>
  <c r="BK150" i="25"/>
  <c r="A150" i="25"/>
  <c r="BK149" i="25"/>
  <c r="A149" i="25"/>
  <c r="AJ37" i="231"/>
  <c r="T37" i="231"/>
  <c r="S37" i="231"/>
  <c r="R37" i="231"/>
  <c r="G37" i="231"/>
  <c r="Q37" i="231" s="1"/>
  <c r="B37" i="231"/>
  <c r="P37" i="231" s="1"/>
  <c r="AJ36" i="231"/>
  <c r="T36" i="231"/>
  <c r="S36" i="231"/>
  <c r="R36" i="231"/>
  <c r="G36" i="231"/>
  <c r="Q36" i="231" s="1"/>
  <c r="B36" i="231"/>
  <c r="P36" i="231" s="1"/>
  <c r="AJ40" i="231"/>
  <c r="T40" i="231"/>
  <c r="S40" i="231"/>
  <c r="R40" i="231"/>
  <c r="G40" i="231"/>
  <c r="Q40" i="231" s="1"/>
  <c r="B40" i="231"/>
  <c r="P40" i="231" s="1"/>
  <c r="AJ39" i="231"/>
  <c r="T39" i="231"/>
  <c r="S39" i="231"/>
  <c r="R39" i="231"/>
  <c r="G39" i="231"/>
  <c r="Q39" i="231" s="1"/>
  <c r="B39" i="231"/>
  <c r="P39" i="231" s="1"/>
  <c r="AJ38" i="231"/>
  <c r="T38" i="231"/>
  <c r="S38" i="231"/>
  <c r="R38" i="231"/>
  <c r="G38" i="231"/>
  <c r="Q38" i="231" s="1"/>
  <c r="B38" i="231"/>
  <c r="P38" i="231" s="1"/>
  <c r="AJ35" i="231"/>
  <c r="T35" i="231"/>
  <c r="S35" i="231"/>
  <c r="R35" i="231"/>
  <c r="G35" i="231"/>
  <c r="Q35" i="231" s="1"/>
  <c r="B35" i="231"/>
  <c r="P35" i="231" s="1"/>
  <c r="AJ34" i="231"/>
  <c r="T34" i="231"/>
  <c r="S34" i="231"/>
  <c r="R34" i="231"/>
  <c r="G34" i="231"/>
  <c r="Q34" i="231" s="1"/>
  <c r="B34" i="231"/>
  <c r="P34" i="231" s="1"/>
  <c r="AJ33" i="231"/>
  <c r="T33" i="231"/>
  <c r="S33" i="231"/>
  <c r="R33" i="231"/>
  <c r="G33" i="231"/>
  <c r="Q33" i="231" s="1"/>
  <c r="B33" i="231"/>
  <c r="P33" i="231" s="1"/>
  <c r="AJ32" i="231"/>
  <c r="T32" i="231"/>
  <c r="S32" i="231"/>
  <c r="R32" i="231"/>
  <c r="G32" i="231"/>
  <c r="Q32" i="231" s="1"/>
  <c r="B32" i="231"/>
  <c r="P32" i="231" s="1"/>
  <c r="AJ31" i="231"/>
  <c r="T31" i="231"/>
  <c r="S31" i="231"/>
  <c r="R31" i="231"/>
  <c r="G31" i="231"/>
  <c r="Q31" i="231" s="1"/>
  <c r="B31" i="231"/>
  <c r="P31" i="231" s="1"/>
  <c r="AJ30" i="231"/>
  <c r="T30" i="231"/>
  <c r="S30" i="231"/>
  <c r="R30" i="231"/>
  <c r="G30" i="231"/>
  <c r="Q30" i="231" s="1"/>
  <c r="B30" i="231"/>
  <c r="P30" i="231" s="1"/>
  <c r="AJ29" i="231"/>
  <c r="T29" i="231"/>
  <c r="S29" i="231"/>
  <c r="R29" i="231"/>
  <c r="G29" i="231"/>
  <c r="Q29" i="231" s="1"/>
  <c r="B29" i="231"/>
  <c r="P29" i="231" s="1"/>
  <c r="AJ28" i="231"/>
  <c r="T28" i="231"/>
  <c r="S28" i="231"/>
  <c r="R28" i="231"/>
  <c r="G28" i="231"/>
  <c r="Q28" i="231" s="1"/>
  <c r="B28" i="231"/>
  <c r="P28" i="231" s="1"/>
  <c r="AJ27" i="231"/>
  <c r="T27" i="231"/>
  <c r="S27" i="231"/>
  <c r="R27" i="231"/>
  <c r="G27" i="231"/>
  <c r="Q27" i="231" s="1"/>
  <c r="B27" i="231"/>
  <c r="P27" i="231" s="1"/>
  <c r="AJ26" i="231"/>
  <c r="T26" i="231"/>
  <c r="S26" i="231"/>
  <c r="R26" i="231"/>
  <c r="G26" i="231"/>
  <c r="Q26" i="231" s="1"/>
  <c r="B26" i="231"/>
  <c r="P26" i="231" s="1"/>
  <c r="AJ25" i="231"/>
  <c r="T25" i="231"/>
  <c r="S25" i="231"/>
  <c r="R25" i="231"/>
  <c r="G25" i="231"/>
  <c r="Q25" i="231" s="1"/>
  <c r="B25" i="231"/>
  <c r="P25" i="231" s="1"/>
  <c r="AJ24" i="231"/>
  <c r="T24" i="231"/>
  <c r="S24" i="231"/>
  <c r="R24" i="231"/>
  <c r="G24" i="231"/>
  <c r="Q24" i="231" s="1"/>
  <c r="B24" i="231"/>
  <c r="P24" i="231" s="1"/>
  <c r="AJ23" i="231"/>
  <c r="T23" i="231"/>
  <c r="S23" i="231"/>
  <c r="R23" i="231"/>
  <c r="G23" i="231"/>
  <c r="Q23" i="231" s="1"/>
  <c r="B23" i="231"/>
  <c r="P23" i="231" s="1"/>
  <c r="AJ22" i="231"/>
  <c r="T22" i="231"/>
  <c r="S22" i="231"/>
  <c r="R22" i="231"/>
  <c r="G22" i="231"/>
  <c r="Q22" i="231" s="1"/>
  <c r="B22" i="231"/>
  <c r="P22" i="231" s="1"/>
  <c r="AJ21" i="231"/>
  <c r="T21" i="231"/>
  <c r="S21" i="231"/>
  <c r="R21" i="231"/>
  <c r="G21" i="231"/>
  <c r="Q21" i="231" s="1"/>
  <c r="B21" i="231"/>
  <c r="P21" i="231" s="1"/>
  <c r="AJ20" i="231"/>
  <c r="T20" i="231"/>
  <c r="S20" i="231"/>
  <c r="R20" i="231"/>
  <c r="G20" i="231"/>
  <c r="Q20" i="231" s="1"/>
  <c r="B20" i="231"/>
  <c r="P20" i="231" s="1"/>
  <c r="AJ19" i="231"/>
  <c r="T19" i="231"/>
  <c r="S19" i="231"/>
  <c r="R19" i="231"/>
  <c r="G19" i="231"/>
  <c r="Q19" i="231" s="1"/>
  <c r="B19" i="231"/>
  <c r="P19" i="231" s="1"/>
  <c r="AJ18" i="231"/>
  <c r="T18" i="231"/>
  <c r="S18" i="231"/>
  <c r="R18" i="231"/>
  <c r="G18" i="231"/>
  <c r="Q18" i="231" s="1"/>
  <c r="B18" i="231"/>
  <c r="P18" i="231" s="1"/>
  <c r="AJ17" i="231"/>
  <c r="T17" i="231"/>
  <c r="S17" i="231"/>
  <c r="G17" i="231"/>
  <c r="R17" i="231" s="1"/>
  <c r="B17" i="231"/>
  <c r="P17" i="231" s="1"/>
  <c r="AJ16" i="231"/>
  <c r="T16" i="231"/>
  <c r="S16" i="231"/>
  <c r="R16" i="231"/>
  <c r="G16" i="231"/>
  <c r="Q16" i="231" s="1"/>
  <c r="B16" i="231"/>
  <c r="P16" i="231" s="1"/>
  <c r="AJ15" i="231"/>
  <c r="T15" i="231"/>
  <c r="S15" i="231"/>
  <c r="R15" i="231"/>
  <c r="G15" i="231"/>
  <c r="Q15" i="231" s="1"/>
  <c r="B15" i="231"/>
  <c r="P15" i="231" s="1"/>
  <c r="AJ14" i="231"/>
  <c r="T14" i="231"/>
  <c r="S14" i="231"/>
  <c r="R14" i="231"/>
  <c r="G14" i="231"/>
  <c r="Q14" i="231" s="1"/>
  <c r="B14" i="231"/>
  <c r="P14" i="231" s="1"/>
  <c r="AJ13" i="231"/>
  <c r="T13" i="231"/>
  <c r="S13" i="231"/>
  <c r="R13" i="231"/>
  <c r="G13" i="231"/>
  <c r="Q13" i="231" s="1"/>
  <c r="B13" i="231"/>
  <c r="P13" i="231" s="1"/>
  <c r="AJ26" i="230"/>
  <c r="T26" i="230"/>
  <c r="S26" i="230"/>
  <c r="R26" i="230"/>
  <c r="G26" i="230"/>
  <c r="Q26" i="230" s="1"/>
  <c r="B26" i="230"/>
  <c r="P26" i="230" s="1"/>
  <c r="AJ25" i="230"/>
  <c r="T25" i="230"/>
  <c r="S25" i="230"/>
  <c r="R25" i="230"/>
  <c r="G25" i="230"/>
  <c r="Q25" i="230" s="1"/>
  <c r="B25" i="230"/>
  <c r="P25" i="230" s="1"/>
  <c r="AJ24" i="230"/>
  <c r="T24" i="230"/>
  <c r="S24" i="230"/>
  <c r="R24" i="230"/>
  <c r="G24" i="230"/>
  <c r="Q24" i="230" s="1"/>
  <c r="B24" i="230"/>
  <c r="P24" i="230" s="1"/>
  <c r="AJ23" i="230"/>
  <c r="T23" i="230"/>
  <c r="S23" i="230"/>
  <c r="R23" i="230"/>
  <c r="G23" i="230"/>
  <c r="Q23" i="230" s="1"/>
  <c r="B23" i="230"/>
  <c r="P23" i="230" s="1"/>
  <c r="AJ22" i="230"/>
  <c r="T22" i="230"/>
  <c r="S22" i="230"/>
  <c r="G22" i="230"/>
  <c r="Q22" i="230" s="1"/>
  <c r="B22" i="230"/>
  <c r="P22" i="230" s="1"/>
  <c r="AJ21" i="230"/>
  <c r="T21" i="230"/>
  <c r="S21" i="230"/>
  <c r="R21" i="230"/>
  <c r="G21" i="230"/>
  <c r="Q21" i="230" s="1"/>
  <c r="B21" i="230"/>
  <c r="P21" i="230" s="1"/>
  <c r="AJ20" i="230"/>
  <c r="T20" i="230"/>
  <c r="S20" i="230"/>
  <c r="R20" i="230"/>
  <c r="G20" i="230"/>
  <c r="Q20" i="230" s="1"/>
  <c r="B20" i="230"/>
  <c r="P20" i="230" s="1"/>
  <c r="AJ19" i="230"/>
  <c r="T19" i="230"/>
  <c r="S19" i="230"/>
  <c r="R19" i="230"/>
  <c r="G19" i="230"/>
  <c r="Q19" i="230" s="1"/>
  <c r="B19" i="230"/>
  <c r="P19" i="230" s="1"/>
  <c r="AJ18" i="230"/>
  <c r="T18" i="230"/>
  <c r="S18" i="230"/>
  <c r="R18" i="230"/>
  <c r="G18" i="230"/>
  <c r="Q18" i="230" s="1"/>
  <c r="B18" i="230"/>
  <c r="P18" i="230" s="1"/>
  <c r="AJ17" i="230"/>
  <c r="T17" i="230"/>
  <c r="S17" i="230"/>
  <c r="G17" i="230"/>
  <c r="R17" i="230" s="1"/>
  <c r="B17" i="230"/>
  <c r="P17" i="230" s="1"/>
  <c r="AJ16" i="230"/>
  <c r="T16" i="230"/>
  <c r="S16" i="230"/>
  <c r="R16" i="230"/>
  <c r="G16" i="230"/>
  <c r="Q16" i="230" s="1"/>
  <c r="B16" i="230"/>
  <c r="P16" i="230" s="1"/>
  <c r="AJ15" i="230"/>
  <c r="T15" i="230"/>
  <c r="S15" i="230"/>
  <c r="R15" i="230"/>
  <c r="G15" i="230"/>
  <c r="Q15" i="230" s="1"/>
  <c r="B15" i="230"/>
  <c r="P15" i="230" s="1"/>
  <c r="AJ14" i="230"/>
  <c r="T14" i="230"/>
  <c r="S14" i="230"/>
  <c r="R14" i="230"/>
  <c r="G14" i="230"/>
  <c r="Q14" i="230" s="1"/>
  <c r="B14" i="230"/>
  <c r="P14" i="230" s="1"/>
  <c r="AJ13" i="230"/>
  <c r="T13" i="230"/>
  <c r="S13" i="230"/>
  <c r="R13" i="230"/>
  <c r="G13" i="230"/>
  <c r="Q13" i="230" s="1"/>
  <c r="B13" i="230"/>
  <c r="P13" i="230" s="1"/>
  <c r="AJ20" i="229"/>
  <c r="T20" i="229"/>
  <c r="S20" i="229"/>
  <c r="R20" i="229"/>
  <c r="G20" i="229"/>
  <c r="Q20" i="229" s="1"/>
  <c r="B20" i="229"/>
  <c r="P20" i="229" s="1"/>
  <c r="AJ19" i="229"/>
  <c r="T19" i="229"/>
  <c r="S19" i="229"/>
  <c r="R19" i="229"/>
  <c r="G19" i="229"/>
  <c r="Q19" i="229" s="1"/>
  <c r="B19" i="229"/>
  <c r="P19" i="229" s="1"/>
  <c r="AJ18" i="229"/>
  <c r="T18" i="229"/>
  <c r="S18" i="229"/>
  <c r="R18" i="229"/>
  <c r="G18" i="229"/>
  <c r="Q18" i="229" s="1"/>
  <c r="B18" i="229"/>
  <c r="P18" i="229" s="1"/>
  <c r="AJ17" i="229"/>
  <c r="T17" i="229"/>
  <c r="S17" i="229"/>
  <c r="G17" i="229"/>
  <c r="Q17" i="229" s="1"/>
  <c r="B17" i="229"/>
  <c r="P17" i="229" s="1"/>
  <c r="AJ16" i="229"/>
  <c r="T16" i="229"/>
  <c r="S16" i="229"/>
  <c r="R16" i="229"/>
  <c r="G16" i="229"/>
  <c r="Q16" i="229" s="1"/>
  <c r="B16" i="229"/>
  <c r="P16" i="229" s="1"/>
  <c r="AJ38" i="229"/>
  <c r="T38" i="229"/>
  <c r="S38" i="229"/>
  <c r="R38" i="229"/>
  <c r="G38" i="229"/>
  <c r="Q38" i="229" s="1"/>
  <c r="B38" i="229"/>
  <c r="P38" i="229" s="1"/>
  <c r="AJ37" i="229"/>
  <c r="T37" i="229"/>
  <c r="S37" i="229"/>
  <c r="R37" i="229"/>
  <c r="G37" i="229"/>
  <c r="Q37" i="229" s="1"/>
  <c r="B37" i="229"/>
  <c r="P37" i="229" s="1"/>
  <c r="AJ36" i="229"/>
  <c r="T36" i="229"/>
  <c r="S36" i="229"/>
  <c r="R36" i="229"/>
  <c r="G36" i="229"/>
  <c r="Q36" i="229" s="1"/>
  <c r="B36" i="229"/>
  <c r="P36" i="229" s="1"/>
  <c r="AJ35" i="229"/>
  <c r="T35" i="229"/>
  <c r="S35" i="229"/>
  <c r="R35" i="229"/>
  <c r="G35" i="229"/>
  <c r="Q35" i="229" s="1"/>
  <c r="B35" i="229"/>
  <c r="P35" i="229" s="1"/>
  <c r="AJ34" i="229"/>
  <c r="T34" i="229"/>
  <c r="S34" i="229"/>
  <c r="R34" i="229"/>
  <c r="G34" i="229"/>
  <c r="Q34" i="229" s="1"/>
  <c r="B34" i="229"/>
  <c r="P34" i="229" s="1"/>
  <c r="AJ33" i="229"/>
  <c r="T33" i="229"/>
  <c r="S33" i="229"/>
  <c r="R33" i="229"/>
  <c r="G33" i="229"/>
  <c r="Q33" i="229" s="1"/>
  <c r="B33" i="229"/>
  <c r="P33" i="229" s="1"/>
  <c r="AJ32" i="229"/>
  <c r="T32" i="229"/>
  <c r="S32" i="229"/>
  <c r="R32" i="229"/>
  <c r="G32" i="229"/>
  <c r="Q32" i="229" s="1"/>
  <c r="B32" i="229"/>
  <c r="P32" i="229" s="1"/>
  <c r="AJ31" i="229"/>
  <c r="T31" i="229"/>
  <c r="S31" i="229"/>
  <c r="R31" i="229"/>
  <c r="G31" i="229"/>
  <c r="Q31" i="229" s="1"/>
  <c r="B31" i="229"/>
  <c r="P31" i="229" s="1"/>
  <c r="AJ30" i="229"/>
  <c r="T30" i="229"/>
  <c r="S30" i="229"/>
  <c r="R30" i="229"/>
  <c r="G30" i="229"/>
  <c r="Q30" i="229" s="1"/>
  <c r="B30" i="229"/>
  <c r="P30" i="229" s="1"/>
  <c r="AJ29" i="229"/>
  <c r="T29" i="229"/>
  <c r="S29" i="229"/>
  <c r="R29" i="229"/>
  <c r="G29" i="229"/>
  <c r="Q29" i="229" s="1"/>
  <c r="B29" i="229"/>
  <c r="P29" i="229" s="1"/>
  <c r="AJ28" i="229"/>
  <c r="T28" i="229"/>
  <c r="S28" i="229"/>
  <c r="R28" i="229"/>
  <c r="G28" i="229"/>
  <c r="Q28" i="229" s="1"/>
  <c r="B28" i="229"/>
  <c r="P28" i="229" s="1"/>
  <c r="AJ27" i="229"/>
  <c r="T27" i="229"/>
  <c r="S27" i="229"/>
  <c r="R27" i="229"/>
  <c r="G27" i="229"/>
  <c r="Q27" i="229" s="1"/>
  <c r="B27" i="229"/>
  <c r="P27" i="229" s="1"/>
  <c r="AJ26" i="229"/>
  <c r="T26" i="229"/>
  <c r="S26" i="229"/>
  <c r="R26" i="229"/>
  <c r="G26" i="229"/>
  <c r="Q26" i="229" s="1"/>
  <c r="B26" i="229"/>
  <c r="P26" i="229" s="1"/>
  <c r="AJ25" i="229"/>
  <c r="T25" i="229"/>
  <c r="S25" i="229"/>
  <c r="R25" i="229"/>
  <c r="G25" i="229"/>
  <c r="Q25" i="229" s="1"/>
  <c r="B25" i="229"/>
  <c r="P25" i="229" s="1"/>
  <c r="AJ24" i="229"/>
  <c r="T24" i="229"/>
  <c r="S24" i="229"/>
  <c r="R24" i="229"/>
  <c r="G24" i="229"/>
  <c r="Q24" i="229" s="1"/>
  <c r="B24" i="229"/>
  <c r="P24" i="229" s="1"/>
  <c r="AJ23" i="229"/>
  <c r="T23" i="229"/>
  <c r="S23" i="229"/>
  <c r="R23" i="229"/>
  <c r="G23" i="229"/>
  <c r="Q23" i="229" s="1"/>
  <c r="B23" i="229"/>
  <c r="P23" i="229" s="1"/>
  <c r="AJ22" i="229"/>
  <c r="T22" i="229"/>
  <c r="S22" i="229"/>
  <c r="G22" i="229"/>
  <c r="R22" i="229" s="1"/>
  <c r="B22" i="229"/>
  <c r="P22" i="229" s="1"/>
  <c r="AJ21" i="229"/>
  <c r="T21" i="229"/>
  <c r="S21" i="229"/>
  <c r="R21" i="229"/>
  <c r="G21" i="229"/>
  <c r="Q21" i="229" s="1"/>
  <c r="B21" i="229"/>
  <c r="P21" i="229" s="1"/>
  <c r="AJ15" i="229"/>
  <c r="T15" i="229"/>
  <c r="S15" i="229"/>
  <c r="R15" i="229"/>
  <c r="G15" i="229"/>
  <c r="Q15" i="229" s="1"/>
  <c r="B15" i="229"/>
  <c r="P15" i="229" s="1"/>
  <c r="AJ14" i="229"/>
  <c r="T14" i="229"/>
  <c r="S14" i="229"/>
  <c r="R14" i="229"/>
  <c r="G14" i="229"/>
  <c r="Q14" i="229" s="1"/>
  <c r="B14" i="229"/>
  <c r="P14" i="229" s="1"/>
  <c r="AJ13" i="229"/>
  <c r="T13" i="229"/>
  <c r="S13" i="229"/>
  <c r="R13" i="229"/>
  <c r="G13" i="229"/>
  <c r="Q13" i="229" s="1"/>
  <c r="B13" i="229"/>
  <c r="P13" i="229" s="1"/>
  <c r="AM149" i="25"/>
  <c r="AM151" i="25"/>
  <c r="AM150" i="25"/>
  <c r="R17" i="229" l="1"/>
  <c r="Q17" i="234"/>
  <c r="R22" i="230"/>
  <c r="Q17" i="235"/>
  <c r="Q17" i="233"/>
  <c r="R17" i="232"/>
  <c r="Q17" i="231"/>
  <c r="Q17" i="230"/>
  <c r="Q22" i="229"/>
  <c r="AJ23" i="228" l="1"/>
  <c r="T23" i="228"/>
  <c r="S23" i="228"/>
  <c r="R23" i="228"/>
  <c r="G23" i="228"/>
  <c r="Q23" i="228" s="1"/>
  <c r="B23" i="228"/>
  <c r="P23" i="228" s="1"/>
  <c r="AJ22" i="228"/>
  <c r="T22" i="228"/>
  <c r="S22" i="228"/>
  <c r="R22" i="228"/>
  <c r="G22" i="228"/>
  <c r="Q22" i="228" s="1"/>
  <c r="B22" i="228"/>
  <c r="P22" i="228" s="1"/>
  <c r="AJ21" i="228"/>
  <c r="T21" i="228"/>
  <c r="S21" i="228"/>
  <c r="R21" i="228"/>
  <c r="G21" i="228"/>
  <c r="Q21" i="228" s="1"/>
  <c r="B21" i="228"/>
  <c r="P21" i="228" s="1"/>
  <c r="AJ20" i="228"/>
  <c r="T20" i="228"/>
  <c r="S20" i="228"/>
  <c r="R20" i="228"/>
  <c r="G20" i="228"/>
  <c r="Q20" i="228" s="1"/>
  <c r="B20" i="228"/>
  <c r="P20" i="228" s="1"/>
  <c r="AJ19" i="228"/>
  <c r="T19" i="228"/>
  <c r="S19" i="228"/>
  <c r="R19" i="228"/>
  <c r="G19" i="228"/>
  <c r="Q19" i="228" s="1"/>
  <c r="B19" i="228"/>
  <c r="P19" i="228" s="1"/>
  <c r="AJ18" i="228"/>
  <c r="T18" i="228"/>
  <c r="S18" i="228"/>
  <c r="R18" i="228"/>
  <c r="G18" i="228"/>
  <c r="Q18" i="228" s="1"/>
  <c r="B18" i="228"/>
  <c r="P18" i="228" s="1"/>
  <c r="AJ17" i="228"/>
  <c r="T17" i="228"/>
  <c r="S17" i="228"/>
  <c r="G17" i="228"/>
  <c r="R17" i="228" s="1"/>
  <c r="B17" i="228"/>
  <c r="P17" i="228" s="1"/>
  <c r="AJ16" i="228"/>
  <c r="T16" i="228"/>
  <c r="S16" i="228"/>
  <c r="R16" i="228"/>
  <c r="G16" i="228"/>
  <c r="Q16" i="228" s="1"/>
  <c r="B16" i="228"/>
  <c r="P16" i="228" s="1"/>
  <c r="AJ15" i="228"/>
  <c r="T15" i="228"/>
  <c r="S15" i="228"/>
  <c r="R15" i="228"/>
  <c r="G15" i="228"/>
  <c r="Q15" i="228" s="1"/>
  <c r="B15" i="228"/>
  <c r="P15" i="228" s="1"/>
  <c r="AJ14" i="228"/>
  <c r="T14" i="228"/>
  <c r="S14" i="228"/>
  <c r="R14" i="228"/>
  <c r="G14" i="228"/>
  <c r="Q14" i="228" s="1"/>
  <c r="B14" i="228"/>
  <c r="P14" i="228" s="1"/>
  <c r="AJ13" i="228"/>
  <c r="T13" i="228"/>
  <c r="S13" i="228"/>
  <c r="R13" i="228"/>
  <c r="G13" i="228"/>
  <c r="Q13" i="228" s="1"/>
  <c r="B13" i="228"/>
  <c r="P13" i="228" s="1"/>
  <c r="AJ25" i="227"/>
  <c r="T25" i="227"/>
  <c r="S25" i="227"/>
  <c r="R25" i="227"/>
  <c r="G25" i="227"/>
  <c r="Q25" i="227" s="1"/>
  <c r="B25" i="227"/>
  <c r="P25" i="227" s="1"/>
  <c r="AJ24" i="227"/>
  <c r="T24" i="227"/>
  <c r="S24" i="227"/>
  <c r="R24" i="227"/>
  <c r="G24" i="227"/>
  <c r="Q24" i="227" s="1"/>
  <c r="B24" i="227"/>
  <c r="P24" i="227" s="1"/>
  <c r="AJ23" i="227"/>
  <c r="T23" i="227"/>
  <c r="S23" i="227"/>
  <c r="R23" i="227"/>
  <c r="G23" i="227"/>
  <c r="Q23" i="227" s="1"/>
  <c r="B23" i="227"/>
  <c r="P23" i="227" s="1"/>
  <c r="AJ22" i="227"/>
  <c r="T22" i="227"/>
  <c r="S22" i="227"/>
  <c r="R22" i="227"/>
  <c r="G22" i="227"/>
  <c r="Q22" i="227" s="1"/>
  <c r="B22" i="227"/>
  <c r="P22" i="227" s="1"/>
  <c r="AJ21" i="227"/>
  <c r="T21" i="227"/>
  <c r="S21" i="227"/>
  <c r="R21" i="227"/>
  <c r="G21" i="227"/>
  <c r="Q21" i="227" s="1"/>
  <c r="B21" i="227"/>
  <c r="P21" i="227" s="1"/>
  <c r="AJ20" i="227"/>
  <c r="T20" i="227"/>
  <c r="S20" i="227"/>
  <c r="R20" i="227"/>
  <c r="G20" i="227"/>
  <c r="Q20" i="227" s="1"/>
  <c r="B20" i="227"/>
  <c r="P20" i="227" s="1"/>
  <c r="AJ19" i="227"/>
  <c r="T19" i="227"/>
  <c r="S19" i="227"/>
  <c r="R19" i="227"/>
  <c r="G19" i="227"/>
  <c r="Q19" i="227" s="1"/>
  <c r="B19" i="227"/>
  <c r="P19" i="227" s="1"/>
  <c r="AJ18" i="227"/>
  <c r="T18" i="227"/>
  <c r="S18" i="227"/>
  <c r="R18" i="227"/>
  <c r="G18" i="227"/>
  <c r="Q18" i="227" s="1"/>
  <c r="B18" i="227"/>
  <c r="P18" i="227" s="1"/>
  <c r="AJ17" i="227"/>
  <c r="T17" i="227"/>
  <c r="S17" i="227"/>
  <c r="G17" i="227"/>
  <c r="R17" i="227" s="1"/>
  <c r="B17" i="227"/>
  <c r="P17" i="227" s="1"/>
  <c r="AJ16" i="227"/>
  <c r="T16" i="227"/>
  <c r="S16" i="227"/>
  <c r="R16" i="227"/>
  <c r="G16" i="227"/>
  <c r="Q16" i="227" s="1"/>
  <c r="B16" i="227"/>
  <c r="P16" i="227" s="1"/>
  <c r="AJ15" i="227"/>
  <c r="T15" i="227"/>
  <c r="S15" i="227"/>
  <c r="R15" i="227"/>
  <c r="G15" i="227"/>
  <c r="Q15" i="227" s="1"/>
  <c r="B15" i="227"/>
  <c r="P15" i="227" s="1"/>
  <c r="AJ14" i="227"/>
  <c r="T14" i="227"/>
  <c r="S14" i="227"/>
  <c r="R14" i="227"/>
  <c r="G14" i="227"/>
  <c r="Q14" i="227" s="1"/>
  <c r="B14" i="227"/>
  <c r="P14" i="227" s="1"/>
  <c r="AJ13" i="227"/>
  <c r="T13" i="227"/>
  <c r="S13" i="227"/>
  <c r="R13" i="227"/>
  <c r="G13" i="227"/>
  <c r="Q13" i="227" s="1"/>
  <c r="B13" i="227"/>
  <c r="P13" i="227" s="1"/>
  <c r="AJ29" i="226"/>
  <c r="T29" i="226"/>
  <c r="S29" i="226"/>
  <c r="R29" i="226"/>
  <c r="G29" i="226"/>
  <c r="Q29" i="226" s="1"/>
  <c r="B29" i="226"/>
  <c r="P29" i="226" s="1"/>
  <c r="AJ28" i="226"/>
  <c r="T28" i="226"/>
  <c r="S28" i="226"/>
  <c r="R28" i="226"/>
  <c r="G28" i="226"/>
  <c r="Q28" i="226" s="1"/>
  <c r="B28" i="226"/>
  <c r="P28" i="226" s="1"/>
  <c r="AJ27" i="226"/>
  <c r="T27" i="226"/>
  <c r="S27" i="226"/>
  <c r="R27" i="226"/>
  <c r="G27" i="226"/>
  <c r="Q27" i="226" s="1"/>
  <c r="B27" i="226"/>
  <c r="P27" i="226" s="1"/>
  <c r="AJ26" i="226"/>
  <c r="T26" i="226"/>
  <c r="S26" i="226"/>
  <c r="R26" i="226"/>
  <c r="G26" i="226"/>
  <c r="Q26" i="226" s="1"/>
  <c r="B26" i="226"/>
  <c r="P26" i="226" s="1"/>
  <c r="AJ25" i="226"/>
  <c r="T25" i="226"/>
  <c r="S25" i="226"/>
  <c r="R25" i="226"/>
  <c r="G25" i="226"/>
  <c r="Q25" i="226" s="1"/>
  <c r="B25" i="226"/>
  <c r="P25" i="226" s="1"/>
  <c r="AJ24" i="226"/>
  <c r="T24" i="226"/>
  <c r="S24" i="226"/>
  <c r="R24" i="226"/>
  <c r="G24" i="226"/>
  <c r="Q24" i="226" s="1"/>
  <c r="B24" i="226"/>
  <c r="P24" i="226" s="1"/>
  <c r="AJ23" i="226"/>
  <c r="T23" i="226"/>
  <c r="S23" i="226"/>
  <c r="R23" i="226"/>
  <c r="G23" i="226"/>
  <c r="Q23" i="226" s="1"/>
  <c r="B23" i="226"/>
  <c r="P23" i="226" s="1"/>
  <c r="AJ22" i="226"/>
  <c r="T22" i="226"/>
  <c r="S22" i="226"/>
  <c r="R22" i="226"/>
  <c r="G22" i="226"/>
  <c r="Q22" i="226" s="1"/>
  <c r="B22" i="226"/>
  <c r="P22" i="226" s="1"/>
  <c r="AJ21" i="226"/>
  <c r="T21" i="226"/>
  <c r="S21" i="226"/>
  <c r="R21" i="226"/>
  <c r="G21" i="226"/>
  <c r="Q21" i="226" s="1"/>
  <c r="B21" i="226"/>
  <c r="P21" i="226" s="1"/>
  <c r="AJ20" i="226"/>
  <c r="T20" i="226"/>
  <c r="S20" i="226"/>
  <c r="R20" i="226"/>
  <c r="G20" i="226"/>
  <c r="Q20" i="226" s="1"/>
  <c r="B20" i="226"/>
  <c r="P20" i="226" s="1"/>
  <c r="AJ19" i="226"/>
  <c r="T19" i="226"/>
  <c r="S19" i="226"/>
  <c r="R19" i="226"/>
  <c r="G19" i="226"/>
  <c r="Q19" i="226" s="1"/>
  <c r="B19" i="226"/>
  <c r="P19" i="226" s="1"/>
  <c r="AJ18" i="226"/>
  <c r="T18" i="226"/>
  <c r="S18" i="226"/>
  <c r="R18" i="226"/>
  <c r="G18" i="226"/>
  <c r="Q18" i="226" s="1"/>
  <c r="B18" i="226"/>
  <c r="P18" i="226" s="1"/>
  <c r="AJ17" i="226"/>
  <c r="T17" i="226"/>
  <c r="S17" i="226"/>
  <c r="G17" i="226"/>
  <c r="R17" i="226" s="1"/>
  <c r="B17" i="226"/>
  <c r="P17" i="226" s="1"/>
  <c r="AJ16" i="226"/>
  <c r="T16" i="226"/>
  <c r="S16" i="226"/>
  <c r="R16" i="226"/>
  <c r="G16" i="226"/>
  <c r="Q16" i="226" s="1"/>
  <c r="B16" i="226"/>
  <c r="P16" i="226" s="1"/>
  <c r="AJ15" i="226"/>
  <c r="T15" i="226"/>
  <c r="S15" i="226"/>
  <c r="R15" i="226"/>
  <c r="G15" i="226"/>
  <c r="Q15" i="226" s="1"/>
  <c r="B15" i="226"/>
  <c r="P15" i="226" s="1"/>
  <c r="AJ14" i="226"/>
  <c r="T14" i="226"/>
  <c r="S14" i="226"/>
  <c r="R14" i="226"/>
  <c r="G14" i="226"/>
  <c r="Q14" i="226" s="1"/>
  <c r="B14" i="226"/>
  <c r="P14" i="226" s="1"/>
  <c r="AJ13" i="226"/>
  <c r="T13" i="226"/>
  <c r="S13" i="226"/>
  <c r="R13" i="226"/>
  <c r="G13" i="226"/>
  <c r="Q13" i="226" s="1"/>
  <c r="B13" i="226"/>
  <c r="P13" i="226" s="1"/>
  <c r="AJ25" i="225"/>
  <c r="T25" i="225"/>
  <c r="S25" i="225"/>
  <c r="R25" i="225"/>
  <c r="G25" i="225"/>
  <c r="Q25" i="225" s="1"/>
  <c r="B25" i="225"/>
  <c r="P25" i="225" s="1"/>
  <c r="AJ24" i="225"/>
  <c r="T24" i="225"/>
  <c r="S24" i="225"/>
  <c r="R24" i="225"/>
  <c r="G24" i="225"/>
  <c r="Q24" i="225" s="1"/>
  <c r="B24" i="225"/>
  <c r="P24" i="225" s="1"/>
  <c r="AJ23" i="225"/>
  <c r="T23" i="225"/>
  <c r="S23" i="225"/>
  <c r="R23" i="225"/>
  <c r="G23" i="225"/>
  <c r="Q23" i="225" s="1"/>
  <c r="B23" i="225"/>
  <c r="P23" i="225" s="1"/>
  <c r="AJ22" i="225"/>
  <c r="T22" i="225"/>
  <c r="S22" i="225"/>
  <c r="R22" i="225"/>
  <c r="G22" i="225"/>
  <c r="Q22" i="225" s="1"/>
  <c r="B22" i="225"/>
  <c r="P22" i="225" s="1"/>
  <c r="AJ21" i="225"/>
  <c r="T21" i="225"/>
  <c r="S21" i="225"/>
  <c r="R21" i="225"/>
  <c r="G21" i="225"/>
  <c r="Q21" i="225" s="1"/>
  <c r="B21" i="225"/>
  <c r="P21" i="225" s="1"/>
  <c r="AJ20" i="225"/>
  <c r="T20" i="225"/>
  <c r="S20" i="225"/>
  <c r="R20" i="225"/>
  <c r="G20" i="225"/>
  <c r="Q20" i="225" s="1"/>
  <c r="B20" i="225"/>
  <c r="P20" i="225" s="1"/>
  <c r="AJ19" i="225"/>
  <c r="T19" i="225"/>
  <c r="S19" i="225"/>
  <c r="R19" i="225"/>
  <c r="G19" i="225"/>
  <c r="Q19" i="225" s="1"/>
  <c r="B19" i="225"/>
  <c r="P19" i="225" s="1"/>
  <c r="AJ18" i="225"/>
  <c r="T18" i="225"/>
  <c r="S18" i="225"/>
  <c r="R18" i="225"/>
  <c r="G18" i="225"/>
  <c r="Q18" i="225" s="1"/>
  <c r="B18" i="225"/>
  <c r="P18" i="225" s="1"/>
  <c r="AJ17" i="225"/>
  <c r="T17" i="225"/>
  <c r="S17" i="225"/>
  <c r="G17" i="225"/>
  <c r="R17" i="225" s="1"/>
  <c r="B17" i="225"/>
  <c r="P17" i="225" s="1"/>
  <c r="AJ16" i="225"/>
  <c r="T16" i="225"/>
  <c r="S16" i="225"/>
  <c r="R16" i="225"/>
  <c r="G16" i="225"/>
  <c r="Q16" i="225" s="1"/>
  <c r="B16" i="225"/>
  <c r="P16" i="225" s="1"/>
  <c r="AJ15" i="225"/>
  <c r="T15" i="225"/>
  <c r="S15" i="225"/>
  <c r="R15" i="225"/>
  <c r="G15" i="225"/>
  <c r="Q15" i="225" s="1"/>
  <c r="B15" i="225"/>
  <c r="P15" i="225" s="1"/>
  <c r="AJ14" i="225"/>
  <c r="T14" i="225"/>
  <c r="S14" i="225"/>
  <c r="R14" i="225"/>
  <c r="G14" i="225"/>
  <c r="Q14" i="225" s="1"/>
  <c r="B14" i="225"/>
  <c r="P14" i="225" s="1"/>
  <c r="AJ13" i="225"/>
  <c r="T13" i="225"/>
  <c r="S13" i="225"/>
  <c r="R13" i="225"/>
  <c r="G13" i="225"/>
  <c r="Q13" i="225" s="1"/>
  <c r="B13" i="225"/>
  <c r="P13" i="225" s="1"/>
  <c r="AJ33" i="224"/>
  <c r="T33" i="224"/>
  <c r="S33" i="224"/>
  <c r="R33" i="224"/>
  <c r="G33" i="224"/>
  <c r="Q33" i="224" s="1"/>
  <c r="B33" i="224"/>
  <c r="P33" i="224" s="1"/>
  <c r="AJ32" i="224"/>
  <c r="T32" i="224"/>
  <c r="S32" i="224"/>
  <c r="R32" i="224"/>
  <c r="G32" i="224"/>
  <c r="Q32" i="224" s="1"/>
  <c r="B32" i="224"/>
  <c r="P32" i="224" s="1"/>
  <c r="AJ31" i="224"/>
  <c r="T31" i="224"/>
  <c r="S31" i="224"/>
  <c r="R31" i="224"/>
  <c r="G31" i="224"/>
  <c r="Q31" i="224" s="1"/>
  <c r="B31" i="224"/>
  <c r="P31" i="224" s="1"/>
  <c r="AJ30" i="224"/>
  <c r="T30" i="224"/>
  <c r="S30" i="224"/>
  <c r="R30" i="224"/>
  <c r="G30" i="224"/>
  <c r="Q30" i="224" s="1"/>
  <c r="B30" i="224"/>
  <c r="P30" i="224" s="1"/>
  <c r="AJ29" i="224"/>
  <c r="T29" i="224"/>
  <c r="S29" i="224"/>
  <c r="R29" i="224"/>
  <c r="G29" i="224"/>
  <c r="Q29" i="224" s="1"/>
  <c r="B29" i="224"/>
  <c r="P29" i="224" s="1"/>
  <c r="AJ28" i="224"/>
  <c r="T28" i="224"/>
  <c r="S28" i="224"/>
  <c r="R28" i="224"/>
  <c r="G28" i="224"/>
  <c r="Q28" i="224" s="1"/>
  <c r="B28" i="224"/>
  <c r="P28" i="224" s="1"/>
  <c r="AJ27" i="224"/>
  <c r="T27" i="224"/>
  <c r="S27" i="224"/>
  <c r="R27" i="224"/>
  <c r="G27" i="224"/>
  <c r="Q27" i="224" s="1"/>
  <c r="B27" i="224"/>
  <c r="P27" i="224" s="1"/>
  <c r="AJ26" i="224"/>
  <c r="T26" i="224"/>
  <c r="S26" i="224"/>
  <c r="R26" i="224"/>
  <c r="G26" i="224"/>
  <c r="Q26" i="224" s="1"/>
  <c r="B26" i="224"/>
  <c r="P26" i="224" s="1"/>
  <c r="AJ25" i="224"/>
  <c r="T25" i="224"/>
  <c r="S25" i="224"/>
  <c r="R25" i="224"/>
  <c r="G25" i="224"/>
  <c r="Q25" i="224" s="1"/>
  <c r="B25" i="224"/>
  <c r="P25" i="224" s="1"/>
  <c r="AJ24" i="224"/>
  <c r="T24" i="224"/>
  <c r="S24" i="224"/>
  <c r="R24" i="224"/>
  <c r="G24" i="224"/>
  <c r="Q24" i="224" s="1"/>
  <c r="B24" i="224"/>
  <c r="P24" i="224" s="1"/>
  <c r="AJ23" i="224"/>
  <c r="T23" i="224"/>
  <c r="S23" i="224"/>
  <c r="R23" i="224"/>
  <c r="G23" i="224"/>
  <c r="Q23" i="224" s="1"/>
  <c r="B23" i="224"/>
  <c r="P23" i="224" s="1"/>
  <c r="AJ22" i="224"/>
  <c r="T22" i="224"/>
  <c r="S22" i="224"/>
  <c r="R22" i="224"/>
  <c r="G22" i="224"/>
  <c r="Q22" i="224" s="1"/>
  <c r="B22" i="224"/>
  <c r="P22" i="224" s="1"/>
  <c r="AJ21" i="224"/>
  <c r="T21" i="224"/>
  <c r="S21" i="224"/>
  <c r="R21" i="224"/>
  <c r="G21" i="224"/>
  <c r="Q21" i="224" s="1"/>
  <c r="B21" i="224"/>
  <c r="P21" i="224" s="1"/>
  <c r="AJ20" i="224"/>
  <c r="T20" i="224"/>
  <c r="S20" i="224"/>
  <c r="R20" i="224"/>
  <c r="G20" i="224"/>
  <c r="Q20" i="224" s="1"/>
  <c r="B20" i="224"/>
  <c r="P20" i="224" s="1"/>
  <c r="AJ19" i="224"/>
  <c r="T19" i="224"/>
  <c r="S19" i="224"/>
  <c r="R19" i="224"/>
  <c r="G19" i="224"/>
  <c r="Q19" i="224" s="1"/>
  <c r="B19" i="224"/>
  <c r="P19" i="224" s="1"/>
  <c r="AJ18" i="224"/>
  <c r="T18" i="224"/>
  <c r="S18" i="224"/>
  <c r="R18" i="224"/>
  <c r="G18" i="224"/>
  <c r="Q18" i="224" s="1"/>
  <c r="B18" i="224"/>
  <c r="P18" i="224" s="1"/>
  <c r="AJ17" i="224"/>
  <c r="T17" i="224"/>
  <c r="S17" i="224"/>
  <c r="G17" i="224"/>
  <c r="R17" i="224" s="1"/>
  <c r="B17" i="224"/>
  <c r="P17" i="224" s="1"/>
  <c r="AJ16" i="224"/>
  <c r="T16" i="224"/>
  <c r="S16" i="224"/>
  <c r="R16" i="224"/>
  <c r="G16" i="224"/>
  <c r="Q16" i="224" s="1"/>
  <c r="B16" i="224"/>
  <c r="P16" i="224" s="1"/>
  <c r="AJ15" i="224"/>
  <c r="T15" i="224"/>
  <c r="S15" i="224"/>
  <c r="R15" i="224"/>
  <c r="G15" i="224"/>
  <c r="Q15" i="224" s="1"/>
  <c r="B15" i="224"/>
  <c r="P15" i="224" s="1"/>
  <c r="AJ14" i="224"/>
  <c r="T14" i="224"/>
  <c r="S14" i="224"/>
  <c r="R14" i="224"/>
  <c r="G14" i="224"/>
  <c r="Q14" i="224" s="1"/>
  <c r="B14" i="224"/>
  <c r="P14" i="224" s="1"/>
  <c r="AJ13" i="224"/>
  <c r="T13" i="224"/>
  <c r="S13" i="224"/>
  <c r="R13" i="224"/>
  <c r="G13" i="224"/>
  <c r="Q13" i="224" s="1"/>
  <c r="B13" i="224"/>
  <c r="P13" i="224" s="1"/>
  <c r="AJ27" i="223"/>
  <c r="T27" i="223"/>
  <c r="S27" i="223"/>
  <c r="R27" i="223"/>
  <c r="G27" i="223"/>
  <c r="Q27" i="223" s="1"/>
  <c r="B27" i="223"/>
  <c r="P27" i="223" s="1"/>
  <c r="AJ26" i="223"/>
  <c r="T26" i="223"/>
  <c r="S26" i="223"/>
  <c r="R26" i="223"/>
  <c r="G26" i="223"/>
  <c r="Q26" i="223" s="1"/>
  <c r="B26" i="223"/>
  <c r="P26" i="223" s="1"/>
  <c r="AJ25" i="223"/>
  <c r="T25" i="223"/>
  <c r="S25" i="223"/>
  <c r="R25" i="223"/>
  <c r="G25" i="223"/>
  <c r="Q25" i="223" s="1"/>
  <c r="B25" i="223"/>
  <c r="P25" i="223" s="1"/>
  <c r="AJ24" i="223"/>
  <c r="T24" i="223"/>
  <c r="S24" i="223"/>
  <c r="R24" i="223"/>
  <c r="G24" i="223"/>
  <c r="Q24" i="223" s="1"/>
  <c r="B24" i="223"/>
  <c r="P24" i="223" s="1"/>
  <c r="AJ23" i="223"/>
  <c r="T23" i="223"/>
  <c r="S23" i="223"/>
  <c r="R23" i="223"/>
  <c r="G23" i="223"/>
  <c r="Q23" i="223" s="1"/>
  <c r="B23" i="223"/>
  <c r="P23" i="223" s="1"/>
  <c r="AJ22" i="223"/>
  <c r="T22" i="223"/>
  <c r="S22" i="223"/>
  <c r="R22" i="223"/>
  <c r="G22" i="223"/>
  <c r="Q22" i="223" s="1"/>
  <c r="B22" i="223"/>
  <c r="P22" i="223" s="1"/>
  <c r="AJ21" i="223"/>
  <c r="T21" i="223"/>
  <c r="S21" i="223"/>
  <c r="R21" i="223"/>
  <c r="G21" i="223"/>
  <c r="Q21" i="223" s="1"/>
  <c r="B21" i="223"/>
  <c r="P21" i="223" s="1"/>
  <c r="AJ20" i="223"/>
  <c r="T20" i="223"/>
  <c r="S20" i="223"/>
  <c r="R20" i="223"/>
  <c r="G20" i="223"/>
  <c r="Q20" i="223" s="1"/>
  <c r="B20" i="223"/>
  <c r="P20" i="223" s="1"/>
  <c r="AJ19" i="223"/>
  <c r="T19" i="223"/>
  <c r="S19" i="223"/>
  <c r="R19" i="223"/>
  <c r="G19" i="223"/>
  <c r="Q19" i="223" s="1"/>
  <c r="B19" i="223"/>
  <c r="P19" i="223" s="1"/>
  <c r="AJ18" i="223"/>
  <c r="T18" i="223"/>
  <c r="S18" i="223"/>
  <c r="R18" i="223"/>
  <c r="G18" i="223"/>
  <c r="Q18" i="223" s="1"/>
  <c r="B18" i="223"/>
  <c r="P18" i="223" s="1"/>
  <c r="AJ17" i="223"/>
  <c r="T17" i="223"/>
  <c r="S17" i="223"/>
  <c r="G17" i="223"/>
  <c r="R17" i="223" s="1"/>
  <c r="B17" i="223"/>
  <c r="P17" i="223" s="1"/>
  <c r="AJ16" i="223"/>
  <c r="T16" i="223"/>
  <c r="S16" i="223"/>
  <c r="R16" i="223"/>
  <c r="G16" i="223"/>
  <c r="Q16" i="223" s="1"/>
  <c r="B16" i="223"/>
  <c r="P16" i="223" s="1"/>
  <c r="AJ15" i="223"/>
  <c r="T15" i="223"/>
  <c r="S15" i="223"/>
  <c r="R15" i="223"/>
  <c r="G15" i="223"/>
  <c r="Q15" i="223" s="1"/>
  <c r="B15" i="223"/>
  <c r="P15" i="223" s="1"/>
  <c r="AJ14" i="223"/>
  <c r="T14" i="223"/>
  <c r="S14" i="223"/>
  <c r="R14" i="223"/>
  <c r="G14" i="223"/>
  <c r="Q14" i="223" s="1"/>
  <c r="B14" i="223"/>
  <c r="P14" i="223" s="1"/>
  <c r="AJ13" i="223"/>
  <c r="T13" i="223"/>
  <c r="S13" i="223"/>
  <c r="R13" i="223"/>
  <c r="G13" i="223"/>
  <c r="Q13" i="223" s="1"/>
  <c r="B13" i="223"/>
  <c r="P13" i="223" s="1"/>
  <c r="AJ23" i="222"/>
  <c r="T23" i="222"/>
  <c r="S23" i="222"/>
  <c r="R23" i="222"/>
  <c r="G23" i="222"/>
  <c r="Q23" i="222" s="1"/>
  <c r="B23" i="222"/>
  <c r="P23" i="222" s="1"/>
  <c r="AJ22" i="222"/>
  <c r="T22" i="222"/>
  <c r="S22" i="222"/>
  <c r="R22" i="222"/>
  <c r="G22" i="222"/>
  <c r="Q22" i="222" s="1"/>
  <c r="B22" i="222"/>
  <c r="P22" i="222" s="1"/>
  <c r="AJ21" i="222"/>
  <c r="T21" i="222"/>
  <c r="S21" i="222"/>
  <c r="R21" i="222"/>
  <c r="G21" i="222"/>
  <c r="Q21" i="222" s="1"/>
  <c r="B21" i="222"/>
  <c r="P21" i="222" s="1"/>
  <c r="AJ20" i="222"/>
  <c r="T20" i="222"/>
  <c r="S20" i="222"/>
  <c r="R20" i="222"/>
  <c r="G20" i="222"/>
  <c r="Q20" i="222" s="1"/>
  <c r="B20" i="222"/>
  <c r="P20" i="222" s="1"/>
  <c r="AJ19" i="222"/>
  <c r="T19" i="222"/>
  <c r="S19" i="222"/>
  <c r="R19" i="222"/>
  <c r="G19" i="222"/>
  <c r="Q19" i="222" s="1"/>
  <c r="B19" i="222"/>
  <c r="P19" i="222" s="1"/>
  <c r="AJ18" i="222"/>
  <c r="T18" i="222"/>
  <c r="S18" i="222"/>
  <c r="R18" i="222"/>
  <c r="G18" i="222"/>
  <c r="Q18" i="222" s="1"/>
  <c r="B18" i="222"/>
  <c r="P18" i="222" s="1"/>
  <c r="AJ17" i="222"/>
  <c r="T17" i="222"/>
  <c r="S17" i="222"/>
  <c r="G17" i="222"/>
  <c r="R17" i="222" s="1"/>
  <c r="B17" i="222"/>
  <c r="P17" i="222" s="1"/>
  <c r="AJ16" i="222"/>
  <c r="T16" i="222"/>
  <c r="S16" i="222"/>
  <c r="R16" i="222"/>
  <c r="G16" i="222"/>
  <c r="Q16" i="222" s="1"/>
  <c r="B16" i="222"/>
  <c r="P16" i="222" s="1"/>
  <c r="AJ15" i="222"/>
  <c r="T15" i="222"/>
  <c r="S15" i="222"/>
  <c r="R15" i="222"/>
  <c r="G15" i="222"/>
  <c r="Q15" i="222" s="1"/>
  <c r="B15" i="222"/>
  <c r="P15" i="222" s="1"/>
  <c r="AJ14" i="222"/>
  <c r="T14" i="222"/>
  <c r="S14" i="222"/>
  <c r="R14" i="222"/>
  <c r="G14" i="222"/>
  <c r="Q14" i="222" s="1"/>
  <c r="B14" i="222"/>
  <c r="P14" i="222" s="1"/>
  <c r="AJ13" i="222"/>
  <c r="T13" i="222"/>
  <c r="S13" i="222"/>
  <c r="R13" i="222"/>
  <c r="G13" i="222"/>
  <c r="Q13" i="222" s="1"/>
  <c r="B13" i="222"/>
  <c r="P13" i="222" s="1"/>
  <c r="AJ25" i="221"/>
  <c r="T25" i="221"/>
  <c r="S25" i="221"/>
  <c r="R25" i="221"/>
  <c r="G25" i="221"/>
  <c r="Q25" i="221" s="1"/>
  <c r="B25" i="221"/>
  <c r="P25" i="221" s="1"/>
  <c r="AJ24" i="221"/>
  <c r="T24" i="221"/>
  <c r="S24" i="221"/>
  <c r="R24" i="221"/>
  <c r="G24" i="221"/>
  <c r="Q24" i="221" s="1"/>
  <c r="B24" i="221"/>
  <c r="P24" i="221" s="1"/>
  <c r="AJ23" i="221"/>
  <c r="T23" i="221"/>
  <c r="S23" i="221"/>
  <c r="R23" i="221"/>
  <c r="G23" i="221"/>
  <c r="Q23" i="221" s="1"/>
  <c r="B23" i="221"/>
  <c r="P23" i="221" s="1"/>
  <c r="AJ22" i="221"/>
  <c r="T22" i="221"/>
  <c r="S22" i="221"/>
  <c r="R22" i="221"/>
  <c r="G22" i="221"/>
  <c r="Q22" i="221" s="1"/>
  <c r="B22" i="221"/>
  <c r="P22" i="221" s="1"/>
  <c r="AJ21" i="221"/>
  <c r="T21" i="221"/>
  <c r="S21" i="221"/>
  <c r="R21" i="221"/>
  <c r="G21" i="221"/>
  <c r="Q21" i="221" s="1"/>
  <c r="B21" i="221"/>
  <c r="P21" i="221" s="1"/>
  <c r="AJ20" i="221"/>
  <c r="T20" i="221"/>
  <c r="S20" i="221"/>
  <c r="R20" i="221"/>
  <c r="G20" i="221"/>
  <c r="Q20" i="221" s="1"/>
  <c r="B20" i="221"/>
  <c r="P20" i="221" s="1"/>
  <c r="AJ19" i="221"/>
  <c r="T19" i="221"/>
  <c r="S19" i="221"/>
  <c r="R19" i="221"/>
  <c r="G19" i="221"/>
  <c r="Q19" i="221" s="1"/>
  <c r="B19" i="221"/>
  <c r="P19" i="221" s="1"/>
  <c r="AJ18" i="221"/>
  <c r="T18" i="221"/>
  <c r="S18" i="221"/>
  <c r="R18" i="221"/>
  <c r="G18" i="221"/>
  <c r="Q18" i="221" s="1"/>
  <c r="B18" i="221"/>
  <c r="P18" i="221" s="1"/>
  <c r="AJ17" i="221"/>
  <c r="T17" i="221"/>
  <c r="S17" i="221"/>
  <c r="G17" i="221"/>
  <c r="R17" i="221" s="1"/>
  <c r="B17" i="221"/>
  <c r="P17" i="221" s="1"/>
  <c r="AJ16" i="221"/>
  <c r="T16" i="221"/>
  <c r="S16" i="221"/>
  <c r="R16" i="221"/>
  <c r="G16" i="221"/>
  <c r="Q16" i="221" s="1"/>
  <c r="B16" i="221"/>
  <c r="P16" i="221" s="1"/>
  <c r="AJ15" i="221"/>
  <c r="T15" i="221"/>
  <c r="S15" i="221"/>
  <c r="R15" i="221"/>
  <c r="G15" i="221"/>
  <c r="Q15" i="221" s="1"/>
  <c r="B15" i="221"/>
  <c r="P15" i="221" s="1"/>
  <c r="AJ14" i="221"/>
  <c r="T14" i="221"/>
  <c r="S14" i="221"/>
  <c r="R14" i="221"/>
  <c r="G14" i="221"/>
  <c r="Q14" i="221" s="1"/>
  <c r="B14" i="221"/>
  <c r="P14" i="221" s="1"/>
  <c r="AJ13" i="221"/>
  <c r="T13" i="221"/>
  <c r="S13" i="221"/>
  <c r="R13" i="221"/>
  <c r="G13" i="221"/>
  <c r="Q13" i="221" s="1"/>
  <c r="B13" i="221"/>
  <c r="P13" i="221" s="1"/>
  <c r="AJ32" i="220"/>
  <c r="T32" i="220"/>
  <c r="S32" i="220"/>
  <c r="R32" i="220"/>
  <c r="G32" i="220"/>
  <c r="Q32" i="220" s="1"/>
  <c r="B32" i="220"/>
  <c r="P32" i="220" s="1"/>
  <c r="AJ31" i="220"/>
  <c r="T31" i="220"/>
  <c r="S31" i="220"/>
  <c r="R31" i="220"/>
  <c r="G31" i="220"/>
  <c r="Q31" i="220" s="1"/>
  <c r="B31" i="220"/>
  <c r="P31" i="220" s="1"/>
  <c r="AJ30" i="220"/>
  <c r="T30" i="220"/>
  <c r="S30" i="220"/>
  <c r="R30" i="220"/>
  <c r="G30" i="220"/>
  <c r="Q30" i="220" s="1"/>
  <c r="B30" i="220"/>
  <c r="P30" i="220" s="1"/>
  <c r="AJ29" i="220"/>
  <c r="T29" i="220"/>
  <c r="S29" i="220"/>
  <c r="R29" i="220"/>
  <c r="G29" i="220"/>
  <c r="Q29" i="220" s="1"/>
  <c r="B29" i="220"/>
  <c r="P29" i="220" s="1"/>
  <c r="AJ28" i="220"/>
  <c r="T28" i="220"/>
  <c r="S28" i="220"/>
  <c r="R28" i="220"/>
  <c r="G28" i="220"/>
  <c r="Q28" i="220" s="1"/>
  <c r="B28" i="220"/>
  <c r="P28" i="220" s="1"/>
  <c r="AJ27" i="220"/>
  <c r="T27" i="220"/>
  <c r="S27" i="220"/>
  <c r="R27" i="220"/>
  <c r="G27" i="220"/>
  <c r="Q27" i="220" s="1"/>
  <c r="B27" i="220"/>
  <c r="P27" i="220" s="1"/>
  <c r="AJ26" i="220"/>
  <c r="T26" i="220"/>
  <c r="S26" i="220"/>
  <c r="R26" i="220"/>
  <c r="G26" i="220"/>
  <c r="Q26" i="220" s="1"/>
  <c r="B26" i="220"/>
  <c r="P26" i="220" s="1"/>
  <c r="AJ25" i="220"/>
  <c r="T25" i="220"/>
  <c r="S25" i="220"/>
  <c r="R25" i="220"/>
  <c r="G25" i="220"/>
  <c r="Q25" i="220" s="1"/>
  <c r="B25" i="220"/>
  <c r="P25" i="220" s="1"/>
  <c r="AJ24" i="220"/>
  <c r="T24" i="220"/>
  <c r="S24" i="220"/>
  <c r="R24" i="220"/>
  <c r="G24" i="220"/>
  <c r="Q24" i="220" s="1"/>
  <c r="B24" i="220"/>
  <c r="P24" i="220" s="1"/>
  <c r="AJ23" i="220"/>
  <c r="T23" i="220"/>
  <c r="S23" i="220"/>
  <c r="R23" i="220"/>
  <c r="G23" i="220"/>
  <c r="Q23" i="220" s="1"/>
  <c r="B23" i="220"/>
  <c r="P23" i="220" s="1"/>
  <c r="AJ22" i="220"/>
  <c r="T22" i="220"/>
  <c r="S22" i="220"/>
  <c r="R22" i="220"/>
  <c r="G22" i="220"/>
  <c r="Q22" i="220" s="1"/>
  <c r="B22" i="220"/>
  <c r="P22" i="220" s="1"/>
  <c r="AJ21" i="220"/>
  <c r="T21" i="220"/>
  <c r="S21" i="220"/>
  <c r="R21" i="220"/>
  <c r="G21" i="220"/>
  <c r="Q21" i="220" s="1"/>
  <c r="B21" i="220"/>
  <c r="P21" i="220" s="1"/>
  <c r="AJ20" i="220"/>
  <c r="T20" i="220"/>
  <c r="S20" i="220"/>
  <c r="R20" i="220"/>
  <c r="G20" i="220"/>
  <c r="Q20" i="220" s="1"/>
  <c r="B20" i="220"/>
  <c r="P20" i="220" s="1"/>
  <c r="AJ19" i="220"/>
  <c r="T19" i="220"/>
  <c r="S19" i="220"/>
  <c r="R19" i="220"/>
  <c r="G19" i="220"/>
  <c r="Q19" i="220" s="1"/>
  <c r="B19" i="220"/>
  <c r="P19" i="220" s="1"/>
  <c r="AJ18" i="220"/>
  <c r="T18" i="220"/>
  <c r="S18" i="220"/>
  <c r="R18" i="220"/>
  <c r="G18" i="220"/>
  <c r="Q18" i="220" s="1"/>
  <c r="B18" i="220"/>
  <c r="P18" i="220" s="1"/>
  <c r="AJ17" i="220"/>
  <c r="T17" i="220"/>
  <c r="S17" i="220"/>
  <c r="G17" i="220"/>
  <c r="R17" i="220" s="1"/>
  <c r="B17" i="220"/>
  <c r="P17" i="220" s="1"/>
  <c r="AJ16" i="220"/>
  <c r="T16" i="220"/>
  <c r="S16" i="220"/>
  <c r="R16" i="220"/>
  <c r="G16" i="220"/>
  <c r="Q16" i="220" s="1"/>
  <c r="B16" i="220"/>
  <c r="P16" i="220" s="1"/>
  <c r="AJ15" i="220"/>
  <c r="T15" i="220"/>
  <c r="S15" i="220"/>
  <c r="R15" i="220"/>
  <c r="G15" i="220"/>
  <c r="Q15" i="220" s="1"/>
  <c r="B15" i="220"/>
  <c r="P15" i="220" s="1"/>
  <c r="AJ14" i="220"/>
  <c r="T14" i="220"/>
  <c r="S14" i="220"/>
  <c r="R14" i="220"/>
  <c r="G14" i="220"/>
  <c r="Q14" i="220" s="1"/>
  <c r="B14" i="220"/>
  <c r="P14" i="220" s="1"/>
  <c r="AJ13" i="220"/>
  <c r="T13" i="220"/>
  <c r="S13" i="220"/>
  <c r="R13" i="220"/>
  <c r="G13" i="220"/>
  <c r="Q13" i="220" s="1"/>
  <c r="B13" i="220"/>
  <c r="P13" i="220" s="1"/>
  <c r="AJ21" i="219"/>
  <c r="T21" i="219"/>
  <c r="S21" i="219"/>
  <c r="R21" i="219"/>
  <c r="G21" i="219"/>
  <c r="Q21" i="219" s="1"/>
  <c r="B21" i="219"/>
  <c r="P21" i="219" s="1"/>
  <c r="AJ20" i="219"/>
  <c r="T20" i="219"/>
  <c r="S20" i="219"/>
  <c r="R20" i="219"/>
  <c r="G20" i="219"/>
  <c r="Q20" i="219" s="1"/>
  <c r="B20" i="219"/>
  <c r="P20" i="219" s="1"/>
  <c r="AJ19" i="219"/>
  <c r="T19" i="219"/>
  <c r="S19" i="219"/>
  <c r="R19" i="219"/>
  <c r="G19" i="219"/>
  <c r="Q19" i="219" s="1"/>
  <c r="B19" i="219"/>
  <c r="P19" i="219" s="1"/>
  <c r="AJ18" i="219"/>
  <c r="T18" i="219"/>
  <c r="S18" i="219"/>
  <c r="R18" i="219"/>
  <c r="G18" i="219"/>
  <c r="Q18" i="219" s="1"/>
  <c r="B18" i="219"/>
  <c r="P18" i="219" s="1"/>
  <c r="AJ17" i="219"/>
  <c r="T17" i="219"/>
  <c r="S17" i="219"/>
  <c r="G17" i="219"/>
  <c r="R17" i="219" s="1"/>
  <c r="B17" i="219"/>
  <c r="P17" i="219" s="1"/>
  <c r="AJ16" i="219"/>
  <c r="T16" i="219"/>
  <c r="S16" i="219"/>
  <c r="R16" i="219"/>
  <c r="G16" i="219"/>
  <c r="Q16" i="219" s="1"/>
  <c r="B16" i="219"/>
  <c r="P16" i="219" s="1"/>
  <c r="AJ15" i="219"/>
  <c r="T15" i="219"/>
  <c r="S15" i="219"/>
  <c r="R15" i="219"/>
  <c r="G15" i="219"/>
  <c r="Q15" i="219" s="1"/>
  <c r="B15" i="219"/>
  <c r="P15" i="219" s="1"/>
  <c r="AJ14" i="219"/>
  <c r="T14" i="219"/>
  <c r="S14" i="219"/>
  <c r="R14" i="219"/>
  <c r="G14" i="219"/>
  <c r="Q14" i="219" s="1"/>
  <c r="B14" i="219"/>
  <c r="P14" i="219" s="1"/>
  <c r="AJ13" i="219"/>
  <c r="T13" i="219"/>
  <c r="S13" i="219"/>
  <c r="R13" i="219"/>
  <c r="G13" i="219"/>
  <c r="Q13" i="219" s="1"/>
  <c r="B13" i="219"/>
  <c r="P13" i="219" s="1"/>
  <c r="AJ23" i="218"/>
  <c r="T23" i="218"/>
  <c r="S23" i="218"/>
  <c r="R23" i="218"/>
  <c r="G23" i="218"/>
  <c r="Q23" i="218" s="1"/>
  <c r="B23" i="218"/>
  <c r="P23" i="218" s="1"/>
  <c r="AJ22" i="218"/>
  <c r="T22" i="218"/>
  <c r="S22" i="218"/>
  <c r="R22" i="218"/>
  <c r="G22" i="218"/>
  <c r="Q22" i="218" s="1"/>
  <c r="B22" i="218"/>
  <c r="P22" i="218" s="1"/>
  <c r="AJ21" i="218"/>
  <c r="T21" i="218"/>
  <c r="S21" i="218"/>
  <c r="R21" i="218"/>
  <c r="G21" i="218"/>
  <c r="Q21" i="218" s="1"/>
  <c r="B21" i="218"/>
  <c r="P21" i="218" s="1"/>
  <c r="AJ20" i="218"/>
  <c r="T20" i="218"/>
  <c r="S20" i="218"/>
  <c r="R20" i="218"/>
  <c r="G20" i="218"/>
  <c r="Q20" i="218" s="1"/>
  <c r="B20" i="218"/>
  <c r="P20" i="218" s="1"/>
  <c r="AJ19" i="218"/>
  <c r="T19" i="218"/>
  <c r="S19" i="218"/>
  <c r="R19" i="218"/>
  <c r="G19" i="218"/>
  <c r="Q19" i="218" s="1"/>
  <c r="B19" i="218"/>
  <c r="P19" i="218" s="1"/>
  <c r="AJ18" i="218"/>
  <c r="T18" i="218"/>
  <c r="S18" i="218"/>
  <c r="R18" i="218"/>
  <c r="G18" i="218"/>
  <c r="Q18" i="218" s="1"/>
  <c r="B18" i="218"/>
  <c r="P18" i="218" s="1"/>
  <c r="AJ17" i="218"/>
  <c r="T17" i="218"/>
  <c r="S17" i="218"/>
  <c r="G17" i="218"/>
  <c r="R17" i="218" s="1"/>
  <c r="B17" i="218"/>
  <c r="P17" i="218" s="1"/>
  <c r="AJ16" i="218"/>
  <c r="T16" i="218"/>
  <c r="S16" i="218"/>
  <c r="R16" i="218"/>
  <c r="G16" i="218"/>
  <c r="Q16" i="218" s="1"/>
  <c r="B16" i="218"/>
  <c r="P16" i="218" s="1"/>
  <c r="AJ15" i="218"/>
  <c r="T15" i="218"/>
  <c r="S15" i="218"/>
  <c r="R15" i="218"/>
  <c r="G15" i="218"/>
  <c r="Q15" i="218" s="1"/>
  <c r="B15" i="218"/>
  <c r="P15" i="218" s="1"/>
  <c r="AJ14" i="218"/>
  <c r="T14" i="218"/>
  <c r="S14" i="218"/>
  <c r="R14" i="218"/>
  <c r="G14" i="218"/>
  <c r="Q14" i="218" s="1"/>
  <c r="B14" i="218"/>
  <c r="P14" i="218" s="1"/>
  <c r="AJ13" i="218"/>
  <c r="T13" i="218"/>
  <c r="S13" i="218"/>
  <c r="R13" i="218"/>
  <c r="G13" i="218"/>
  <c r="Q13" i="218" s="1"/>
  <c r="B13" i="218"/>
  <c r="P13" i="218" s="1"/>
  <c r="AJ24" i="217"/>
  <c r="T24" i="217"/>
  <c r="S24" i="217"/>
  <c r="R24" i="217"/>
  <c r="G24" i="217"/>
  <c r="Q24" i="217" s="1"/>
  <c r="B24" i="217"/>
  <c r="P24" i="217" s="1"/>
  <c r="AJ23" i="217"/>
  <c r="T23" i="217"/>
  <c r="S23" i="217"/>
  <c r="R23" i="217"/>
  <c r="G23" i="217"/>
  <c r="Q23" i="217" s="1"/>
  <c r="B23" i="217"/>
  <c r="P23" i="217" s="1"/>
  <c r="AJ22" i="217"/>
  <c r="T22" i="217"/>
  <c r="S22" i="217"/>
  <c r="R22" i="217"/>
  <c r="G22" i="217"/>
  <c r="Q22" i="217" s="1"/>
  <c r="B22" i="217"/>
  <c r="P22" i="217" s="1"/>
  <c r="AJ21" i="217"/>
  <c r="T21" i="217"/>
  <c r="S21" i="217"/>
  <c r="R21" i="217"/>
  <c r="G21" i="217"/>
  <c r="Q21" i="217" s="1"/>
  <c r="B21" i="217"/>
  <c r="P21" i="217" s="1"/>
  <c r="AJ20" i="217"/>
  <c r="T20" i="217"/>
  <c r="S20" i="217"/>
  <c r="R20" i="217"/>
  <c r="G20" i="217"/>
  <c r="Q20" i="217" s="1"/>
  <c r="B20" i="217"/>
  <c r="P20" i="217" s="1"/>
  <c r="AJ19" i="217"/>
  <c r="T19" i="217"/>
  <c r="S19" i="217"/>
  <c r="R19" i="217"/>
  <c r="G19" i="217"/>
  <c r="Q19" i="217" s="1"/>
  <c r="B19" i="217"/>
  <c r="P19" i="217" s="1"/>
  <c r="AJ18" i="217"/>
  <c r="T18" i="217"/>
  <c r="S18" i="217"/>
  <c r="R18" i="217"/>
  <c r="G18" i="217"/>
  <c r="Q18" i="217" s="1"/>
  <c r="B18" i="217"/>
  <c r="P18" i="217" s="1"/>
  <c r="AJ17" i="217"/>
  <c r="T17" i="217"/>
  <c r="S17" i="217"/>
  <c r="G17" i="217"/>
  <c r="R17" i="217" s="1"/>
  <c r="B17" i="217"/>
  <c r="P17" i="217" s="1"/>
  <c r="AJ16" i="217"/>
  <c r="T16" i="217"/>
  <c r="S16" i="217"/>
  <c r="R16" i="217"/>
  <c r="G16" i="217"/>
  <c r="Q16" i="217" s="1"/>
  <c r="B16" i="217"/>
  <c r="P16" i="217" s="1"/>
  <c r="AJ15" i="217"/>
  <c r="T15" i="217"/>
  <c r="S15" i="217"/>
  <c r="R15" i="217"/>
  <c r="G15" i="217"/>
  <c r="Q15" i="217" s="1"/>
  <c r="B15" i="217"/>
  <c r="P15" i="217" s="1"/>
  <c r="AJ14" i="217"/>
  <c r="T14" i="217"/>
  <c r="S14" i="217"/>
  <c r="R14" i="217"/>
  <c r="G14" i="217"/>
  <c r="Q14" i="217" s="1"/>
  <c r="B14" i="217"/>
  <c r="P14" i="217" s="1"/>
  <c r="AJ13" i="217"/>
  <c r="T13" i="217"/>
  <c r="S13" i="217"/>
  <c r="R13" i="217"/>
  <c r="G13" i="217"/>
  <c r="Q13" i="217" s="1"/>
  <c r="B13" i="217"/>
  <c r="P13" i="217" s="1"/>
  <c r="AJ24" i="216"/>
  <c r="T24" i="216"/>
  <c r="S24" i="216"/>
  <c r="R24" i="216"/>
  <c r="G24" i="216"/>
  <c r="Q24" i="216" s="1"/>
  <c r="B24" i="216"/>
  <c r="P24" i="216" s="1"/>
  <c r="AJ23" i="216"/>
  <c r="T23" i="216"/>
  <c r="S23" i="216"/>
  <c r="R23" i="216"/>
  <c r="G23" i="216"/>
  <c r="Q23" i="216" s="1"/>
  <c r="B23" i="216"/>
  <c r="P23" i="216" s="1"/>
  <c r="AJ22" i="216"/>
  <c r="T22" i="216"/>
  <c r="S22" i="216"/>
  <c r="R22" i="216"/>
  <c r="G22" i="216"/>
  <c r="Q22" i="216" s="1"/>
  <c r="B22" i="216"/>
  <c r="P22" i="216" s="1"/>
  <c r="AJ21" i="216"/>
  <c r="T21" i="216"/>
  <c r="S21" i="216"/>
  <c r="R21" i="216"/>
  <c r="G21" i="216"/>
  <c r="Q21" i="216" s="1"/>
  <c r="B21" i="216"/>
  <c r="P21" i="216" s="1"/>
  <c r="AJ20" i="216"/>
  <c r="T20" i="216"/>
  <c r="S20" i="216"/>
  <c r="R20" i="216"/>
  <c r="G20" i="216"/>
  <c r="Q20" i="216" s="1"/>
  <c r="B20" i="216"/>
  <c r="P20" i="216" s="1"/>
  <c r="AJ19" i="216"/>
  <c r="T19" i="216"/>
  <c r="S19" i="216"/>
  <c r="R19" i="216"/>
  <c r="G19" i="216"/>
  <c r="Q19" i="216" s="1"/>
  <c r="B19" i="216"/>
  <c r="P19" i="216" s="1"/>
  <c r="AJ18" i="216"/>
  <c r="T18" i="216"/>
  <c r="S18" i="216"/>
  <c r="R18" i="216"/>
  <c r="G18" i="216"/>
  <c r="Q18" i="216" s="1"/>
  <c r="B18" i="216"/>
  <c r="P18" i="216" s="1"/>
  <c r="AJ17" i="216"/>
  <c r="T17" i="216"/>
  <c r="S17" i="216"/>
  <c r="G17" i="216"/>
  <c r="R17" i="216" s="1"/>
  <c r="B17" i="216"/>
  <c r="P17" i="216" s="1"/>
  <c r="AJ16" i="216"/>
  <c r="T16" i="216"/>
  <c r="S16" i="216"/>
  <c r="R16" i="216"/>
  <c r="G16" i="216"/>
  <c r="Q16" i="216" s="1"/>
  <c r="B16" i="216"/>
  <c r="P16" i="216" s="1"/>
  <c r="AJ15" i="216"/>
  <c r="T15" i="216"/>
  <c r="S15" i="216"/>
  <c r="R15" i="216"/>
  <c r="G15" i="216"/>
  <c r="Q15" i="216" s="1"/>
  <c r="B15" i="216"/>
  <c r="P15" i="216" s="1"/>
  <c r="AJ14" i="216"/>
  <c r="T14" i="216"/>
  <c r="S14" i="216"/>
  <c r="R14" i="216"/>
  <c r="G14" i="216"/>
  <c r="Q14" i="216" s="1"/>
  <c r="B14" i="216"/>
  <c r="P14" i="216" s="1"/>
  <c r="AJ13" i="216"/>
  <c r="T13" i="216"/>
  <c r="S13" i="216"/>
  <c r="R13" i="216"/>
  <c r="G13" i="216"/>
  <c r="Q13" i="216" s="1"/>
  <c r="B13" i="216"/>
  <c r="P13" i="216" s="1"/>
  <c r="BK105" i="25"/>
  <c r="BK152" i="25"/>
  <c r="BK148" i="25"/>
  <c r="BK147" i="25"/>
  <c r="BK146" i="25"/>
  <c r="BK145" i="25"/>
  <c r="BK144" i="25"/>
  <c r="BK143" i="25"/>
  <c r="BK142" i="25"/>
  <c r="BK141" i="25"/>
  <c r="BK140" i="25"/>
  <c r="BK139" i="25"/>
  <c r="BK138" i="25"/>
  <c r="BK137" i="25"/>
  <c r="BK136" i="25"/>
  <c r="BK135" i="25"/>
  <c r="BK134" i="25"/>
  <c r="BK133" i="25"/>
  <c r="BK132" i="25"/>
  <c r="A105" i="25"/>
  <c r="A152" i="25"/>
  <c r="A148" i="25"/>
  <c r="A147" i="25"/>
  <c r="A146" i="25"/>
  <c r="A145" i="25"/>
  <c r="A144" i="25"/>
  <c r="A143" i="25"/>
  <c r="A142" i="25"/>
  <c r="A141" i="25"/>
  <c r="A140" i="25"/>
  <c r="A139" i="25"/>
  <c r="A138" i="25"/>
  <c r="A137" i="25"/>
  <c r="A136" i="25"/>
  <c r="A135" i="25"/>
  <c r="A134" i="25"/>
  <c r="A133" i="25"/>
  <c r="A132" i="25"/>
  <c r="AJ38" i="215"/>
  <c r="T38" i="215"/>
  <c r="S38" i="215"/>
  <c r="R38" i="215"/>
  <c r="G38" i="215"/>
  <c r="Q38" i="215" s="1"/>
  <c r="B38" i="215"/>
  <c r="P38" i="215" s="1"/>
  <c r="AJ37" i="215"/>
  <c r="T37" i="215"/>
  <c r="S37" i="215"/>
  <c r="R37" i="215"/>
  <c r="G37" i="215"/>
  <c r="Q37" i="215" s="1"/>
  <c r="B37" i="215"/>
  <c r="P37" i="215" s="1"/>
  <c r="AJ36" i="215"/>
  <c r="T36" i="215"/>
  <c r="S36" i="215"/>
  <c r="R36" i="215"/>
  <c r="G36" i="215"/>
  <c r="Q36" i="215" s="1"/>
  <c r="B36" i="215"/>
  <c r="P36" i="215" s="1"/>
  <c r="AJ35" i="215"/>
  <c r="T35" i="215"/>
  <c r="S35" i="215"/>
  <c r="R35" i="215"/>
  <c r="G35" i="215"/>
  <c r="Q35" i="215" s="1"/>
  <c r="B35" i="215"/>
  <c r="P35" i="215" s="1"/>
  <c r="AJ34" i="215"/>
  <c r="T34" i="215"/>
  <c r="S34" i="215"/>
  <c r="R34" i="215"/>
  <c r="G34" i="215"/>
  <c r="Q34" i="215" s="1"/>
  <c r="B34" i="215"/>
  <c r="P34" i="215" s="1"/>
  <c r="AJ33" i="215"/>
  <c r="T33" i="215"/>
  <c r="S33" i="215"/>
  <c r="R33" i="215"/>
  <c r="G33" i="215"/>
  <c r="Q33" i="215" s="1"/>
  <c r="B33" i="215"/>
  <c r="P33" i="215" s="1"/>
  <c r="AJ32" i="215"/>
  <c r="T32" i="215"/>
  <c r="S32" i="215"/>
  <c r="R32" i="215"/>
  <c r="G32" i="215"/>
  <c r="Q32" i="215" s="1"/>
  <c r="B32" i="215"/>
  <c r="P32" i="215" s="1"/>
  <c r="AJ31" i="215"/>
  <c r="T31" i="215"/>
  <c r="S31" i="215"/>
  <c r="R31" i="215"/>
  <c r="G31" i="215"/>
  <c r="Q31" i="215" s="1"/>
  <c r="B31" i="215"/>
  <c r="P31" i="215" s="1"/>
  <c r="AJ30" i="215"/>
  <c r="T30" i="215"/>
  <c r="S30" i="215"/>
  <c r="R30" i="215"/>
  <c r="G30" i="215"/>
  <c r="Q30" i="215" s="1"/>
  <c r="B30" i="215"/>
  <c r="P30" i="215" s="1"/>
  <c r="AJ29" i="215"/>
  <c r="T29" i="215"/>
  <c r="S29" i="215"/>
  <c r="R29" i="215"/>
  <c r="G29" i="215"/>
  <c r="Q29" i="215" s="1"/>
  <c r="B29" i="215"/>
  <c r="P29" i="215" s="1"/>
  <c r="AJ28" i="215"/>
  <c r="T28" i="215"/>
  <c r="S28" i="215"/>
  <c r="R28" i="215"/>
  <c r="G28" i="215"/>
  <c r="Q28" i="215" s="1"/>
  <c r="B28" i="215"/>
  <c r="P28" i="215" s="1"/>
  <c r="AJ27" i="215"/>
  <c r="T27" i="215"/>
  <c r="S27" i="215"/>
  <c r="R27" i="215"/>
  <c r="G27" i="215"/>
  <c r="Q27" i="215" s="1"/>
  <c r="B27" i="215"/>
  <c r="P27" i="215" s="1"/>
  <c r="AJ26" i="215"/>
  <c r="T26" i="215"/>
  <c r="S26" i="215"/>
  <c r="R26" i="215"/>
  <c r="G26" i="215"/>
  <c r="Q26" i="215" s="1"/>
  <c r="B26" i="215"/>
  <c r="P26" i="215" s="1"/>
  <c r="AJ25" i="215"/>
  <c r="T25" i="215"/>
  <c r="S25" i="215"/>
  <c r="R25" i="215"/>
  <c r="G25" i="215"/>
  <c r="Q25" i="215" s="1"/>
  <c r="B25" i="215"/>
  <c r="P25" i="215" s="1"/>
  <c r="AJ24" i="215"/>
  <c r="T24" i="215"/>
  <c r="S24" i="215"/>
  <c r="R24" i="215"/>
  <c r="G24" i="215"/>
  <c r="Q24" i="215" s="1"/>
  <c r="B24" i="215"/>
  <c r="P24" i="215" s="1"/>
  <c r="AJ23" i="215"/>
  <c r="T23" i="215"/>
  <c r="S23" i="215"/>
  <c r="R23" i="215"/>
  <c r="G23" i="215"/>
  <c r="Q23" i="215" s="1"/>
  <c r="B23" i="215"/>
  <c r="P23" i="215" s="1"/>
  <c r="AJ22" i="215"/>
  <c r="T22" i="215"/>
  <c r="S22" i="215"/>
  <c r="R22" i="215"/>
  <c r="G22" i="215"/>
  <c r="Q22" i="215" s="1"/>
  <c r="B22" i="215"/>
  <c r="P22" i="215" s="1"/>
  <c r="AJ21" i="215"/>
  <c r="T21" i="215"/>
  <c r="S21" i="215"/>
  <c r="R21" i="215"/>
  <c r="G21" i="215"/>
  <c r="Q21" i="215" s="1"/>
  <c r="B21" i="215"/>
  <c r="P21" i="215" s="1"/>
  <c r="AJ20" i="215"/>
  <c r="T20" i="215"/>
  <c r="S20" i="215"/>
  <c r="G20" i="215"/>
  <c r="R20" i="215" s="1"/>
  <c r="B20" i="215"/>
  <c r="P20" i="215" s="1"/>
  <c r="AJ19" i="215"/>
  <c r="T19" i="215"/>
  <c r="S19" i="215"/>
  <c r="R19" i="215"/>
  <c r="G19" i="215"/>
  <c r="Q19" i="215" s="1"/>
  <c r="B19" i="215"/>
  <c r="P19" i="215" s="1"/>
  <c r="AJ18" i="215"/>
  <c r="T18" i="215"/>
  <c r="S18" i="215"/>
  <c r="G18" i="215"/>
  <c r="R18" i="215" s="1"/>
  <c r="B18" i="215"/>
  <c r="P18" i="215" s="1"/>
  <c r="AJ17" i="215"/>
  <c r="T17" i="215"/>
  <c r="S17" i="215"/>
  <c r="G17" i="215"/>
  <c r="Q17" i="215" s="1"/>
  <c r="B17" i="215"/>
  <c r="P17" i="215" s="1"/>
  <c r="AJ16" i="215"/>
  <c r="T16" i="215"/>
  <c r="S16" i="215"/>
  <c r="R16" i="215"/>
  <c r="G16" i="215"/>
  <c r="Q16" i="215" s="1"/>
  <c r="B16" i="215"/>
  <c r="P16" i="215" s="1"/>
  <c r="AJ15" i="215"/>
  <c r="T15" i="215"/>
  <c r="S15" i="215"/>
  <c r="R15" i="215"/>
  <c r="G15" i="215"/>
  <c r="Q15" i="215" s="1"/>
  <c r="B15" i="215"/>
  <c r="P15" i="215" s="1"/>
  <c r="AJ14" i="215"/>
  <c r="T14" i="215"/>
  <c r="S14" i="215"/>
  <c r="R14" i="215"/>
  <c r="G14" i="215"/>
  <c r="Q14" i="215" s="1"/>
  <c r="B14" i="215"/>
  <c r="P14" i="215" s="1"/>
  <c r="AJ13" i="215"/>
  <c r="T13" i="215"/>
  <c r="S13" i="215"/>
  <c r="R13" i="215"/>
  <c r="G13" i="215"/>
  <c r="Q13" i="215" s="1"/>
  <c r="B13" i="215"/>
  <c r="P13" i="215" s="1"/>
  <c r="AJ48" i="214"/>
  <c r="T48" i="214"/>
  <c r="S48" i="214"/>
  <c r="R48" i="214"/>
  <c r="G48" i="214"/>
  <c r="Q48" i="214" s="1"/>
  <c r="B48" i="214"/>
  <c r="P48" i="214" s="1"/>
  <c r="AJ47" i="214"/>
  <c r="T47" i="214"/>
  <c r="S47" i="214"/>
  <c r="R47" i="214"/>
  <c r="G47" i="214"/>
  <c r="Q47" i="214" s="1"/>
  <c r="B47" i="214"/>
  <c r="P47" i="214" s="1"/>
  <c r="AJ46" i="214"/>
  <c r="T46" i="214"/>
  <c r="S46" i="214"/>
  <c r="R46" i="214"/>
  <c r="G46" i="214"/>
  <c r="Q46" i="214" s="1"/>
  <c r="B46" i="214"/>
  <c r="P46" i="214" s="1"/>
  <c r="AJ45" i="214"/>
  <c r="T45" i="214"/>
  <c r="S45" i="214"/>
  <c r="R45" i="214"/>
  <c r="G45" i="214"/>
  <c r="Q45" i="214" s="1"/>
  <c r="B45" i="214"/>
  <c r="P45" i="214" s="1"/>
  <c r="AJ44" i="214"/>
  <c r="T44" i="214"/>
  <c r="S44" i="214"/>
  <c r="R44" i="214"/>
  <c r="G44" i="214"/>
  <c r="Q44" i="214" s="1"/>
  <c r="B44" i="214"/>
  <c r="P44" i="214" s="1"/>
  <c r="AJ43" i="214"/>
  <c r="T43" i="214"/>
  <c r="S43" i="214"/>
  <c r="R43" i="214"/>
  <c r="G43" i="214"/>
  <c r="Q43" i="214" s="1"/>
  <c r="B43" i="214"/>
  <c r="P43" i="214" s="1"/>
  <c r="AJ42" i="214"/>
  <c r="T42" i="214"/>
  <c r="S42" i="214"/>
  <c r="R42" i="214"/>
  <c r="G42" i="214"/>
  <c r="Q42" i="214" s="1"/>
  <c r="B42" i="214"/>
  <c r="P42" i="214" s="1"/>
  <c r="AJ41" i="214"/>
  <c r="T41" i="214"/>
  <c r="S41" i="214"/>
  <c r="R41" i="214"/>
  <c r="G41" i="214"/>
  <c r="Q41" i="214" s="1"/>
  <c r="B41" i="214"/>
  <c r="P41" i="214" s="1"/>
  <c r="AJ40" i="214"/>
  <c r="T40" i="214"/>
  <c r="S40" i="214"/>
  <c r="R40" i="214"/>
  <c r="G40" i="214"/>
  <c r="Q40" i="214" s="1"/>
  <c r="B40" i="214"/>
  <c r="P40" i="214" s="1"/>
  <c r="AJ39" i="214"/>
  <c r="T39" i="214"/>
  <c r="S39" i="214"/>
  <c r="R39" i="214"/>
  <c r="G39" i="214"/>
  <c r="Q39" i="214" s="1"/>
  <c r="B39" i="214"/>
  <c r="P39" i="214" s="1"/>
  <c r="AJ38" i="214"/>
  <c r="T38" i="214"/>
  <c r="S38" i="214"/>
  <c r="R38" i="214"/>
  <c r="G38" i="214"/>
  <c r="Q38" i="214" s="1"/>
  <c r="B38" i="214"/>
  <c r="P38" i="214" s="1"/>
  <c r="AJ37" i="214"/>
  <c r="T37" i="214"/>
  <c r="S37" i="214"/>
  <c r="R37" i="214"/>
  <c r="G37" i="214"/>
  <c r="Q37" i="214" s="1"/>
  <c r="B37" i="214"/>
  <c r="P37" i="214" s="1"/>
  <c r="AJ36" i="214"/>
  <c r="T36" i="214"/>
  <c r="S36" i="214"/>
  <c r="R36" i="214"/>
  <c r="G36" i="214"/>
  <c r="Q36" i="214" s="1"/>
  <c r="B36" i="214"/>
  <c r="P36" i="214" s="1"/>
  <c r="AJ35" i="214"/>
  <c r="T35" i="214"/>
  <c r="S35" i="214"/>
  <c r="R35" i="214"/>
  <c r="G35" i="214"/>
  <c r="Q35" i="214" s="1"/>
  <c r="B35" i="214"/>
  <c r="P35" i="214" s="1"/>
  <c r="AJ34" i="214"/>
  <c r="T34" i="214"/>
  <c r="S34" i="214"/>
  <c r="R34" i="214"/>
  <c r="G34" i="214"/>
  <c r="Q34" i="214" s="1"/>
  <c r="B34" i="214"/>
  <c r="P34" i="214" s="1"/>
  <c r="AJ33" i="214"/>
  <c r="T33" i="214"/>
  <c r="S33" i="214"/>
  <c r="R33" i="214"/>
  <c r="G33" i="214"/>
  <c r="Q33" i="214" s="1"/>
  <c r="B33" i="214"/>
  <c r="P33" i="214" s="1"/>
  <c r="AJ32" i="214"/>
  <c r="T32" i="214"/>
  <c r="S32" i="214"/>
  <c r="R32" i="214"/>
  <c r="G32" i="214"/>
  <c r="Q32" i="214" s="1"/>
  <c r="B32" i="214"/>
  <c r="P32" i="214" s="1"/>
  <c r="AJ31" i="214"/>
  <c r="T31" i="214"/>
  <c r="S31" i="214"/>
  <c r="R31" i="214"/>
  <c r="G31" i="214"/>
  <c r="Q31" i="214" s="1"/>
  <c r="B31" i="214"/>
  <c r="P31" i="214" s="1"/>
  <c r="AJ30" i="214"/>
  <c r="T30" i="214"/>
  <c r="S30" i="214"/>
  <c r="R30" i="214"/>
  <c r="G30" i="214"/>
  <c r="Q30" i="214" s="1"/>
  <c r="B30" i="214"/>
  <c r="P30" i="214" s="1"/>
  <c r="AJ29" i="214"/>
  <c r="T29" i="214"/>
  <c r="S29" i="214"/>
  <c r="R29" i="214"/>
  <c r="G29" i="214"/>
  <c r="Q29" i="214" s="1"/>
  <c r="B29" i="214"/>
  <c r="P29" i="214" s="1"/>
  <c r="AJ28" i="214"/>
  <c r="T28" i="214"/>
  <c r="S28" i="214"/>
  <c r="R28" i="214"/>
  <c r="G28" i="214"/>
  <c r="Q28" i="214" s="1"/>
  <c r="B28" i="214"/>
  <c r="P28" i="214" s="1"/>
  <c r="AJ27" i="214"/>
  <c r="T27" i="214"/>
  <c r="S27" i="214"/>
  <c r="R27" i="214"/>
  <c r="G27" i="214"/>
  <c r="Q27" i="214" s="1"/>
  <c r="B27" i="214"/>
  <c r="P27" i="214" s="1"/>
  <c r="AJ26" i="214"/>
  <c r="T26" i="214"/>
  <c r="S26" i="214"/>
  <c r="R26" i="214"/>
  <c r="G26" i="214"/>
  <c r="Q26" i="214" s="1"/>
  <c r="B26" i="214"/>
  <c r="P26" i="214" s="1"/>
  <c r="AJ25" i="214"/>
  <c r="T25" i="214"/>
  <c r="S25" i="214"/>
  <c r="R25" i="214"/>
  <c r="G25" i="214"/>
  <c r="Q25" i="214" s="1"/>
  <c r="B25" i="214"/>
  <c r="P25" i="214" s="1"/>
  <c r="AJ24" i="214"/>
  <c r="T24" i="214"/>
  <c r="S24" i="214"/>
  <c r="R24" i="214"/>
  <c r="G24" i="214"/>
  <c r="Q24" i="214" s="1"/>
  <c r="B24" i="214"/>
  <c r="P24" i="214" s="1"/>
  <c r="AJ23" i="214"/>
  <c r="T23" i="214"/>
  <c r="S23" i="214"/>
  <c r="R23" i="214"/>
  <c r="G23" i="214"/>
  <c r="Q23" i="214" s="1"/>
  <c r="B23" i="214"/>
  <c r="P23" i="214" s="1"/>
  <c r="AJ22" i="214"/>
  <c r="T22" i="214"/>
  <c r="S22" i="214"/>
  <c r="R22" i="214"/>
  <c r="G22" i="214"/>
  <c r="Q22" i="214" s="1"/>
  <c r="B22" i="214"/>
  <c r="P22" i="214" s="1"/>
  <c r="AJ21" i="214"/>
  <c r="T21" i="214"/>
  <c r="S21" i="214"/>
  <c r="R21" i="214"/>
  <c r="G21" i="214"/>
  <c r="Q21" i="214" s="1"/>
  <c r="B21" i="214"/>
  <c r="P21" i="214" s="1"/>
  <c r="AJ20" i="214"/>
  <c r="T20" i="214"/>
  <c r="S20" i="214"/>
  <c r="G20" i="214"/>
  <c r="R20" i="214" s="1"/>
  <c r="B20" i="214"/>
  <c r="P20" i="214" s="1"/>
  <c r="AJ19" i="214"/>
  <c r="T19" i="214"/>
  <c r="S19" i="214"/>
  <c r="R19" i="214"/>
  <c r="G19" i="214"/>
  <c r="Q19" i="214" s="1"/>
  <c r="B19" i="214"/>
  <c r="P19" i="214" s="1"/>
  <c r="AJ18" i="214"/>
  <c r="T18" i="214"/>
  <c r="S18" i="214"/>
  <c r="G18" i="214"/>
  <c r="R18" i="214" s="1"/>
  <c r="B18" i="214"/>
  <c r="P18" i="214" s="1"/>
  <c r="AJ17" i="214"/>
  <c r="T17" i="214"/>
  <c r="S17" i="214"/>
  <c r="R17" i="214"/>
  <c r="G17" i="214"/>
  <c r="Q17" i="214" s="1"/>
  <c r="B17" i="214"/>
  <c r="P17" i="214" s="1"/>
  <c r="AJ16" i="214"/>
  <c r="T16" i="214"/>
  <c r="S16" i="214"/>
  <c r="R16" i="214"/>
  <c r="G16" i="214"/>
  <c r="Q16" i="214" s="1"/>
  <c r="B16" i="214"/>
  <c r="P16" i="214" s="1"/>
  <c r="AJ15" i="214"/>
  <c r="T15" i="214"/>
  <c r="S15" i="214"/>
  <c r="R15" i="214"/>
  <c r="G15" i="214"/>
  <c r="Q15" i="214" s="1"/>
  <c r="B15" i="214"/>
  <c r="P15" i="214" s="1"/>
  <c r="AJ14" i="214"/>
  <c r="T14" i="214"/>
  <c r="S14" i="214"/>
  <c r="R14" i="214"/>
  <c r="G14" i="214"/>
  <c r="Q14" i="214" s="1"/>
  <c r="B14" i="214"/>
  <c r="P14" i="214" s="1"/>
  <c r="AJ13" i="214"/>
  <c r="T13" i="214"/>
  <c r="S13" i="214"/>
  <c r="R13" i="214"/>
  <c r="G13" i="214"/>
  <c r="Q13" i="214" s="1"/>
  <c r="B13" i="214"/>
  <c r="P13" i="214" s="1"/>
  <c r="AJ26" i="213"/>
  <c r="T26" i="213"/>
  <c r="S26" i="213"/>
  <c r="R26" i="213"/>
  <c r="G26" i="213"/>
  <c r="Q26" i="213" s="1"/>
  <c r="B26" i="213"/>
  <c r="P26" i="213" s="1"/>
  <c r="AJ25" i="213"/>
  <c r="T25" i="213"/>
  <c r="S25" i="213"/>
  <c r="R25" i="213"/>
  <c r="G25" i="213"/>
  <c r="Q25" i="213" s="1"/>
  <c r="B25" i="213"/>
  <c r="P25" i="213" s="1"/>
  <c r="AJ24" i="213"/>
  <c r="T24" i="213"/>
  <c r="S24" i="213"/>
  <c r="R24" i="213"/>
  <c r="G24" i="213"/>
  <c r="Q24" i="213" s="1"/>
  <c r="B24" i="213"/>
  <c r="P24" i="213" s="1"/>
  <c r="AJ23" i="213"/>
  <c r="T23" i="213"/>
  <c r="S23" i="213"/>
  <c r="R23" i="213"/>
  <c r="G23" i="213"/>
  <c r="Q23" i="213" s="1"/>
  <c r="B23" i="213"/>
  <c r="P23" i="213" s="1"/>
  <c r="AJ22" i="213"/>
  <c r="T22" i="213"/>
  <c r="S22" i="213"/>
  <c r="R22" i="213"/>
  <c r="G22" i="213"/>
  <c r="Q22" i="213" s="1"/>
  <c r="B22" i="213"/>
  <c r="P22" i="213" s="1"/>
  <c r="AJ21" i="213"/>
  <c r="T21" i="213"/>
  <c r="S21" i="213"/>
  <c r="R21" i="213"/>
  <c r="G21" i="213"/>
  <c r="Q21" i="213" s="1"/>
  <c r="B21" i="213"/>
  <c r="P21" i="213" s="1"/>
  <c r="AJ20" i="213"/>
  <c r="T20" i="213"/>
  <c r="S20" i="213"/>
  <c r="G20" i="213"/>
  <c r="R20" i="213" s="1"/>
  <c r="B20" i="213"/>
  <c r="P20" i="213" s="1"/>
  <c r="AJ19" i="213"/>
  <c r="T19" i="213"/>
  <c r="S19" i="213"/>
  <c r="R19" i="213"/>
  <c r="G19" i="213"/>
  <c r="Q19" i="213" s="1"/>
  <c r="B19" i="213"/>
  <c r="P19" i="213" s="1"/>
  <c r="AJ18" i="213"/>
  <c r="T18" i="213"/>
  <c r="S18" i="213"/>
  <c r="G18" i="213"/>
  <c r="R18" i="213" s="1"/>
  <c r="B18" i="213"/>
  <c r="P18" i="213" s="1"/>
  <c r="AJ17" i="213"/>
  <c r="T17" i="213"/>
  <c r="S17" i="213"/>
  <c r="R17" i="213"/>
  <c r="G17" i="213"/>
  <c r="Q17" i="213" s="1"/>
  <c r="B17" i="213"/>
  <c r="P17" i="213" s="1"/>
  <c r="AJ16" i="213"/>
  <c r="T16" i="213"/>
  <c r="S16" i="213"/>
  <c r="R16" i="213"/>
  <c r="G16" i="213"/>
  <c r="Q16" i="213" s="1"/>
  <c r="B16" i="213"/>
  <c r="P16" i="213" s="1"/>
  <c r="AJ15" i="213"/>
  <c r="T15" i="213"/>
  <c r="S15" i="213"/>
  <c r="R15" i="213"/>
  <c r="G15" i="213"/>
  <c r="Q15" i="213" s="1"/>
  <c r="B15" i="213"/>
  <c r="P15" i="213" s="1"/>
  <c r="AJ14" i="213"/>
  <c r="T14" i="213"/>
  <c r="S14" i="213"/>
  <c r="R14" i="213"/>
  <c r="G14" i="213"/>
  <c r="Q14" i="213" s="1"/>
  <c r="B14" i="213"/>
  <c r="P14" i="213" s="1"/>
  <c r="AJ13" i="213"/>
  <c r="T13" i="213"/>
  <c r="S13" i="213"/>
  <c r="R13" i="213"/>
  <c r="G13" i="213"/>
  <c r="Q13" i="213" s="1"/>
  <c r="B13" i="213"/>
  <c r="P13" i="213" s="1"/>
  <c r="AJ36" i="212"/>
  <c r="T36" i="212"/>
  <c r="S36" i="212"/>
  <c r="R36" i="212"/>
  <c r="G36" i="212"/>
  <c r="Q36" i="212" s="1"/>
  <c r="B36" i="212"/>
  <c r="P36" i="212" s="1"/>
  <c r="AJ35" i="212"/>
  <c r="T35" i="212"/>
  <c r="S35" i="212"/>
  <c r="R35" i="212"/>
  <c r="G35" i="212"/>
  <c r="Q35" i="212" s="1"/>
  <c r="B35" i="212"/>
  <c r="P35" i="212" s="1"/>
  <c r="AJ34" i="212"/>
  <c r="T34" i="212"/>
  <c r="S34" i="212"/>
  <c r="R34" i="212"/>
  <c r="G34" i="212"/>
  <c r="Q34" i="212" s="1"/>
  <c r="B34" i="212"/>
  <c r="P34" i="212" s="1"/>
  <c r="AJ33" i="212"/>
  <c r="T33" i="212"/>
  <c r="S33" i="212"/>
  <c r="R33" i="212"/>
  <c r="G33" i="212"/>
  <c r="Q33" i="212" s="1"/>
  <c r="B33" i="212"/>
  <c r="P33" i="212" s="1"/>
  <c r="AJ32" i="212"/>
  <c r="T32" i="212"/>
  <c r="S32" i="212"/>
  <c r="R32" i="212"/>
  <c r="G32" i="212"/>
  <c r="Q32" i="212" s="1"/>
  <c r="B32" i="212"/>
  <c r="P32" i="212" s="1"/>
  <c r="AJ31" i="212"/>
  <c r="T31" i="212"/>
  <c r="S31" i="212"/>
  <c r="R31" i="212"/>
  <c r="G31" i="212"/>
  <c r="Q31" i="212" s="1"/>
  <c r="B31" i="212"/>
  <c r="P31" i="212" s="1"/>
  <c r="AJ30" i="212"/>
  <c r="T30" i="212"/>
  <c r="S30" i="212"/>
  <c r="R30" i="212"/>
  <c r="G30" i="212"/>
  <c r="Q30" i="212" s="1"/>
  <c r="B30" i="212"/>
  <c r="P30" i="212" s="1"/>
  <c r="AJ29" i="212"/>
  <c r="T29" i="212"/>
  <c r="S29" i="212"/>
  <c r="R29" i="212"/>
  <c r="G29" i="212"/>
  <c r="Q29" i="212" s="1"/>
  <c r="B29" i="212"/>
  <c r="P29" i="212" s="1"/>
  <c r="AJ28" i="212"/>
  <c r="T28" i="212"/>
  <c r="S28" i="212"/>
  <c r="R28" i="212"/>
  <c r="G28" i="212"/>
  <c r="Q28" i="212" s="1"/>
  <c r="B28" i="212"/>
  <c r="P28" i="212" s="1"/>
  <c r="AJ27" i="212"/>
  <c r="T27" i="212"/>
  <c r="S27" i="212"/>
  <c r="R27" i="212"/>
  <c r="G27" i="212"/>
  <c r="Q27" i="212" s="1"/>
  <c r="B27" i="212"/>
  <c r="P27" i="212" s="1"/>
  <c r="AJ26" i="212"/>
  <c r="T26" i="212"/>
  <c r="S26" i="212"/>
  <c r="R26" i="212"/>
  <c r="G26" i="212"/>
  <c r="Q26" i="212" s="1"/>
  <c r="B26" i="212"/>
  <c r="P26" i="212" s="1"/>
  <c r="AJ25" i="212"/>
  <c r="T25" i="212"/>
  <c r="S25" i="212"/>
  <c r="R25" i="212"/>
  <c r="G25" i="212"/>
  <c r="Q25" i="212" s="1"/>
  <c r="B25" i="212"/>
  <c r="P25" i="212" s="1"/>
  <c r="AJ24" i="212"/>
  <c r="T24" i="212"/>
  <c r="S24" i="212"/>
  <c r="R24" i="212"/>
  <c r="G24" i="212"/>
  <c r="Q24" i="212" s="1"/>
  <c r="B24" i="212"/>
  <c r="P24" i="212" s="1"/>
  <c r="AJ23" i="212"/>
  <c r="T23" i="212"/>
  <c r="S23" i="212"/>
  <c r="R23" i="212"/>
  <c r="G23" i="212"/>
  <c r="Q23" i="212" s="1"/>
  <c r="B23" i="212"/>
  <c r="P23" i="212" s="1"/>
  <c r="AJ22" i="212"/>
  <c r="T22" i="212"/>
  <c r="S22" i="212"/>
  <c r="R22" i="212"/>
  <c r="G22" i="212"/>
  <c r="Q22" i="212" s="1"/>
  <c r="B22" i="212"/>
  <c r="P22" i="212" s="1"/>
  <c r="AJ21" i="212"/>
  <c r="T21" i="212"/>
  <c r="S21" i="212"/>
  <c r="R21" i="212"/>
  <c r="G21" i="212"/>
  <c r="Q21" i="212" s="1"/>
  <c r="B21" i="212"/>
  <c r="P21" i="212" s="1"/>
  <c r="AJ20" i="212"/>
  <c r="T20" i="212"/>
  <c r="S20" i="212"/>
  <c r="G20" i="212"/>
  <c r="R20" i="212" s="1"/>
  <c r="B20" i="212"/>
  <c r="P20" i="212" s="1"/>
  <c r="AJ19" i="212"/>
  <c r="T19" i="212"/>
  <c r="S19" i="212"/>
  <c r="R19" i="212"/>
  <c r="G19" i="212"/>
  <c r="Q19" i="212" s="1"/>
  <c r="B19" i="212"/>
  <c r="P19" i="212" s="1"/>
  <c r="AJ18" i="212"/>
  <c r="T18" i="212"/>
  <c r="S18" i="212"/>
  <c r="G18" i="212"/>
  <c r="R18" i="212" s="1"/>
  <c r="B18" i="212"/>
  <c r="P18" i="212" s="1"/>
  <c r="AJ17" i="212"/>
  <c r="T17" i="212"/>
  <c r="S17" i="212"/>
  <c r="R17" i="212"/>
  <c r="G17" i="212"/>
  <c r="Q17" i="212" s="1"/>
  <c r="B17" i="212"/>
  <c r="P17" i="212" s="1"/>
  <c r="AJ16" i="212"/>
  <c r="T16" i="212"/>
  <c r="S16" i="212"/>
  <c r="R16" i="212"/>
  <c r="G16" i="212"/>
  <c r="Q16" i="212" s="1"/>
  <c r="B16" i="212"/>
  <c r="P16" i="212" s="1"/>
  <c r="AJ15" i="212"/>
  <c r="T15" i="212"/>
  <c r="S15" i="212"/>
  <c r="R15" i="212"/>
  <c r="G15" i="212"/>
  <c r="Q15" i="212" s="1"/>
  <c r="B15" i="212"/>
  <c r="P15" i="212" s="1"/>
  <c r="AJ14" i="212"/>
  <c r="T14" i="212"/>
  <c r="S14" i="212"/>
  <c r="R14" i="212"/>
  <c r="G14" i="212"/>
  <c r="Q14" i="212" s="1"/>
  <c r="B14" i="212"/>
  <c r="P14" i="212" s="1"/>
  <c r="AJ13" i="212"/>
  <c r="T13" i="212"/>
  <c r="S13" i="212"/>
  <c r="R13" i="212"/>
  <c r="G13" i="212"/>
  <c r="Q13" i="212" s="1"/>
  <c r="B13" i="212"/>
  <c r="P13" i="212" s="1"/>
  <c r="AJ26" i="211"/>
  <c r="T26" i="211"/>
  <c r="S26" i="211"/>
  <c r="R26" i="211"/>
  <c r="G26" i="211"/>
  <c r="Q26" i="211" s="1"/>
  <c r="B26" i="211"/>
  <c r="P26" i="211" s="1"/>
  <c r="AJ25" i="211"/>
  <c r="T25" i="211"/>
  <c r="S25" i="211"/>
  <c r="R25" i="211"/>
  <c r="G25" i="211"/>
  <c r="Q25" i="211" s="1"/>
  <c r="B25" i="211"/>
  <c r="P25" i="211" s="1"/>
  <c r="AJ24" i="211"/>
  <c r="T24" i="211"/>
  <c r="S24" i="211"/>
  <c r="R24" i="211"/>
  <c r="G24" i="211"/>
  <c r="Q24" i="211" s="1"/>
  <c r="B24" i="211"/>
  <c r="P24" i="211" s="1"/>
  <c r="AJ23" i="211"/>
  <c r="T23" i="211"/>
  <c r="S23" i="211"/>
  <c r="R23" i="211"/>
  <c r="G23" i="211"/>
  <c r="Q23" i="211" s="1"/>
  <c r="B23" i="211"/>
  <c r="P23" i="211" s="1"/>
  <c r="AJ22" i="211"/>
  <c r="T22" i="211"/>
  <c r="S22" i="211"/>
  <c r="R22" i="211"/>
  <c r="G22" i="211"/>
  <c r="Q22" i="211" s="1"/>
  <c r="B22" i="211"/>
  <c r="P22" i="211" s="1"/>
  <c r="AJ21" i="211"/>
  <c r="T21" i="211"/>
  <c r="S21" i="211"/>
  <c r="R21" i="211"/>
  <c r="G21" i="211"/>
  <c r="Q21" i="211" s="1"/>
  <c r="B21" i="211"/>
  <c r="P21" i="211" s="1"/>
  <c r="AJ20" i="211"/>
  <c r="T20" i="211"/>
  <c r="S20" i="211"/>
  <c r="G20" i="211"/>
  <c r="R20" i="211" s="1"/>
  <c r="B20" i="211"/>
  <c r="P20" i="211" s="1"/>
  <c r="AJ19" i="211"/>
  <c r="T19" i="211"/>
  <c r="S19" i="211"/>
  <c r="R19" i="211"/>
  <c r="G19" i="211"/>
  <c r="Q19" i="211" s="1"/>
  <c r="B19" i="211"/>
  <c r="P19" i="211" s="1"/>
  <c r="AJ18" i="211"/>
  <c r="T18" i="211"/>
  <c r="S18" i="211"/>
  <c r="G18" i="211"/>
  <c r="R18" i="211" s="1"/>
  <c r="B18" i="211"/>
  <c r="P18" i="211" s="1"/>
  <c r="AJ17" i="211"/>
  <c r="T17" i="211"/>
  <c r="S17" i="211"/>
  <c r="R17" i="211"/>
  <c r="G17" i="211"/>
  <c r="Q17" i="211" s="1"/>
  <c r="B17" i="211"/>
  <c r="P17" i="211" s="1"/>
  <c r="AJ16" i="211"/>
  <c r="T16" i="211"/>
  <c r="S16" i="211"/>
  <c r="R16" i="211"/>
  <c r="G16" i="211"/>
  <c r="Q16" i="211" s="1"/>
  <c r="B16" i="211"/>
  <c r="P16" i="211" s="1"/>
  <c r="AJ15" i="211"/>
  <c r="T15" i="211"/>
  <c r="S15" i="211"/>
  <c r="R15" i="211"/>
  <c r="G15" i="211"/>
  <c r="Q15" i="211" s="1"/>
  <c r="B15" i="211"/>
  <c r="P15" i="211" s="1"/>
  <c r="AJ14" i="211"/>
  <c r="T14" i="211"/>
  <c r="S14" i="211"/>
  <c r="R14" i="211"/>
  <c r="G14" i="211"/>
  <c r="Q14" i="211" s="1"/>
  <c r="B14" i="211"/>
  <c r="P14" i="211" s="1"/>
  <c r="AJ13" i="211"/>
  <c r="T13" i="211"/>
  <c r="S13" i="211"/>
  <c r="R13" i="211"/>
  <c r="G13" i="211"/>
  <c r="Q13" i="211" s="1"/>
  <c r="B13" i="211"/>
  <c r="P13" i="211" s="1"/>
  <c r="AJ36" i="210"/>
  <c r="T36" i="210"/>
  <c r="S36" i="210"/>
  <c r="R36" i="210"/>
  <c r="G36" i="210"/>
  <c r="Q36" i="210" s="1"/>
  <c r="B36" i="210"/>
  <c r="P36" i="210" s="1"/>
  <c r="AJ35" i="210"/>
  <c r="T35" i="210"/>
  <c r="S35" i="210"/>
  <c r="R35" i="210"/>
  <c r="G35" i="210"/>
  <c r="Q35" i="210" s="1"/>
  <c r="B35" i="210"/>
  <c r="P35" i="210" s="1"/>
  <c r="AJ34" i="210"/>
  <c r="T34" i="210"/>
  <c r="S34" i="210"/>
  <c r="R34" i="210"/>
  <c r="G34" i="210"/>
  <c r="Q34" i="210" s="1"/>
  <c r="B34" i="210"/>
  <c r="P34" i="210" s="1"/>
  <c r="AJ33" i="210"/>
  <c r="T33" i="210"/>
  <c r="S33" i="210"/>
  <c r="R33" i="210"/>
  <c r="G33" i="210"/>
  <c r="Q33" i="210" s="1"/>
  <c r="B33" i="210"/>
  <c r="P33" i="210" s="1"/>
  <c r="AJ32" i="210"/>
  <c r="T32" i="210"/>
  <c r="S32" i="210"/>
  <c r="R32" i="210"/>
  <c r="G32" i="210"/>
  <c r="Q32" i="210" s="1"/>
  <c r="B32" i="210"/>
  <c r="P32" i="210" s="1"/>
  <c r="AJ31" i="210"/>
  <c r="T31" i="210"/>
  <c r="S31" i="210"/>
  <c r="R31" i="210"/>
  <c r="G31" i="210"/>
  <c r="Q31" i="210" s="1"/>
  <c r="B31" i="210"/>
  <c r="P31" i="210" s="1"/>
  <c r="AJ30" i="210"/>
  <c r="T30" i="210"/>
  <c r="S30" i="210"/>
  <c r="R30" i="210"/>
  <c r="G30" i="210"/>
  <c r="Q30" i="210" s="1"/>
  <c r="B30" i="210"/>
  <c r="P30" i="210" s="1"/>
  <c r="AJ29" i="210"/>
  <c r="T29" i="210"/>
  <c r="S29" i="210"/>
  <c r="R29" i="210"/>
  <c r="G29" i="210"/>
  <c r="Q29" i="210" s="1"/>
  <c r="B29" i="210"/>
  <c r="P29" i="210" s="1"/>
  <c r="AJ28" i="210"/>
  <c r="T28" i="210"/>
  <c r="S28" i="210"/>
  <c r="R28" i="210"/>
  <c r="G28" i="210"/>
  <c r="Q28" i="210" s="1"/>
  <c r="B28" i="210"/>
  <c r="P28" i="210" s="1"/>
  <c r="AJ27" i="210"/>
  <c r="T27" i="210"/>
  <c r="S27" i="210"/>
  <c r="R27" i="210"/>
  <c r="G27" i="210"/>
  <c r="Q27" i="210" s="1"/>
  <c r="B27" i="210"/>
  <c r="P27" i="210" s="1"/>
  <c r="AJ26" i="210"/>
  <c r="T26" i="210"/>
  <c r="S26" i="210"/>
  <c r="R26" i="210"/>
  <c r="G26" i="210"/>
  <c r="Q26" i="210" s="1"/>
  <c r="B26" i="210"/>
  <c r="P26" i="210" s="1"/>
  <c r="AJ25" i="210"/>
  <c r="T25" i="210"/>
  <c r="S25" i="210"/>
  <c r="R25" i="210"/>
  <c r="G25" i="210"/>
  <c r="Q25" i="210" s="1"/>
  <c r="B25" i="210"/>
  <c r="P25" i="210" s="1"/>
  <c r="AJ24" i="210"/>
  <c r="T24" i="210"/>
  <c r="S24" i="210"/>
  <c r="R24" i="210"/>
  <c r="G24" i="210"/>
  <c r="Q24" i="210" s="1"/>
  <c r="B24" i="210"/>
  <c r="P24" i="210" s="1"/>
  <c r="AJ23" i="210"/>
  <c r="T23" i="210"/>
  <c r="S23" i="210"/>
  <c r="R23" i="210"/>
  <c r="G23" i="210"/>
  <c r="Q23" i="210" s="1"/>
  <c r="B23" i="210"/>
  <c r="P23" i="210" s="1"/>
  <c r="AJ22" i="210"/>
  <c r="T22" i="210"/>
  <c r="S22" i="210"/>
  <c r="R22" i="210"/>
  <c r="G22" i="210"/>
  <c r="Q22" i="210" s="1"/>
  <c r="B22" i="210"/>
  <c r="P22" i="210" s="1"/>
  <c r="AJ21" i="210"/>
  <c r="T21" i="210"/>
  <c r="S21" i="210"/>
  <c r="R21" i="210"/>
  <c r="G21" i="210"/>
  <c r="Q21" i="210" s="1"/>
  <c r="B21" i="210"/>
  <c r="P21" i="210" s="1"/>
  <c r="AJ20" i="210"/>
  <c r="T20" i="210"/>
  <c r="S20" i="210"/>
  <c r="G20" i="210"/>
  <c r="R20" i="210" s="1"/>
  <c r="B20" i="210"/>
  <c r="P20" i="210" s="1"/>
  <c r="AJ19" i="210"/>
  <c r="T19" i="210"/>
  <c r="S19" i="210"/>
  <c r="R19" i="210"/>
  <c r="G19" i="210"/>
  <c r="Q19" i="210" s="1"/>
  <c r="B19" i="210"/>
  <c r="P19" i="210" s="1"/>
  <c r="AJ18" i="210"/>
  <c r="T18" i="210"/>
  <c r="S18" i="210"/>
  <c r="G18" i="210"/>
  <c r="R18" i="210" s="1"/>
  <c r="B18" i="210"/>
  <c r="P18" i="210" s="1"/>
  <c r="AJ17" i="210"/>
  <c r="T17" i="210"/>
  <c r="S17" i="210"/>
  <c r="R17" i="210"/>
  <c r="G17" i="210"/>
  <c r="Q17" i="210" s="1"/>
  <c r="B17" i="210"/>
  <c r="P17" i="210" s="1"/>
  <c r="AJ16" i="210"/>
  <c r="T16" i="210"/>
  <c r="S16" i="210"/>
  <c r="R16" i="210"/>
  <c r="G16" i="210"/>
  <c r="Q16" i="210" s="1"/>
  <c r="B16" i="210"/>
  <c r="P16" i="210" s="1"/>
  <c r="AJ15" i="210"/>
  <c r="T15" i="210"/>
  <c r="S15" i="210"/>
  <c r="R15" i="210"/>
  <c r="G15" i="210"/>
  <c r="Q15" i="210" s="1"/>
  <c r="B15" i="210"/>
  <c r="P15" i="210" s="1"/>
  <c r="AJ14" i="210"/>
  <c r="T14" i="210"/>
  <c r="S14" i="210"/>
  <c r="R14" i="210"/>
  <c r="G14" i="210"/>
  <c r="Q14" i="210" s="1"/>
  <c r="B14" i="210"/>
  <c r="P14" i="210" s="1"/>
  <c r="AJ13" i="210"/>
  <c r="T13" i="210"/>
  <c r="S13" i="210"/>
  <c r="R13" i="210"/>
  <c r="G13" i="210"/>
  <c r="Q13" i="210" s="1"/>
  <c r="B13" i="210"/>
  <c r="P13" i="210" s="1"/>
  <c r="AJ50" i="209"/>
  <c r="T50" i="209"/>
  <c r="S50" i="209"/>
  <c r="R50" i="209"/>
  <c r="G50" i="209"/>
  <c r="Q50" i="209" s="1"/>
  <c r="B50" i="209"/>
  <c r="P50" i="209" s="1"/>
  <c r="AJ49" i="209"/>
  <c r="T49" i="209"/>
  <c r="S49" i="209"/>
  <c r="R49" i="209"/>
  <c r="G49" i="209"/>
  <c r="Q49" i="209" s="1"/>
  <c r="B49" i="209"/>
  <c r="P49" i="209" s="1"/>
  <c r="AJ48" i="209"/>
  <c r="T48" i="209"/>
  <c r="S48" i="209"/>
  <c r="R48" i="209"/>
  <c r="G48" i="209"/>
  <c r="Q48" i="209" s="1"/>
  <c r="B48" i="209"/>
  <c r="P48" i="209" s="1"/>
  <c r="AJ47" i="209"/>
  <c r="T47" i="209"/>
  <c r="S47" i="209"/>
  <c r="R47" i="209"/>
  <c r="G47" i="209"/>
  <c r="Q47" i="209" s="1"/>
  <c r="B47" i="209"/>
  <c r="P47" i="209" s="1"/>
  <c r="AJ46" i="209"/>
  <c r="T46" i="209"/>
  <c r="S46" i="209"/>
  <c r="R46" i="209"/>
  <c r="G46" i="209"/>
  <c r="Q46" i="209" s="1"/>
  <c r="B46" i="209"/>
  <c r="P46" i="209" s="1"/>
  <c r="AJ45" i="209"/>
  <c r="T45" i="209"/>
  <c r="S45" i="209"/>
  <c r="R45" i="209"/>
  <c r="G45" i="209"/>
  <c r="Q45" i="209" s="1"/>
  <c r="B45" i="209"/>
  <c r="P45" i="209" s="1"/>
  <c r="AJ44" i="209"/>
  <c r="T44" i="209"/>
  <c r="S44" i="209"/>
  <c r="R44" i="209"/>
  <c r="G44" i="209"/>
  <c r="Q44" i="209" s="1"/>
  <c r="B44" i="209"/>
  <c r="P44" i="209" s="1"/>
  <c r="AJ43" i="209"/>
  <c r="T43" i="209"/>
  <c r="S43" i="209"/>
  <c r="R43" i="209"/>
  <c r="G43" i="209"/>
  <c r="Q43" i="209" s="1"/>
  <c r="B43" i="209"/>
  <c r="P43" i="209" s="1"/>
  <c r="AJ42" i="209"/>
  <c r="T42" i="209"/>
  <c r="S42" i="209"/>
  <c r="R42" i="209"/>
  <c r="G42" i="209"/>
  <c r="Q42" i="209" s="1"/>
  <c r="B42" i="209"/>
  <c r="P42" i="209" s="1"/>
  <c r="AJ41" i="209"/>
  <c r="T41" i="209"/>
  <c r="S41" i="209"/>
  <c r="R41" i="209"/>
  <c r="G41" i="209"/>
  <c r="Q41" i="209" s="1"/>
  <c r="B41" i="209"/>
  <c r="P41" i="209" s="1"/>
  <c r="AJ40" i="209"/>
  <c r="T40" i="209"/>
  <c r="S40" i="209"/>
  <c r="R40" i="209"/>
  <c r="G40" i="209"/>
  <c r="Q40" i="209" s="1"/>
  <c r="B40" i="209"/>
  <c r="P40" i="209" s="1"/>
  <c r="AJ39" i="209"/>
  <c r="T39" i="209"/>
  <c r="S39" i="209"/>
  <c r="R39" i="209"/>
  <c r="G39" i="209"/>
  <c r="Q39" i="209" s="1"/>
  <c r="B39" i="209"/>
  <c r="P39" i="209" s="1"/>
  <c r="AJ38" i="209"/>
  <c r="T38" i="209"/>
  <c r="S38" i="209"/>
  <c r="R38" i="209"/>
  <c r="G38" i="209"/>
  <c r="Q38" i="209" s="1"/>
  <c r="B38" i="209"/>
  <c r="P38" i="209" s="1"/>
  <c r="AJ37" i="209"/>
  <c r="T37" i="209"/>
  <c r="S37" i="209"/>
  <c r="R37" i="209"/>
  <c r="G37" i="209"/>
  <c r="Q37" i="209" s="1"/>
  <c r="B37" i="209"/>
  <c r="P37" i="209" s="1"/>
  <c r="AJ36" i="209"/>
  <c r="T36" i="209"/>
  <c r="S36" i="209"/>
  <c r="R36" i="209"/>
  <c r="G36" i="209"/>
  <c r="Q36" i="209" s="1"/>
  <c r="B36" i="209"/>
  <c r="P36" i="209" s="1"/>
  <c r="AJ35" i="209"/>
  <c r="T35" i="209"/>
  <c r="S35" i="209"/>
  <c r="R35" i="209"/>
  <c r="G35" i="209"/>
  <c r="Q35" i="209" s="1"/>
  <c r="B35" i="209"/>
  <c r="P35" i="209" s="1"/>
  <c r="AJ34" i="209"/>
  <c r="T34" i="209"/>
  <c r="S34" i="209"/>
  <c r="R34" i="209"/>
  <c r="G34" i="209"/>
  <c r="Q34" i="209" s="1"/>
  <c r="B34" i="209"/>
  <c r="P34" i="209" s="1"/>
  <c r="AJ33" i="209"/>
  <c r="T33" i="209"/>
  <c r="S33" i="209"/>
  <c r="R33" i="209"/>
  <c r="G33" i="209"/>
  <c r="Q33" i="209" s="1"/>
  <c r="B33" i="209"/>
  <c r="P33" i="209" s="1"/>
  <c r="AJ32" i="209"/>
  <c r="T32" i="209"/>
  <c r="S32" i="209"/>
  <c r="R32" i="209"/>
  <c r="G32" i="209"/>
  <c r="Q32" i="209" s="1"/>
  <c r="B32" i="209"/>
  <c r="P32" i="209" s="1"/>
  <c r="AJ31" i="209"/>
  <c r="T31" i="209"/>
  <c r="S31" i="209"/>
  <c r="R31" i="209"/>
  <c r="G31" i="209"/>
  <c r="Q31" i="209" s="1"/>
  <c r="B31" i="209"/>
  <c r="P31" i="209" s="1"/>
  <c r="AJ30" i="209"/>
  <c r="T30" i="209"/>
  <c r="S30" i="209"/>
  <c r="R30" i="209"/>
  <c r="G30" i="209"/>
  <c r="Q30" i="209" s="1"/>
  <c r="B30" i="209"/>
  <c r="P30" i="209" s="1"/>
  <c r="AJ29" i="209"/>
  <c r="T29" i="209"/>
  <c r="S29" i="209"/>
  <c r="R29" i="209"/>
  <c r="G29" i="209"/>
  <c r="Q29" i="209" s="1"/>
  <c r="B29" i="209"/>
  <c r="P29" i="209" s="1"/>
  <c r="AJ28" i="209"/>
  <c r="T28" i="209"/>
  <c r="S28" i="209"/>
  <c r="R28" i="209"/>
  <c r="G28" i="209"/>
  <c r="Q28" i="209" s="1"/>
  <c r="B28" i="209"/>
  <c r="P28" i="209" s="1"/>
  <c r="AJ27" i="209"/>
  <c r="T27" i="209"/>
  <c r="S27" i="209"/>
  <c r="R27" i="209"/>
  <c r="G27" i="209"/>
  <c r="Q27" i="209" s="1"/>
  <c r="B27" i="209"/>
  <c r="P27" i="209" s="1"/>
  <c r="AJ26" i="209"/>
  <c r="T26" i="209"/>
  <c r="S26" i="209"/>
  <c r="R26" i="209"/>
  <c r="G26" i="209"/>
  <c r="Q26" i="209" s="1"/>
  <c r="B26" i="209"/>
  <c r="P26" i="209" s="1"/>
  <c r="AJ25" i="209"/>
  <c r="T25" i="209"/>
  <c r="S25" i="209"/>
  <c r="R25" i="209"/>
  <c r="G25" i="209"/>
  <c r="Q25" i="209" s="1"/>
  <c r="B25" i="209"/>
  <c r="P25" i="209" s="1"/>
  <c r="AJ24" i="209"/>
  <c r="T24" i="209"/>
  <c r="S24" i="209"/>
  <c r="R24" i="209"/>
  <c r="G24" i="209"/>
  <c r="Q24" i="209" s="1"/>
  <c r="B24" i="209"/>
  <c r="P24" i="209" s="1"/>
  <c r="AJ23" i="209"/>
  <c r="T23" i="209"/>
  <c r="S23" i="209"/>
  <c r="R23" i="209"/>
  <c r="G23" i="209"/>
  <c r="Q23" i="209" s="1"/>
  <c r="B23" i="209"/>
  <c r="P23" i="209" s="1"/>
  <c r="AJ22" i="209"/>
  <c r="T22" i="209"/>
  <c r="S22" i="209"/>
  <c r="R22" i="209"/>
  <c r="G22" i="209"/>
  <c r="Q22" i="209" s="1"/>
  <c r="B22" i="209"/>
  <c r="P22" i="209" s="1"/>
  <c r="AJ21" i="209"/>
  <c r="T21" i="209"/>
  <c r="S21" i="209"/>
  <c r="R21" i="209"/>
  <c r="G21" i="209"/>
  <c r="Q21" i="209" s="1"/>
  <c r="B21" i="209"/>
  <c r="P21" i="209" s="1"/>
  <c r="AJ20" i="209"/>
  <c r="T20" i="209"/>
  <c r="S20" i="209"/>
  <c r="G20" i="209"/>
  <c r="R20" i="209" s="1"/>
  <c r="B20" i="209"/>
  <c r="P20" i="209" s="1"/>
  <c r="AJ19" i="209"/>
  <c r="T19" i="209"/>
  <c r="S19" i="209"/>
  <c r="R19" i="209"/>
  <c r="G19" i="209"/>
  <c r="Q19" i="209" s="1"/>
  <c r="B19" i="209"/>
  <c r="P19" i="209" s="1"/>
  <c r="AJ18" i="209"/>
  <c r="T18" i="209"/>
  <c r="S18" i="209"/>
  <c r="G18" i="209"/>
  <c r="R18" i="209" s="1"/>
  <c r="B18" i="209"/>
  <c r="P18" i="209" s="1"/>
  <c r="AJ17" i="209"/>
  <c r="T17" i="209"/>
  <c r="S17" i="209"/>
  <c r="R17" i="209"/>
  <c r="G17" i="209"/>
  <c r="Q17" i="209" s="1"/>
  <c r="B17" i="209"/>
  <c r="P17" i="209" s="1"/>
  <c r="AJ16" i="209"/>
  <c r="T16" i="209"/>
  <c r="S16" i="209"/>
  <c r="R16" i="209"/>
  <c r="G16" i="209"/>
  <c r="Q16" i="209" s="1"/>
  <c r="B16" i="209"/>
  <c r="P16" i="209" s="1"/>
  <c r="AJ15" i="209"/>
  <c r="T15" i="209"/>
  <c r="S15" i="209"/>
  <c r="R15" i="209"/>
  <c r="G15" i="209"/>
  <c r="Q15" i="209" s="1"/>
  <c r="B15" i="209"/>
  <c r="P15" i="209" s="1"/>
  <c r="AJ14" i="209"/>
  <c r="T14" i="209"/>
  <c r="S14" i="209"/>
  <c r="R14" i="209"/>
  <c r="G14" i="209"/>
  <c r="Q14" i="209" s="1"/>
  <c r="B14" i="209"/>
  <c r="P14" i="209" s="1"/>
  <c r="AJ13" i="209"/>
  <c r="T13" i="209"/>
  <c r="S13" i="209"/>
  <c r="R13" i="209"/>
  <c r="G13" i="209"/>
  <c r="Q13" i="209" s="1"/>
  <c r="B13" i="209"/>
  <c r="P13" i="209" s="1"/>
  <c r="AJ50" i="208"/>
  <c r="T50" i="208"/>
  <c r="S50" i="208"/>
  <c r="R50" i="208"/>
  <c r="G50" i="208"/>
  <c r="Q50" i="208" s="1"/>
  <c r="B50" i="208"/>
  <c r="P50" i="208" s="1"/>
  <c r="AJ49" i="208"/>
  <c r="T49" i="208"/>
  <c r="S49" i="208"/>
  <c r="R49" i="208"/>
  <c r="G49" i="208"/>
  <c r="Q49" i="208" s="1"/>
  <c r="B49" i="208"/>
  <c r="P49" i="208" s="1"/>
  <c r="AJ48" i="208"/>
  <c r="T48" i="208"/>
  <c r="S48" i="208"/>
  <c r="R48" i="208"/>
  <c r="G48" i="208"/>
  <c r="Q48" i="208" s="1"/>
  <c r="B48" i="208"/>
  <c r="P48" i="208" s="1"/>
  <c r="AJ47" i="208"/>
  <c r="T47" i="208"/>
  <c r="S47" i="208"/>
  <c r="R47" i="208"/>
  <c r="G47" i="208"/>
  <c r="Q47" i="208" s="1"/>
  <c r="B47" i="208"/>
  <c r="P47" i="208" s="1"/>
  <c r="AJ46" i="208"/>
  <c r="T46" i="208"/>
  <c r="S46" i="208"/>
  <c r="R46" i="208"/>
  <c r="G46" i="208"/>
  <c r="Q46" i="208" s="1"/>
  <c r="B46" i="208"/>
  <c r="P46" i="208" s="1"/>
  <c r="AJ45" i="208"/>
  <c r="T45" i="208"/>
  <c r="S45" i="208"/>
  <c r="R45" i="208"/>
  <c r="G45" i="208"/>
  <c r="Q45" i="208" s="1"/>
  <c r="B45" i="208"/>
  <c r="P45" i="208" s="1"/>
  <c r="AJ44" i="208"/>
  <c r="T44" i="208"/>
  <c r="S44" i="208"/>
  <c r="R44" i="208"/>
  <c r="G44" i="208"/>
  <c r="Q44" i="208" s="1"/>
  <c r="B44" i="208"/>
  <c r="P44" i="208" s="1"/>
  <c r="AJ43" i="208"/>
  <c r="T43" i="208"/>
  <c r="S43" i="208"/>
  <c r="R43" i="208"/>
  <c r="G43" i="208"/>
  <c r="Q43" i="208" s="1"/>
  <c r="B43" i="208"/>
  <c r="P43" i="208" s="1"/>
  <c r="AJ42" i="208"/>
  <c r="T42" i="208"/>
  <c r="S42" i="208"/>
  <c r="R42" i="208"/>
  <c r="G42" i="208"/>
  <c r="Q42" i="208" s="1"/>
  <c r="B42" i="208"/>
  <c r="P42" i="208" s="1"/>
  <c r="AJ41" i="208"/>
  <c r="T41" i="208"/>
  <c r="S41" i="208"/>
  <c r="R41" i="208"/>
  <c r="G41" i="208"/>
  <c r="Q41" i="208" s="1"/>
  <c r="B41" i="208"/>
  <c r="P41" i="208" s="1"/>
  <c r="AJ40" i="208"/>
  <c r="T40" i="208"/>
  <c r="S40" i="208"/>
  <c r="R40" i="208"/>
  <c r="G40" i="208"/>
  <c r="Q40" i="208" s="1"/>
  <c r="B40" i="208"/>
  <c r="P40" i="208" s="1"/>
  <c r="AJ39" i="208"/>
  <c r="T39" i="208"/>
  <c r="S39" i="208"/>
  <c r="R39" i="208"/>
  <c r="G39" i="208"/>
  <c r="Q39" i="208" s="1"/>
  <c r="B39" i="208"/>
  <c r="P39" i="208" s="1"/>
  <c r="AJ38" i="208"/>
  <c r="T38" i="208"/>
  <c r="S38" i="208"/>
  <c r="R38" i="208"/>
  <c r="G38" i="208"/>
  <c r="Q38" i="208" s="1"/>
  <c r="B38" i="208"/>
  <c r="P38" i="208" s="1"/>
  <c r="AJ37" i="208"/>
  <c r="T37" i="208"/>
  <c r="S37" i="208"/>
  <c r="R37" i="208"/>
  <c r="G37" i="208"/>
  <c r="Q37" i="208" s="1"/>
  <c r="B37" i="208"/>
  <c r="P37" i="208" s="1"/>
  <c r="AJ36" i="208"/>
  <c r="T36" i="208"/>
  <c r="S36" i="208"/>
  <c r="R36" i="208"/>
  <c r="G36" i="208"/>
  <c r="Q36" i="208" s="1"/>
  <c r="B36" i="208"/>
  <c r="P36" i="208" s="1"/>
  <c r="AJ35" i="208"/>
  <c r="T35" i="208"/>
  <c r="S35" i="208"/>
  <c r="R35" i="208"/>
  <c r="G35" i="208"/>
  <c r="Q35" i="208" s="1"/>
  <c r="B35" i="208"/>
  <c r="P35" i="208" s="1"/>
  <c r="AJ34" i="208"/>
  <c r="T34" i="208"/>
  <c r="S34" i="208"/>
  <c r="R34" i="208"/>
  <c r="G34" i="208"/>
  <c r="Q34" i="208" s="1"/>
  <c r="B34" i="208"/>
  <c r="P34" i="208" s="1"/>
  <c r="AJ33" i="208"/>
  <c r="T33" i="208"/>
  <c r="S33" i="208"/>
  <c r="R33" i="208"/>
  <c r="G33" i="208"/>
  <c r="Q33" i="208" s="1"/>
  <c r="B33" i="208"/>
  <c r="P33" i="208" s="1"/>
  <c r="AJ32" i="208"/>
  <c r="T32" i="208"/>
  <c r="S32" i="208"/>
  <c r="R32" i="208"/>
  <c r="G32" i="208"/>
  <c r="Q32" i="208" s="1"/>
  <c r="B32" i="208"/>
  <c r="P32" i="208" s="1"/>
  <c r="AJ31" i="208"/>
  <c r="T31" i="208"/>
  <c r="S31" i="208"/>
  <c r="R31" i="208"/>
  <c r="G31" i="208"/>
  <c r="Q31" i="208" s="1"/>
  <c r="B31" i="208"/>
  <c r="P31" i="208" s="1"/>
  <c r="AJ30" i="208"/>
  <c r="T30" i="208"/>
  <c r="S30" i="208"/>
  <c r="R30" i="208"/>
  <c r="G30" i="208"/>
  <c r="Q30" i="208" s="1"/>
  <c r="B30" i="208"/>
  <c r="P30" i="208" s="1"/>
  <c r="AJ29" i="208"/>
  <c r="T29" i="208"/>
  <c r="S29" i="208"/>
  <c r="R29" i="208"/>
  <c r="G29" i="208"/>
  <c r="Q29" i="208" s="1"/>
  <c r="B29" i="208"/>
  <c r="P29" i="208" s="1"/>
  <c r="AJ28" i="208"/>
  <c r="T28" i="208"/>
  <c r="S28" i="208"/>
  <c r="R28" i="208"/>
  <c r="G28" i="208"/>
  <c r="Q28" i="208" s="1"/>
  <c r="B28" i="208"/>
  <c r="P28" i="208" s="1"/>
  <c r="AJ27" i="208"/>
  <c r="T27" i="208"/>
  <c r="S27" i="208"/>
  <c r="R27" i="208"/>
  <c r="G27" i="208"/>
  <c r="Q27" i="208" s="1"/>
  <c r="B27" i="208"/>
  <c r="P27" i="208" s="1"/>
  <c r="AJ26" i="208"/>
  <c r="T26" i="208"/>
  <c r="S26" i="208"/>
  <c r="R26" i="208"/>
  <c r="G26" i="208"/>
  <c r="Q26" i="208" s="1"/>
  <c r="B26" i="208"/>
  <c r="P26" i="208" s="1"/>
  <c r="AJ25" i="208"/>
  <c r="T25" i="208"/>
  <c r="S25" i="208"/>
  <c r="R25" i="208"/>
  <c r="G25" i="208"/>
  <c r="Q25" i="208" s="1"/>
  <c r="B25" i="208"/>
  <c r="P25" i="208" s="1"/>
  <c r="AJ24" i="208"/>
  <c r="T24" i="208"/>
  <c r="S24" i="208"/>
  <c r="R24" i="208"/>
  <c r="G24" i="208"/>
  <c r="Q24" i="208" s="1"/>
  <c r="B24" i="208"/>
  <c r="P24" i="208" s="1"/>
  <c r="AJ23" i="208"/>
  <c r="T23" i="208"/>
  <c r="S23" i="208"/>
  <c r="R23" i="208"/>
  <c r="G23" i="208"/>
  <c r="Q23" i="208" s="1"/>
  <c r="B23" i="208"/>
  <c r="P23" i="208" s="1"/>
  <c r="AJ22" i="208"/>
  <c r="T22" i="208"/>
  <c r="S22" i="208"/>
  <c r="R22" i="208"/>
  <c r="G22" i="208"/>
  <c r="Q22" i="208" s="1"/>
  <c r="B22" i="208"/>
  <c r="P22" i="208" s="1"/>
  <c r="AJ21" i="208"/>
  <c r="T21" i="208"/>
  <c r="S21" i="208"/>
  <c r="R21" i="208"/>
  <c r="G21" i="208"/>
  <c r="Q21" i="208" s="1"/>
  <c r="B21" i="208"/>
  <c r="P21" i="208" s="1"/>
  <c r="AJ20" i="208"/>
  <c r="T20" i="208"/>
  <c r="S20" i="208"/>
  <c r="G20" i="208"/>
  <c r="R20" i="208" s="1"/>
  <c r="B20" i="208"/>
  <c r="P20" i="208" s="1"/>
  <c r="AJ19" i="208"/>
  <c r="T19" i="208"/>
  <c r="S19" i="208"/>
  <c r="R19" i="208"/>
  <c r="G19" i="208"/>
  <c r="Q19" i="208" s="1"/>
  <c r="B19" i="208"/>
  <c r="P19" i="208" s="1"/>
  <c r="AJ18" i="208"/>
  <c r="T18" i="208"/>
  <c r="S18" i="208"/>
  <c r="G18" i="208"/>
  <c r="Q18" i="208" s="1"/>
  <c r="B18" i="208"/>
  <c r="P18" i="208" s="1"/>
  <c r="AJ17" i="208"/>
  <c r="T17" i="208"/>
  <c r="S17" i="208"/>
  <c r="R17" i="208"/>
  <c r="G17" i="208"/>
  <c r="Q17" i="208" s="1"/>
  <c r="B17" i="208"/>
  <c r="P17" i="208" s="1"/>
  <c r="AJ16" i="208"/>
  <c r="T16" i="208"/>
  <c r="S16" i="208"/>
  <c r="R16" i="208"/>
  <c r="G16" i="208"/>
  <c r="Q16" i="208" s="1"/>
  <c r="B16" i="208"/>
  <c r="P16" i="208" s="1"/>
  <c r="AJ15" i="208"/>
  <c r="T15" i="208"/>
  <c r="S15" i="208"/>
  <c r="R15" i="208"/>
  <c r="G15" i="208"/>
  <c r="Q15" i="208" s="1"/>
  <c r="B15" i="208"/>
  <c r="P15" i="208" s="1"/>
  <c r="AJ14" i="208"/>
  <c r="T14" i="208"/>
  <c r="S14" i="208"/>
  <c r="R14" i="208"/>
  <c r="G14" i="208"/>
  <c r="Q14" i="208" s="1"/>
  <c r="B14" i="208"/>
  <c r="P14" i="208" s="1"/>
  <c r="AJ13" i="208"/>
  <c r="T13" i="208"/>
  <c r="S13" i="208"/>
  <c r="R13" i="208"/>
  <c r="G13" i="208"/>
  <c r="Q13" i="208" s="1"/>
  <c r="B13" i="208"/>
  <c r="P13" i="208" s="1"/>
  <c r="AJ29" i="207"/>
  <c r="T29" i="207"/>
  <c r="S29" i="207"/>
  <c r="R29" i="207"/>
  <c r="G29" i="207"/>
  <c r="Q29" i="207" s="1"/>
  <c r="B29" i="207"/>
  <c r="P29" i="207" s="1"/>
  <c r="AJ28" i="207"/>
  <c r="T28" i="207"/>
  <c r="S28" i="207"/>
  <c r="R28" i="207"/>
  <c r="G28" i="207"/>
  <c r="Q28" i="207" s="1"/>
  <c r="B28" i="207"/>
  <c r="P28" i="207" s="1"/>
  <c r="AJ27" i="207"/>
  <c r="T27" i="207"/>
  <c r="S27" i="207"/>
  <c r="R27" i="207"/>
  <c r="G27" i="207"/>
  <c r="Q27" i="207" s="1"/>
  <c r="B27" i="207"/>
  <c r="P27" i="207" s="1"/>
  <c r="AJ26" i="207"/>
  <c r="T26" i="207"/>
  <c r="S26" i="207"/>
  <c r="R26" i="207"/>
  <c r="G26" i="207"/>
  <c r="Q26" i="207" s="1"/>
  <c r="B26" i="207"/>
  <c r="P26" i="207" s="1"/>
  <c r="AJ25" i="207"/>
  <c r="T25" i="207"/>
  <c r="S25" i="207"/>
  <c r="R25" i="207"/>
  <c r="G25" i="207"/>
  <c r="Q25" i="207" s="1"/>
  <c r="B25" i="207"/>
  <c r="P25" i="207" s="1"/>
  <c r="AJ24" i="207"/>
  <c r="T24" i="207"/>
  <c r="S24" i="207"/>
  <c r="R24" i="207"/>
  <c r="G24" i="207"/>
  <c r="Q24" i="207" s="1"/>
  <c r="B24" i="207"/>
  <c r="P24" i="207" s="1"/>
  <c r="AJ23" i="207"/>
  <c r="T23" i="207"/>
  <c r="S23" i="207"/>
  <c r="R23" i="207"/>
  <c r="G23" i="207"/>
  <c r="Q23" i="207" s="1"/>
  <c r="B23" i="207"/>
  <c r="P23" i="207" s="1"/>
  <c r="AJ22" i="207"/>
  <c r="T22" i="207"/>
  <c r="S22" i="207"/>
  <c r="R22" i="207"/>
  <c r="G22" i="207"/>
  <c r="Q22" i="207" s="1"/>
  <c r="B22" i="207"/>
  <c r="P22" i="207" s="1"/>
  <c r="AJ21" i="207"/>
  <c r="T21" i="207"/>
  <c r="S21" i="207"/>
  <c r="R21" i="207"/>
  <c r="G21" i="207"/>
  <c r="Q21" i="207" s="1"/>
  <c r="B21" i="207"/>
  <c r="P21" i="207" s="1"/>
  <c r="AJ20" i="207"/>
  <c r="T20" i="207"/>
  <c r="S20" i="207"/>
  <c r="G20" i="207"/>
  <c r="Q20" i="207" s="1"/>
  <c r="B20" i="207"/>
  <c r="P20" i="207" s="1"/>
  <c r="AJ19" i="207"/>
  <c r="T19" i="207"/>
  <c r="S19" i="207"/>
  <c r="R19" i="207"/>
  <c r="G19" i="207"/>
  <c r="Q19" i="207" s="1"/>
  <c r="B19" i="207"/>
  <c r="P19" i="207" s="1"/>
  <c r="AJ18" i="207"/>
  <c r="T18" i="207"/>
  <c r="S18" i="207"/>
  <c r="G18" i="207"/>
  <c r="Q18" i="207" s="1"/>
  <c r="B18" i="207"/>
  <c r="P18" i="207" s="1"/>
  <c r="AJ17" i="207"/>
  <c r="T17" i="207"/>
  <c r="S17" i="207"/>
  <c r="R17" i="207"/>
  <c r="G17" i="207"/>
  <c r="Q17" i="207" s="1"/>
  <c r="B17" i="207"/>
  <c r="P17" i="207" s="1"/>
  <c r="AJ16" i="207"/>
  <c r="T16" i="207"/>
  <c r="S16" i="207"/>
  <c r="R16" i="207"/>
  <c r="G16" i="207"/>
  <c r="Q16" i="207" s="1"/>
  <c r="B16" i="207"/>
  <c r="P16" i="207" s="1"/>
  <c r="AJ15" i="207"/>
  <c r="T15" i="207"/>
  <c r="S15" i="207"/>
  <c r="R15" i="207"/>
  <c r="G15" i="207"/>
  <c r="Q15" i="207" s="1"/>
  <c r="B15" i="207"/>
  <c r="P15" i="207" s="1"/>
  <c r="AJ14" i="207"/>
  <c r="T14" i="207"/>
  <c r="S14" i="207"/>
  <c r="R14" i="207"/>
  <c r="G14" i="207"/>
  <c r="Q14" i="207" s="1"/>
  <c r="B14" i="207"/>
  <c r="P14" i="207" s="1"/>
  <c r="AJ13" i="207"/>
  <c r="T13" i="207"/>
  <c r="S13" i="207"/>
  <c r="R13" i="207"/>
  <c r="G13" i="207"/>
  <c r="Q13" i="207" s="1"/>
  <c r="B13" i="207"/>
  <c r="P13" i="207" s="1"/>
  <c r="AJ74" i="206"/>
  <c r="T74" i="206"/>
  <c r="S74" i="206"/>
  <c r="R74" i="206"/>
  <c r="G74" i="206"/>
  <c r="Q74" i="206" s="1"/>
  <c r="B74" i="206"/>
  <c r="P74" i="206" s="1"/>
  <c r="AJ73" i="206"/>
  <c r="T73" i="206"/>
  <c r="S73" i="206"/>
  <c r="R73" i="206"/>
  <c r="G73" i="206"/>
  <c r="Q73" i="206" s="1"/>
  <c r="B73" i="206"/>
  <c r="P73" i="206" s="1"/>
  <c r="AJ72" i="206"/>
  <c r="T72" i="206"/>
  <c r="S72" i="206"/>
  <c r="R72" i="206"/>
  <c r="G72" i="206"/>
  <c r="Q72" i="206" s="1"/>
  <c r="B72" i="206"/>
  <c r="P72" i="206" s="1"/>
  <c r="AJ71" i="206"/>
  <c r="T71" i="206"/>
  <c r="S71" i="206"/>
  <c r="R71" i="206"/>
  <c r="G71" i="206"/>
  <c r="Q71" i="206" s="1"/>
  <c r="B71" i="206"/>
  <c r="P71" i="206" s="1"/>
  <c r="AJ70" i="206"/>
  <c r="T70" i="206"/>
  <c r="S70" i="206"/>
  <c r="R70" i="206"/>
  <c r="G70" i="206"/>
  <c r="Q70" i="206" s="1"/>
  <c r="B70" i="206"/>
  <c r="P70" i="206" s="1"/>
  <c r="AJ69" i="206"/>
  <c r="T69" i="206"/>
  <c r="S69" i="206"/>
  <c r="R69" i="206"/>
  <c r="G69" i="206"/>
  <c r="Q69" i="206" s="1"/>
  <c r="B69" i="206"/>
  <c r="P69" i="206" s="1"/>
  <c r="AJ68" i="206"/>
  <c r="T68" i="206"/>
  <c r="S68" i="206"/>
  <c r="R68" i="206"/>
  <c r="G68" i="206"/>
  <c r="Q68" i="206" s="1"/>
  <c r="B68" i="206"/>
  <c r="P68" i="206" s="1"/>
  <c r="AJ67" i="206"/>
  <c r="T67" i="206"/>
  <c r="S67" i="206"/>
  <c r="R67" i="206"/>
  <c r="G67" i="206"/>
  <c r="Q67" i="206" s="1"/>
  <c r="B67" i="206"/>
  <c r="P67" i="206" s="1"/>
  <c r="AJ66" i="206"/>
  <c r="T66" i="206"/>
  <c r="S66" i="206"/>
  <c r="R66" i="206"/>
  <c r="G66" i="206"/>
  <c r="Q66" i="206" s="1"/>
  <c r="B66" i="206"/>
  <c r="P66" i="206" s="1"/>
  <c r="AJ65" i="206"/>
  <c r="T65" i="206"/>
  <c r="S65" i="206"/>
  <c r="R65" i="206"/>
  <c r="G65" i="206"/>
  <c r="Q65" i="206" s="1"/>
  <c r="B65" i="206"/>
  <c r="P65" i="206" s="1"/>
  <c r="AJ64" i="206"/>
  <c r="T64" i="206"/>
  <c r="S64" i="206"/>
  <c r="R64" i="206"/>
  <c r="G64" i="206"/>
  <c r="Q64" i="206" s="1"/>
  <c r="B64" i="206"/>
  <c r="P64" i="206" s="1"/>
  <c r="AJ63" i="206"/>
  <c r="T63" i="206"/>
  <c r="S63" i="206"/>
  <c r="R63" i="206"/>
  <c r="G63" i="206"/>
  <c r="Q63" i="206" s="1"/>
  <c r="B63" i="206"/>
  <c r="P63" i="206" s="1"/>
  <c r="AJ62" i="206"/>
  <c r="T62" i="206"/>
  <c r="S62" i="206"/>
  <c r="R62" i="206"/>
  <c r="G62" i="206"/>
  <c r="Q62" i="206" s="1"/>
  <c r="B62" i="206"/>
  <c r="P62" i="206" s="1"/>
  <c r="AJ61" i="206"/>
  <c r="T61" i="206"/>
  <c r="S61" i="206"/>
  <c r="R61" i="206"/>
  <c r="G61" i="206"/>
  <c r="Q61" i="206" s="1"/>
  <c r="B61" i="206"/>
  <c r="P61" i="206" s="1"/>
  <c r="AJ60" i="206"/>
  <c r="T60" i="206"/>
  <c r="S60" i="206"/>
  <c r="R60" i="206"/>
  <c r="G60" i="206"/>
  <c r="Q60" i="206" s="1"/>
  <c r="B60" i="206"/>
  <c r="P60" i="206" s="1"/>
  <c r="AJ59" i="206"/>
  <c r="T59" i="206"/>
  <c r="S59" i="206"/>
  <c r="R59" i="206"/>
  <c r="G59" i="206"/>
  <c r="Q59" i="206" s="1"/>
  <c r="B59" i="206"/>
  <c r="P59" i="206" s="1"/>
  <c r="AJ58" i="206"/>
  <c r="T58" i="206"/>
  <c r="S58" i="206"/>
  <c r="R58" i="206"/>
  <c r="G58" i="206"/>
  <c r="Q58" i="206" s="1"/>
  <c r="B58" i="206"/>
  <c r="P58" i="206" s="1"/>
  <c r="AJ57" i="206"/>
  <c r="T57" i="206"/>
  <c r="S57" i="206"/>
  <c r="R57" i="206"/>
  <c r="G57" i="206"/>
  <c r="Q57" i="206" s="1"/>
  <c r="B57" i="206"/>
  <c r="P57" i="206" s="1"/>
  <c r="AJ56" i="206"/>
  <c r="T56" i="206"/>
  <c r="S56" i="206"/>
  <c r="R56" i="206"/>
  <c r="G56" i="206"/>
  <c r="Q56" i="206" s="1"/>
  <c r="B56" i="206"/>
  <c r="P56" i="206" s="1"/>
  <c r="AJ55" i="206"/>
  <c r="T55" i="206"/>
  <c r="S55" i="206"/>
  <c r="R55" i="206"/>
  <c r="G55" i="206"/>
  <c r="Q55" i="206" s="1"/>
  <c r="B55" i="206"/>
  <c r="P55" i="206" s="1"/>
  <c r="AJ54" i="206"/>
  <c r="T54" i="206"/>
  <c r="S54" i="206"/>
  <c r="R54" i="206"/>
  <c r="G54" i="206"/>
  <c r="Q54" i="206" s="1"/>
  <c r="B54" i="206"/>
  <c r="P54" i="206" s="1"/>
  <c r="AJ53" i="206"/>
  <c r="T53" i="206"/>
  <c r="S53" i="206"/>
  <c r="R53" i="206"/>
  <c r="G53" i="206"/>
  <c r="Q53" i="206" s="1"/>
  <c r="B53" i="206"/>
  <c r="P53" i="206" s="1"/>
  <c r="AJ52" i="206"/>
  <c r="T52" i="206"/>
  <c r="S52" i="206"/>
  <c r="R52" i="206"/>
  <c r="G52" i="206"/>
  <c r="Q52" i="206" s="1"/>
  <c r="B52" i="206"/>
  <c r="P52" i="206" s="1"/>
  <c r="AJ51" i="206"/>
  <c r="T51" i="206"/>
  <c r="S51" i="206"/>
  <c r="R51" i="206"/>
  <c r="G51" i="206"/>
  <c r="Q51" i="206" s="1"/>
  <c r="B51" i="206"/>
  <c r="P51" i="206" s="1"/>
  <c r="AJ50" i="206"/>
  <c r="T50" i="206"/>
  <c r="S50" i="206"/>
  <c r="R50" i="206"/>
  <c r="G50" i="206"/>
  <c r="Q50" i="206" s="1"/>
  <c r="B50" i="206"/>
  <c r="P50" i="206" s="1"/>
  <c r="AJ49" i="206"/>
  <c r="T49" i="206"/>
  <c r="S49" i="206"/>
  <c r="R49" i="206"/>
  <c r="G49" i="206"/>
  <c r="Q49" i="206" s="1"/>
  <c r="B49" i="206"/>
  <c r="P49" i="206" s="1"/>
  <c r="AJ48" i="206"/>
  <c r="T48" i="206"/>
  <c r="S48" i="206"/>
  <c r="R48" i="206"/>
  <c r="G48" i="206"/>
  <c r="Q48" i="206" s="1"/>
  <c r="B48" i="206"/>
  <c r="P48" i="206" s="1"/>
  <c r="AJ47" i="206"/>
  <c r="T47" i="206"/>
  <c r="S47" i="206"/>
  <c r="R47" i="206"/>
  <c r="G47" i="206"/>
  <c r="Q47" i="206" s="1"/>
  <c r="B47" i="206"/>
  <c r="P47" i="206" s="1"/>
  <c r="AJ46" i="206"/>
  <c r="T46" i="206"/>
  <c r="S46" i="206"/>
  <c r="R46" i="206"/>
  <c r="G46" i="206"/>
  <c r="Q46" i="206" s="1"/>
  <c r="B46" i="206"/>
  <c r="P46" i="206" s="1"/>
  <c r="AJ45" i="206"/>
  <c r="T45" i="206"/>
  <c r="S45" i="206"/>
  <c r="R45" i="206"/>
  <c r="G45" i="206"/>
  <c r="Q45" i="206" s="1"/>
  <c r="B45" i="206"/>
  <c r="P45" i="206" s="1"/>
  <c r="AJ44" i="206"/>
  <c r="T44" i="206"/>
  <c r="S44" i="206"/>
  <c r="R44" i="206"/>
  <c r="G44" i="206"/>
  <c r="Q44" i="206" s="1"/>
  <c r="B44" i="206"/>
  <c r="P44" i="206" s="1"/>
  <c r="AJ43" i="206"/>
  <c r="T43" i="206"/>
  <c r="S43" i="206"/>
  <c r="R43" i="206"/>
  <c r="G43" i="206"/>
  <c r="Q43" i="206" s="1"/>
  <c r="B43" i="206"/>
  <c r="P43" i="206" s="1"/>
  <c r="AJ42" i="206"/>
  <c r="T42" i="206"/>
  <c r="S42" i="206"/>
  <c r="R42" i="206"/>
  <c r="G42" i="206"/>
  <c r="Q42" i="206" s="1"/>
  <c r="B42" i="206"/>
  <c r="P42" i="206" s="1"/>
  <c r="AJ41" i="206"/>
  <c r="T41" i="206"/>
  <c r="S41" i="206"/>
  <c r="R41" i="206"/>
  <c r="G41" i="206"/>
  <c r="Q41" i="206" s="1"/>
  <c r="B41" i="206"/>
  <c r="P41" i="206" s="1"/>
  <c r="AJ40" i="206"/>
  <c r="T40" i="206"/>
  <c r="S40" i="206"/>
  <c r="R40" i="206"/>
  <c r="G40" i="206"/>
  <c r="Q40" i="206" s="1"/>
  <c r="B40" i="206"/>
  <c r="P40" i="206" s="1"/>
  <c r="AJ39" i="206"/>
  <c r="T39" i="206"/>
  <c r="S39" i="206"/>
  <c r="R39" i="206"/>
  <c r="G39" i="206"/>
  <c r="Q39" i="206" s="1"/>
  <c r="B39" i="206"/>
  <c r="P39" i="206" s="1"/>
  <c r="AJ38" i="206"/>
  <c r="T38" i="206"/>
  <c r="S38" i="206"/>
  <c r="R38" i="206"/>
  <c r="G38" i="206"/>
  <c r="Q38" i="206" s="1"/>
  <c r="B38" i="206"/>
  <c r="P38" i="206" s="1"/>
  <c r="AJ37" i="206"/>
  <c r="T37" i="206"/>
  <c r="S37" i="206"/>
  <c r="R37" i="206"/>
  <c r="G37" i="206"/>
  <c r="Q37" i="206" s="1"/>
  <c r="B37" i="206"/>
  <c r="P37" i="206" s="1"/>
  <c r="AJ36" i="206"/>
  <c r="T36" i="206"/>
  <c r="S36" i="206"/>
  <c r="R36" i="206"/>
  <c r="G36" i="206"/>
  <c r="Q36" i="206" s="1"/>
  <c r="B36" i="206"/>
  <c r="P36" i="206" s="1"/>
  <c r="AJ35" i="206"/>
  <c r="T35" i="206"/>
  <c r="S35" i="206"/>
  <c r="R35" i="206"/>
  <c r="G35" i="206"/>
  <c r="Q35" i="206" s="1"/>
  <c r="B35" i="206"/>
  <c r="P35" i="206" s="1"/>
  <c r="AJ34" i="206"/>
  <c r="T34" i="206"/>
  <c r="S34" i="206"/>
  <c r="R34" i="206"/>
  <c r="G34" i="206"/>
  <c r="Q34" i="206" s="1"/>
  <c r="B34" i="206"/>
  <c r="P34" i="206" s="1"/>
  <c r="AJ33" i="206"/>
  <c r="T33" i="206"/>
  <c r="S33" i="206"/>
  <c r="R33" i="206"/>
  <c r="G33" i="206"/>
  <c r="Q33" i="206" s="1"/>
  <c r="B33" i="206"/>
  <c r="P33" i="206" s="1"/>
  <c r="AJ32" i="206"/>
  <c r="T32" i="206"/>
  <c r="S32" i="206"/>
  <c r="R32" i="206"/>
  <c r="G32" i="206"/>
  <c r="Q32" i="206" s="1"/>
  <c r="B32" i="206"/>
  <c r="P32" i="206" s="1"/>
  <c r="AJ31" i="206"/>
  <c r="T31" i="206"/>
  <c r="S31" i="206"/>
  <c r="R31" i="206"/>
  <c r="G31" i="206"/>
  <c r="Q31" i="206" s="1"/>
  <c r="B31" i="206"/>
  <c r="P31" i="206" s="1"/>
  <c r="AJ30" i="206"/>
  <c r="T30" i="206"/>
  <c r="S30" i="206"/>
  <c r="R30" i="206"/>
  <c r="G30" i="206"/>
  <c r="Q30" i="206" s="1"/>
  <c r="B30" i="206"/>
  <c r="P30" i="206" s="1"/>
  <c r="AJ29" i="206"/>
  <c r="T29" i="206"/>
  <c r="S29" i="206"/>
  <c r="R29" i="206"/>
  <c r="G29" i="206"/>
  <c r="Q29" i="206" s="1"/>
  <c r="B29" i="206"/>
  <c r="P29" i="206" s="1"/>
  <c r="AJ28" i="206"/>
  <c r="T28" i="206"/>
  <c r="S28" i="206"/>
  <c r="R28" i="206"/>
  <c r="G28" i="206"/>
  <c r="Q28" i="206" s="1"/>
  <c r="B28" i="206"/>
  <c r="P28" i="206" s="1"/>
  <c r="AJ27" i="206"/>
  <c r="T27" i="206"/>
  <c r="S27" i="206"/>
  <c r="R27" i="206"/>
  <c r="G27" i="206"/>
  <c r="Q27" i="206" s="1"/>
  <c r="B27" i="206"/>
  <c r="P27" i="206" s="1"/>
  <c r="AJ26" i="206"/>
  <c r="T26" i="206"/>
  <c r="S26" i="206"/>
  <c r="R26" i="206"/>
  <c r="G26" i="206"/>
  <c r="Q26" i="206" s="1"/>
  <c r="B26" i="206"/>
  <c r="P26" i="206" s="1"/>
  <c r="AJ25" i="206"/>
  <c r="T25" i="206"/>
  <c r="S25" i="206"/>
  <c r="R25" i="206"/>
  <c r="G25" i="206"/>
  <c r="Q25" i="206" s="1"/>
  <c r="B25" i="206"/>
  <c r="P25" i="206" s="1"/>
  <c r="AJ24" i="206"/>
  <c r="T24" i="206"/>
  <c r="S24" i="206"/>
  <c r="R24" i="206"/>
  <c r="G24" i="206"/>
  <c r="Q24" i="206" s="1"/>
  <c r="B24" i="206"/>
  <c r="P24" i="206" s="1"/>
  <c r="AJ23" i="206"/>
  <c r="T23" i="206"/>
  <c r="S23" i="206"/>
  <c r="R23" i="206"/>
  <c r="G23" i="206"/>
  <c r="Q23" i="206" s="1"/>
  <c r="B23" i="206"/>
  <c r="P23" i="206" s="1"/>
  <c r="AJ22" i="206"/>
  <c r="T22" i="206"/>
  <c r="S22" i="206"/>
  <c r="R22" i="206"/>
  <c r="G22" i="206"/>
  <c r="Q22" i="206" s="1"/>
  <c r="B22" i="206"/>
  <c r="P22" i="206" s="1"/>
  <c r="AJ21" i="206"/>
  <c r="T21" i="206"/>
  <c r="S21" i="206"/>
  <c r="R21" i="206"/>
  <c r="G21" i="206"/>
  <c r="Q21" i="206" s="1"/>
  <c r="B21" i="206"/>
  <c r="P21" i="206" s="1"/>
  <c r="AJ20" i="206"/>
  <c r="T20" i="206"/>
  <c r="S20" i="206"/>
  <c r="G20" i="206"/>
  <c r="Q20" i="206" s="1"/>
  <c r="B20" i="206"/>
  <c r="P20" i="206" s="1"/>
  <c r="AJ19" i="206"/>
  <c r="T19" i="206"/>
  <c r="S19" i="206"/>
  <c r="R19" i="206"/>
  <c r="G19" i="206"/>
  <c r="Q19" i="206" s="1"/>
  <c r="B19" i="206"/>
  <c r="P19" i="206" s="1"/>
  <c r="AJ18" i="206"/>
  <c r="T18" i="206"/>
  <c r="S18" i="206"/>
  <c r="G18" i="206"/>
  <c r="Q18" i="206" s="1"/>
  <c r="B18" i="206"/>
  <c r="P18" i="206" s="1"/>
  <c r="AJ17" i="206"/>
  <c r="T17" i="206"/>
  <c r="S17" i="206"/>
  <c r="R17" i="206"/>
  <c r="G17" i="206"/>
  <c r="Q17" i="206" s="1"/>
  <c r="B17" i="206"/>
  <c r="P17" i="206" s="1"/>
  <c r="AJ16" i="206"/>
  <c r="T16" i="206"/>
  <c r="S16" i="206"/>
  <c r="R16" i="206"/>
  <c r="G16" i="206"/>
  <c r="Q16" i="206" s="1"/>
  <c r="B16" i="206"/>
  <c r="P16" i="206" s="1"/>
  <c r="AJ15" i="206"/>
  <c r="T15" i="206"/>
  <c r="S15" i="206"/>
  <c r="R15" i="206"/>
  <c r="G15" i="206"/>
  <c r="Q15" i="206" s="1"/>
  <c r="B15" i="206"/>
  <c r="P15" i="206" s="1"/>
  <c r="AJ75" i="206"/>
  <c r="T75" i="206"/>
  <c r="S75" i="206"/>
  <c r="R75" i="206"/>
  <c r="G75" i="206"/>
  <c r="Q75" i="206" s="1"/>
  <c r="B75" i="206"/>
  <c r="P75" i="206" s="1"/>
  <c r="AJ14" i="206"/>
  <c r="T14" i="206"/>
  <c r="S14" i="206"/>
  <c r="R14" i="206"/>
  <c r="G14" i="206"/>
  <c r="Q14" i="206" s="1"/>
  <c r="B14" i="206"/>
  <c r="P14" i="206" s="1"/>
  <c r="AJ13" i="206"/>
  <c r="T13" i="206"/>
  <c r="S13" i="206"/>
  <c r="R13" i="206"/>
  <c r="G13" i="206"/>
  <c r="Q13" i="206" s="1"/>
  <c r="B13" i="206"/>
  <c r="P13" i="206" s="1"/>
  <c r="AJ31" i="205"/>
  <c r="T31" i="205"/>
  <c r="S31" i="205"/>
  <c r="R31" i="205"/>
  <c r="G31" i="205"/>
  <c r="Q31" i="205" s="1"/>
  <c r="B31" i="205"/>
  <c r="P31" i="205" s="1"/>
  <c r="AJ30" i="205"/>
  <c r="T30" i="205"/>
  <c r="S30" i="205"/>
  <c r="R30" i="205"/>
  <c r="G30" i="205"/>
  <c r="Q30" i="205" s="1"/>
  <c r="B30" i="205"/>
  <c r="P30" i="205" s="1"/>
  <c r="AJ29" i="205"/>
  <c r="T29" i="205"/>
  <c r="S29" i="205"/>
  <c r="R29" i="205"/>
  <c r="G29" i="205"/>
  <c r="Q29" i="205" s="1"/>
  <c r="B29" i="205"/>
  <c r="P29" i="205" s="1"/>
  <c r="AJ28" i="205"/>
  <c r="T28" i="205"/>
  <c r="S28" i="205"/>
  <c r="R28" i="205"/>
  <c r="G28" i="205"/>
  <c r="Q28" i="205" s="1"/>
  <c r="B28" i="205"/>
  <c r="P28" i="205" s="1"/>
  <c r="AJ27" i="205"/>
  <c r="T27" i="205"/>
  <c r="S27" i="205"/>
  <c r="R27" i="205"/>
  <c r="G27" i="205"/>
  <c r="Q27" i="205" s="1"/>
  <c r="B27" i="205"/>
  <c r="P27" i="205" s="1"/>
  <c r="AJ26" i="205"/>
  <c r="T26" i="205"/>
  <c r="S26" i="205"/>
  <c r="R26" i="205"/>
  <c r="G26" i="205"/>
  <c r="Q26" i="205" s="1"/>
  <c r="B26" i="205"/>
  <c r="P26" i="205" s="1"/>
  <c r="AJ25" i="205"/>
  <c r="T25" i="205"/>
  <c r="S25" i="205"/>
  <c r="R25" i="205"/>
  <c r="G25" i="205"/>
  <c r="Q25" i="205" s="1"/>
  <c r="B25" i="205"/>
  <c r="P25" i="205" s="1"/>
  <c r="AJ24" i="205"/>
  <c r="T24" i="205"/>
  <c r="S24" i="205"/>
  <c r="R24" i="205"/>
  <c r="G24" i="205"/>
  <c r="Q24" i="205" s="1"/>
  <c r="B24" i="205"/>
  <c r="P24" i="205" s="1"/>
  <c r="AJ23" i="205"/>
  <c r="T23" i="205"/>
  <c r="S23" i="205"/>
  <c r="R23" i="205"/>
  <c r="G23" i="205"/>
  <c r="Q23" i="205" s="1"/>
  <c r="B23" i="205"/>
  <c r="P23" i="205" s="1"/>
  <c r="AJ22" i="205"/>
  <c r="T22" i="205"/>
  <c r="S22" i="205"/>
  <c r="G22" i="205"/>
  <c r="Q22" i="205" s="1"/>
  <c r="B22" i="205"/>
  <c r="P22" i="205" s="1"/>
  <c r="AJ21" i="205"/>
  <c r="T21" i="205"/>
  <c r="S21" i="205"/>
  <c r="G21" i="205"/>
  <c r="Q21" i="205" s="1"/>
  <c r="B21" i="205"/>
  <c r="P21" i="205" s="1"/>
  <c r="AJ20" i="205"/>
  <c r="T20" i="205"/>
  <c r="S20" i="205"/>
  <c r="G20" i="205"/>
  <c r="Q20" i="205" s="1"/>
  <c r="B20" i="205"/>
  <c r="P20" i="205" s="1"/>
  <c r="AJ19" i="205"/>
  <c r="T19" i="205"/>
  <c r="S19" i="205"/>
  <c r="R19" i="205"/>
  <c r="G19" i="205"/>
  <c r="Q19" i="205" s="1"/>
  <c r="B19" i="205"/>
  <c r="P19" i="205" s="1"/>
  <c r="AJ18" i="205"/>
  <c r="T18" i="205"/>
  <c r="S18" i="205"/>
  <c r="G18" i="205"/>
  <c r="R18" i="205" s="1"/>
  <c r="B18" i="205"/>
  <c r="P18" i="205" s="1"/>
  <c r="AJ17" i="205"/>
  <c r="T17" i="205"/>
  <c r="S17" i="205"/>
  <c r="R17" i="205"/>
  <c r="G17" i="205"/>
  <c r="Q17" i="205" s="1"/>
  <c r="B17" i="205"/>
  <c r="P17" i="205" s="1"/>
  <c r="AJ16" i="205"/>
  <c r="T16" i="205"/>
  <c r="S16" i="205"/>
  <c r="R16" i="205"/>
  <c r="G16" i="205"/>
  <c r="Q16" i="205" s="1"/>
  <c r="B16" i="205"/>
  <c r="P16" i="205" s="1"/>
  <c r="AJ15" i="205"/>
  <c r="T15" i="205"/>
  <c r="S15" i="205"/>
  <c r="R15" i="205"/>
  <c r="G15" i="205"/>
  <c r="Q15" i="205" s="1"/>
  <c r="B15" i="205"/>
  <c r="P15" i="205" s="1"/>
  <c r="AJ14" i="205"/>
  <c r="T14" i="205"/>
  <c r="S14" i="205"/>
  <c r="R14" i="205"/>
  <c r="G14" i="205"/>
  <c r="Q14" i="205" s="1"/>
  <c r="B14" i="205"/>
  <c r="P14" i="205" s="1"/>
  <c r="AJ13" i="205"/>
  <c r="T13" i="205"/>
  <c r="S13" i="205"/>
  <c r="R13" i="205"/>
  <c r="G13" i="205"/>
  <c r="Q13" i="205" s="1"/>
  <c r="B13" i="205"/>
  <c r="P13" i="205" s="1"/>
  <c r="A158" i="25"/>
  <c r="BK127" i="25"/>
  <c r="BK126" i="25"/>
  <c r="BK125" i="25"/>
  <c r="BK124" i="25"/>
  <c r="BK123" i="25"/>
  <c r="BK122" i="25"/>
  <c r="BK130" i="25"/>
  <c r="A130" i="25"/>
  <c r="BK129" i="25"/>
  <c r="A129" i="25"/>
  <c r="BK128" i="25"/>
  <c r="A128" i="25"/>
  <c r="A127" i="25"/>
  <c r="A126" i="25"/>
  <c r="A125" i="25"/>
  <c r="A124" i="25"/>
  <c r="A123" i="25"/>
  <c r="A122" i="25"/>
  <c r="BK131" i="25"/>
  <c r="A131" i="25"/>
  <c r="AJ47" i="204"/>
  <c r="T47" i="204"/>
  <c r="S47" i="204"/>
  <c r="R47" i="204"/>
  <c r="G47" i="204"/>
  <c r="Q47" i="204" s="1"/>
  <c r="B47" i="204"/>
  <c r="P47" i="204" s="1"/>
  <c r="AJ46" i="204"/>
  <c r="T46" i="204"/>
  <c r="S46" i="204"/>
  <c r="R46" i="204"/>
  <c r="G46" i="204"/>
  <c r="Q46" i="204" s="1"/>
  <c r="B46" i="204"/>
  <c r="P46" i="204" s="1"/>
  <c r="AJ45" i="204"/>
  <c r="T45" i="204"/>
  <c r="S45" i="204"/>
  <c r="R45" i="204"/>
  <c r="G45" i="204"/>
  <c r="Q45" i="204" s="1"/>
  <c r="B45" i="204"/>
  <c r="P45" i="204" s="1"/>
  <c r="AJ44" i="204"/>
  <c r="T44" i="204"/>
  <c r="S44" i="204"/>
  <c r="R44" i="204"/>
  <c r="G44" i="204"/>
  <c r="Q44" i="204" s="1"/>
  <c r="B44" i="204"/>
  <c r="P44" i="204" s="1"/>
  <c r="AJ43" i="204"/>
  <c r="T43" i="204"/>
  <c r="S43" i="204"/>
  <c r="R43" i="204"/>
  <c r="G43" i="204"/>
  <c r="Q43" i="204" s="1"/>
  <c r="B43" i="204"/>
  <c r="P43" i="204" s="1"/>
  <c r="AJ42" i="204"/>
  <c r="T42" i="204"/>
  <c r="S42" i="204"/>
  <c r="R42" i="204"/>
  <c r="G42" i="204"/>
  <c r="Q42" i="204" s="1"/>
  <c r="B42" i="204"/>
  <c r="P42" i="204" s="1"/>
  <c r="AJ41" i="204"/>
  <c r="T41" i="204"/>
  <c r="S41" i="204"/>
  <c r="R41" i="204"/>
  <c r="G41" i="204"/>
  <c r="Q41" i="204" s="1"/>
  <c r="B41" i="204"/>
  <c r="P41" i="204" s="1"/>
  <c r="AJ40" i="204"/>
  <c r="T40" i="204"/>
  <c r="S40" i="204"/>
  <c r="R40" i="204"/>
  <c r="G40" i="204"/>
  <c r="Q40" i="204" s="1"/>
  <c r="B40" i="204"/>
  <c r="P40" i="204" s="1"/>
  <c r="AJ39" i="204"/>
  <c r="T39" i="204"/>
  <c r="S39" i="204"/>
  <c r="R39" i="204"/>
  <c r="G39" i="204"/>
  <c r="Q39" i="204" s="1"/>
  <c r="B39" i="204"/>
  <c r="P39" i="204" s="1"/>
  <c r="AJ38" i="204"/>
  <c r="T38" i="204"/>
  <c r="S38" i="204"/>
  <c r="R38" i="204"/>
  <c r="G38" i="204"/>
  <c r="Q38" i="204" s="1"/>
  <c r="B38" i="204"/>
  <c r="P38" i="204" s="1"/>
  <c r="AJ37" i="204"/>
  <c r="T37" i="204"/>
  <c r="S37" i="204"/>
  <c r="R37" i="204"/>
  <c r="G37" i="204"/>
  <c r="Q37" i="204" s="1"/>
  <c r="B37" i="204"/>
  <c r="P37" i="204" s="1"/>
  <c r="AJ36" i="204"/>
  <c r="T36" i="204"/>
  <c r="S36" i="204"/>
  <c r="R36" i="204"/>
  <c r="G36" i="204"/>
  <c r="Q36" i="204" s="1"/>
  <c r="B36" i="204"/>
  <c r="P36" i="204" s="1"/>
  <c r="AJ35" i="204"/>
  <c r="T35" i="204"/>
  <c r="S35" i="204"/>
  <c r="R35" i="204"/>
  <c r="G35" i="204"/>
  <c r="Q35" i="204" s="1"/>
  <c r="B35" i="204"/>
  <c r="P35" i="204" s="1"/>
  <c r="AJ34" i="204"/>
  <c r="T34" i="204"/>
  <c r="S34" i="204"/>
  <c r="R34" i="204"/>
  <c r="G34" i="204"/>
  <c r="Q34" i="204" s="1"/>
  <c r="B34" i="204"/>
  <c r="P34" i="204" s="1"/>
  <c r="AJ33" i="204"/>
  <c r="T33" i="204"/>
  <c r="S33" i="204"/>
  <c r="R33" i="204"/>
  <c r="G33" i="204"/>
  <c r="Q33" i="204" s="1"/>
  <c r="B33" i="204"/>
  <c r="P33" i="204" s="1"/>
  <c r="AJ32" i="204"/>
  <c r="T32" i="204"/>
  <c r="S32" i="204"/>
  <c r="R32" i="204"/>
  <c r="G32" i="204"/>
  <c r="Q32" i="204" s="1"/>
  <c r="B32" i="204"/>
  <c r="P32" i="204" s="1"/>
  <c r="AJ31" i="204"/>
  <c r="T31" i="204"/>
  <c r="S31" i="204"/>
  <c r="R31" i="204"/>
  <c r="G31" i="204"/>
  <c r="Q31" i="204" s="1"/>
  <c r="B31" i="204"/>
  <c r="P31" i="204" s="1"/>
  <c r="AJ30" i="204"/>
  <c r="T30" i="204"/>
  <c r="S30" i="204"/>
  <c r="R30" i="204"/>
  <c r="G30" i="204"/>
  <c r="Q30" i="204" s="1"/>
  <c r="B30" i="204"/>
  <c r="P30" i="204" s="1"/>
  <c r="AJ29" i="204"/>
  <c r="T29" i="204"/>
  <c r="S29" i="204"/>
  <c r="R29" i="204"/>
  <c r="G29" i="204"/>
  <c r="Q29" i="204" s="1"/>
  <c r="B29" i="204"/>
  <c r="P29" i="204" s="1"/>
  <c r="AJ28" i="204"/>
  <c r="T28" i="204"/>
  <c r="S28" i="204"/>
  <c r="R28" i="204"/>
  <c r="G28" i="204"/>
  <c r="Q28" i="204" s="1"/>
  <c r="B28" i="204"/>
  <c r="P28" i="204" s="1"/>
  <c r="AJ27" i="204"/>
  <c r="T27" i="204"/>
  <c r="S27" i="204"/>
  <c r="R27" i="204"/>
  <c r="G27" i="204"/>
  <c r="Q27" i="204" s="1"/>
  <c r="B27" i="204"/>
  <c r="P27" i="204" s="1"/>
  <c r="AJ26" i="204"/>
  <c r="T26" i="204"/>
  <c r="S26" i="204"/>
  <c r="R26" i="204"/>
  <c r="G26" i="204"/>
  <c r="Q26" i="204" s="1"/>
  <c r="B26" i="204"/>
  <c r="P26" i="204" s="1"/>
  <c r="AJ25" i="204"/>
  <c r="T25" i="204"/>
  <c r="S25" i="204"/>
  <c r="R25" i="204"/>
  <c r="G25" i="204"/>
  <c r="Q25" i="204" s="1"/>
  <c r="B25" i="204"/>
  <c r="P25" i="204" s="1"/>
  <c r="AJ24" i="204"/>
  <c r="T24" i="204"/>
  <c r="S24" i="204"/>
  <c r="R24" i="204"/>
  <c r="G24" i="204"/>
  <c r="Q24" i="204" s="1"/>
  <c r="B24" i="204"/>
  <c r="P24" i="204" s="1"/>
  <c r="AJ23" i="204"/>
  <c r="T23" i="204"/>
  <c r="S23" i="204"/>
  <c r="R23" i="204"/>
  <c r="G23" i="204"/>
  <c r="Q23" i="204" s="1"/>
  <c r="B23" i="204"/>
  <c r="P23" i="204" s="1"/>
  <c r="AJ22" i="204"/>
  <c r="T22" i="204"/>
  <c r="S22" i="204"/>
  <c r="R22" i="204"/>
  <c r="G22" i="204"/>
  <c r="Q22" i="204" s="1"/>
  <c r="B22" i="204"/>
  <c r="P22" i="204" s="1"/>
  <c r="AJ21" i="204"/>
  <c r="T21" i="204"/>
  <c r="S21" i="204"/>
  <c r="R21" i="204"/>
  <c r="G21" i="204"/>
  <c r="Q21" i="204" s="1"/>
  <c r="B21" i="204"/>
  <c r="P21" i="204" s="1"/>
  <c r="AJ20" i="204"/>
  <c r="T20" i="204"/>
  <c r="S20" i="204"/>
  <c r="G20" i="204"/>
  <c r="R20" i="204" s="1"/>
  <c r="B20" i="204"/>
  <c r="P20" i="204" s="1"/>
  <c r="AJ19" i="204"/>
  <c r="T19" i="204"/>
  <c r="S19" i="204"/>
  <c r="R19" i="204"/>
  <c r="G19" i="204"/>
  <c r="Q19" i="204" s="1"/>
  <c r="B19" i="204"/>
  <c r="P19" i="204" s="1"/>
  <c r="AJ18" i="204"/>
  <c r="T18" i="204"/>
  <c r="S18" i="204"/>
  <c r="G18" i="204"/>
  <c r="R18" i="204" s="1"/>
  <c r="B18" i="204"/>
  <c r="P18" i="204" s="1"/>
  <c r="AJ17" i="204"/>
  <c r="T17" i="204"/>
  <c r="S17" i="204"/>
  <c r="R17" i="204"/>
  <c r="G17" i="204"/>
  <c r="Q17" i="204" s="1"/>
  <c r="B17" i="204"/>
  <c r="P17" i="204" s="1"/>
  <c r="AJ16" i="204"/>
  <c r="T16" i="204"/>
  <c r="S16" i="204"/>
  <c r="R16" i="204"/>
  <c r="G16" i="204"/>
  <c r="Q16" i="204" s="1"/>
  <c r="B16" i="204"/>
  <c r="P16" i="204" s="1"/>
  <c r="AJ15" i="204"/>
  <c r="T15" i="204"/>
  <c r="S15" i="204"/>
  <c r="R15" i="204"/>
  <c r="G15" i="204"/>
  <c r="Q15" i="204" s="1"/>
  <c r="B15" i="204"/>
  <c r="P15" i="204" s="1"/>
  <c r="AJ14" i="204"/>
  <c r="T14" i="204"/>
  <c r="S14" i="204"/>
  <c r="R14" i="204"/>
  <c r="G14" i="204"/>
  <c r="Q14" i="204" s="1"/>
  <c r="B14" i="204"/>
  <c r="P14" i="204" s="1"/>
  <c r="AJ13" i="204"/>
  <c r="T13" i="204"/>
  <c r="S13" i="204"/>
  <c r="R13" i="204"/>
  <c r="G13" i="204"/>
  <c r="Q13" i="204" s="1"/>
  <c r="B13" i="204"/>
  <c r="P13" i="204" s="1"/>
  <c r="AJ25" i="203"/>
  <c r="T25" i="203"/>
  <c r="S25" i="203"/>
  <c r="R25" i="203"/>
  <c r="G25" i="203"/>
  <c r="Q25" i="203" s="1"/>
  <c r="B25" i="203"/>
  <c r="P25" i="203" s="1"/>
  <c r="AJ24" i="203"/>
  <c r="T24" i="203"/>
  <c r="S24" i="203"/>
  <c r="R24" i="203"/>
  <c r="G24" i="203"/>
  <c r="Q24" i="203" s="1"/>
  <c r="B24" i="203"/>
  <c r="P24" i="203" s="1"/>
  <c r="AJ23" i="203"/>
  <c r="T23" i="203"/>
  <c r="S23" i="203"/>
  <c r="R23" i="203"/>
  <c r="G23" i="203"/>
  <c r="Q23" i="203" s="1"/>
  <c r="B23" i="203"/>
  <c r="P23" i="203" s="1"/>
  <c r="AJ22" i="203"/>
  <c r="T22" i="203"/>
  <c r="S22" i="203"/>
  <c r="R22" i="203"/>
  <c r="G22" i="203"/>
  <c r="Q22" i="203" s="1"/>
  <c r="B22" i="203"/>
  <c r="P22" i="203" s="1"/>
  <c r="AJ21" i="203"/>
  <c r="T21" i="203"/>
  <c r="S21" i="203"/>
  <c r="R21" i="203"/>
  <c r="G21" i="203"/>
  <c r="Q21" i="203" s="1"/>
  <c r="B21" i="203"/>
  <c r="P21" i="203" s="1"/>
  <c r="AJ20" i="203"/>
  <c r="T20" i="203"/>
  <c r="S20" i="203"/>
  <c r="G20" i="203"/>
  <c r="R20" i="203" s="1"/>
  <c r="B20" i="203"/>
  <c r="P20" i="203" s="1"/>
  <c r="AJ19" i="203"/>
  <c r="T19" i="203"/>
  <c r="S19" i="203"/>
  <c r="R19" i="203"/>
  <c r="G19" i="203"/>
  <c r="Q19" i="203" s="1"/>
  <c r="B19" i="203"/>
  <c r="P19" i="203" s="1"/>
  <c r="AJ18" i="203"/>
  <c r="T18" i="203"/>
  <c r="S18" i="203"/>
  <c r="G18" i="203"/>
  <c r="R18" i="203" s="1"/>
  <c r="B18" i="203"/>
  <c r="P18" i="203" s="1"/>
  <c r="AJ17" i="203"/>
  <c r="T17" i="203"/>
  <c r="S17" i="203"/>
  <c r="R17" i="203"/>
  <c r="G17" i="203"/>
  <c r="Q17" i="203" s="1"/>
  <c r="B17" i="203"/>
  <c r="P17" i="203" s="1"/>
  <c r="AJ16" i="203"/>
  <c r="T16" i="203"/>
  <c r="S16" i="203"/>
  <c r="R16" i="203"/>
  <c r="G16" i="203"/>
  <c r="Q16" i="203" s="1"/>
  <c r="B16" i="203"/>
  <c r="P16" i="203" s="1"/>
  <c r="AJ15" i="203"/>
  <c r="T15" i="203"/>
  <c r="S15" i="203"/>
  <c r="R15" i="203"/>
  <c r="G15" i="203"/>
  <c r="Q15" i="203" s="1"/>
  <c r="B15" i="203"/>
  <c r="P15" i="203" s="1"/>
  <c r="AJ14" i="203"/>
  <c r="T14" i="203"/>
  <c r="S14" i="203"/>
  <c r="R14" i="203"/>
  <c r="G14" i="203"/>
  <c r="Q14" i="203" s="1"/>
  <c r="B14" i="203"/>
  <c r="P14" i="203" s="1"/>
  <c r="AJ13" i="203"/>
  <c r="T13" i="203"/>
  <c r="S13" i="203"/>
  <c r="R13" i="203"/>
  <c r="G13" i="203"/>
  <c r="Q13" i="203" s="1"/>
  <c r="B13" i="203"/>
  <c r="P13" i="203" s="1"/>
  <c r="AJ35" i="202"/>
  <c r="T35" i="202"/>
  <c r="S35" i="202"/>
  <c r="R35" i="202"/>
  <c r="G35" i="202"/>
  <c r="Q35" i="202" s="1"/>
  <c r="B35" i="202"/>
  <c r="P35" i="202" s="1"/>
  <c r="AJ34" i="202"/>
  <c r="T34" i="202"/>
  <c r="S34" i="202"/>
  <c r="R34" i="202"/>
  <c r="G34" i="202"/>
  <c r="Q34" i="202" s="1"/>
  <c r="B34" i="202"/>
  <c r="P34" i="202" s="1"/>
  <c r="AJ33" i="202"/>
  <c r="T33" i="202"/>
  <c r="S33" i="202"/>
  <c r="R33" i="202"/>
  <c r="G33" i="202"/>
  <c r="Q33" i="202" s="1"/>
  <c r="B33" i="202"/>
  <c r="P33" i="202" s="1"/>
  <c r="AJ32" i="202"/>
  <c r="T32" i="202"/>
  <c r="S32" i="202"/>
  <c r="R32" i="202"/>
  <c r="G32" i="202"/>
  <c r="Q32" i="202" s="1"/>
  <c r="B32" i="202"/>
  <c r="P32" i="202" s="1"/>
  <c r="AJ31" i="202"/>
  <c r="T31" i="202"/>
  <c r="S31" i="202"/>
  <c r="R31" i="202"/>
  <c r="G31" i="202"/>
  <c r="Q31" i="202" s="1"/>
  <c r="B31" i="202"/>
  <c r="P31" i="202" s="1"/>
  <c r="AJ30" i="202"/>
  <c r="T30" i="202"/>
  <c r="S30" i="202"/>
  <c r="R30" i="202"/>
  <c r="G30" i="202"/>
  <c r="Q30" i="202" s="1"/>
  <c r="B30" i="202"/>
  <c r="P30" i="202" s="1"/>
  <c r="AJ29" i="202"/>
  <c r="T29" i="202"/>
  <c r="S29" i="202"/>
  <c r="R29" i="202"/>
  <c r="G29" i="202"/>
  <c r="Q29" i="202" s="1"/>
  <c r="B29" i="202"/>
  <c r="P29" i="202" s="1"/>
  <c r="AJ28" i="202"/>
  <c r="T28" i="202"/>
  <c r="S28" i="202"/>
  <c r="R28" i="202"/>
  <c r="G28" i="202"/>
  <c r="Q28" i="202" s="1"/>
  <c r="B28" i="202"/>
  <c r="P28" i="202" s="1"/>
  <c r="AJ27" i="202"/>
  <c r="T27" i="202"/>
  <c r="S27" i="202"/>
  <c r="R27" i="202"/>
  <c r="G27" i="202"/>
  <c r="Q27" i="202" s="1"/>
  <c r="B27" i="202"/>
  <c r="P27" i="202" s="1"/>
  <c r="AJ26" i="202"/>
  <c r="T26" i="202"/>
  <c r="S26" i="202"/>
  <c r="R26" i="202"/>
  <c r="G26" i="202"/>
  <c r="Q26" i="202" s="1"/>
  <c r="B26" i="202"/>
  <c r="P26" i="202" s="1"/>
  <c r="AJ25" i="202"/>
  <c r="T25" i="202"/>
  <c r="S25" i="202"/>
  <c r="R25" i="202"/>
  <c r="G25" i="202"/>
  <c r="Q25" i="202" s="1"/>
  <c r="B25" i="202"/>
  <c r="P25" i="202" s="1"/>
  <c r="AJ24" i="202"/>
  <c r="T24" i="202"/>
  <c r="S24" i="202"/>
  <c r="R24" i="202"/>
  <c r="G24" i="202"/>
  <c r="Q24" i="202" s="1"/>
  <c r="B24" i="202"/>
  <c r="P24" i="202" s="1"/>
  <c r="AJ23" i="202"/>
  <c r="T23" i="202"/>
  <c r="S23" i="202"/>
  <c r="R23" i="202"/>
  <c r="G23" i="202"/>
  <c r="Q23" i="202" s="1"/>
  <c r="B23" i="202"/>
  <c r="P23" i="202" s="1"/>
  <c r="AJ22" i="202"/>
  <c r="T22" i="202"/>
  <c r="S22" i="202"/>
  <c r="R22" i="202"/>
  <c r="G22" i="202"/>
  <c r="Q22" i="202" s="1"/>
  <c r="B22" i="202"/>
  <c r="P22" i="202" s="1"/>
  <c r="AJ21" i="202"/>
  <c r="T21" i="202"/>
  <c r="S21" i="202"/>
  <c r="R21" i="202"/>
  <c r="G21" i="202"/>
  <c r="Q21" i="202" s="1"/>
  <c r="B21" i="202"/>
  <c r="P21" i="202" s="1"/>
  <c r="AJ20" i="202"/>
  <c r="T20" i="202"/>
  <c r="S20" i="202"/>
  <c r="G20" i="202"/>
  <c r="Q20" i="202" s="1"/>
  <c r="B20" i="202"/>
  <c r="P20" i="202" s="1"/>
  <c r="AJ19" i="202"/>
  <c r="T19" i="202"/>
  <c r="S19" i="202"/>
  <c r="R19" i="202"/>
  <c r="G19" i="202"/>
  <c r="Q19" i="202" s="1"/>
  <c r="B19" i="202"/>
  <c r="P19" i="202" s="1"/>
  <c r="AJ18" i="202"/>
  <c r="T18" i="202"/>
  <c r="S18" i="202"/>
  <c r="G18" i="202"/>
  <c r="Q18" i="202" s="1"/>
  <c r="B18" i="202"/>
  <c r="P18" i="202" s="1"/>
  <c r="AJ17" i="202"/>
  <c r="T17" i="202"/>
  <c r="S17" i="202"/>
  <c r="R17" i="202"/>
  <c r="G17" i="202"/>
  <c r="Q17" i="202" s="1"/>
  <c r="B17" i="202"/>
  <c r="P17" i="202" s="1"/>
  <c r="AJ16" i="202"/>
  <c r="T16" i="202"/>
  <c r="S16" i="202"/>
  <c r="R16" i="202"/>
  <c r="G16" i="202"/>
  <c r="Q16" i="202" s="1"/>
  <c r="B16" i="202"/>
  <c r="P16" i="202" s="1"/>
  <c r="AJ15" i="202"/>
  <c r="T15" i="202"/>
  <c r="S15" i="202"/>
  <c r="R15" i="202"/>
  <c r="G15" i="202"/>
  <c r="Q15" i="202" s="1"/>
  <c r="B15" i="202"/>
  <c r="P15" i="202" s="1"/>
  <c r="AJ14" i="202"/>
  <c r="T14" i="202"/>
  <c r="S14" i="202"/>
  <c r="R14" i="202"/>
  <c r="G14" i="202"/>
  <c r="Q14" i="202" s="1"/>
  <c r="B14" i="202"/>
  <c r="P14" i="202" s="1"/>
  <c r="AJ13" i="202"/>
  <c r="T13" i="202"/>
  <c r="S13" i="202"/>
  <c r="R13" i="202"/>
  <c r="G13" i="202"/>
  <c r="Q13" i="202" s="1"/>
  <c r="B13" i="202"/>
  <c r="P13" i="202" s="1"/>
  <c r="AJ25" i="201"/>
  <c r="T25" i="201"/>
  <c r="S25" i="201"/>
  <c r="R25" i="201"/>
  <c r="G25" i="201"/>
  <c r="Q25" i="201" s="1"/>
  <c r="B25" i="201"/>
  <c r="P25" i="201" s="1"/>
  <c r="AJ24" i="201"/>
  <c r="T24" i="201"/>
  <c r="S24" i="201"/>
  <c r="R24" i="201"/>
  <c r="G24" i="201"/>
  <c r="Q24" i="201" s="1"/>
  <c r="B24" i="201"/>
  <c r="P24" i="201" s="1"/>
  <c r="AJ23" i="201"/>
  <c r="T23" i="201"/>
  <c r="S23" i="201"/>
  <c r="R23" i="201"/>
  <c r="G23" i="201"/>
  <c r="Q23" i="201" s="1"/>
  <c r="B23" i="201"/>
  <c r="P23" i="201" s="1"/>
  <c r="AJ22" i="201"/>
  <c r="T22" i="201"/>
  <c r="S22" i="201"/>
  <c r="R22" i="201"/>
  <c r="G22" i="201"/>
  <c r="Q22" i="201" s="1"/>
  <c r="B22" i="201"/>
  <c r="P22" i="201" s="1"/>
  <c r="AJ21" i="201"/>
  <c r="T21" i="201"/>
  <c r="S21" i="201"/>
  <c r="R21" i="201"/>
  <c r="G21" i="201"/>
  <c r="Q21" i="201" s="1"/>
  <c r="B21" i="201"/>
  <c r="P21" i="201" s="1"/>
  <c r="AJ20" i="201"/>
  <c r="T20" i="201"/>
  <c r="S20" i="201"/>
  <c r="G20" i="201"/>
  <c r="R20" i="201" s="1"/>
  <c r="B20" i="201"/>
  <c r="P20" i="201" s="1"/>
  <c r="AJ19" i="201"/>
  <c r="T19" i="201"/>
  <c r="S19" i="201"/>
  <c r="R19" i="201"/>
  <c r="G19" i="201"/>
  <c r="Q19" i="201" s="1"/>
  <c r="B19" i="201"/>
  <c r="P19" i="201" s="1"/>
  <c r="AJ18" i="201"/>
  <c r="T18" i="201"/>
  <c r="S18" i="201"/>
  <c r="G18" i="201"/>
  <c r="R18" i="201" s="1"/>
  <c r="B18" i="201"/>
  <c r="P18" i="201" s="1"/>
  <c r="AJ17" i="201"/>
  <c r="T17" i="201"/>
  <c r="S17" i="201"/>
  <c r="R17" i="201"/>
  <c r="G17" i="201"/>
  <c r="Q17" i="201" s="1"/>
  <c r="B17" i="201"/>
  <c r="P17" i="201" s="1"/>
  <c r="AJ16" i="201"/>
  <c r="T16" i="201"/>
  <c r="S16" i="201"/>
  <c r="R16" i="201"/>
  <c r="G16" i="201"/>
  <c r="Q16" i="201" s="1"/>
  <c r="B16" i="201"/>
  <c r="P16" i="201" s="1"/>
  <c r="AJ15" i="201"/>
  <c r="T15" i="201"/>
  <c r="S15" i="201"/>
  <c r="R15" i="201"/>
  <c r="G15" i="201"/>
  <c r="Q15" i="201" s="1"/>
  <c r="B15" i="201"/>
  <c r="P15" i="201" s="1"/>
  <c r="AJ14" i="201"/>
  <c r="T14" i="201"/>
  <c r="S14" i="201"/>
  <c r="R14" i="201"/>
  <c r="G14" i="201"/>
  <c r="Q14" i="201" s="1"/>
  <c r="B14" i="201"/>
  <c r="P14" i="201" s="1"/>
  <c r="AJ13" i="201"/>
  <c r="T13" i="201"/>
  <c r="S13" i="201"/>
  <c r="R13" i="201"/>
  <c r="G13" i="201"/>
  <c r="Q13" i="201" s="1"/>
  <c r="B13" i="201"/>
  <c r="P13" i="201" s="1"/>
  <c r="AJ35" i="200"/>
  <c r="T35" i="200"/>
  <c r="S35" i="200"/>
  <c r="R35" i="200"/>
  <c r="G35" i="200"/>
  <c r="Q35" i="200" s="1"/>
  <c r="B35" i="200"/>
  <c r="P35" i="200" s="1"/>
  <c r="AJ34" i="200"/>
  <c r="T34" i="200"/>
  <c r="S34" i="200"/>
  <c r="R34" i="200"/>
  <c r="G34" i="200"/>
  <c r="Q34" i="200" s="1"/>
  <c r="B34" i="200"/>
  <c r="P34" i="200" s="1"/>
  <c r="AJ33" i="200"/>
  <c r="T33" i="200"/>
  <c r="S33" i="200"/>
  <c r="R33" i="200"/>
  <c r="G33" i="200"/>
  <c r="Q33" i="200" s="1"/>
  <c r="B33" i="200"/>
  <c r="P33" i="200" s="1"/>
  <c r="AJ32" i="200"/>
  <c r="T32" i="200"/>
  <c r="S32" i="200"/>
  <c r="R32" i="200"/>
  <c r="G32" i="200"/>
  <c r="Q32" i="200" s="1"/>
  <c r="B32" i="200"/>
  <c r="P32" i="200" s="1"/>
  <c r="AJ31" i="200"/>
  <c r="T31" i="200"/>
  <c r="S31" i="200"/>
  <c r="R31" i="200"/>
  <c r="G31" i="200"/>
  <c r="Q31" i="200" s="1"/>
  <c r="B31" i="200"/>
  <c r="P31" i="200" s="1"/>
  <c r="AJ30" i="200"/>
  <c r="T30" i="200"/>
  <c r="S30" i="200"/>
  <c r="R30" i="200"/>
  <c r="G30" i="200"/>
  <c r="Q30" i="200" s="1"/>
  <c r="B30" i="200"/>
  <c r="P30" i="200" s="1"/>
  <c r="AJ29" i="200"/>
  <c r="T29" i="200"/>
  <c r="S29" i="200"/>
  <c r="R29" i="200"/>
  <c r="G29" i="200"/>
  <c r="Q29" i="200" s="1"/>
  <c r="B29" i="200"/>
  <c r="P29" i="200" s="1"/>
  <c r="AJ28" i="200"/>
  <c r="T28" i="200"/>
  <c r="S28" i="200"/>
  <c r="R28" i="200"/>
  <c r="G28" i="200"/>
  <c r="Q28" i="200" s="1"/>
  <c r="B28" i="200"/>
  <c r="P28" i="200" s="1"/>
  <c r="AJ27" i="200"/>
  <c r="T27" i="200"/>
  <c r="S27" i="200"/>
  <c r="R27" i="200"/>
  <c r="G27" i="200"/>
  <c r="Q27" i="200" s="1"/>
  <c r="B27" i="200"/>
  <c r="P27" i="200" s="1"/>
  <c r="AJ26" i="200"/>
  <c r="T26" i="200"/>
  <c r="S26" i="200"/>
  <c r="R26" i="200"/>
  <c r="G26" i="200"/>
  <c r="Q26" i="200" s="1"/>
  <c r="B26" i="200"/>
  <c r="P26" i="200" s="1"/>
  <c r="AJ25" i="200"/>
  <c r="T25" i="200"/>
  <c r="S25" i="200"/>
  <c r="R25" i="200"/>
  <c r="G25" i="200"/>
  <c r="Q25" i="200" s="1"/>
  <c r="B25" i="200"/>
  <c r="P25" i="200" s="1"/>
  <c r="AJ24" i="200"/>
  <c r="T24" i="200"/>
  <c r="S24" i="200"/>
  <c r="R24" i="200"/>
  <c r="G24" i="200"/>
  <c r="Q24" i="200" s="1"/>
  <c r="B24" i="200"/>
  <c r="P24" i="200" s="1"/>
  <c r="AJ23" i="200"/>
  <c r="T23" i="200"/>
  <c r="S23" i="200"/>
  <c r="R23" i="200"/>
  <c r="G23" i="200"/>
  <c r="Q23" i="200" s="1"/>
  <c r="B23" i="200"/>
  <c r="P23" i="200" s="1"/>
  <c r="AJ22" i="200"/>
  <c r="T22" i="200"/>
  <c r="S22" i="200"/>
  <c r="R22" i="200"/>
  <c r="G22" i="200"/>
  <c r="Q22" i="200" s="1"/>
  <c r="B22" i="200"/>
  <c r="P22" i="200" s="1"/>
  <c r="AJ21" i="200"/>
  <c r="T21" i="200"/>
  <c r="S21" i="200"/>
  <c r="R21" i="200"/>
  <c r="G21" i="200"/>
  <c r="Q21" i="200" s="1"/>
  <c r="B21" i="200"/>
  <c r="P21" i="200" s="1"/>
  <c r="AJ20" i="200"/>
  <c r="T20" i="200"/>
  <c r="S20" i="200"/>
  <c r="G20" i="200"/>
  <c r="R20" i="200" s="1"/>
  <c r="B20" i="200"/>
  <c r="P20" i="200" s="1"/>
  <c r="AJ19" i="200"/>
  <c r="T19" i="200"/>
  <c r="S19" i="200"/>
  <c r="R19" i="200"/>
  <c r="G19" i="200"/>
  <c r="Q19" i="200" s="1"/>
  <c r="B19" i="200"/>
  <c r="P19" i="200" s="1"/>
  <c r="AJ18" i="200"/>
  <c r="T18" i="200"/>
  <c r="S18" i="200"/>
  <c r="G18" i="200"/>
  <c r="R18" i="200" s="1"/>
  <c r="B18" i="200"/>
  <c r="P18" i="200" s="1"/>
  <c r="AJ17" i="200"/>
  <c r="T17" i="200"/>
  <c r="S17" i="200"/>
  <c r="R17" i="200"/>
  <c r="G17" i="200"/>
  <c r="Q17" i="200" s="1"/>
  <c r="B17" i="200"/>
  <c r="P17" i="200" s="1"/>
  <c r="AJ16" i="200"/>
  <c r="T16" i="200"/>
  <c r="S16" i="200"/>
  <c r="R16" i="200"/>
  <c r="G16" i="200"/>
  <c r="Q16" i="200" s="1"/>
  <c r="B16" i="200"/>
  <c r="P16" i="200" s="1"/>
  <c r="AJ15" i="200"/>
  <c r="T15" i="200"/>
  <c r="S15" i="200"/>
  <c r="R15" i="200"/>
  <c r="G15" i="200"/>
  <c r="Q15" i="200" s="1"/>
  <c r="B15" i="200"/>
  <c r="P15" i="200" s="1"/>
  <c r="AJ14" i="200"/>
  <c r="T14" i="200"/>
  <c r="S14" i="200"/>
  <c r="R14" i="200"/>
  <c r="G14" i="200"/>
  <c r="Q14" i="200" s="1"/>
  <c r="B14" i="200"/>
  <c r="P14" i="200" s="1"/>
  <c r="AJ13" i="200"/>
  <c r="T13" i="200"/>
  <c r="S13" i="200"/>
  <c r="R13" i="200"/>
  <c r="G13" i="200"/>
  <c r="Q13" i="200" s="1"/>
  <c r="B13" i="200"/>
  <c r="P13" i="200" s="1"/>
  <c r="AJ47" i="199"/>
  <c r="T47" i="199"/>
  <c r="S47" i="199"/>
  <c r="R47" i="199"/>
  <c r="G47" i="199"/>
  <c r="Q47" i="199" s="1"/>
  <c r="B47" i="199"/>
  <c r="P47" i="199" s="1"/>
  <c r="AJ46" i="199"/>
  <c r="T46" i="199"/>
  <c r="S46" i="199"/>
  <c r="R46" i="199"/>
  <c r="G46" i="199"/>
  <c r="Q46" i="199" s="1"/>
  <c r="B46" i="199"/>
  <c r="P46" i="199" s="1"/>
  <c r="AJ45" i="199"/>
  <c r="T45" i="199"/>
  <c r="S45" i="199"/>
  <c r="R45" i="199"/>
  <c r="G45" i="199"/>
  <c r="Q45" i="199" s="1"/>
  <c r="B45" i="199"/>
  <c r="P45" i="199" s="1"/>
  <c r="AJ44" i="199"/>
  <c r="T44" i="199"/>
  <c r="S44" i="199"/>
  <c r="R44" i="199"/>
  <c r="G44" i="199"/>
  <c r="Q44" i="199" s="1"/>
  <c r="B44" i="199"/>
  <c r="P44" i="199" s="1"/>
  <c r="AJ43" i="199"/>
  <c r="T43" i="199"/>
  <c r="S43" i="199"/>
  <c r="R43" i="199"/>
  <c r="G43" i="199"/>
  <c r="Q43" i="199" s="1"/>
  <c r="B43" i="199"/>
  <c r="P43" i="199" s="1"/>
  <c r="AJ42" i="199"/>
  <c r="T42" i="199"/>
  <c r="S42" i="199"/>
  <c r="R42" i="199"/>
  <c r="G42" i="199"/>
  <c r="Q42" i="199" s="1"/>
  <c r="B42" i="199"/>
  <c r="P42" i="199" s="1"/>
  <c r="AJ49" i="199"/>
  <c r="T49" i="199"/>
  <c r="S49" i="199"/>
  <c r="R49" i="199"/>
  <c r="G49" i="199"/>
  <c r="Q49" i="199" s="1"/>
  <c r="B49" i="199"/>
  <c r="P49" i="199" s="1"/>
  <c r="AJ48" i="199"/>
  <c r="T48" i="199"/>
  <c r="S48" i="199"/>
  <c r="R48" i="199"/>
  <c r="G48" i="199"/>
  <c r="Q48" i="199" s="1"/>
  <c r="B48" i="199"/>
  <c r="P48" i="199" s="1"/>
  <c r="AJ41" i="199"/>
  <c r="T41" i="199"/>
  <c r="S41" i="199"/>
  <c r="R41" i="199"/>
  <c r="G41" i="199"/>
  <c r="Q41" i="199" s="1"/>
  <c r="B41" i="199"/>
  <c r="P41" i="199" s="1"/>
  <c r="AJ40" i="199"/>
  <c r="T40" i="199"/>
  <c r="S40" i="199"/>
  <c r="R40" i="199"/>
  <c r="G40" i="199"/>
  <c r="Q40" i="199" s="1"/>
  <c r="B40" i="199"/>
  <c r="P40" i="199" s="1"/>
  <c r="AJ39" i="199"/>
  <c r="T39" i="199"/>
  <c r="S39" i="199"/>
  <c r="R39" i="199"/>
  <c r="G39" i="199"/>
  <c r="Q39" i="199" s="1"/>
  <c r="B39" i="199"/>
  <c r="P39" i="199" s="1"/>
  <c r="AJ38" i="199"/>
  <c r="T38" i="199"/>
  <c r="S38" i="199"/>
  <c r="R38" i="199"/>
  <c r="G38" i="199"/>
  <c r="Q38" i="199" s="1"/>
  <c r="B38" i="199"/>
  <c r="P38" i="199" s="1"/>
  <c r="AJ37" i="199"/>
  <c r="T37" i="199"/>
  <c r="S37" i="199"/>
  <c r="R37" i="199"/>
  <c r="G37" i="199"/>
  <c r="Q37" i="199" s="1"/>
  <c r="B37" i="199"/>
  <c r="P37" i="199" s="1"/>
  <c r="AJ36" i="199"/>
  <c r="T36" i="199"/>
  <c r="S36" i="199"/>
  <c r="R36" i="199"/>
  <c r="G36" i="199"/>
  <c r="Q36" i="199" s="1"/>
  <c r="B36" i="199"/>
  <c r="P36" i="199" s="1"/>
  <c r="AJ35" i="199"/>
  <c r="T35" i="199"/>
  <c r="S35" i="199"/>
  <c r="R35" i="199"/>
  <c r="G35" i="199"/>
  <c r="Q35" i="199" s="1"/>
  <c r="B35" i="199"/>
  <c r="P35" i="199" s="1"/>
  <c r="AJ34" i="199"/>
  <c r="T34" i="199"/>
  <c r="S34" i="199"/>
  <c r="R34" i="199"/>
  <c r="G34" i="199"/>
  <c r="Q34" i="199" s="1"/>
  <c r="B34" i="199"/>
  <c r="P34" i="199" s="1"/>
  <c r="AJ33" i="199"/>
  <c r="T33" i="199"/>
  <c r="S33" i="199"/>
  <c r="R33" i="199"/>
  <c r="G33" i="199"/>
  <c r="Q33" i="199" s="1"/>
  <c r="B33" i="199"/>
  <c r="P33" i="199" s="1"/>
  <c r="AJ32" i="199"/>
  <c r="T32" i="199"/>
  <c r="S32" i="199"/>
  <c r="R32" i="199"/>
  <c r="G32" i="199"/>
  <c r="Q32" i="199" s="1"/>
  <c r="B32" i="199"/>
  <c r="P32" i="199" s="1"/>
  <c r="AJ31" i="199"/>
  <c r="T31" i="199"/>
  <c r="S31" i="199"/>
  <c r="R31" i="199"/>
  <c r="G31" i="199"/>
  <c r="Q31" i="199" s="1"/>
  <c r="B31" i="199"/>
  <c r="P31" i="199" s="1"/>
  <c r="AJ30" i="199"/>
  <c r="T30" i="199"/>
  <c r="S30" i="199"/>
  <c r="R30" i="199"/>
  <c r="G30" i="199"/>
  <c r="Q30" i="199" s="1"/>
  <c r="B30" i="199"/>
  <c r="P30" i="199" s="1"/>
  <c r="AJ29" i="199"/>
  <c r="T29" i="199"/>
  <c r="S29" i="199"/>
  <c r="R29" i="199"/>
  <c r="G29" i="199"/>
  <c r="Q29" i="199" s="1"/>
  <c r="B29" i="199"/>
  <c r="P29" i="199" s="1"/>
  <c r="AJ28" i="199"/>
  <c r="T28" i="199"/>
  <c r="S28" i="199"/>
  <c r="R28" i="199"/>
  <c r="G28" i="199"/>
  <c r="Q28" i="199" s="1"/>
  <c r="B28" i="199"/>
  <c r="P28" i="199" s="1"/>
  <c r="AJ27" i="199"/>
  <c r="T27" i="199"/>
  <c r="S27" i="199"/>
  <c r="R27" i="199"/>
  <c r="G27" i="199"/>
  <c r="Q27" i="199" s="1"/>
  <c r="B27" i="199"/>
  <c r="P27" i="199" s="1"/>
  <c r="AJ26" i="199"/>
  <c r="T26" i="199"/>
  <c r="S26" i="199"/>
  <c r="R26" i="199"/>
  <c r="G26" i="199"/>
  <c r="Q26" i="199" s="1"/>
  <c r="B26" i="199"/>
  <c r="P26" i="199" s="1"/>
  <c r="AJ25" i="199"/>
  <c r="T25" i="199"/>
  <c r="S25" i="199"/>
  <c r="R25" i="199"/>
  <c r="G25" i="199"/>
  <c r="Q25" i="199" s="1"/>
  <c r="B25" i="199"/>
  <c r="P25" i="199" s="1"/>
  <c r="AJ24" i="199"/>
  <c r="T24" i="199"/>
  <c r="S24" i="199"/>
  <c r="R24" i="199"/>
  <c r="G24" i="199"/>
  <c r="Q24" i="199" s="1"/>
  <c r="B24" i="199"/>
  <c r="P24" i="199" s="1"/>
  <c r="AJ23" i="199"/>
  <c r="T23" i="199"/>
  <c r="S23" i="199"/>
  <c r="R23" i="199"/>
  <c r="G23" i="199"/>
  <c r="Q23" i="199" s="1"/>
  <c r="B23" i="199"/>
  <c r="P23" i="199" s="1"/>
  <c r="AJ22" i="199"/>
  <c r="T22" i="199"/>
  <c r="S22" i="199"/>
  <c r="R22" i="199"/>
  <c r="G22" i="199"/>
  <c r="Q22" i="199" s="1"/>
  <c r="B22" i="199"/>
  <c r="P22" i="199" s="1"/>
  <c r="AJ21" i="199"/>
  <c r="T21" i="199"/>
  <c r="S21" i="199"/>
  <c r="R21" i="199"/>
  <c r="G21" i="199"/>
  <c r="Q21" i="199" s="1"/>
  <c r="B21" i="199"/>
  <c r="P21" i="199" s="1"/>
  <c r="AJ20" i="199"/>
  <c r="T20" i="199"/>
  <c r="S20" i="199"/>
  <c r="G20" i="199"/>
  <c r="R20" i="199" s="1"/>
  <c r="B20" i="199"/>
  <c r="P20" i="199" s="1"/>
  <c r="AJ19" i="199"/>
  <c r="T19" i="199"/>
  <c r="S19" i="199"/>
  <c r="R19" i="199"/>
  <c r="G19" i="199"/>
  <c r="Q19" i="199" s="1"/>
  <c r="B19" i="199"/>
  <c r="P19" i="199" s="1"/>
  <c r="AJ18" i="199"/>
  <c r="T18" i="199"/>
  <c r="S18" i="199"/>
  <c r="G18" i="199"/>
  <c r="R18" i="199" s="1"/>
  <c r="B18" i="199"/>
  <c r="P18" i="199" s="1"/>
  <c r="AJ17" i="199"/>
  <c r="T17" i="199"/>
  <c r="S17" i="199"/>
  <c r="R17" i="199"/>
  <c r="G17" i="199"/>
  <c r="Q17" i="199" s="1"/>
  <c r="B17" i="199"/>
  <c r="P17" i="199" s="1"/>
  <c r="AJ16" i="199"/>
  <c r="T16" i="199"/>
  <c r="S16" i="199"/>
  <c r="R16" i="199"/>
  <c r="G16" i="199"/>
  <c r="Q16" i="199" s="1"/>
  <c r="B16" i="199"/>
  <c r="P16" i="199" s="1"/>
  <c r="AJ15" i="199"/>
  <c r="T15" i="199"/>
  <c r="S15" i="199"/>
  <c r="R15" i="199"/>
  <c r="G15" i="199"/>
  <c r="Q15" i="199" s="1"/>
  <c r="B15" i="199"/>
  <c r="P15" i="199" s="1"/>
  <c r="AJ14" i="199"/>
  <c r="T14" i="199"/>
  <c r="S14" i="199"/>
  <c r="R14" i="199"/>
  <c r="G14" i="199"/>
  <c r="Q14" i="199" s="1"/>
  <c r="B14" i="199"/>
  <c r="P14" i="199" s="1"/>
  <c r="AJ13" i="199"/>
  <c r="T13" i="199"/>
  <c r="S13" i="199"/>
  <c r="R13" i="199"/>
  <c r="G13" i="199"/>
  <c r="Q13" i="199" s="1"/>
  <c r="B13" i="199"/>
  <c r="P13" i="199" s="1"/>
  <c r="AJ82" i="198"/>
  <c r="T82" i="198"/>
  <c r="S82" i="198"/>
  <c r="R82" i="198"/>
  <c r="G82" i="198"/>
  <c r="Q82" i="198" s="1"/>
  <c r="B82" i="198"/>
  <c r="P82" i="198" s="1"/>
  <c r="AJ81" i="198"/>
  <c r="T81" i="198"/>
  <c r="S81" i="198"/>
  <c r="R81" i="198"/>
  <c r="G81" i="198"/>
  <c r="Q81" i="198" s="1"/>
  <c r="B81" i="198"/>
  <c r="P81" i="198" s="1"/>
  <c r="AJ80" i="198"/>
  <c r="T80" i="198"/>
  <c r="S80" i="198"/>
  <c r="R80" i="198"/>
  <c r="G80" i="198"/>
  <c r="Q80" i="198" s="1"/>
  <c r="B80" i="198"/>
  <c r="P80" i="198" s="1"/>
  <c r="AJ79" i="198"/>
  <c r="T79" i="198"/>
  <c r="S79" i="198"/>
  <c r="R79" i="198"/>
  <c r="G79" i="198"/>
  <c r="Q79" i="198" s="1"/>
  <c r="B79" i="198"/>
  <c r="P79" i="198" s="1"/>
  <c r="AJ78" i="198"/>
  <c r="T78" i="198"/>
  <c r="S78" i="198"/>
  <c r="R78" i="198"/>
  <c r="G78" i="198"/>
  <c r="Q78" i="198" s="1"/>
  <c r="B78" i="198"/>
  <c r="P78" i="198" s="1"/>
  <c r="AJ77" i="198"/>
  <c r="T77" i="198"/>
  <c r="S77" i="198"/>
  <c r="R77" i="198"/>
  <c r="G77" i="198"/>
  <c r="Q77" i="198" s="1"/>
  <c r="B77" i="198"/>
  <c r="P77" i="198" s="1"/>
  <c r="AJ76" i="198"/>
  <c r="T76" i="198"/>
  <c r="S76" i="198"/>
  <c r="R76" i="198"/>
  <c r="G76" i="198"/>
  <c r="Q76" i="198" s="1"/>
  <c r="B76" i="198"/>
  <c r="P76" i="198" s="1"/>
  <c r="AJ75" i="198"/>
  <c r="T75" i="198"/>
  <c r="S75" i="198"/>
  <c r="R75" i="198"/>
  <c r="G75" i="198"/>
  <c r="Q75" i="198" s="1"/>
  <c r="B75" i="198"/>
  <c r="P75" i="198" s="1"/>
  <c r="AJ74" i="198"/>
  <c r="T74" i="198"/>
  <c r="S74" i="198"/>
  <c r="R74" i="198"/>
  <c r="G74" i="198"/>
  <c r="Q74" i="198" s="1"/>
  <c r="B74" i="198"/>
  <c r="P74" i="198" s="1"/>
  <c r="AJ73" i="198"/>
  <c r="T73" i="198"/>
  <c r="S73" i="198"/>
  <c r="R73" i="198"/>
  <c r="G73" i="198"/>
  <c r="Q73" i="198" s="1"/>
  <c r="B73" i="198"/>
  <c r="P73" i="198" s="1"/>
  <c r="AJ72" i="198"/>
  <c r="T72" i="198"/>
  <c r="S72" i="198"/>
  <c r="R72" i="198"/>
  <c r="G72" i="198"/>
  <c r="Q72" i="198" s="1"/>
  <c r="B72" i="198"/>
  <c r="P72" i="198" s="1"/>
  <c r="AJ71" i="198"/>
  <c r="T71" i="198"/>
  <c r="S71" i="198"/>
  <c r="R71" i="198"/>
  <c r="G71" i="198"/>
  <c r="Q71" i="198" s="1"/>
  <c r="B71" i="198"/>
  <c r="P71" i="198" s="1"/>
  <c r="AJ70" i="198"/>
  <c r="T70" i="198"/>
  <c r="S70" i="198"/>
  <c r="R70" i="198"/>
  <c r="G70" i="198"/>
  <c r="Q70" i="198" s="1"/>
  <c r="B70" i="198"/>
  <c r="P70" i="198" s="1"/>
  <c r="AJ69" i="198"/>
  <c r="T69" i="198"/>
  <c r="S69" i="198"/>
  <c r="R69" i="198"/>
  <c r="G69" i="198"/>
  <c r="Q69" i="198" s="1"/>
  <c r="B69" i="198"/>
  <c r="P69" i="198" s="1"/>
  <c r="AJ68" i="198"/>
  <c r="T68" i="198"/>
  <c r="S68" i="198"/>
  <c r="R68" i="198"/>
  <c r="G68" i="198"/>
  <c r="Q68" i="198" s="1"/>
  <c r="B68" i="198"/>
  <c r="P68" i="198" s="1"/>
  <c r="AJ67" i="198"/>
  <c r="T67" i="198"/>
  <c r="S67" i="198"/>
  <c r="R67" i="198"/>
  <c r="G67" i="198"/>
  <c r="Q67" i="198" s="1"/>
  <c r="B67" i="198"/>
  <c r="P67" i="198" s="1"/>
  <c r="AJ66" i="198"/>
  <c r="T66" i="198"/>
  <c r="S66" i="198"/>
  <c r="R66" i="198"/>
  <c r="G66" i="198"/>
  <c r="Q66" i="198" s="1"/>
  <c r="B66" i="198"/>
  <c r="P66" i="198" s="1"/>
  <c r="AJ65" i="198"/>
  <c r="T65" i="198"/>
  <c r="S65" i="198"/>
  <c r="R65" i="198"/>
  <c r="G65" i="198"/>
  <c r="Q65" i="198" s="1"/>
  <c r="B65" i="198"/>
  <c r="P65" i="198" s="1"/>
  <c r="AJ64" i="198"/>
  <c r="T64" i="198"/>
  <c r="S64" i="198"/>
  <c r="R64" i="198"/>
  <c r="G64" i="198"/>
  <c r="Q64" i="198" s="1"/>
  <c r="B64" i="198"/>
  <c r="P64" i="198" s="1"/>
  <c r="AJ63" i="198"/>
  <c r="T63" i="198"/>
  <c r="S63" i="198"/>
  <c r="R63" i="198"/>
  <c r="G63" i="198"/>
  <c r="Q63" i="198" s="1"/>
  <c r="B63" i="198"/>
  <c r="P63" i="198" s="1"/>
  <c r="AJ62" i="198"/>
  <c r="T62" i="198"/>
  <c r="S62" i="198"/>
  <c r="R62" i="198"/>
  <c r="G62" i="198"/>
  <c r="Q62" i="198" s="1"/>
  <c r="B62" i="198"/>
  <c r="P62" i="198" s="1"/>
  <c r="AJ61" i="198"/>
  <c r="T61" i="198"/>
  <c r="S61" i="198"/>
  <c r="R61" i="198"/>
  <c r="G61" i="198"/>
  <c r="Q61" i="198" s="1"/>
  <c r="B61" i="198"/>
  <c r="P61" i="198" s="1"/>
  <c r="AJ60" i="198"/>
  <c r="T60" i="198"/>
  <c r="S60" i="198"/>
  <c r="R60" i="198"/>
  <c r="G60" i="198"/>
  <c r="Q60" i="198" s="1"/>
  <c r="B60" i="198"/>
  <c r="P60" i="198" s="1"/>
  <c r="AJ59" i="198"/>
  <c r="T59" i="198"/>
  <c r="S59" i="198"/>
  <c r="R59" i="198"/>
  <c r="G59" i="198"/>
  <c r="Q59" i="198" s="1"/>
  <c r="B59" i="198"/>
  <c r="P59" i="198" s="1"/>
  <c r="AJ58" i="198"/>
  <c r="T58" i="198"/>
  <c r="S58" i="198"/>
  <c r="R58" i="198"/>
  <c r="G58" i="198"/>
  <c r="Q58" i="198" s="1"/>
  <c r="B58" i="198"/>
  <c r="P58" i="198" s="1"/>
  <c r="AJ57" i="198"/>
  <c r="T57" i="198"/>
  <c r="S57" i="198"/>
  <c r="R57" i="198"/>
  <c r="G57" i="198"/>
  <c r="Q57" i="198" s="1"/>
  <c r="B57" i="198"/>
  <c r="P57" i="198" s="1"/>
  <c r="AJ56" i="198"/>
  <c r="T56" i="198"/>
  <c r="S56" i="198"/>
  <c r="R56" i="198"/>
  <c r="G56" i="198"/>
  <c r="Q56" i="198" s="1"/>
  <c r="B56" i="198"/>
  <c r="P56" i="198" s="1"/>
  <c r="AJ55" i="198"/>
  <c r="T55" i="198"/>
  <c r="S55" i="198"/>
  <c r="R55" i="198"/>
  <c r="G55" i="198"/>
  <c r="Q55" i="198" s="1"/>
  <c r="B55" i="198"/>
  <c r="P55" i="198" s="1"/>
  <c r="AJ54" i="198"/>
  <c r="T54" i="198"/>
  <c r="S54" i="198"/>
  <c r="R54" i="198"/>
  <c r="G54" i="198"/>
  <c r="Q54" i="198" s="1"/>
  <c r="B54" i="198"/>
  <c r="P54" i="198" s="1"/>
  <c r="AJ53" i="198"/>
  <c r="T53" i="198"/>
  <c r="S53" i="198"/>
  <c r="R53" i="198"/>
  <c r="G53" i="198"/>
  <c r="Q53" i="198" s="1"/>
  <c r="B53" i="198"/>
  <c r="P53" i="198" s="1"/>
  <c r="AJ52" i="198"/>
  <c r="T52" i="198"/>
  <c r="S52" i="198"/>
  <c r="R52" i="198"/>
  <c r="G52" i="198"/>
  <c r="Q52" i="198" s="1"/>
  <c r="B52" i="198"/>
  <c r="P52" i="198" s="1"/>
  <c r="AJ51" i="198"/>
  <c r="T51" i="198"/>
  <c r="S51" i="198"/>
  <c r="R51" i="198"/>
  <c r="G51" i="198"/>
  <c r="Q51" i="198" s="1"/>
  <c r="B51" i="198"/>
  <c r="P51" i="198" s="1"/>
  <c r="AJ50" i="198"/>
  <c r="T50" i="198"/>
  <c r="S50" i="198"/>
  <c r="R50" i="198"/>
  <c r="G50" i="198"/>
  <c r="Q50" i="198" s="1"/>
  <c r="B50" i="198"/>
  <c r="P50" i="198" s="1"/>
  <c r="AJ49" i="198"/>
  <c r="T49" i="198"/>
  <c r="S49" i="198"/>
  <c r="R49" i="198"/>
  <c r="G49" i="198"/>
  <c r="Q49" i="198" s="1"/>
  <c r="B49" i="198"/>
  <c r="P49" i="198" s="1"/>
  <c r="AJ48" i="198"/>
  <c r="T48" i="198"/>
  <c r="S48" i="198"/>
  <c r="R48" i="198"/>
  <c r="G48" i="198"/>
  <c r="Q48" i="198" s="1"/>
  <c r="B48" i="198"/>
  <c r="P48" i="198" s="1"/>
  <c r="AJ47" i="198"/>
  <c r="T47" i="198"/>
  <c r="S47" i="198"/>
  <c r="R47" i="198"/>
  <c r="G47" i="198"/>
  <c r="Q47" i="198" s="1"/>
  <c r="B47" i="198"/>
  <c r="P47" i="198" s="1"/>
  <c r="AJ46" i="198"/>
  <c r="T46" i="198"/>
  <c r="S46" i="198"/>
  <c r="R46" i="198"/>
  <c r="G46" i="198"/>
  <c r="Q46" i="198" s="1"/>
  <c r="B46" i="198"/>
  <c r="P46" i="198" s="1"/>
  <c r="AJ45" i="198"/>
  <c r="T45" i="198"/>
  <c r="S45" i="198"/>
  <c r="R45" i="198"/>
  <c r="G45" i="198"/>
  <c r="Q45" i="198" s="1"/>
  <c r="B45" i="198"/>
  <c r="P45" i="198" s="1"/>
  <c r="AJ44" i="198"/>
  <c r="T44" i="198"/>
  <c r="S44" i="198"/>
  <c r="R44" i="198"/>
  <c r="G44" i="198"/>
  <c r="Q44" i="198" s="1"/>
  <c r="B44" i="198"/>
  <c r="P44" i="198" s="1"/>
  <c r="AJ43" i="198"/>
  <c r="T43" i="198"/>
  <c r="S43" i="198"/>
  <c r="R43" i="198"/>
  <c r="G43" i="198"/>
  <c r="Q43" i="198" s="1"/>
  <c r="B43" i="198"/>
  <c r="P43" i="198" s="1"/>
  <c r="AJ42" i="198"/>
  <c r="T42" i="198"/>
  <c r="S42" i="198"/>
  <c r="R42" i="198"/>
  <c r="G42" i="198"/>
  <c r="Q42" i="198" s="1"/>
  <c r="B42" i="198"/>
  <c r="P42" i="198" s="1"/>
  <c r="AJ41" i="198"/>
  <c r="T41" i="198"/>
  <c r="S41" i="198"/>
  <c r="R41" i="198"/>
  <c r="G41" i="198"/>
  <c r="Q41" i="198" s="1"/>
  <c r="B41" i="198"/>
  <c r="P41" i="198" s="1"/>
  <c r="AJ40" i="198"/>
  <c r="T40" i="198"/>
  <c r="S40" i="198"/>
  <c r="R40" i="198"/>
  <c r="G40" i="198"/>
  <c r="Q40" i="198" s="1"/>
  <c r="B40" i="198"/>
  <c r="P40" i="198" s="1"/>
  <c r="AJ39" i="198"/>
  <c r="T39" i="198"/>
  <c r="S39" i="198"/>
  <c r="R39" i="198"/>
  <c r="G39" i="198"/>
  <c r="Q39" i="198" s="1"/>
  <c r="B39" i="198"/>
  <c r="P39" i="198" s="1"/>
  <c r="AJ38" i="198"/>
  <c r="T38" i="198"/>
  <c r="S38" i="198"/>
  <c r="R38" i="198"/>
  <c r="G38" i="198"/>
  <c r="Q38" i="198" s="1"/>
  <c r="B38" i="198"/>
  <c r="P38" i="198" s="1"/>
  <c r="AJ37" i="198"/>
  <c r="T37" i="198"/>
  <c r="S37" i="198"/>
  <c r="R37" i="198"/>
  <c r="G37" i="198"/>
  <c r="Q37" i="198" s="1"/>
  <c r="B37" i="198"/>
  <c r="P37" i="198" s="1"/>
  <c r="AJ36" i="198"/>
  <c r="T36" i="198"/>
  <c r="S36" i="198"/>
  <c r="R36" i="198"/>
  <c r="G36" i="198"/>
  <c r="Q36" i="198" s="1"/>
  <c r="B36" i="198"/>
  <c r="P36" i="198" s="1"/>
  <c r="AJ35" i="198"/>
  <c r="T35" i="198"/>
  <c r="S35" i="198"/>
  <c r="R35" i="198"/>
  <c r="G35" i="198"/>
  <c r="Q35" i="198" s="1"/>
  <c r="B35" i="198"/>
  <c r="P35" i="198" s="1"/>
  <c r="AJ34" i="198"/>
  <c r="T34" i="198"/>
  <c r="S34" i="198"/>
  <c r="R34" i="198"/>
  <c r="G34" i="198"/>
  <c r="Q34" i="198" s="1"/>
  <c r="B34" i="198"/>
  <c r="P34" i="198" s="1"/>
  <c r="AJ33" i="198"/>
  <c r="T33" i="198"/>
  <c r="S33" i="198"/>
  <c r="R33" i="198"/>
  <c r="G33" i="198"/>
  <c r="Q33" i="198" s="1"/>
  <c r="B33" i="198"/>
  <c r="P33" i="198" s="1"/>
  <c r="AJ32" i="198"/>
  <c r="T32" i="198"/>
  <c r="S32" i="198"/>
  <c r="R32" i="198"/>
  <c r="G32" i="198"/>
  <c r="Q32" i="198" s="1"/>
  <c r="B32" i="198"/>
  <c r="P32" i="198" s="1"/>
  <c r="AJ31" i="198"/>
  <c r="T31" i="198"/>
  <c r="S31" i="198"/>
  <c r="R31" i="198"/>
  <c r="G31" i="198"/>
  <c r="Q31" i="198" s="1"/>
  <c r="B31" i="198"/>
  <c r="P31" i="198" s="1"/>
  <c r="AJ30" i="198"/>
  <c r="T30" i="198"/>
  <c r="S30" i="198"/>
  <c r="R30" i="198"/>
  <c r="G30" i="198"/>
  <c r="Q30" i="198" s="1"/>
  <c r="B30" i="198"/>
  <c r="P30" i="198" s="1"/>
  <c r="AJ29" i="198"/>
  <c r="T29" i="198"/>
  <c r="S29" i="198"/>
  <c r="R29" i="198"/>
  <c r="G29" i="198"/>
  <c r="Q29" i="198" s="1"/>
  <c r="B29" i="198"/>
  <c r="P29" i="198" s="1"/>
  <c r="AJ28" i="198"/>
  <c r="T28" i="198"/>
  <c r="S28" i="198"/>
  <c r="R28" i="198"/>
  <c r="G28" i="198"/>
  <c r="Q28" i="198" s="1"/>
  <c r="B28" i="198"/>
  <c r="P28" i="198" s="1"/>
  <c r="AJ27" i="198"/>
  <c r="T27" i="198"/>
  <c r="S27" i="198"/>
  <c r="R27" i="198"/>
  <c r="G27" i="198"/>
  <c r="Q27" i="198" s="1"/>
  <c r="B27" i="198"/>
  <c r="P27" i="198" s="1"/>
  <c r="AJ26" i="198"/>
  <c r="T26" i="198"/>
  <c r="S26" i="198"/>
  <c r="R26" i="198"/>
  <c r="G26" i="198"/>
  <c r="Q26" i="198" s="1"/>
  <c r="B26" i="198"/>
  <c r="P26" i="198" s="1"/>
  <c r="AJ25" i="198"/>
  <c r="T25" i="198"/>
  <c r="S25" i="198"/>
  <c r="R25" i="198"/>
  <c r="G25" i="198"/>
  <c r="Q25" i="198" s="1"/>
  <c r="B25" i="198"/>
  <c r="P25" i="198" s="1"/>
  <c r="AJ24" i="198"/>
  <c r="T24" i="198"/>
  <c r="S24" i="198"/>
  <c r="R24" i="198"/>
  <c r="G24" i="198"/>
  <c r="Q24" i="198" s="1"/>
  <c r="B24" i="198"/>
  <c r="P24" i="198" s="1"/>
  <c r="AJ23" i="198"/>
  <c r="T23" i="198"/>
  <c r="S23" i="198"/>
  <c r="R23" i="198"/>
  <c r="G23" i="198"/>
  <c r="Q23" i="198" s="1"/>
  <c r="B23" i="198"/>
  <c r="P23" i="198" s="1"/>
  <c r="AJ22" i="198"/>
  <c r="T22" i="198"/>
  <c r="S22" i="198"/>
  <c r="R22" i="198"/>
  <c r="G22" i="198"/>
  <c r="Q22" i="198" s="1"/>
  <c r="B22" i="198"/>
  <c r="P22" i="198" s="1"/>
  <c r="AJ21" i="198"/>
  <c r="T21" i="198"/>
  <c r="S21" i="198"/>
  <c r="R21" i="198"/>
  <c r="G21" i="198"/>
  <c r="Q21" i="198" s="1"/>
  <c r="B21" i="198"/>
  <c r="P21" i="198" s="1"/>
  <c r="AJ20" i="198"/>
  <c r="T20" i="198"/>
  <c r="S20" i="198"/>
  <c r="G20" i="198"/>
  <c r="Q20" i="198" s="1"/>
  <c r="B20" i="198"/>
  <c r="P20" i="198" s="1"/>
  <c r="AJ19" i="198"/>
  <c r="T19" i="198"/>
  <c r="S19" i="198"/>
  <c r="R19" i="198"/>
  <c r="G19" i="198"/>
  <c r="Q19" i="198" s="1"/>
  <c r="B19" i="198"/>
  <c r="P19" i="198" s="1"/>
  <c r="AJ18" i="198"/>
  <c r="T18" i="198"/>
  <c r="S18" i="198"/>
  <c r="G18" i="198"/>
  <c r="Q18" i="198" s="1"/>
  <c r="B18" i="198"/>
  <c r="P18" i="198" s="1"/>
  <c r="AJ17" i="198"/>
  <c r="T17" i="198"/>
  <c r="S17" i="198"/>
  <c r="R17" i="198"/>
  <c r="G17" i="198"/>
  <c r="Q17" i="198" s="1"/>
  <c r="B17" i="198"/>
  <c r="P17" i="198" s="1"/>
  <c r="AJ83" i="198"/>
  <c r="T83" i="198"/>
  <c r="S83" i="198"/>
  <c r="R83" i="198"/>
  <c r="G83" i="198"/>
  <c r="Q83" i="198" s="1"/>
  <c r="B83" i="198"/>
  <c r="P83" i="198" s="1"/>
  <c r="AJ16" i="198"/>
  <c r="T16" i="198"/>
  <c r="S16" i="198"/>
  <c r="R16" i="198"/>
  <c r="G16" i="198"/>
  <c r="Q16" i="198" s="1"/>
  <c r="B16" i="198"/>
  <c r="P16" i="198" s="1"/>
  <c r="AJ15" i="198"/>
  <c r="T15" i="198"/>
  <c r="S15" i="198"/>
  <c r="R15" i="198"/>
  <c r="G15" i="198"/>
  <c r="Q15" i="198" s="1"/>
  <c r="B15" i="198"/>
  <c r="P15" i="198" s="1"/>
  <c r="AJ14" i="198"/>
  <c r="T14" i="198"/>
  <c r="S14" i="198"/>
  <c r="R14" i="198"/>
  <c r="G14" i="198"/>
  <c r="Q14" i="198" s="1"/>
  <c r="B14" i="198"/>
  <c r="P14" i="198" s="1"/>
  <c r="AJ13" i="198"/>
  <c r="T13" i="198"/>
  <c r="S13" i="198"/>
  <c r="R13" i="198"/>
  <c r="G13" i="198"/>
  <c r="Q13" i="198" s="1"/>
  <c r="B13" i="198"/>
  <c r="P13" i="198" s="1"/>
  <c r="AJ31" i="196"/>
  <c r="T31" i="196"/>
  <c r="S31" i="196"/>
  <c r="R31" i="196"/>
  <c r="AJ31" i="195"/>
  <c r="T31" i="195"/>
  <c r="S31" i="195"/>
  <c r="R31" i="195"/>
  <c r="AJ155" i="194"/>
  <c r="T155" i="194"/>
  <c r="S155" i="194"/>
  <c r="R155" i="194"/>
  <c r="AJ154" i="194"/>
  <c r="T154" i="194"/>
  <c r="S154" i="194"/>
  <c r="R154" i="194"/>
  <c r="AJ153" i="194"/>
  <c r="T153" i="194"/>
  <c r="S153" i="194"/>
  <c r="R153" i="194"/>
  <c r="AJ152" i="194"/>
  <c r="T152" i="194"/>
  <c r="S152" i="194"/>
  <c r="R152" i="194"/>
  <c r="AJ151" i="194"/>
  <c r="T151" i="194"/>
  <c r="S151" i="194"/>
  <c r="R151" i="194"/>
  <c r="AJ150" i="194"/>
  <c r="T150" i="194"/>
  <c r="S150" i="194"/>
  <c r="R150" i="194"/>
  <c r="AJ149" i="194"/>
  <c r="T149" i="194"/>
  <c r="S149" i="194"/>
  <c r="R149" i="194"/>
  <c r="AJ148" i="194"/>
  <c r="T148" i="194"/>
  <c r="S148" i="194"/>
  <c r="R148" i="194"/>
  <c r="AJ147" i="194"/>
  <c r="T147" i="194"/>
  <c r="S147" i="194"/>
  <c r="R147" i="194"/>
  <c r="AJ146" i="194"/>
  <c r="T146" i="194"/>
  <c r="S146" i="194"/>
  <c r="R146" i="194"/>
  <c r="AJ145" i="194"/>
  <c r="T145" i="194"/>
  <c r="S145" i="194"/>
  <c r="R145" i="194"/>
  <c r="AJ144" i="194"/>
  <c r="T144" i="194"/>
  <c r="S144" i="194"/>
  <c r="R144" i="194"/>
  <c r="AJ143" i="194"/>
  <c r="T143" i="194"/>
  <c r="S143" i="194"/>
  <c r="R143" i="194"/>
  <c r="AJ142" i="194"/>
  <c r="T142" i="194"/>
  <c r="S142" i="194"/>
  <c r="R142" i="194"/>
  <c r="AJ141" i="194"/>
  <c r="T141" i="194"/>
  <c r="S141" i="194"/>
  <c r="R141" i="194"/>
  <c r="AJ140" i="194"/>
  <c r="T140" i="194"/>
  <c r="S140" i="194"/>
  <c r="R140" i="194"/>
  <c r="AJ139" i="194"/>
  <c r="T139" i="194"/>
  <c r="S139" i="194"/>
  <c r="R139" i="194"/>
  <c r="AJ138" i="194"/>
  <c r="T138" i="194"/>
  <c r="S138" i="194"/>
  <c r="R138" i="194"/>
  <c r="AJ137" i="194"/>
  <c r="T137" i="194"/>
  <c r="S137" i="194"/>
  <c r="R137" i="194"/>
  <c r="AJ136" i="194"/>
  <c r="T136" i="194"/>
  <c r="S136" i="194"/>
  <c r="R136" i="194"/>
  <c r="AJ135" i="194"/>
  <c r="T135" i="194"/>
  <c r="S135" i="194"/>
  <c r="R135" i="194"/>
  <c r="AJ134" i="194"/>
  <c r="T134" i="194"/>
  <c r="S134" i="194"/>
  <c r="R134" i="194"/>
  <c r="AJ133" i="194"/>
  <c r="T133" i="194"/>
  <c r="S133" i="194"/>
  <c r="R133" i="194"/>
  <c r="AJ132" i="194"/>
  <c r="T132" i="194"/>
  <c r="S132" i="194"/>
  <c r="R132" i="194"/>
  <c r="AJ131" i="194"/>
  <c r="T131" i="194"/>
  <c r="S131" i="194"/>
  <c r="R131" i="194"/>
  <c r="AJ130" i="194"/>
  <c r="T130" i="194"/>
  <c r="S130" i="194"/>
  <c r="R130" i="194"/>
  <c r="AJ129" i="194"/>
  <c r="T129" i="194"/>
  <c r="S129" i="194"/>
  <c r="R129" i="194"/>
  <c r="AJ128" i="194"/>
  <c r="T128" i="194"/>
  <c r="S128" i="194"/>
  <c r="R128" i="194"/>
  <c r="AJ127" i="194"/>
  <c r="T127" i="194"/>
  <c r="S127" i="194"/>
  <c r="R127" i="194"/>
  <c r="AJ126" i="194"/>
  <c r="T126" i="194"/>
  <c r="S126" i="194"/>
  <c r="R126" i="194"/>
  <c r="AJ125" i="194"/>
  <c r="T125" i="194"/>
  <c r="S125" i="194"/>
  <c r="R125" i="194"/>
  <c r="AJ124" i="194"/>
  <c r="T124" i="194"/>
  <c r="S124" i="194"/>
  <c r="R124" i="194"/>
  <c r="AJ123" i="194"/>
  <c r="T123" i="194"/>
  <c r="S123" i="194"/>
  <c r="R123" i="194"/>
  <c r="AJ122" i="194"/>
  <c r="T122" i="194"/>
  <c r="S122" i="194"/>
  <c r="R122" i="194"/>
  <c r="AJ121" i="194"/>
  <c r="T121" i="194"/>
  <c r="S121" i="194"/>
  <c r="R121" i="194"/>
  <c r="AJ120" i="194"/>
  <c r="T120" i="194"/>
  <c r="S120" i="194"/>
  <c r="R120" i="194"/>
  <c r="AJ119" i="194"/>
  <c r="T119" i="194"/>
  <c r="S119" i="194"/>
  <c r="R119" i="194"/>
  <c r="AJ118" i="194"/>
  <c r="T118" i="194"/>
  <c r="S118" i="194"/>
  <c r="R118" i="194"/>
  <c r="AJ117" i="194"/>
  <c r="T117" i="194"/>
  <c r="S117" i="194"/>
  <c r="R117" i="194"/>
  <c r="AJ116" i="194"/>
  <c r="T116" i="194"/>
  <c r="S116" i="194"/>
  <c r="R116" i="194"/>
  <c r="AJ115" i="194"/>
  <c r="T115" i="194"/>
  <c r="S115" i="194"/>
  <c r="R115" i="194"/>
  <c r="AJ114" i="194"/>
  <c r="T114" i="194"/>
  <c r="S114" i="194"/>
  <c r="R114" i="194"/>
  <c r="AJ113" i="194"/>
  <c r="T113" i="194"/>
  <c r="S113" i="194"/>
  <c r="R113" i="194"/>
  <c r="AJ112" i="194"/>
  <c r="T112" i="194"/>
  <c r="S112" i="194"/>
  <c r="R112" i="194"/>
  <c r="AJ111" i="194"/>
  <c r="T111" i="194"/>
  <c r="S111" i="194"/>
  <c r="R111" i="194"/>
  <c r="AJ110" i="194"/>
  <c r="T110" i="194"/>
  <c r="S110" i="194"/>
  <c r="R110" i="194"/>
  <c r="AJ109" i="194"/>
  <c r="T109" i="194"/>
  <c r="S109" i="194"/>
  <c r="R109" i="194"/>
  <c r="AJ108" i="194"/>
  <c r="T108" i="194"/>
  <c r="S108" i="194"/>
  <c r="R108" i="194"/>
  <c r="AJ107" i="194"/>
  <c r="T107" i="194"/>
  <c r="S107" i="194"/>
  <c r="R107" i="194"/>
  <c r="AJ106" i="194"/>
  <c r="T106" i="194"/>
  <c r="S106" i="194"/>
  <c r="R106" i="194"/>
  <c r="AJ105" i="194"/>
  <c r="T105" i="194"/>
  <c r="S105" i="194"/>
  <c r="R105" i="194"/>
  <c r="AJ104" i="194"/>
  <c r="T104" i="194"/>
  <c r="S104" i="194"/>
  <c r="R104" i="194"/>
  <c r="AJ103" i="194"/>
  <c r="T103" i="194"/>
  <c r="S103" i="194"/>
  <c r="R103" i="194"/>
  <c r="AJ102" i="194"/>
  <c r="T102" i="194"/>
  <c r="S102" i="194"/>
  <c r="R102" i="194"/>
  <c r="AJ101" i="194"/>
  <c r="T101" i="194"/>
  <c r="S101" i="194"/>
  <c r="R101" i="194"/>
  <c r="AJ100" i="194"/>
  <c r="T100" i="194"/>
  <c r="S100" i="194"/>
  <c r="R100" i="194"/>
  <c r="AJ99" i="194"/>
  <c r="T99" i="194"/>
  <c r="S99" i="194"/>
  <c r="R99" i="194"/>
  <c r="AJ98" i="194"/>
  <c r="T98" i="194"/>
  <c r="S98" i="194"/>
  <c r="R98" i="194"/>
  <c r="AJ97" i="194"/>
  <c r="T97" i="194"/>
  <c r="S97" i="194"/>
  <c r="R97" i="194"/>
  <c r="AJ96" i="194"/>
  <c r="T96" i="194"/>
  <c r="S96" i="194"/>
  <c r="R96" i="194"/>
  <c r="AJ95" i="194"/>
  <c r="T95" i="194"/>
  <c r="S95" i="194"/>
  <c r="R95" i="194"/>
  <c r="AJ94" i="194"/>
  <c r="T94" i="194"/>
  <c r="S94" i="194"/>
  <c r="R94" i="194"/>
  <c r="AJ93" i="194"/>
  <c r="T93" i="194"/>
  <c r="S93" i="194"/>
  <c r="R93" i="194"/>
  <c r="AJ92" i="194"/>
  <c r="T92" i="194"/>
  <c r="S92" i="194"/>
  <c r="R92" i="194"/>
  <c r="AJ91" i="194"/>
  <c r="T91" i="194"/>
  <c r="S91" i="194"/>
  <c r="R91" i="194"/>
  <c r="AJ90" i="194"/>
  <c r="T90" i="194"/>
  <c r="S90" i="194"/>
  <c r="R90" i="194"/>
  <c r="AJ89" i="194"/>
  <c r="T89" i="194"/>
  <c r="S89" i="194"/>
  <c r="R89" i="194"/>
  <c r="AJ88" i="194"/>
  <c r="T88" i="194"/>
  <c r="S88" i="194"/>
  <c r="R88" i="194"/>
  <c r="AJ87" i="194"/>
  <c r="T87" i="194"/>
  <c r="S87" i="194"/>
  <c r="R87" i="194"/>
  <c r="AJ86" i="194"/>
  <c r="T86" i="194"/>
  <c r="S86" i="194"/>
  <c r="R86" i="194"/>
  <c r="AJ85" i="194"/>
  <c r="T85" i="194"/>
  <c r="S85" i="194"/>
  <c r="R85" i="194"/>
  <c r="AJ84" i="194"/>
  <c r="T84" i="194"/>
  <c r="S84" i="194"/>
  <c r="R84" i="194"/>
  <c r="AJ83" i="194"/>
  <c r="T83" i="194"/>
  <c r="S83" i="194"/>
  <c r="R83" i="194"/>
  <c r="AJ82" i="194"/>
  <c r="T82" i="194"/>
  <c r="S82" i="194"/>
  <c r="R82" i="194"/>
  <c r="AJ81" i="194"/>
  <c r="T81" i="194"/>
  <c r="S81" i="194"/>
  <c r="R81" i="194"/>
  <c r="AJ80" i="194"/>
  <c r="T80" i="194"/>
  <c r="S80" i="194"/>
  <c r="R80" i="194"/>
  <c r="AJ79" i="194"/>
  <c r="T79" i="194"/>
  <c r="S79" i="194"/>
  <c r="R79" i="194"/>
  <c r="AJ78" i="194"/>
  <c r="T78" i="194"/>
  <c r="S78" i="194"/>
  <c r="R78" i="194"/>
  <c r="AJ77" i="194"/>
  <c r="T77" i="194"/>
  <c r="S77" i="194"/>
  <c r="R77" i="194"/>
  <c r="AJ76" i="194"/>
  <c r="T76" i="194"/>
  <c r="S76" i="194"/>
  <c r="R76" i="194"/>
  <c r="AJ75" i="194"/>
  <c r="T75" i="194"/>
  <c r="S75" i="194"/>
  <c r="R75" i="194"/>
  <c r="AJ74" i="194"/>
  <c r="T74" i="194"/>
  <c r="S74" i="194"/>
  <c r="R74" i="194"/>
  <c r="AJ73" i="194"/>
  <c r="T73" i="194"/>
  <c r="S73" i="194"/>
  <c r="R73" i="194"/>
  <c r="AJ72" i="194"/>
  <c r="T72" i="194"/>
  <c r="S72" i="194"/>
  <c r="R72" i="194"/>
  <c r="AJ71" i="194"/>
  <c r="T71" i="194"/>
  <c r="S71" i="194"/>
  <c r="R71" i="194"/>
  <c r="AJ70" i="194"/>
  <c r="T70" i="194"/>
  <c r="S70" i="194"/>
  <c r="R70" i="194"/>
  <c r="AJ69" i="194"/>
  <c r="T69" i="194"/>
  <c r="S69" i="194"/>
  <c r="R69" i="194"/>
  <c r="AJ68" i="194"/>
  <c r="T68" i="194"/>
  <c r="S68" i="194"/>
  <c r="R68" i="194"/>
  <c r="AJ67" i="194"/>
  <c r="T67" i="194"/>
  <c r="S67" i="194"/>
  <c r="R67" i="194"/>
  <c r="AJ66" i="194"/>
  <c r="T66" i="194"/>
  <c r="S66" i="194"/>
  <c r="R66" i="194"/>
  <c r="AJ65" i="194"/>
  <c r="T65" i="194"/>
  <c r="S65" i="194"/>
  <c r="R65" i="194"/>
  <c r="AJ64" i="194"/>
  <c r="T64" i="194"/>
  <c r="S64" i="194"/>
  <c r="R64" i="194"/>
  <c r="AJ63" i="194"/>
  <c r="T63" i="194"/>
  <c r="S63" i="194"/>
  <c r="R63" i="194"/>
  <c r="AJ62" i="194"/>
  <c r="T62" i="194"/>
  <c r="S62" i="194"/>
  <c r="R62" i="194"/>
  <c r="AJ61" i="194"/>
  <c r="T61" i="194"/>
  <c r="S61" i="194"/>
  <c r="R61" i="194"/>
  <c r="AJ60" i="194"/>
  <c r="T60" i="194"/>
  <c r="S60" i="194"/>
  <c r="R60" i="194"/>
  <c r="AJ59" i="194"/>
  <c r="T59" i="194"/>
  <c r="S59" i="194"/>
  <c r="R59" i="194"/>
  <c r="AJ58" i="194"/>
  <c r="T58" i="194"/>
  <c r="S58" i="194"/>
  <c r="R58" i="194"/>
  <c r="AJ57" i="194"/>
  <c r="T57" i="194"/>
  <c r="S57" i="194"/>
  <c r="R57" i="194"/>
  <c r="AJ56" i="194"/>
  <c r="T56" i="194"/>
  <c r="S56" i="194"/>
  <c r="R56" i="194"/>
  <c r="AJ55" i="194"/>
  <c r="T55" i="194"/>
  <c r="S55" i="194"/>
  <c r="R55" i="194"/>
  <c r="AJ54" i="194"/>
  <c r="T54" i="194"/>
  <c r="S54" i="194"/>
  <c r="R54" i="194"/>
  <c r="AJ53" i="194"/>
  <c r="T53" i="194"/>
  <c r="S53" i="194"/>
  <c r="R53" i="194"/>
  <c r="AJ52" i="194"/>
  <c r="T52" i="194"/>
  <c r="S52" i="194"/>
  <c r="R52" i="194"/>
  <c r="AJ51" i="194"/>
  <c r="T51" i="194"/>
  <c r="S51" i="194"/>
  <c r="R51" i="194"/>
  <c r="AJ50" i="194"/>
  <c r="T50" i="194"/>
  <c r="S50" i="194"/>
  <c r="R50" i="194"/>
  <c r="AJ49" i="194"/>
  <c r="T49" i="194"/>
  <c r="S49" i="194"/>
  <c r="R49" i="194"/>
  <c r="AJ48" i="194"/>
  <c r="T48" i="194"/>
  <c r="S48" i="194"/>
  <c r="R48" i="194"/>
  <c r="AJ47" i="194"/>
  <c r="T47" i="194"/>
  <c r="S47" i="194"/>
  <c r="R47" i="194"/>
  <c r="AJ46" i="194"/>
  <c r="T46" i="194"/>
  <c r="S46" i="194"/>
  <c r="R46" i="194"/>
  <c r="AJ45" i="194"/>
  <c r="T45" i="194"/>
  <c r="S45" i="194"/>
  <c r="R45" i="194"/>
  <c r="AJ44" i="194"/>
  <c r="T44" i="194"/>
  <c r="S44" i="194"/>
  <c r="R44" i="194"/>
  <c r="AJ43" i="194"/>
  <c r="T43" i="194"/>
  <c r="S43" i="194"/>
  <c r="R43" i="194"/>
  <c r="AJ42" i="194"/>
  <c r="T42" i="194"/>
  <c r="S42" i="194"/>
  <c r="R42" i="194"/>
  <c r="AJ41" i="194"/>
  <c r="T41" i="194"/>
  <c r="S41" i="194"/>
  <c r="R41" i="194"/>
  <c r="AJ40" i="194"/>
  <c r="T40" i="194"/>
  <c r="S40" i="194"/>
  <c r="R40" i="194"/>
  <c r="AJ39" i="194"/>
  <c r="T39" i="194"/>
  <c r="S39" i="194"/>
  <c r="R39" i="194"/>
  <c r="AJ38" i="194"/>
  <c r="T38" i="194"/>
  <c r="S38" i="194"/>
  <c r="R38" i="194"/>
  <c r="AJ37" i="194"/>
  <c r="T37" i="194"/>
  <c r="S37" i="194"/>
  <c r="R37" i="194"/>
  <c r="AJ36" i="194"/>
  <c r="T36" i="194"/>
  <c r="S36" i="194"/>
  <c r="R36" i="194"/>
  <c r="AJ35" i="194"/>
  <c r="T35" i="194"/>
  <c r="S35" i="194"/>
  <c r="R35" i="194"/>
  <c r="AJ34" i="194"/>
  <c r="T34" i="194"/>
  <c r="S34" i="194"/>
  <c r="R34" i="194"/>
  <c r="AJ33" i="194"/>
  <c r="T33" i="194"/>
  <c r="S33" i="194"/>
  <c r="R33" i="194"/>
  <c r="AJ32" i="194"/>
  <c r="T32" i="194"/>
  <c r="S32" i="194"/>
  <c r="R32" i="194"/>
  <c r="AJ31" i="194"/>
  <c r="T31" i="194"/>
  <c r="S31" i="194"/>
  <c r="R31" i="194"/>
  <c r="AJ47" i="193"/>
  <c r="T47" i="193"/>
  <c r="S47" i="193"/>
  <c r="R47" i="193"/>
  <c r="AJ46" i="193"/>
  <c r="T46" i="193"/>
  <c r="S46" i="193"/>
  <c r="R46" i="193"/>
  <c r="AJ45" i="193"/>
  <c r="T45" i="193"/>
  <c r="S45" i="193"/>
  <c r="R45" i="193"/>
  <c r="AJ44" i="193"/>
  <c r="T44" i="193"/>
  <c r="S44" i="193"/>
  <c r="R44" i="193"/>
  <c r="AJ43" i="193"/>
  <c r="T43" i="193"/>
  <c r="S43" i="193"/>
  <c r="R43" i="193"/>
  <c r="AJ42" i="193"/>
  <c r="T42" i="193"/>
  <c r="S42" i="193"/>
  <c r="R42" i="193"/>
  <c r="AJ41" i="193"/>
  <c r="T41" i="193"/>
  <c r="S41" i="193"/>
  <c r="R41" i="193"/>
  <c r="AJ40" i="193"/>
  <c r="T40" i="193"/>
  <c r="S40" i="193"/>
  <c r="R40" i="193"/>
  <c r="AJ39" i="193"/>
  <c r="T39" i="193"/>
  <c r="S39" i="193"/>
  <c r="R39" i="193"/>
  <c r="AJ38" i="193"/>
  <c r="T38" i="193"/>
  <c r="S38" i="193"/>
  <c r="R38" i="193"/>
  <c r="AJ37" i="193"/>
  <c r="T37" i="193"/>
  <c r="S37" i="193"/>
  <c r="R37" i="193"/>
  <c r="AJ36" i="193"/>
  <c r="T36" i="193"/>
  <c r="S36" i="193"/>
  <c r="R36" i="193"/>
  <c r="AJ35" i="193"/>
  <c r="T35" i="193"/>
  <c r="S35" i="193"/>
  <c r="R35" i="193"/>
  <c r="AJ34" i="193"/>
  <c r="T34" i="193"/>
  <c r="S34" i="193"/>
  <c r="R34" i="193"/>
  <c r="AJ33" i="193"/>
  <c r="T33" i="193"/>
  <c r="S33" i="193"/>
  <c r="R33" i="193"/>
  <c r="AJ32" i="193"/>
  <c r="T32" i="193"/>
  <c r="S32" i="193"/>
  <c r="R32" i="193"/>
  <c r="AJ31" i="193"/>
  <c r="T31" i="193"/>
  <c r="S31" i="193"/>
  <c r="R31" i="193"/>
  <c r="AJ47" i="192"/>
  <c r="T47" i="192"/>
  <c r="S47" i="192"/>
  <c r="R47" i="192"/>
  <c r="AJ46" i="192"/>
  <c r="T46" i="192"/>
  <c r="S46" i="192"/>
  <c r="R46" i="192"/>
  <c r="AJ45" i="192"/>
  <c r="T45" i="192"/>
  <c r="S45" i="192"/>
  <c r="R45" i="192"/>
  <c r="AJ44" i="192"/>
  <c r="T44" i="192"/>
  <c r="S44" i="192"/>
  <c r="R44" i="192"/>
  <c r="AJ43" i="192"/>
  <c r="T43" i="192"/>
  <c r="S43" i="192"/>
  <c r="R43" i="192"/>
  <c r="AJ42" i="192"/>
  <c r="T42" i="192"/>
  <c r="S42" i="192"/>
  <c r="R42" i="192"/>
  <c r="AJ41" i="192"/>
  <c r="T41" i="192"/>
  <c r="S41" i="192"/>
  <c r="R41" i="192"/>
  <c r="AJ40" i="192"/>
  <c r="T40" i="192"/>
  <c r="S40" i="192"/>
  <c r="R40" i="192"/>
  <c r="AJ39" i="192"/>
  <c r="T39" i="192"/>
  <c r="S39" i="192"/>
  <c r="R39" i="192"/>
  <c r="AJ38" i="192"/>
  <c r="T38" i="192"/>
  <c r="S38" i="192"/>
  <c r="R38" i="192"/>
  <c r="AJ37" i="192"/>
  <c r="T37" i="192"/>
  <c r="S37" i="192"/>
  <c r="R37" i="192"/>
  <c r="AJ36" i="192"/>
  <c r="T36" i="192"/>
  <c r="S36" i="192"/>
  <c r="R36" i="192"/>
  <c r="AJ35" i="192"/>
  <c r="T35" i="192"/>
  <c r="S35" i="192"/>
  <c r="R35" i="192"/>
  <c r="AJ34" i="192"/>
  <c r="T34" i="192"/>
  <c r="S34" i="192"/>
  <c r="R34" i="192"/>
  <c r="AJ33" i="192"/>
  <c r="T33" i="192"/>
  <c r="S33" i="192"/>
  <c r="R33" i="192"/>
  <c r="AJ32" i="192"/>
  <c r="T32" i="192"/>
  <c r="S32" i="192"/>
  <c r="R32" i="192"/>
  <c r="AJ31" i="192"/>
  <c r="T31" i="192"/>
  <c r="S31" i="192"/>
  <c r="R31" i="192"/>
  <c r="T16" i="189"/>
  <c r="S16" i="189"/>
  <c r="R16" i="189"/>
  <c r="T15" i="189"/>
  <c r="S15" i="189"/>
  <c r="R15" i="189"/>
  <c r="AJ16" i="190"/>
  <c r="T16" i="190"/>
  <c r="S16" i="190"/>
  <c r="R16" i="190"/>
  <c r="AJ15" i="190"/>
  <c r="T15" i="190"/>
  <c r="S15" i="190"/>
  <c r="R15" i="190"/>
  <c r="AJ13" i="190"/>
  <c r="T13" i="190"/>
  <c r="S13" i="190"/>
  <c r="R13" i="190"/>
  <c r="AJ20" i="191"/>
  <c r="T20" i="191"/>
  <c r="S20" i="191"/>
  <c r="R20" i="191"/>
  <c r="AJ19" i="191"/>
  <c r="T19" i="191"/>
  <c r="S19" i="191"/>
  <c r="R19" i="191"/>
  <c r="AJ18" i="191"/>
  <c r="T18" i="191"/>
  <c r="S18" i="191"/>
  <c r="R18" i="191"/>
  <c r="AJ17" i="191"/>
  <c r="T17" i="191"/>
  <c r="S17" i="191"/>
  <c r="R17" i="191"/>
  <c r="AJ16" i="191"/>
  <c r="T16" i="191"/>
  <c r="S16" i="191"/>
  <c r="R16" i="191"/>
  <c r="AJ15" i="191"/>
  <c r="T15" i="191"/>
  <c r="S15" i="191"/>
  <c r="R15" i="191"/>
  <c r="AJ14" i="191"/>
  <c r="T14" i="191"/>
  <c r="S14" i="191"/>
  <c r="R14" i="191"/>
  <c r="AJ13" i="191"/>
  <c r="T13" i="191"/>
  <c r="S13" i="191"/>
  <c r="R13" i="191"/>
  <c r="AJ14" i="188"/>
  <c r="T14" i="188"/>
  <c r="S14" i="188"/>
  <c r="R14" i="188"/>
  <c r="AJ13" i="188"/>
  <c r="T13" i="188"/>
  <c r="S13" i="188"/>
  <c r="R13" i="188"/>
  <c r="AJ30" i="193"/>
  <c r="T30" i="193"/>
  <c r="S30" i="193"/>
  <c r="R30" i="193"/>
  <c r="AJ29" i="193"/>
  <c r="T29" i="193"/>
  <c r="S29" i="193"/>
  <c r="R29" i="193"/>
  <c r="AJ28" i="193"/>
  <c r="T28" i="193"/>
  <c r="S28" i="193"/>
  <c r="R28" i="193"/>
  <c r="AJ27" i="193"/>
  <c r="T27" i="193"/>
  <c r="S27" i="193"/>
  <c r="R27" i="193"/>
  <c r="AJ26" i="193"/>
  <c r="T26" i="193"/>
  <c r="S26" i="193"/>
  <c r="R26" i="193"/>
  <c r="AJ25" i="193"/>
  <c r="T25" i="193"/>
  <c r="S25" i="193"/>
  <c r="R25" i="193"/>
  <c r="AJ24" i="193"/>
  <c r="T24" i="193"/>
  <c r="S24" i="193"/>
  <c r="R24" i="193"/>
  <c r="AJ23" i="193"/>
  <c r="T23" i="193"/>
  <c r="S23" i="193"/>
  <c r="R23" i="193"/>
  <c r="AJ22" i="193"/>
  <c r="T22" i="193"/>
  <c r="S22" i="193"/>
  <c r="R22" i="193"/>
  <c r="AJ21" i="193"/>
  <c r="T21" i="193"/>
  <c r="S21" i="193"/>
  <c r="R21" i="193"/>
  <c r="AJ20" i="193"/>
  <c r="T20" i="193"/>
  <c r="S20" i="193"/>
  <c r="R20" i="193"/>
  <c r="AJ19" i="193"/>
  <c r="T19" i="193"/>
  <c r="S19" i="193"/>
  <c r="R19" i="193"/>
  <c r="AJ18" i="193"/>
  <c r="T18" i="193"/>
  <c r="S18" i="193"/>
  <c r="R18" i="193"/>
  <c r="AJ17" i="193"/>
  <c r="T17" i="193"/>
  <c r="S17" i="193"/>
  <c r="AJ16" i="193"/>
  <c r="T16" i="193"/>
  <c r="S16" i="193"/>
  <c r="R16" i="193"/>
  <c r="AJ15" i="193"/>
  <c r="T15" i="193"/>
  <c r="S15" i="193"/>
  <c r="R15" i="193"/>
  <c r="AJ14" i="193"/>
  <c r="T14" i="193"/>
  <c r="S14" i="193"/>
  <c r="R14" i="193"/>
  <c r="AJ13" i="193"/>
  <c r="T13" i="193"/>
  <c r="S13" i="193"/>
  <c r="R13" i="193"/>
  <c r="AJ30" i="194"/>
  <c r="T30" i="194"/>
  <c r="S30" i="194"/>
  <c r="R30" i="194"/>
  <c r="AJ29" i="194"/>
  <c r="T29" i="194"/>
  <c r="S29" i="194"/>
  <c r="R29" i="194"/>
  <c r="AJ28" i="194"/>
  <c r="T28" i="194"/>
  <c r="S28" i="194"/>
  <c r="R28" i="194"/>
  <c r="AJ27" i="194"/>
  <c r="T27" i="194"/>
  <c r="S27" i="194"/>
  <c r="R27" i="194"/>
  <c r="AJ26" i="194"/>
  <c r="T26" i="194"/>
  <c r="S26" i="194"/>
  <c r="R26" i="194"/>
  <c r="AJ25" i="194"/>
  <c r="T25" i="194"/>
  <c r="S25" i="194"/>
  <c r="R25" i="194"/>
  <c r="AJ24" i="194"/>
  <c r="T24" i="194"/>
  <c r="S24" i="194"/>
  <c r="R24" i="194"/>
  <c r="AJ23" i="194"/>
  <c r="T23" i="194"/>
  <c r="S23" i="194"/>
  <c r="AJ22" i="194"/>
  <c r="T22" i="194"/>
  <c r="S22" i="194"/>
  <c r="AJ21" i="194"/>
  <c r="T21" i="194"/>
  <c r="S21" i="194"/>
  <c r="R21" i="194"/>
  <c r="AJ20" i="194"/>
  <c r="T20" i="194"/>
  <c r="S20" i="194"/>
  <c r="R20" i="194"/>
  <c r="AJ19" i="194"/>
  <c r="T19" i="194"/>
  <c r="S19" i="194"/>
  <c r="R19" i="194"/>
  <c r="AJ18" i="194"/>
  <c r="T18" i="194"/>
  <c r="S18" i="194"/>
  <c r="R18" i="194"/>
  <c r="AJ17" i="194"/>
  <c r="T17" i="194"/>
  <c r="S17" i="194"/>
  <c r="AJ16" i="194"/>
  <c r="T16" i="194"/>
  <c r="S16" i="194"/>
  <c r="R16" i="194"/>
  <c r="AJ15" i="194"/>
  <c r="T15" i="194"/>
  <c r="S15" i="194"/>
  <c r="R15" i="194"/>
  <c r="AJ14" i="194"/>
  <c r="T14" i="194"/>
  <c r="S14" i="194"/>
  <c r="R14" i="194"/>
  <c r="AJ13" i="194"/>
  <c r="T13" i="194"/>
  <c r="S13" i="194"/>
  <c r="R13" i="194"/>
  <c r="AJ30" i="195"/>
  <c r="T30" i="195"/>
  <c r="S30" i="195"/>
  <c r="R30" i="195"/>
  <c r="AJ29" i="195"/>
  <c r="T29" i="195"/>
  <c r="S29" i="195"/>
  <c r="R29" i="195"/>
  <c r="AJ28" i="195"/>
  <c r="T28" i="195"/>
  <c r="S28" i="195"/>
  <c r="R28" i="195"/>
  <c r="AJ27" i="195"/>
  <c r="T27" i="195"/>
  <c r="S27" i="195"/>
  <c r="R27" i="195"/>
  <c r="AJ26" i="195"/>
  <c r="T26" i="195"/>
  <c r="S26" i="195"/>
  <c r="R26" i="195"/>
  <c r="AJ25" i="195"/>
  <c r="T25" i="195"/>
  <c r="S25" i="195"/>
  <c r="R25" i="195"/>
  <c r="AJ24" i="195"/>
  <c r="T24" i="195"/>
  <c r="S24" i="195"/>
  <c r="R24" i="195"/>
  <c r="AJ23" i="195"/>
  <c r="T23" i="195"/>
  <c r="S23" i="195"/>
  <c r="AJ22" i="195"/>
  <c r="T22" i="195"/>
  <c r="S22" i="195"/>
  <c r="AJ21" i="195"/>
  <c r="T21" i="195"/>
  <c r="S21" i="195"/>
  <c r="R21" i="195"/>
  <c r="AJ20" i="195"/>
  <c r="T20" i="195"/>
  <c r="S20" i="195"/>
  <c r="R20" i="195"/>
  <c r="AJ19" i="195"/>
  <c r="T19" i="195"/>
  <c r="S19" i="195"/>
  <c r="R19" i="195"/>
  <c r="AJ18" i="195"/>
  <c r="T18" i="195"/>
  <c r="S18" i="195"/>
  <c r="R18" i="195"/>
  <c r="AJ17" i="195"/>
  <c r="T17" i="195"/>
  <c r="S17" i="195"/>
  <c r="AJ16" i="195"/>
  <c r="T16" i="195"/>
  <c r="S16" i="195"/>
  <c r="R16" i="195"/>
  <c r="AJ15" i="195"/>
  <c r="T15" i="195"/>
  <c r="S15" i="195"/>
  <c r="R15" i="195"/>
  <c r="AJ14" i="195"/>
  <c r="T14" i="195"/>
  <c r="S14" i="195"/>
  <c r="R14" i="195"/>
  <c r="AJ13" i="195"/>
  <c r="T13" i="195"/>
  <c r="S13" i="195"/>
  <c r="R13" i="195"/>
  <c r="AJ30" i="196"/>
  <c r="T30" i="196"/>
  <c r="S30" i="196"/>
  <c r="R30" i="196"/>
  <c r="AJ29" i="196"/>
  <c r="T29" i="196"/>
  <c r="S29" i="196"/>
  <c r="R29" i="196"/>
  <c r="AJ28" i="196"/>
  <c r="T28" i="196"/>
  <c r="S28" i="196"/>
  <c r="R28" i="196"/>
  <c r="AJ27" i="196"/>
  <c r="T27" i="196"/>
  <c r="S27" i="196"/>
  <c r="R27" i="196"/>
  <c r="AJ26" i="196"/>
  <c r="T26" i="196"/>
  <c r="S26" i="196"/>
  <c r="R26" i="196"/>
  <c r="AJ25" i="196"/>
  <c r="T25" i="196"/>
  <c r="S25" i="196"/>
  <c r="R25" i="196"/>
  <c r="AJ24" i="196"/>
  <c r="T24" i="196"/>
  <c r="S24" i="196"/>
  <c r="R24" i="196"/>
  <c r="AJ23" i="196"/>
  <c r="T23" i="196"/>
  <c r="S23" i="196"/>
  <c r="AJ22" i="196"/>
  <c r="T22" i="196"/>
  <c r="S22" i="196"/>
  <c r="AJ21" i="196"/>
  <c r="T21" i="196"/>
  <c r="S21" i="196"/>
  <c r="R21" i="196"/>
  <c r="AJ20" i="196"/>
  <c r="T20" i="196"/>
  <c r="S20" i="196"/>
  <c r="R20" i="196"/>
  <c r="AJ19" i="196"/>
  <c r="T19" i="196"/>
  <c r="S19" i="196"/>
  <c r="R19" i="196"/>
  <c r="AJ18" i="196"/>
  <c r="T18" i="196"/>
  <c r="S18" i="196"/>
  <c r="R18" i="196"/>
  <c r="AJ17" i="196"/>
  <c r="T17" i="196"/>
  <c r="S17" i="196"/>
  <c r="AJ16" i="196"/>
  <c r="T16" i="196"/>
  <c r="S16" i="196"/>
  <c r="R16" i="196"/>
  <c r="AJ15" i="196"/>
  <c r="T15" i="196"/>
  <c r="S15" i="196"/>
  <c r="R15" i="196"/>
  <c r="AJ14" i="196"/>
  <c r="T14" i="196"/>
  <c r="S14" i="196"/>
  <c r="R14" i="196"/>
  <c r="AJ13" i="196"/>
  <c r="T13" i="196"/>
  <c r="S13" i="196"/>
  <c r="R13" i="196"/>
  <c r="AJ30" i="192"/>
  <c r="T30" i="192"/>
  <c r="S30" i="192"/>
  <c r="R30" i="192"/>
  <c r="AJ29" i="192"/>
  <c r="T29" i="192"/>
  <c r="S29" i="192"/>
  <c r="R29" i="192"/>
  <c r="AJ28" i="192"/>
  <c r="T28" i="192"/>
  <c r="S28" i="192"/>
  <c r="R28" i="192"/>
  <c r="AJ27" i="192"/>
  <c r="T27" i="192"/>
  <c r="S27" i="192"/>
  <c r="R27" i="192"/>
  <c r="AJ26" i="192"/>
  <c r="T26" i="192"/>
  <c r="S26" i="192"/>
  <c r="R26" i="192"/>
  <c r="AJ25" i="192"/>
  <c r="T25" i="192"/>
  <c r="S25" i="192"/>
  <c r="R25" i="192"/>
  <c r="AJ24" i="192"/>
  <c r="T24" i="192"/>
  <c r="S24" i="192"/>
  <c r="R24" i="192"/>
  <c r="AJ23" i="192"/>
  <c r="T23" i="192"/>
  <c r="S23" i="192"/>
  <c r="R23" i="192"/>
  <c r="AJ22" i="192"/>
  <c r="T22" i="192"/>
  <c r="S22" i="192"/>
  <c r="R22" i="192"/>
  <c r="AJ21" i="192"/>
  <c r="T21" i="192"/>
  <c r="S21" i="192"/>
  <c r="R21" i="192"/>
  <c r="AJ20" i="192"/>
  <c r="T20" i="192"/>
  <c r="S20" i="192"/>
  <c r="R20" i="192"/>
  <c r="AJ19" i="192"/>
  <c r="T19" i="192"/>
  <c r="S19" i="192"/>
  <c r="R19" i="192"/>
  <c r="AJ18" i="192"/>
  <c r="T18" i="192"/>
  <c r="S18" i="192"/>
  <c r="R18" i="192"/>
  <c r="AJ17" i="192"/>
  <c r="T17" i="192"/>
  <c r="S17" i="192"/>
  <c r="AJ16" i="192"/>
  <c r="T16" i="192"/>
  <c r="S16" i="192"/>
  <c r="R16" i="192"/>
  <c r="AJ15" i="192"/>
  <c r="T15" i="192"/>
  <c r="S15" i="192"/>
  <c r="R15" i="192"/>
  <c r="AJ14" i="192"/>
  <c r="T14" i="192"/>
  <c r="S14" i="192"/>
  <c r="R14" i="192"/>
  <c r="AJ13" i="192"/>
  <c r="T13" i="192"/>
  <c r="S13" i="192"/>
  <c r="R13" i="192"/>
  <c r="AJ30" i="197"/>
  <c r="T30" i="197"/>
  <c r="S30" i="197"/>
  <c r="R30" i="197"/>
  <c r="G30" i="197"/>
  <c r="Q30" i="197" s="1"/>
  <c r="B30" i="197"/>
  <c r="P30" i="197" s="1"/>
  <c r="AJ29" i="197"/>
  <c r="T29" i="197"/>
  <c r="S29" i="197"/>
  <c r="R29" i="197"/>
  <c r="G29" i="197"/>
  <c r="Q29" i="197" s="1"/>
  <c r="B29" i="197"/>
  <c r="P29" i="197" s="1"/>
  <c r="AJ28" i="197"/>
  <c r="T28" i="197"/>
  <c r="S28" i="197"/>
  <c r="R28" i="197"/>
  <c r="G28" i="197"/>
  <c r="Q28" i="197" s="1"/>
  <c r="B28" i="197"/>
  <c r="P28" i="197" s="1"/>
  <c r="AJ27" i="197"/>
  <c r="T27" i="197"/>
  <c r="S27" i="197"/>
  <c r="R27" i="197"/>
  <c r="G27" i="197"/>
  <c r="Q27" i="197" s="1"/>
  <c r="B27" i="197"/>
  <c r="P27" i="197" s="1"/>
  <c r="AJ26" i="197"/>
  <c r="T26" i="197"/>
  <c r="S26" i="197"/>
  <c r="R26" i="197"/>
  <c r="G26" i="197"/>
  <c r="Q26" i="197" s="1"/>
  <c r="B26" i="197"/>
  <c r="P26" i="197" s="1"/>
  <c r="AJ25" i="197"/>
  <c r="T25" i="197"/>
  <c r="S25" i="197"/>
  <c r="R25" i="197"/>
  <c r="G25" i="197"/>
  <c r="Q25" i="197" s="1"/>
  <c r="B25" i="197"/>
  <c r="P25" i="197" s="1"/>
  <c r="AJ24" i="197"/>
  <c r="T24" i="197"/>
  <c r="S24" i="197"/>
  <c r="R24" i="197"/>
  <c r="G24" i="197"/>
  <c r="Q24" i="197" s="1"/>
  <c r="B24" i="197"/>
  <c r="P24" i="197" s="1"/>
  <c r="AJ23" i="197"/>
  <c r="T23" i="197"/>
  <c r="S23" i="197"/>
  <c r="G23" i="197"/>
  <c r="Q23" i="197" s="1"/>
  <c r="B23" i="197"/>
  <c r="P23" i="197" s="1"/>
  <c r="AJ22" i="197"/>
  <c r="T22" i="197"/>
  <c r="S22" i="197"/>
  <c r="G22" i="197"/>
  <c r="R22" i="197" s="1"/>
  <c r="B22" i="197"/>
  <c r="P22" i="197" s="1"/>
  <c r="AJ21" i="197"/>
  <c r="T21" i="197"/>
  <c r="S21" i="197"/>
  <c r="G21" i="197"/>
  <c r="Q21" i="197" s="1"/>
  <c r="B21" i="197"/>
  <c r="P21" i="197" s="1"/>
  <c r="AJ20" i="197"/>
  <c r="T20" i="197"/>
  <c r="S20" i="197"/>
  <c r="G20" i="197"/>
  <c r="Q20" i="197" s="1"/>
  <c r="B20" i="197"/>
  <c r="P20" i="197" s="1"/>
  <c r="AJ19" i="197"/>
  <c r="T19" i="197"/>
  <c r="S19" i="197"/>
  <c r="R19" i="197"/>
  <c r="G19" i="197"/>
  <c r="Q19" i="197" s="1"/>
  <c r="B19" i="197"/>
  <c r="P19" i="197" s="1"/>
  <c r="AJ18" i="197"/>
  <c r="T18" i="197"/>
  <c r="S18" i="197"/>
  <c r="G18" i="197"/>
  <c r="Q18" i="197" s="1"/>
  <c r="B18" i="197"/>
  <c r="P18" i="197" s="1"/>
  <c r="AJ17" i="197"/>
  <c r="T17" i="197"/>
  <c r="S17" i="197"/>
  <c r="G17" i="197"/>
  <c r="R17" i="197" s="1"/>
  <c r="B17" i="197"/>
  <c r="P17" i="197" s="1"/>
  <c r="AJ16" i="197"/>
  <c r="T16" i="197"/>
  <c r="S16" i="197"/>
  <c r="R16" i="197"/>
  <c r="G16" i="197"/>
  <c r="Q16" i="197" s="1"/>
  <c r="B16" i="197"/>
  <c r="P16" i="197" s="1"/>
  <c r="AJ15" i="197"/>
  <c r="T15" i="197"/>
  <c r="S15" i="197"/>
  <c r="R15" i="197"/>
  <c r="G15" i="197"/>
  <c r="Q15" i="197" s="1"/>
  <c r="B15" i="197"/>
  <c r="P15" i="197" s="1"/>
  <c r="AJ14" i="197"/>
  <c r="T14" i="197"/>
  <c r="S14" i="197"/>
  <c r="R14" i="197"/>
  <c r="G14" i="197"/>
  <c r="Q14" i="197" s="1"/>
  <c r="B14" i="197"/>
  <c r="P14" i="197" s="1"/>
  <c r="AJ13" i="197"/>
  <c r="T13" i="197"/>
  <c r="S13" i="197"/>
  <c r="R13" i="197"/>
  <c r="G13" i="197"/>
  <c r="Q13" i="197" s="1"/>
  <c r="B13" i="197"/>
  <c r="P13" i="197" s="1"/>
  <c r="BK121" i="25"/>
  <c r="A121" i="25"/>
  <c r="BK120" i="25"/>
  <c r="A120" i="25"/>
  <c r="BK119" i="25"/>
  <c r="A119" i="25"/>
  <c r="B118" i="25"/>
  <c r="BK118" i="25" s="1"/>
  <c r="A118" i="25"/>
  <c r="B117" i="25"/>
  <c r="BK117" i="25" s="1"/>
  <c r="A117" i="25"/>
  <c r="B116" i="25"/>
  <c r="BK116" i="25" s="1"/>
  <c r="A116" i="25"/>
  <c r="B115" i="25"/>
  <c r="BK115" i="25" s="1"/>
  <c r="A115" i="25"/>
  <c r="B114" i="25"/>
  <c r="BK114" i="25" s="1"/>
  <c r="A114" i="25"/>
  <c r="B113" i="25"/>
  <c r="BK113" i="25" s="1"/>
  <c r="A113" i="25"/>
  <c r="AM130" i="25"/>
  <c r="AM138" i="25"/>
  <c r="AM142" i="25"/>
  <c r="AM129" i="25"/>
  <c r="AM117" i="25"/>
  <c r="AM123" i="25"/>
  <c r="AM114" i="25"/>
  <c r="AM134" i="25"/>
  <c r="AM131" i="25"/>
  <c r="AM136" i="25"/>
  <c r="AM124" i="25"/>
  <c r="AM139" i="25"/>
  <c r="AM132" i="25"/>
  <c r="AM137" i="25"/>
  <c r="AM146" i="25"/>
  <c r="AM127" i="25"/>
  <c r="AM145" i="25"/>
  <c r="AM140" i="25"/>
  <c r="AM133" i="25"/>
  <c r="AM121" i="25"/>
  <c r="AM148" i="25"/>
  <c r="AM118" i="25"/>
  <c r="AM147" i="25"/>
  <c r="AM116" i="25"/>
  <c r="AM113" i="25"/>
  <c r="AM115" i="25"/>
  <c r="AM143" i="25"/>
  <c r="AM126" i="25"/>
  <c r="AM120" i="25"/>
  <c r="AM125" i="25"/>
  <c r="AM119" i="25"/>
  <c r="AM144" i="25"/>
  <c r="AM141" i="25"/>
  <c r="AM122" i="25"/>
  <c r="AM152" i="25"/>
  <c r="AM135" i="25"/>
  <c r="AM128" i="25"/>
  <c r="Q18" i="204" l="1"/>
  <c r="R20" i="206"/>
  <c r="R20" i="207"/>
  <c r="R18" i="198"/>
  <c r="R18" i="207"/>
  <c r="R18" i="206"/>
  <c r="R21" i="197"/>
  <c r="R20" i="202"/>
  <c r="R18" i="197"/>
  <c r="R20" i="197"/>
  <c r="Q18" i="203"/>
  <c r="R22" i="205"/>
  <c r="R17" i="215"/>
  <c r="R21" i="205"/>
  <c r="R20" i="205"/>
  <c r="R20" i="198"/>
  <c r="Q17" i="228"/>
  <c r="Q17" i="227"/>
  <c r="Q17" i="226"/>
  <c r="Q17" i="225"/>
  <c r="Q17" i="224"/>
  <c r="Q17" i="223"/>
  <c r="Q17" i="222"/>
  <c r="Q17" i="221"/>
  <c r="Q17" i="220"/>
  <c r="Q17" i="219"/>
  <c r="Q17" i="218"/>
  <c r="Q17" i="217"/>
  <c r="Q17" i="216"/>
  <c r="Q18" i="215"/>
  <c r="Q20" i="215"/>
  <c r="Q18" i="214"/>
  <c r="Q20" i="214"/>
  <c r="Q18" i="213"/>
  <c r="Q20" i="213"/>
  <c r="Q18" i="212"/>
  <c r="Q20" i="212"/>
  <c r="Q18" i="211"/>
  <c r="Q20" i="211"/>
  <c r="Q18" i="210"/>
  <c r="Q20" i="210"/>
  <c r="Q18" i="209"/>
  <c r="Q20" i="209"/>
  <c r="R18" i="208"/>
  <c r="Q20" i="208"/>
  <c r="Q18" i="205"/>
  <c r="Q20" i="204"/>
  <c r="Q20" i="203"/>
  <c r="R18" i="202"/>
  <c r="Q18" i="201"/>
  <c r="Q20" i="201"/>
  <c r="Q18" i="200"/>
  <c r="Q20" i="200"/>
  <c r="Q18" i="199"/>
  <c r="Q20" i="199"/>
  <c r="Q22" i="197"/>
  <c r="R23" i="197"/>
  <c r="Q17" i="197"/>
  <c r="AJ155" i="185" l="1"/>
  <c r="T155" i="185"/>
  <c r="S155" i="185"/>
  <c r="R155" i="185"/>
  <c r="AJ154" i="185"/>
  <c r="T154" i="185"/>
  <c r="S154" i="185"/>
  <c r="R154" i="185"/>
  <c r="AJ153" i="185"/>
  <c r="T153" i="185"/>
  <c r="S153" i="185"/>
  <c r="R153" i="185"/>
  <c r="AJ152" i="185"/>
  <c r="T152" i="185"/>
  <c r="S152" i="185"/>
  <c r="R152" i="185"/>
  <c r="AJ151" i="185"/>
  <c r="T151" i="185"/>
  <c r="S151" i="185"/>
  <c r="R151" i="185"/>
  <c r="AJ150" i="185"/>
  <c r="T150" i="185"/>
  <c r="S150" i="185"/>
  <c r="R150" i="185"/>
  <c r="AJ149" i="185"/>
  <c r="T149" i="185"/>
  <c r="S149" i="185"/>
  <c r="R149" i="185"/>
  <c r="AJ148" i="185"/>
  <c r="T148" i="185"/>
  <c r="S148" i="185"/>
  <c r="R148" i="185"/>
  <c r="AJ147" i="185"/>
  <c r="T147" i="185"/>
  <c r="S147" i="185"/>
  <c r="R147" i="185"/>
  <c r="AJ146" i="185"/>
  <c r="T146" i="185"/>
  <c r="S146" i="185"/>
  <c r="R146" i="185"/>
  <c r="AJ145" i="185"/>
  <c r="T145" i="185"/>
  <c r="S145" i="185"/>
  <c r="R145" i="185"/>
  <c r="AJ144" i="185"/>
  <c r="T144" i="185"/>
  <c r="S144" i="185"/>
  <c r="R144" i="185"/>
  <c r="AJ143" i="185"/>
  <c r="T143" i="185"/>
  <c r="S143" i="185"/>
  <c r="R143" i="185"/>
  <c r="AJ142" i="185"/>
  <c r="T142" i="185"/>
  <c r="S142" i="185"/>
  <c r="R142" i="185"/>
  <c r="AJ141" i="185"/>
  <c r="T141" i="185"/>
  <c r="S141" i="185"/>
  <c r="R141" i="185"/>
  <c r="AJ140" i="185"/>
  <c r="T140" i="185"/>
  <c r="S140" i="185"/>
  <c r="R140" i="185"/>
  <c r="AJ139" i="185"/>
  <c r="T139" i="185"/>
  <c r="S139" i="185"/>
  <c r="R139" i="185"/>
  <c r="AJ138" i="185"/>
  <c r="T138" i="185"/>
  <c r="S138" i="185"/>
  <c r="R138" i="185"/>
  <c r="AJ137" i="185"/>
  <c r="T137" i="185"/>
  <c r="S137" i="185"/>
  <c r="R137" i="185"/>
  <c r="AJ136" i="185"/>
  <c r="T136" i="185"/>
  <c r="S136" i="185"/>
  <c r="R136" i="185"/>
  <c r="AJ135" i="185"/>
  <c r="T135" i="185"/>
  <c r="S135" i="185"/>
  <c r="R135" i="185"/>
  <c r="AJ134" i="185"/>
  <c r="T134" i="185"/>
  <c r="S134" i="185"/>
  <c r="R134" i="185"/>
  <c r="AJ133" i="185"/>
  <c r="T133" i="185"/>
  <c r="S133" i="185"/>
  <c r="R133" i="185"/>
  <c r="AJ132" i="185"/>
  <c r="T132" i="185"/>
  <c r="S132" i="185"/>
  <c r="R132" i="185"/>
  <c r="AJ131" i="185"/>
  <c r="T131" i="185"/>
  <c r="S131" i="185"/>
  <c r="R131" i="185"/>
  <c r="AJ130" i="185"/>
  <c r="T130" i="185"/>
  <c r="S130" i="185"/>
  <c r="R130" i="185"/>
  <c r="AJ129" i="185"/>
  <c r="T129" i="185"/>
  <c r="S129" i="185"/>
  <c r="R129" i="185"/>
  <c r="AJ128" i="185"/>
  <c r="T128" i="185"/>
  <c r="S128" i="185"/>
  <c r="R128" i="185"/>
  <c r="AJ127" i="185"/>
  <c r="T127" i="185"/>
  <c r="S127" i="185"/>
  <c r="R127" i="185"/>
  <c r="AJ126" i="185"/>
  <c r="T126" i="185"/>
  <c r="S126" i="185"/>
  <c r="R126" i="185"/>
  <c r="AJ125" i="185"/>
  <c r="T125" i="185"/>
  <c r="S125" i="185"/>
  <c r="R125" i="185"/>
  <c r="AJ124" i="185"/>
  <c r="T124" i="185"/>
  <c r="S124" i="185"/>
  <c r="R124" i="185"/>
  <c r="AJ123" i="185"/>
  <c r="T123" i="185"/>
  <c r="S123" i="185"/>
  <c r="R123" i="185"/>
  <c r="AJ122" i="185"/>
  <c r="T122" i="185"/>
  <c r="S122" i="185"/>
  <c r="R122" i="185"/>
  <c r="AJ121" i="185"/>
  <c r="T121" i="185"/>
  <c r="S121" i="185"/>
  <c r="R121" i="185"/>
  <c r="AJ120" i="185"/>
  <c r="T120" i="185"/>
  <c r="S120" i="185"/>
  <c r="R120" i="185"/>
  <c r="AJ119" i="185"/>
  <c r="T119" i="185"/>
  <c r="S119" i="185"/>
  <c r="R119" i="185"/>
  <c r="AJ118" i="185"/>
  <c r="T118" i="185"/>
  <c r="S118" i="185"/>
  <c r="R118" i="185"/>
  <c r="AJ117" i="185"/>
  <c r="T117" i="185"/>
  <c r="S117" i="185"/>
  <c r="R117" i="185"/>
  <c r="AJ116" i="185"/>
  <c r="T116" i="185"/>
  <c r="S116" i="185"/>
  <c r="R116" i="185"/>
  <c r="AJ115" i="185"/>
  <c r="T115" i="185"/>
  <c r="S115" i="185"/>
  <c r="R115" i="185"/>
  <c r="AJ114" i="185"/>
  <c r="T114" i="185"/>
  <c r="S114" i="185"/>
  <c r="R114" i="185"/>
  <c r="AJ113" i="185"/>
  <c r="T113" i="185"/>
  <c r="S113" i="185"/>
  <c r="R113" i="185"/>
  <c r="AJ112" i="185"/>
  <c r="T112" i="185"/>
  <c r="S112" i="185"/>
  <c r="R112" i="185"/>
  <c r="AJ111" i="185"/>
  <c r="T111" i="185"/>
  <c r="S111" i="185"/>
  <c r="R111" i="185"/>
  <c r="AJ110" i="185"/>
  <c r="T110" i="185"/>
  <c r="S110" i="185"/>
  <c r="R110" i="185"/>
  <c r="AJ109" i="185"/>
  <c r="T109" i="185"/>
  <c r="S109" i="185"/>
  <c r="R109" i="185"/>
  <c r="AJ108" i="185"/>
  <c r="T108" i="185"/>
  <c r="S108" i="185"/>
  <c r="R108" i="185"/>
  <c r="AJ107" i="185"/>
  <c r="T107" i="185"/>
  <c r="S107" i="185"/>
  <c r="R107" i="185"/>
  <c r="AJ106" i="185"/>
  <c r="T106" i="185"/>
  <c r="S106" i="185"/>
  <c r="R106" i="185"/>
  <c r="AJ105" i="185"/>
  <c r="T105" i="185"/>
  <c r="S105" i="185"/>
  <c r="R105" i="185"/>
  <c r="AJ104" i="185"/>
  <c r="T104" i="185"/>
  <c r="S104" i="185"/>
  <c r="R104" i="185"/>
  <c r="AJ103" i="185"/>
  <c r="T103" i="185"/>
  <c r="S103" i="185"/>
  <c r="R103" i="185"/>
  <c r="AJ102" i="185"/>
  <c r="T102" i="185"/>
  <c r="S102" i="185"/>
  <c r="R102" i="185"/>
  <c r="AJ101" i="185"/>
  <c r="T101" i="185"/>
  <c r="S101" i="185"/>
  <c r="R101" i="185"/>
  <c r="AJ100" i="185"/>
  <c r="T100" i="185"/>
  <c r="S100" i="185"/>
  <c r="R100" i="185"/>
  <c r="AJ99" i="185"/>
  <c r="T99" i="185"/>
  <c r="S99" i="185"/>
  <c r="R99" i="185"/>
  <c r="AJ98" i="185"/>
  <c r="T98" i="185"/>
  <c r="S98" i="185"/>
  <c r="R98" i="185"/>
  <c r="AJ97" i="185"/>
  <c r="T97" i="185"/>
  <c r="S97" i="185"/>
  <c r="R97" i="185"/>
  <c r="AJ96" i="185"/>
  <c r="T96" i="185"/>
  <c r="S96" i="185"/>
  <c r="R96" i="185"/>
  <c r="AJ95" i="185"/>
  <c r="T95" i="185"/>
  <c r="S95" i="185"/>
  <c r="R95" i="185"/>
  <c r="AJ94" i="185"/>
  <c r="T94" i="185"/>
  <c r="S94" i="185"/>
  <c r="R94" i="185"/>
  <c r="AJ93" i="185"/>
  <c r="T93" i="185"/>
  <c r="S93" i="185"/>
  <c r="R93" i="185"/>
  <c r="AJ92" i="185"/>
  <c r="T92" i="185"/>
  <c r="S92" i="185"/>
  <c r="R92" i="185"/>
  <c r="AJ91" i="185"/>
  <c r="T91" i="185"/>
  <c r="S91" i="185"/>
  <c r="R91" i="185"/>
  <c r="AJ90" i="185"/>
  <c r="T90" i="185"/>
  <c r="S90" i="185"/>
  <c r="R90" i="185"/>
  <c r="AJ89" i="185"/>
  <c r="T89" i="185"/>
  <c r="S89" i="185"/>
  <c r="R89" i="185"/>
  <c r="AJ88" i="185"/>
  <c r="T88" i="185"/>
  <c r="S88" i="185"/>
  <c r="R88" i="185"/>
  <c r="AJ87" i="185"/>
  <c r="T87" i="185"/>
  <c r="S87" i="185"/>
  <c r="R87" i="185"/>
  <c r="AJ86" i="185"/>
  <c r="T86" i="185"/>
  <c r="S86" i="185"/>
  <c r="R86" i="185"/>
  <c r="AJ85" i="185"/>
  <c r="T85" i="185"/>
  <c r="S85" i="185"/>
  <c r="R85" i="185"/>
  <c r="AJ84" i="185"/>
  <c r="T84" i="185"/>
  <c r="S84" i="185"/>
  <c r="R84" i="185"/>
  <c r="AJ83" i="185"/>
  <c r="T83" i="185"/>
  <c r="S83" i="185"/>
  <c r="R83" i="185"/>
  <c r="AJ82" i="185"/>
  <c r="T82" i="185"/>
  <c r="S82" i="185"/>
  <c r="R82" i="185"/>
  <c r="AJ81" i="185"/>
  <c r="T81" i="185"/>
  <c r="S81" i="185"/>
  <c r="R81" i="185"/>
  <c r="AJ80" i="185"/>
  <c r="T80" i="185"/>
  <c r="S80" i="185"/>
  <c r="R80" i="185"/>
  <c r="AJ79" i="185"/>
  <c r="T79" i="185"/>
  <c r="S79" i="185"/>
  <c r="R79" i="185"/>
  <c r="AJ78" i="185"/>
  <c r="T78" i="185"/>
  <c r="S78" i="185"/>
  <c r="R78" i="185"/>
  <c r="AJ77" i="185"/>
  <c r="T77" i="185"/>
  <c r="S77" i="185"/>
  <c r="R77" i="185"/>
  <c r="AJ76" i="185"/>
  <c r="T76" i="185"/>
  <c r="S76" i="185"/>
  <c r="R76" i="185"/>
  <c r="AJ75" i="185"/>
  <c r="T75" i="185"/>
  <c r="S75" i="185"/>
  <c r="R75" i="185"/>
  <c r="AJ74" i="185"/>
  <c r="T74" i="185"/>
  <c r="S74" i="185"/>
  <c r="R74" i="185"/>
  <c r="AJ73" i="185"/>
  <c r="T73" i="185"/>
  <c r="S73" i="185"/>
  <c r="R73" i="185"/>
  <c r="AJ72" i="185"/>
  <c r="T72" i="185"/>
  <c r="S72" i="185"/>
  <c r="R72" i="185"/>
  <c r="AJ71" i="185"/>
  <c r="T71" i="185"/>
  <c r="S71" i="185"/>
  <c r="R71" i="185"/>
  <c r="AJ70" i="185"/>
  <c r="T70" i="185"/>
  <c r="S70" i="185"/>
  <c r="R70" i="185"/>
  <c r="AJ69" i="185"/>
  <c r="T69" i="185"/>
  <c r="S69" i="185"/>
  <c r="R69" i="185"/>
  <c r="AJ68" i="185"/>
  <c r="T68" i="185"/>
  <c r="S68" i="185"/>
  <c r="R68" i="185"/>
  <c r="AJ67" i="185"/>
  <c r="T67" i="185"/>
  <c r="S67" i="185"/>
  <c r="R67" i="185"/>
  <c r="AJ66" i="185"/>
  <c r="T66" i="185"/>
  <c r="S66" i="185"/>
  <c r="R66" i="185"/>
  <c r="AJ65" i="185"/>
  <c r="T65" i="185"/>
  <c r="S65" i="185"/>
  <c r="R65" i="185"/>
  <c r="AJ64" i="185"/>
  <c r="T64" i="185"/>
  <c r="S64" i="185"/>
  <c r="R64" i="185"/>
  <c r="AJ63" i="185"/>
  <c r="T63" i="185"/>
  <c r="S63" i="185"/>
  <c r="R63" i="185"/>
  <c r="AJ62" i="185"/>
  <c r="T62" i="185"/>
  <c r="S62" i="185"/>
  <c r="R62" i="185"/>
  <c r="AJ61" i="185"/>
  <c r="T61" i="185"/>
  <c r="S61" i="185"/>
  <c r="R61" i="185"/>
  <c r="AJ60" i="185"/>
  <c r="T60" i="185"/>
  <c r="S60" i="185"/>
  <c r="R60" i="185"/>
  <c r="AJ59" i="185"/>
  <c r="T59" i="185"/>
  <c r="S59" i="185"/>
  <c r="R59" i="185"/>
  <c r="AJ58" i="185"/>
  <c r="T58" i="185"/>
  <c r="S58" i="185"/>
  <c r="R58" i="185"/>
  <c r="AJ57" i="185"/>
  <c r="T57" i="185"/>
  <c r="S57" i="185"/>
  <c r="R57" i="185"/>
  <c r="AJ56" i="185"/>
  <c r="T56" i="185"/>
  <c r="S56" i="185"/>
  <c r="R56" i="185"/>
  <c r="AJ55" i="185"/>
  <c r="T55" i="185"/>
  <c r="S55" i="185"/>
  <c r="R55" i="185"/>
  <c r="AJ54" i="185"/>
  <c r="T54" i="185"/>
  <c r="S54" i="185"/>
  <c r="R54" i="185"/>
  <c r="AJ53" i="185"/>
  <c r="T53" i="185"/>
  <c r="S53" i="185"/>
  <c r="R53" i="185"/>
  <c r="AJ52" i="185"/>
  <c r="T52" i="185"/>
  <c r="S52" i="185"/>
  <c r="R52" i="185"/>
  <c r="AJ51" i="185"/>
  <c r="T51" i="185"/>
  <c r="S51" i="185"/>
  <c r="R51" i="185"/>
  <c r="AJ50" i="185"/>
  <c r="T50" i="185"/>
  <c r="S50" i="185"/>
  <c r="R50" i="185"/>
  <c r="AJ49" i="185"/>
  <c r="T49" i="185"/>
  <c r="S49" i="185"/>
  <c r="R49" i="185"/>
  <c r="AJ48" i="185"/>
  <c r="T48" i="185"/>
  <c r="S48" i="185"/>
  <c r="R48" i="185"/>
  <c r="AJ153" i="182"/>
  <c r="T153" i="182"/>
  <c r="S153" i="182"/>
  <c r="R153" i="182"/>
  <c r="AJ152" i="182"/>
  <c r="T152" i="182"/>
  <c r="S152" i="182"/>
  <c r="R152" i="182"/>
  <c r="AJ151" i="182"/>
  <c r="T151" i="182"/>
  <c r="S151" i="182"/>
  <c r="R151" i="182"/>
  <c r="AJ150" i="182"/>
  <c r="T150" i="182"/>
  <c r="S150" i="182"/>
  <c r="R150" i="182"/>
  <c r="AJ149" i="182"/>
  <c r="T149" i="182"/>
  <c r="S149" i="182"/>
  <c r="R149" i="182"/>
  <c r="AJ148" i="182"/>
  <c r="T148" i="182"/>
  <c r="S148" i="182"/>
  <c r="R148" i="182"/>
  <c r="AJ147" i="182"/>
  <c r="T147" i="182"/>
  <c r="S147" i="182"/>
  <c r="R147" i="182"/>
  <c r="AJ146" i="182"/>
  <c r="T146" i="182"/>
  <c r="S146" i="182"/>
  <c r="R146" i="182"/>
  <c r="AJ145" i="182"/>
  <c r="T145" i="182"/>
  <c r="S145" i="182"/>
  <c r="R145" i="182"/>
  <c r="AJ144" i="182"/>
  <c r="T144" i="182"/>
  <c r="S144" i="182"/>
  <c r="R144" i="182"/>
  <c r="AJ143" i="182"/>
  <c r="T143" i="182"/>
  <c r="S143" i="182"/>
  <c r="R143" i="182"/>
  <c r="AJ142" i="182"/>
  <c r="T142" i="182"/>
  <c r="S142" i="182"/>
  <c r="R142" i="182"/>
  <c r="AJ141" i="182"/>
  <c r="T141" i="182"/>
  <c r="S141" i="182"/>
  <c r="R141" i="182"/>
  <c r="AJ140" i="182"/>
  <c r="T140" i="182"/>
  <c r="S140" i="182"/>
  <c r="R140" i="182"/>
  <c r="AJ139" i="182"/>
  <c r="T139" i="182"/>
  <c r="S139" i="182"/>
  <c r="R139" i="182"/>
  <c r="AJ138" i="182"/>
  <c r="T138" i="182"/>
  <c r="S138" i="182"/>
  <c r="R138" i="182"/>
  <c r="AJ137" i="182"/>
  <c r="T137" i="182"/>
  <c r="S137" i="182"/>
  <c r="R137" i="182"/>
  <c r="AJ136" i="182"/>
  <c r="T136" i="182"/>
  <c r="S136" i="182"/>
  <c r="R136" i="182"/>
  <c r="AJ135" i="182"/>
  <c r="T135" i="182"/>
  <c r="S135" i="182"/>
  <c r="R135" i="182"/>
  <c r="AJ134" i="182"/>
  <c r="T134" i="182"/>
  <c r="S134" i="182"/>
  <c r="R134" i="182"/>
  <c r="AJ133" i="182"/>
  <c r="T133" i="182"/>
  <c r="S133" i="182"/>
  <c r="R133" i="182"/>
  <c r="AJ132" i="182"/>
  <c r="T132" i="182"/>
  <c r="S132" i="182"/>
  <c r="R132" i="182"/>
  <c r="AJ131" i="182"/>
  <c r="T131" i="182"/>
  <c r="S131" i="182"/>
  <c r="R131" i="182"/>
  <c r="AJ130" i="182"/>
  <c r="T130" i="182"/>
  <c r="S130" i="182"/>
  <c r="R130" i="182"/>
  <c r="AJ129" i="182"/>
  <c r="T129" i="182"/>
  <c r="S129" i="182"/>
  <c r="R129" i="182"/>
  <c r="AJ128" i="182"/>
  <c r="T128" i="182"/>
  <c r="S128" i="182"/>
  <c r="R128" i="182"/>
  <c r="AJ127" i="182"/>
  <c r="T127" i="182"/>
  <c r="S127" i="182"/>
  <c r="R127" i="182"/>
  <c r="AJ126" i="182"/>
  <c r="T126" i="182"/>
  <c r="S126" i="182"/>
  <c r="R126" i="182"/>
  <c r="AJ125" i="182"/>
  <c r="T125" i="182"/>
  <c r="S125" i="182"/>
  <c r="R125" i="182"/>
  <c r="AJ124" i="182"/>
  <c r="T124" i="182"/>
  <c r="S124" i="182"/>
  <c r="R124" i="182"/>
  <c r="AJ123" i="182"/>
  <c r="T123" i="182"/>
  <c r="S123" i="182"/>
  <c r="R123" i="182"/>
  <c r="AJ122" i="182"/>
  <c r="T122" i="182"/>
  <c r="S122" i="182"/>
  <c r="R122" i="182"/>
  <c r="AJ121" i="182"/>
  <c r="T121" i="182"/>
  <c r="S121" i="182"/>
  <c r="R121" i="182"/>
  <c r="AJ120" i="182"/>
  <c r="T120" i="182"/>
  <c r="S120" i="182"/>
  <c r="R120" i="182"/>
  <c r="AJ119" i="182"/>
  <c r="T119" i="182"/>
  <c r="S119" i="182"/>
  <c r="R119" i="182"/>
  <c r="AJ118" i="182"/>
  <c r="T118" i="182"/>
  <c r="S118" i="182"/>
  <c r="R118" i="182"/>
  <c r="AJ117" i="182"/>
  <c r="T117" i="182"/>
  <c r="S117" i="182"/>
  <c r="R117" i="182"/>
  <c r="AJ116" i="182"/>
  <c r="T116" i="182"/>
  <c r="S116" i="182"/>
  <c r="R116" i="182"/>
  <c r="AJ115" i="182"/>
  <c r="T115" i="182"/>
  <c r="S115" i="182"/>
  <c r="R115" i="182"/>
  <c r="AJ114" i="182"/>
  <c r="T114" i="182"/>
  <c r="S114" i="182"/>
  <c r="R114" i="182"/>
  <c r="AJ113" i="182"/>
  <c r="T113" i="182"/>
  <c r="S113" i="182"/>
  <c r="R113" i="182"/>
  <c r="AJ112" i="182"/>
  <c r="T112" i="182"/>
  <c r="S112" i="182"/>
  <c r="R112" i="182"/>
  <c r="AJ111" i="182"/>
  <c r="T111" i="182"/>
  <c r="S111" i="182"/>
  <c r="R111" i="182"/>
  <c r="AJ110" i="182"/>
  <c r="T110" i="182"/>
  <c r="S110" i="182"/>
  <c r="R110" i="182"/>
  <c r="AJ109" i="182"/>
  <c r="T109" i="182"/>
  <c r="S109" i="182"/>
  <c r="R109" i="182"/>
  <c r="AJ108" i="182"/>
  <c r="T108" i="182"/>
  <c r="S108" i="182"/>
  <c r="R108" i="182"/>
  <c r="AJ107" i="182"/>
  <c r="T107" i="182"/>
  <c r="S107" i="182"/>
  <c r="R107" i="182"/>
  <c r="AJ106" i="182"/>
  <c r="T106" i="182"/>
  <c r="S106" i="182"/>
  <c r="R106" i="182"/>
  <c r="AJ105" i="182"/>
  <c r="T105" i="182"/>
  <c r="S105" i="182"/>
  <c r="R105" i="182"/>
  <c r="AJ104" i="182"/>
  <c r="T104" i="182"/>
  <c r="S104" i="182"/>
  <c r="R104" i="182"/>
  <c r="AJ103" i="182"/>
  <c r="T103" i="182"/>
  <c r="S103" i="182"/>
  <c r="R103" i="182"/>
  <c r="AJ102" i="182"/>
  <c r="T102" i="182"/>
  <c r="S102" i="182"/>
  <c r="R102" i="182"/>
  <c r="AJ101" i="182"/>
  <c r="T101" i="182"/>
  <c r="S101" i="182"/>
  <c r="R101" i="182"/>
  <c r="AJ100" i="182"/>
  <c r="T100" i="182"/>
  <c r="S100" i="182"/>
  <c r="R100" i="182"/>
  <c r="AJ99" i="182"/>
  <c r="T99" i="182"/>
  <c r="S99" i="182"/>
  <c r="R99" i="182"/>
  <c r="AJ98" i="182"/>
  <c r="T98" i="182"/>
  <c r="S98" i="182"/>
  <c r="R98" i="182"/>
  <c r="AJ97" i="182"/>
  <c r="T97" i="182"/>
  <c r="S97" i="182"/>
  <c r="R97" i="182"/>
  <c r="AJ96" i="182"/>
  <c r="T96" i="182"/>
  <c r="S96" i="182"/>
  <c r="R96" i="182"/>
  <c r="AJ95" i="182"/>
  <c r="T95" i="182"/>
  <c r="S95" i="182"/>
  <c r="R95" i="182"/>
  <c r="AJ94" i="182"/>
  <c r="T94" i="182"/>
  <c r="S94" i="182"/>
  <c r="R94" i="182"/>
  <c r="AJ93" i="182"/>
  <c r="T93" i="182"/>
  <c r="S93" i="182"/>
  <c r="R93" i="182"/>
  <c r="AJ92" i="182"/>
  <c r="T92" i="182"/>
  <c r="S92" i="182"/>
  <c r="R92" i="182"/>
  <c r="AJ91" i="182"/>
  <c r="T91" i="182"/>
  <c r="S91" i="182"/>
  <c r="R91" i="182"/>
  <c r="AJ90" i="182"/>
  <c r="T90" i="182"/>
  <c r="S90" i="182"/>
  <c r="R90" i="182"/>
  <c r="AJ89" i="182"/>
  <c r="T89" i="182"/>
  <c r="S89" i="182"/>
  <c r="R89" i="182"/>
  <c r="AJ88" i="182"/>
  <c r="T88" i="182"/>
  <c r="S88" i="182"/>
  <c r="R88" i="182"/>
  <c r="AJ87" i="182"/>
  <c r="T87" i="182"/>
  <c r="S87" i="182"/>
  <c r="R87" i="182"/>
  <c r="AJ86" i="182"/>
  <c r="T86" i="182"/>
  <c r="S86" i="182"/>
  <c r="R86" i="182"/>
  <c r="AJ85" i="182"/>
  <c r="T85" i="182"/>
  <c r="S85" i="182"/>
  <c r="R85" i="182"/>
  <c r="AJ84" i="182"/>
  <c r="T84" i="182"/>
  <c r="S84" i="182"/>
  <c r="R84" i="182"/>
  <c r="AJ83" i="182"/>
  <c r="T83" i="182"/>
  <c r="S83" i="182"/>
  <c r="R83" i="182"/>
  <c r="AJ82" i="182"/>
  <c r="T82" i="182"/>
  <c r="S82" i="182"/>
  <c r="R82" i="182"/>
  <c r="AJ81" i="182"/>
  <c r="T81" i="182"/>
  <c r="S81" i="182"/>
  <c r="R81" i="182"/>
  <c r="AJ80" i="182"/>
  <c r="T80" i="182"/>
  <c r="S80" i="182"/>
  <c r="R80" i="182"/>
  <c r="AJ79" i="182"/>
  <c r="T79" i="182"/>
  <c r="S79" i="182"/>
  <c r="R79" i="182"/>
  <c r="AJ78" i="182"/>
  <c r="T78" i="182"/>
  <c r="S78" i="182"/>
  <c r="R78" i="182"/>
  <c r="AJ77" i="182"/>
  <c r="T77" i="182"/>
  <c r="S77" i="182"/>
  <c r="R77" i="182"/>
  <c r="AJ76" i="182"/>
  <c r="T76" i="182"/>
  <c r="S76" i="182"/>
  <c r="R76" i="182"/>
  <c r="AJ75" i="182"/>
  <c r="T75" i="182"/>
  <c r="S75" i="182"/>
  <c r="R75" i="182"/>
  <c r="AJ74" i="182"/>
  <c r="T74" i="182"/>
  <c r="S74" i="182"/>
  <c r="R74" i="182"/>
  <c r="AJ73" i="182"/>
  <c r="T73" i="182"/>
  <c r="S73" i="182"/>
  <c r="R73" i="182"/>
  <c r="AJ72" i="182"/>
  <c r="T72" i="182"/>
  <c r="S72" i="182"/>
  <c r="R72" i="182"/>
  <c r="AJ71" i="182"/>
  <c r="T71" i="182"/>
  <c r="S71" i="182"/>
  <c r="R71" i="182"/>
  <c r="AJ70" i="182"/>
  <c r="T70" i="182"/>
  <c r="S70" i="182"/>
  <c r="R70" i="182"/>
  <c r="AJ69" i="182"/>
  <c r="T69" i="182"/>
  <c r="S69" i="182"/>
  <c r="R69" i="182"/>
  <c r="AJ68" i="182"/>
  <c r="T68" i="182"/>
  <c r="S68" i="182"/>
  <c r="R68" i="182"/>
  <c r="AJ67" i="182"/>
  <c r="T67" i="182"/>
  <c r="S67" i="182"/>
  <c r="R67" i="182"/>
  <c r="AJ66" i="182"/>
  <c r="T66" i="182"/>
  <c r="S66" i="182"/>
  <c r="R66" i="182"/>
  <c r="AJ65" i="182"/>
  <c r="T65" i="182"/>
  <c r="S65" i="182"/>
  <c r="R65" i="182"/>
  <c r="AJ64" i="182"/>
  <c r="T64" i="182"/>
  <c r="S64" i="182"/>
  <c r="R64" i="182"/>
  <c r="AJ63" i="182"/>
  <c r="T63" i="182"/>
  <c r="S63" i="182"/>
  <c r="R63" i="182"/>
  <c r="AJ62" i="182"/>
  <c r="T62" i="182"/>
  <c r="S62" i="182"/>
  <c r="R62" i="182"/>
  <c r="AJ61" i="182"/>
  <c r="T61" i="182"/>
  <c r="S61" i="182"/>
  <c r="R61" i="182"/>
  <c r="AJ60" i="182"/>
  <c r="T60" i="182"/>
  <c r="S60" i="182"/>
  <c r="R60" i="182"/>
  <c r="AJ59" i="182"/>
  <c r="T59" i="182"/>
  <c r="S59" i="182"/>
  <c r="R59" i="182"/>
  <c r="AJ58" i="182"/>
  <c r="T58" i="182"/>
  <c r="S58" i="182"/>
  <c r="R58" i="182"/>
  <c r="AJ57" i="182"/>
  <c r="T57" i="182"/>
  <c r="S57" i="182"/>
  <c r="R57" i="182"/>
  <c r="AJ56" i="182"/>
  <c r="T56" i="182"/>
  <c r="S56" i="182"/>
  <c r="R56" i="182"/>
  <c r="AJ55" i="182"/>
  <c r="T55" i="182"/>
  <c r="S55" i="182"/>
  <c r="R55" i="182"/>
  <c r="AJ54" i="182"/>
  <c r="T54" i="182"/>
  <c r="S54" i="182"/>
  <c r="R54" i="182"/>
  <c r="AJ53" i="182"/>
  <c r="T53" i="182"/>
  <c r="S53" i="182"/>
  <c r="R53" i="182"/>
  <c r="AJ52" i="182"/>
  <c r="T52" i="182"/>
  <c r="S52" i="182"/>
  <c r="R52" i="182"/>
  <c r="AJ51" i="182"/>
  <c r="T51" i="182"/>
  <c r="S51" i="182"/>
  <c r="R51" i="182"/>
  <c r="AJ50" i="182"/>
  <c r="T50" i="182"/>
  <c r="S50" i="182"/>
  <c r="R50" i="182"/>
  <c r="AJ49" i="182"/>
  <c r="T49" i="182"/>
  <c r="S49" i="182"/>
  <c r="R49" i="182"/>
  <c r="AJ48" i="182"/>
  <c r="T48" i="182"/>
  <c r="S48" i="182"/>
  <c r="R48" i="182"/>
  <c r="AJ47" i="182"/>
  <c r="T47" i="182"/>
  <c r="S47" i="182"/>
  <c r="R47" i="182"/>
  <c r="AJ46" i="182"/>
  <c r="T46" i="182"/>
  <c r="S46" i="182"/>
  <c r="R46" i="182"/>
  <c r="AJ45" i="182"/>
  <c r="T45" i="182"/>
  <c r="S45" i="182"/>
  <c r="R45" i="182"/>
  <c r="AJ44" i="182"/>
  <c r="T44" i="182"/>
  <c r="S44" i="182"/>
  <c r="R44" i="182"/>
  <c r="AJ43" i="182"/>
  <c r="T43" i="182"/>
  <c r="S43" i="182"/>
  <c r="R43" i="182"/>
  <c r="AJ42" i="182"/>
  <c r="T42" i="182"/>
  <c r="S42" i="182"/>
  <c r="R42" i="182"/>
  <c r="AJ41" i="182"/>
  <c r="T41" i="182"/>
  <c r="S41" i="182"/>
  <c r="R41" i="182"/>
  <c r="AJ40" i="182"/>
  <c r="T40" i="182"/>
  <c r="S40" i="182"/>
  <c r="R40" i="182"/>
  <c r="AJ39" i="182"/>
  <c r="T39" i="182"/>
  <c r="S39" i="182"/>
  <c r="R39" i="182"/>
  <c r="AJ38" i="182"/>
  <c r="T38" i="182"/>
  <c r="S38" i="182"/>
  <c r="R38" i="182"/>
  <c r="AJ37" i="182"/>
  <c r="T37" i="182"/>
  <c r="S37" i="182"/>
  <c r="R37" i="182"/>
  <c r="AJ36" i="182"/>
  <c r="T36" i="182"/>
  <c r="S36" i="182"/>
  <c r="R36" i="182"/>
  <c r="AJ35" i="182"/>
  <c r="T35" i="182"/>
  <c r="S35" i="182"/>
  <c r="R35" i="182"/>
  <c r="AJ34" i="182"/>
  <c r="T34" i="182"/>
  <c r="S34" i="182"/>
  <c r="R34" i="182"/>
  <c r="AJ33" i="182"/>
  <c r="T33" i="182"/>
  <c r="S33" i="182"/>
  <c r="R33" i="182"/>
  <c r="AJ32" i="182"/>
  <c r="T32" i="182"/>
  <c r="S32" i="182"/>
  <c r="R32" i="182"/>
  <c r="AJ31" i="182"/>
  <c r="T31" i="182"/>
  <c r="S31" i="182"/>
  <c r="R31" i="182"/>
  <c r="AJ30" i="182"/>
  <c r="T30" i="182"/>
  <c r="S30" i="182"/>
  <c r="R30" i="182"/>
  <c r="AJ29" i="182"/>
  <c r="T29" i="182"/>
  <c r="S29" i="182"/>
  <c r="R29" i="182"/>
  <c r="AJ28" i="182"/>
  <c r="T28" i="182"/>
  <c r="S28" i="182"/>
  <c r="R28" i="182"/>
  <c r="AJ27" i="182"/>
  <c r="T27" i="182"/>
  <c r="S27" i="182"/>
  <c r="R27" i="182"/>
  <c r="AJ26" i="182"/>
  <c r="T26" i="182"/>
  <c r="S26" i="182"/>
  <c r="R26" i="182"/>
  <c r="AJ25" i="182"/>
  <c r="T25" i="182"/>
  <c r="S25" i="182"/>
  <c r="R25" i="182"/>
  <c r="AJ24" i="182"/>
  <c r="T24" i="182"/>
  <c r="S24" i="182"/>
  <c r="AJ23" i="182"/>
  <c r="T23" i="182"/>
  <c r="S23" i="182"/>
  <c r="AJ22" i="182"/>
  <c r="T22" i="182"/>
  <c r="S22" i="182"/>
  <c r="R22" i="182"/>
  <c r="AJ21" i="182"/>
  <c r="T21" i="182"/>
  <c r="S21" i="182"/>
  <c r="R21" i="182"/>
  <c r="AJ20" i="182"/>
  <c r="T20" i="182"/>
  <c r="S20" i="182"/>
  <c r="R20" i="182"/>
  <c r="AJ19" i="182"/>
  <c r="T19" i="182"/>
  <c r="S19" i="182"/>
  <c r="R19" i="182"/>
  <c r="AJ18" i="182"/>
  <c r="T18" i="182"/>
  <c r="S18" i="182"/>
  <c r="R18" i="182"/>
  <c r="AJ17" i="182"/>
  <c r="T17" i="182"/>
  <c r="S17" i="182"/>
  <c r="AJ16" i="182"/>
  <c r="T16" i="182"/>
  <c r="S16" i="182"/>
  <c r="R16" i="182"/>
  <c r="AJ15" i="182"/>
  <c r="T15" i="182"/>
  <c r="S15" i="182"/>
  <c r="R15" i="182"/>
  <c r="AJ14" i="182"/>
  <c r="T14" i="182"/>
  <c r="S14" i="182"/>
  <c r="R14" i="182"/>
  <c r="AJ13" i="182"/>
  <c r="T13" i="182"/>
  <c r="S13" i="182"/>
  <c r="R13" i="182"/>
  <c r="AJ47" i="185"/>
  <c r="T47" i="185"/>
  <c r="S47" i="185"/>
  <c r="R47" i="185"/>
  <c r="AJ46" i="185"/>
  <c r="T46" i="185"/>
  <c r="S46" i="185"/>
  <c r="R46" i="185"/>
  <c r="AJ45" i="185"/>
  <c r="T45" i="185"/>
  <c r="S45" i="185"/>
  <c r="R45" i="185"/>
  <c r="AJ44" i="185"/>
  <c r="T44" i="185"/>
  <c r="S44" i="185"/>
  <c r="R44" i="185"/>
  <c r="AJ43" i="185"/>
  <c r="T43" i="185"/>
  <c r="S43" i="185"/>
  <c r="R43" i="185"/>
  <c r="AJ42" i="185"/>
  <c r="T42" i="185"/>
  <c r="S42" i="185"/>
  <c r="R42" i="185"/>
  <c r="AJ41" i="185"/>
  <c r="T41" i="185"/>
  <c r="S41" i="185"/>
  <c r="R41" i="185"/>
  <c r="AJ40" i="185"/>
  <c r="T40" i="185"/>
  <c r="S40" i="185"/>
  <c r="R40" i="185"/>
  <c r="AJ39" i="185"/>
  <c r="T39" i="185"/>
  <c r="S39" i="185"/>
  <c r="R39" i="185"/>
  <c r="AJ38" i="185"/>
  <c r="T38" i="185"/>
  <c r="S38" i="185"/>
  <c r="R38" i="185"/>
  <c r="AJ37" i="185"/>
  <c r="T37" i="185"/>
  <c r="S37" i="185"/>
  <c r="R37" i="185"/>
  <c r="AJ36" i="185"/>
  <c r="T36" i="185"/>
  <c r="S36" i="185"/>
  <c r="R36" i="185"/>
  <c r="AJ35" i="185"/>
  <c r="T35" i="185"/>
  <c r="S35" i="185"/>
  <c r="R35" i="185"/>
  <c r="AJ34" i="185"/>
  <c r="T34" i="185"/>
  <c r="S34" i="185"/>
  <c r="R34" i="185"/>
  <c r="AJ33" i="185"/>
  <c r="T33" i="185"/>
  <c r="S33" i="185"/>
  <c r="R33" i="185"/>
  <c r="AJ32" i="185"/>
  <c r="T32" i="185"/>
  <c r="S32" i="185"/>
  <c r="R32" i="185"/>
  <c r="AJ31" i="185"/>
  <c r="T31" i="185"/>
  <c r="S31" i="185"/>
  <c r="R31" i="185"/>
  <c r="AJ30" i="185"/>
  <c r="T30" i="185"/>
  <c r="S30" i="185"/>
  <c r="R30" i="185"/>
  <c r="AJ29" i="185"/>
  <c r="T29" i="185"/>
  <c r="S29" i="185"/>
  <c r="R29" i="185"/>
  <c r="AJ28" i="185"/>
  <c r="T28" i="185"/>
  <c r="S28" i="185"/>
  <c r="R28" i="185"/>
  <c r="AJ27" i="185"/>
  <c r="T27" i="185"/>
  <c r="S27" i="185"/>
  <c r="R27" i="185"/>
  <c r="AJ26" i="185"/>
  <c r="T26" i="185"/>
  <c r="S26" i="185"/>
  <c r="R26" i="185"/>
  <c r="AJ25" i="185"/>
  <c r="T25" i="185"/>
  <c r="S25" i="185"/>
  <c r="R25" i="185"/>
  <c r="AJ24" i="185"/>
  <c r="T24" i="185"/>
  <c r="S24" i="185"/>
  <c r="R24" i="185"/>
  <c r="AJ23" i="185"/>
  <c r="T23" i="185"/>
  <c r="S23" i="185"/>
  <c r="AJ22" i="185"/>
  <c r="T22" i="185"/>
  <c r="S22" i="185"/>
  <c r="AJ21" i="185"/>
  <c r="T21" i="185"/>
  <c r="S21" i="185"/>
  <c r="R21" i="185"/>
  <c r="AJ20" i="185"/>
  <c r="T20" i="185"/>
  <c r="S20" i="185"/>
  <c r="R20" i="185"/>
  <c r="AJ19" i="185"/>
  <c r="T19" i="185"/>
  <c r="S19" i="185"/>
  <c r="R19" i="185"/>
  <c r="AJ18" i="185"/>
  <c r="T18" i="185"/>
  <c r="S18" i="185"/>
  <c r="R18" i="185"/>
  <c r="AJ17" i="185"/>
  <c r="T17" i="185"/>
  <c r="S17" i="185"/>
  <c r="AJ16" i="185"/>
  <c r="T16" i="185"/>
  <c r="S16" i="185"/>
  <c r="R16" i="185"/>
  <c r="AJ15" i="185"/>
  <c r="T15" i="185"/>
  <c r="S15" i="185"/>
  <c r="R15" i="185"/>
  <c r="AJ14" i="185"/>
  <c r="T14" i="185"/>
  <c r="S14" i="185"/>
  <c r="R14" i="185"/>
  <c r="AJ13" i="185"/>
  <c r="T13" i="185"/>
  <c r="S13" i="185"/>
  <c r="R13" i="185"/>
  <c r="AJ31" i="186"/>
  <c r="T31" i="186"/>
  <c r="S31" i="186"/>
  <c r="R31" i="186"/>
  <c r="AJ30" i="186"/>
  <c r="T30" i="186"/>
  <c r="S30" i="186"/>
  <c r="R30" i="186"/>
  <c r="AJ29" i="186"/>
  <c r="T29" i="186"/>
  <c r="S29" i="186"/>
  <c r="R29" i="186"/>
  <c r="AJ28" i="186"/>
  <c r="T28" i="186"/>
  <c r="S28" i="186"/>
  <c r="R28" i="186"/>
  <c r="AJ27" i="186"/>
  <c r="T27" i="186"/>
  <c r="S27" i="186"/>
  <c r="R27" i="186"/>
  <c r="AJ26" i="186"/>
  <c r="T26" i="186"/>
  <c r="S26" i="186"/>
  <c r="R26" i="186"/>
  <c r="AJ25" i="186"/>
  <c r="T25" i="186"/>
  <c r="S25" i="186"/>
  <c r="R25" i="186"/>
  <c r="AJ24" i="186"/>
  <c r="T24" i="186"/>
  <c r="S24" i="186"/>
  <c r="R24" i="186"/>
  <c r="AJ23" i="186"/>
  <c r="T23" i="186"/>
  <c r="S23" i="186"/>
  <c r="AJ22" i="186"/>
  <c r="T22" i="186"/>
  <c r="S22" i="186"/>
  <c r="AJ21" i="186"/>
  <c r="T21" i="186"/>
  <c r="S21" i="186"/>
  <c r="R21" i="186"/>
  <c r="AJ20" i="186"/>
  <c r="T20" i="186"/>
  <c r="S20" i="186"/>
  <c r="R20" i="186"/>
  <c r="AJ19" i="186"/>
  <c r="T19" i="186"/>
  <c r="S19" i="186"/>
  <c r="R19" i="186"/>
  <c r="AJ18" i="186"/>
  <c r="T18" i="186"/>
  <c r="S18" i="186"/>
  <c r="R18" i="186"/>
  <c r="AJ17" i="186"/>
  <c r="T17" i="186"/>
  <c r="S17" i="186"/>
  <c r="AJ16" i="186"/>
  <c r="T16" i="186"/>
  <c r="S16" i="186"/>
  <c r="R16" i="186"/>
  <c r="AJ15" i="186"/>
  <c r="T15" i="186"/>
  <c r="S15" i="186"/>
  <c r="R15" i="186"/>
  <c r="AJ14" i="186"/>
  <c r="T14" i="186"/>
  <c r="S14" i="186"/>
  <c r="R14" i="186"/>
  <c r="AJ13" i="186"/>
  <c r="T13" i="186"/>
  <c r="S13" i="186"/>
  <c r="R13" i="186"/>
  <c r="AJ31" i="187"/>
  <c r="T31" i="187"/>
  <c r="S31" i="187"/>
  <c r="R31" i="187"/>
  <c r="AJ30" i="187"/>
  <c r="T30" i="187"/>
  <c r="S30" i="187"/>
  <c r="R30" i="187"/>
  <c r="AJ29" i="187"/>
  <c r="T29" i="187"/>
  <c r="S29" i="187"/>
  <c r="R29" i="187"/>
  <c r="AJ28" i="187"/>
  <c r="T28" i="187"/>
  <c r="S28" i="187"/>
  <c r="R28" i="187"/>
  <c r="AJ27" i="187"/>
  <c r="T27" i="187"/>
  <c r="S27" i="187"/>
  <c r="R27" i="187"/>
  <c r="AJ26" i="187"/>
  <c r="T26" i="187"/>
  <c r="S26" i="187"/>
  <c r="R26" i="187"/>
  <c r="AJ25" i="187"/>
  <c r="T25" i="187"/>
  <c r="S25" i="187"/>
  <c r="R25" i="187"/>
  <c r="AJ24" i="187"/>
  <c r="T24" i="187"/>
  <c r="S24" i="187"/>
  <c r="R24" i="187"/>
  <c r="AJ23" i="187"/>
  <c r="T23" i="187"/>
  <c r="S23" i="187"/>
  <c r="AJ22" i="187"/>
  <c r="T22" i="187"/>
  <c r="S22" i="187"/>
  <c r="AJ21" i="187"/>
  <c r="T21" i="187"/>
  <c r="S21" i="187"/>
  <c r="R21" i="187"/>
  <c r="AJ20" i="187"/>
  <c r="T20" i="187"/>
  <c r="S20" i="187"/>
  <c r="R20" i="187"/>
  <c r="AJ19" i="187"/>
  <c r="T19" i="187"/>
  <c r="S19" i="187"/>
  <c r="R19" i="187"/>
  <c r="AJ18" i="187"/>
  <c r="T18" i="187"/>
  <c r="S18" i="187"/>
  <c r="R18" i="187"/>
  <c r="AJ17" i="187"/>
  <c r="T17" i="187"/>
  <c r="S17" i="187"/>
  <c r="AJ16" i="187"/>
  <c r="T16" i="187"/>
  <c r="S16" i="187"/>
  <c r="R16" i="187"/>
  <c r="AJ15" i="187"/>
  <c r="T15" i="187"/>
  <c r="S15" i="187"/>
  <c r="R15" i="187"/>
  <c r="AJ14" i="187"/>
  <c r="T14" i="187"/>
  <c r="S14" i="187"/>
  <c r="R14" i="187"/>
  <c r="AJ13" i="187"/>
  <c r="T13" i="187"/>
  <c r="S13" i="187"/>
  <c r="R13" i="187"/>
  <c r="AJ47" i="181"/>
  <c r="T47" i="181"/>
  <c r="S47" i="181"/>
  <c r="R47" i="181"/>
  <c r="AJ46" i="181"/>
  <c r="T46" i="181"/>
  <c r="S46" i="181"/>
  <c r="R46" i="181"/>
  <c r="AJ45" i="181"/>
  <c r="T45" i="181"/>
  <c r="S45" i="181"/>
  <c r="R45" i="181"/>
  <c r="AJ44" i="181"/>
  <c r="T44" i="181"/>
  <c r="S44" i="181"/>
  <c r="R44" i="181"/>
  <c r="AJ43" i="181"/>
  <c r="T43" i="181"/>
  <c r="S43" i="181"/>
  <c r="R43" i="181"/>
  <c r="AJ42" i="181"/>
  <c r="T42" i="181"/>
  <c r="S42" i="181"/>
  <c r="R42" i="181"/>
  <c r="AJ41" i="181"/>
  <c r="T41" i="181"/>
  <c r="S41" i="181"/>
  <c r="R41" i="181"/>
  <c r="AJ40" i="181"/>
  <c r="T40" i="181"/>
  <c r="S40" i="181"/>
  <c r="R40" i="181"/>
  <c r="AJ39" i="181"/>
  <c r="T39" i="181"/>
  <c r="S39" i="181"/>
  <c r="R39" i="181"/>
  <c r="AJ38" i="181"/>
  <c r="T38" i="181"/>
  <c r="S38" i="181"/>
  <c r="R38" i="181"/>
  <c r="AJ37" i="181"/>
  <c r="T37" i="181"/>
  <c r="S37" i="181"/>
  <c r="R37" i="181"/>
  <c r="AJ36" i="181"/>
  <c r="T36" i="181"/>
  <c r="S36" i="181"/>
  <c r="R36" i="181"/>
  <c r="AJ35" i="181"/>
  <c r="T35" i="181"/>
  <c r="S35" i="181"/>
  <c r="R35" i="181"/>
  <c r="AJ34" i="181"/>
  <c r="T34" i="181"/>
  <c r="S34" i="181"/>
  <c r="R34" i="181"/>
  <c r="AJ33" i="181"/>
  <c r="T33" i="181"/>
  <c r="S33" i="181"/>
  <c r="R33" i="181"/>
  <c r="AJ32" i="181"/>
  <c r="T32" i="181"/>
  <c r="S32" i="181"/>
  <c r="R32" i="181"/>
  <c r="AJ31" i="181"/>
  <c r="T31" i="181"/>
  <c r="S31" i="181"/>
  <c r="R31" i="181"/>
  <c r="AJ30" i="181"/>
  <c r="T30" i="181"/>
  <c r="S30" i="181"/>
  <c r="R30" i="181"/>
  <c r="AJ29" i="181"/>
  <c r="T29" i="181"/>
  <c r="S29" i="181"/>
  <c r="R29" i="181"/>
  <c r="AJ28" i="181"/>
  <c r="T28" i="181"/>
  <c r="S28" i="181"/>
  <c r="R28" i="181"/>
  <c r="AJ27" i="181"/>
  <c r="T27" i="181"/>
  <c r="S27" i="181"/>
  <c r="R27" i="181"/>
  <c r="AJ26" i="181"/>
  <c r="T26" i="181"/>
  <c r="S26" i="181"/>
  <c r="R26" i="181"/>
  <c r="AJ25" i="181"/>
  <c r="T25" i="181"/>
  <c r="S25" i="181"/>
  <c r="R25" i="181"/>
  <c r="AJ24" i="181"/>
  <c r="T24" i="181"/>
  <c r="S24" i="181"/>
  <c r="R24" i="181"/>
  <c r="AJ23" i="181"/>
  <c r="T23" i="181"/>
  <c r="S23" i="181"/>
  <c r="R23" i="181"/>
  <c r="AJ22" i="181"/>
  <c r="T22" i="181"/>
  <c r="S22" i="181"/>
  <c r="R22" i="181"/>
  <c r="AJ21" i="181"/>
  <c r="T21" i="181"/>
  <c r="S21" i="181"/>
  <c r="R21" i="181"/>
  <c r="AJ20" i="181"/>
  <c r="T20" i="181"/>
  <c r="S20" i="181"/>
  <c r="R20" i="181"/>
  <c r="AJ19" i="181"/>
  <c r="T19" i="181"/>
  <c r="S19" i="181"/>
  <c r="R19" i="181"/>
  <c r="AJ18" i="181"/>
  <c r="T18" i="181"/>
  <c r="S18" i="181"/>
  <c r="R18" i="181"/>
  <c r="AJ17" i="181"/>
  <c r="T17" i="181"/>
  <c r="S17" i="181"/>
  <c r="AJ16" i="181"/>
  <c r="T16" i="181"/>
  <c r="S16" i="181"/>
  <c r="R16" i="181"/>
  <c r="AJ15" i="181"/>
  <c r="T15" i="181"/>
  <c r="S15" i="181"/>
  <c r="R15" i="181"/>
  <c r="AJ14" i="181"/>
  <c r="T14" i="181"/>
  <c r="S14" i="181"/>
  <c r="R14" i="181"/>
  <c r="AJ13" i="181"/>
  <c r="T13" i="181"/>
  <c r="S13" i="181"/>
  <c r="R13" i="181"/>
  <c r="W255" i="178" l="1"/>
  <c r="W243" i="178"/>
  <c r="W231" i="178"/>
  <c r="W219" i="178"/>
  <c r="W207" i="178"/>
  <c r="W5" i="177"/>
  <c r="W4" i="177"/>
  <c r="W3" i="177"/>
  <c r="W1132" i="174"/>
  <c r="W1120" i="174"/>
  <c r="W1108" i="174"/>
  <c r="W1096" i="174"/>
  <c r="W1084" i="174"/>
  <c r="W1072" i="174"/>
  <c r="AJ47" i="179" l="1"/>
  <c r="T47" i="179"/>
  <c r="S47" i="179"/>
  <c r="R47" i="179"/>
  <c r="AJ46" i="179"/>
  <c r="T46" i="179"/>
  <c r="S46" i="179"/>
  <c r="R46" i="179"/>
  <c r="AJ45" i="179"/>
  <c r="T45" i="179"/>
  <c r="S45" i="179"/>
  <c r="R45" i="179"/>
  <c r="AJ44" i="179"/>
  <c r="T44" i="179"/>
  <c r="S44" i="179"/>
  <c r="R44" i="179"/>
  <c r="AJ43" i="179"/>
  <c r="T43" i="179"/>
  <c r="S43" i="179"/>
  <c r="R43" i="179"/>
  <c r="AJ42" i="179"/>
  <c r="T42" i="179"/>
  <c r="S42" i="179"/>
  <c r="R42" i="179"/>
  <c r="AJ41" i="179"/>
  <c r="T41" i="179"/>
  <c r="S41" i="179"/>
  <c r="R41" i="179"/>
  <c r="AJ40" i="179"/>
  <c r="T40" i="179"/>
  <c r="S40" i="179"/>
  <c r="R40" i="179"/>
  <c r="AJ39" i="179"/>
  <c r="T39" i="179"/>
  <c r="S39" i="179"/>
  <c r="R39" i="179"/>
  <c r="AJ38" i="179"/>
  <c r="T38" i="179"/>
  <c r="S38" i="179"/>
  <c r="R38" i="179"/>
  <c r="AJ37" i="179"/>
  <c r="T37" i="179"/>
  <c r="S37" i="179"/>
  <c r="R37" i="179"/>
  <c r="AJ36" i="179"/>
  <c r="T36" i="179"/>
  <c r="S36" i="179"/>
  <c r="R36" i="179"/>
  <c r="AJ35" i="179"/>
  <c r="T35" i="179"/>
  <c r="S35" i="179"/>
  <c r="R35" i="179"/>
  <c r="AJ34" i="179"/>
  <c r="T34" i="179"/>
  <c r="S34" i="179"/>
  <c r="R34" i="179"/>
  <c r="AJ33" i="179"/>
  <c r="T33" i="179"/>
  <c r="S33" i="179"/>
  <c r="R33" i="179"/>
  <c r="AJ32" i="179"/>
  <c r="T32" i="179"/>
  <c r="S32" i="179"/>
  <c r="R32" i="179"/>
  <c r="AJ31" i="179"/>
  <c r="T31" i="179"/>
  <c r="S31" i="179"/>
  <c r="R31" i="179"/>
  <c r="AJ30" i="179"/>
  <c r="T30" i="179"/>
  <c r="S30" i="179"/>
  <c r="R30" i="179"/>
  <c r="AJ29" i="179"/>
  <c r="T29" i="179"/>
  <c r="S29" i="179"/>
  <c r="R29" i="179"/>
  <c r="AJ28" i="179"/>
  <c r="T28" i="179"/>
  <c r="S28" i="179"/>
  <c r="R28" i="179"/>
  <c r="AJ27" i="179"/>
  <c r="T27" i="179"/>
  <c r="S27" i="179"/>
  <c r="R27" i="179"/>
  <c r="AJ26" i="179"/>
  <c r="T26" i="179"/>
  <c r="S26" i="179"/>
  <c r="R26" i="179"/>
  <c r="AJ25" i="179"/>
  <c r="T25" i="179"/>
  <c r="S25" i="179"/>
  <c r="R25" i="179"/>
  <c r="AJ24" i="179"/>
  <c r="T24" i="179"/>
  <c r="S24" i="179"/>
  <c r="R24" i="179"/>
  <c r="AJ23" i="179"/>
  <c r="T23" i="179"/>
  <c r="S23" i="179"/>
  <c r="R23" i="179"/>
  <c r="AJ22" i="179"/>
  <c r="T22" i="179"/>
  <c r="S22" i="179"/>
  <c r="R22" i="179"/>
  <c r="AJ21" i="179"/>
  <c r="T21" i="179"/>
  <c r="S21" i="179"/>
  <c r="R21" i="179"/>
  <c r="AJ20" i="179"/>
  <c r="T20" i="179"/>
  <c r="S20" i="179"/>
  <c r="R20" i="179"/>
  <c r="AJ19" i="179"/>
  <c r="T19" i="179"/>
  <c r="S19" i="179"/>
  <c r="R19" i="179"/>
  <c r="AJ18" i="179"/>
  <c r="T18" i="179"/>
  <c r="S18" i="179"/>
  <c r="R18" i="179"/>
  <c r="AJ17" i="179"/>
  <c r="T17" i="179"/>
  <c r="S17" i="179"/>
  <c r="AJ16" i="179"/>
  <c r="T16" i="179"/>
  <c r="S16" i="179"/>
  <c r="R16" i="179"/>
  <c r="AJ15" i="179"/>
  <c r="T15" i="179"/>
  <c r="S15" i="179"/>
  <c r="R15" i="179"/>
  <c r="AJ14" i="179"/>
  <c r="T14" i="179"/>
  <c r="S14" i="179"/>
  <c r="R14" i="179"/>
  <c r="AJ13" i="179"/>
  <c r="T13" i="179"/>
  <c r="S13" i="179"/>
  <c r="R13" i="179"/>
  <c r="AJ14" i="172" l="1"/>
  <c r="AJ15" i="172"/>
  <c r="AJ16" i="172"/>
  <c r="AJ17" i="172"/>
  <c r="AJ18" i="172"/>
  <c r="AJ19" i="172"/>
  <c r="AJ20" i="172"/>
  <c r="AJ21" i="172"/>
  <c r="AJ22" i="172"/>
  <c r="AJ23" i="172"/>
  <c r="AJ24" i="172"/>
  <c r="AJ25" i="172"/>
  <c r="AJ26" i="172"/>
  <c r="AJ27" i="172"/>
  <c r="AJ28" i="172"/>
  <c r="AJ29" i="172"/>
  <c r="AJ30" i="172"/>
  <c r="AJ31" i="172"/>
  <c r="AJ32" i="172"/>
  <c r="AJ33" i="172"/>
  <c r="AJ34" i="172"/>
  <c r="AJ35" i="172"/>
  <c r="AJ36" i="172"/>
  <c r="AJ37" i="172"/>
  <c r="AJ38" i="172"/>
  <c r="AJ39" i="172"/>
  <c r="AJ40" i="172"/>
  <c r="AJ41" i="172"/>
  <c r="AJ42" i="172"/>
  <c r="AJ43" i="172"/>
  <c r="AJ44" i="172"/>
  <c r="AJ45" i="172"/>
  <c r="AJ46" i="172"/>
  <c r="AJ13" i="172"/>
  <c r="B156" i="25" l="1"/>
  <c r="A156" i="25"/>
  <c r="A106" i="25"/>
  <c r="B158" i="25"/>
  <c r="B220" i="25"/>
  <c r="A220" i="25"/>
  <c r="B219" i="25"/>
  <c r="O219" i="25" s="1"/>
  <c r="B205" i="25"/>
  <c r="O205" i="25" s="1"/>
  <c r="B200" i="25"/>
  <c r="B164" i="25"/>
  <c r="B157" i="25"/>
  <c r="O157" i="25" s="1"/>
  <c r="B153" i="25"/>
  <c r="O153" i="25" s="1"/>
  <c r="B112" i="25"/>
  <c r="B111" i="25"/>
  <c r="B110" i="25"/>
  <c r="B109" i="25"/>
  <c r="B108" i="25"/>
  <c r="AM156" i="25"/>
  <c r="AM158" i="25"/>
  <c r="AM106" i="25"/>
  <c r="AM220" i="25"/>
  <c r="O220" i="25" l="1"/>
  <c r="BK220" i="25" s="1"/>
  <c r="O158" i="25"/>
  <c r="O156" i="25"/>
  <c r="BK156" i="25" s="1"/>
  <c r="BK106" i="25"/>
  <c r="G14" i="188"/>
  <c r="Q14" i="188" s="1"/>
  <c r="B14" i="188"/>
  <c r="P14" i="188" s="1"/>
  <c r="G16" i="190"/>
  <c r="Q16" i="190" s="1"/>
  <c r="B16" i="190"/>
  <c r="P16" i="190" s="1"/>
  <c r="BK158" i="25" l="1"/>
  <c r="G31" i="196"/>
  <c r="Q31" i="196" s="1"/>
  <c r="B31" i="196"/>
  <c r="P31" i="196" s="1"/>
  <c r="G30" i="196"/>
  <c r="Q30" i="196" s="1"/>
  <c r="B30" i="196"/>
  <c r="P30" i="196" s="1"/>
  <c r="G29" i="196"/>
  <c r="Q29" i="196" s="1"/>
  <c r="B29" i="196"/>
  <c r="P29" i="196" s="1"/>
  <c r="G28" i="196"/>
  <c r="Q28" i="196" s="1"/>
  <c r="B28" i="196"/>
  <c r="P28" i="196" s="1"/>
  <c r="G27" i="196"/>
  <c r="Q27" i="196" s="1"/>
  <c r="B27" i="196"/>
  <c r="P27" i="196" s="1"/>
  <c r="G26" i="196"/>
  <c r="Q26" i="196" s="1"/>
  <c r="B26" i="196"/>
  <c r="P26" i="196" s="1"/>
  <c r="G25" i="196"/>
  <c r="Q25" i="196" s="1"/>
  <c r="B25" i="196"/>
  <c r="P25" i="196" s="1"/>
  <c r="G24" i="196"/>
  <c r="Q24" i="196" s="1"/>
  <c r="B24" i="196"/>
  <c r="P24" i="196" s="1"/>
  <c r="G23" i="196"/>
  <c r="B23" i="196"/>
  <c r="P23" i="196" s="1"/>
  <c r="G22" i="196"/>
  <c r="B22" i="196"/>
  <c r="P22" i="196" s="1"/>
  <c r="G21" i="196"/>
  <c r="Q21" i="196" s="1"/>
  <c r="B21" i="196"/>
  <c r="P21" i="196" s="1"/>
  <c r="G20" i="196"/>
  <c r="Q20" i="196" s="1"/>
  <c r="B20" i="196"/>
  <c r="P20" i="196" s="1"/>
  <c r="G19" i="196"/>
  <c r="Q19" i="196" s="1"/>
  <c r="B19" i="196"/>
  <c r="P19" i="196" s="1"/>
  <c r="G18" i="196"/>
  <c r="Q18" i="196" s="1"/>
  <c r="B18" i="196"/>
  <c r="P18" i="196" s="1"/>
  <c r="G17" i="196"/>
  <c r="B17" i="196"/>
  <c r="P17" i="196" s="1"/>
  <c r="G16" i="196"/>
  <c r="Q16" i="196" s="1"/>
  <c r="B16" i="196"/>
  <c r="P16" i="196" s="1"/>
  <c r="G15" i="196"/>
  <c r="Q15" i="196" s="1"/>
  <c r="B15" i="196"/>
  <c r="P15" i="196" s="1"/>
  <c r="G14" i="196"/>
  <c r="Q14" i="196" s="1"/>
  <c r="B14" i="196"/>
  <c r="P14" i="196" s="1"/>
  <c r="G13" i="196"/>
  <c r="Q13" i="196" s="1"/>
  <c r="B13" i="196"/>
  <c r="P13" i="196" s="1"/>
  <c r="G31" i="195"/>
  <c r="Q31" i="195" s="1"/>
  <c r="B31" i="195"/>
  <c r="P31" i="195" s="1"/>
  <c r="G30" i="195"/>
  <c r="Q30" i="195" s="1"/>
  <c r="B30" i="195"/>
  <c r="P30" i="195" s="1"/>
  <c r="G29" i="195"/>
  <c r="Q29" i="195" s="1"/>
  <c r="B29" i="195"/>
  <c r="P29" i="195" s="1"/>
  <c r="G28" i="195"/>
  <c r="Q28" i="195" s="1"/>
  <c r="B28" i="195"/>
  <c r="P28" i="195" s="1"/>
  <c r="G27" i="195"/>
  <c r="Q27" i="195" s="1"/>
  <c r="B27" i="195"/>
  <c r="P27" i="195" s="1"/>
  <c r="G26" i="195"/>
  <c r="Q26" i="195" s="1"/>
  <c r="B26" i="195"/>
  <c r="P26" i="195" s="1"/>
  <c r="G25" i="195"/>
  <c r="Q25" i="195" s="1"/>
  <c r="B25" i="195"/>
  <c r="P25" i="195" s="1"/>
  <c r="G24" i="195"/>
  <c r="Q24" i="195" s="1"/>
  <c r="B24" i="195"/>
  <c r="P24" i="195" s="1"/>
  <c r="G23" i="195"/>
  <c r="B23" i="195"/>
  <c r="P23" i="195" s="1"/>
  <c r="G22" i="195"/>
  <c r="B22" i="195"/>
  <c r="P22" i="195" s="1"/>
  <c r="G21" i="195"/>
  <c r="Q21" i="195" s="1"/>
  <c r="B21" i="195"/>
  <c r="P21" i="195" s="1"/>
  <c r="G20" i="195"/>
  <c r="Q20" i="195" s="1"/>
  <c r="B20" i="195"/>
  <c r="P20" i="195" s="1"/>
  <c r="G19" i="195"/>
  <c r="Q19" i="195" s="1"/>
  <c r="B19" i="195"/>
  <c r="P19" i="195" s="1"/>
  <c r="G18" i="195"/>
  <c r="Q18" i="195" s="1"/>
  <c r="B18" i="195"/>
  <c r="P18" i="195" s="1"/>
  <c r="G17" i="195"/>
  <c r="B17" i="195"/>
  <c r="P17" i="195" s="1"/>
  <c r="G16" i="195"/>
  <c r="Q16" i="195" s="1"/>
  <c r="B16" i="195"/>
  <c r="P16" i="195" s="1"/>
  <c r="G15" i="195"/>
  <c r="Q15" i="195" s="1"/>
  <c r="B15" i="195"/>
  <c r="P15" i="195" s="1"/>
  <c r="G14" i="195"/>
  <c r="Q14" i="195" s="1"/>
  <c r="B14" i="195"/>
  <c r="P14" i="195" s="1"/>
  <c r="G13" i="195"/>
  <c r="Q13" i="195" s="1"/>
  <c r="B13" i="195"/>
  <c r="P13" i="195" s="1"/>
  <c r="G155" i="194"/>
  <c r="Q155" i="194" s="1"/>
  <c r="B155" i="194"/>
  <c r="P155" i="194" s="1"/>
  <c r="G154" i="194"/>
  <c r="Q154" i="194" s="1"/>
  <c r="B154" i="194"/>
  <c r="P154" i="194" s="1"/>
  <c r="G153" i="194"/>
  <c r="Q153" i="194" s="1"/>
  <c r="B153" i="194"/>
  <c r="P153" i="194" s="1"/>
  <c r="G152" i="194"/>
  <c r="Q152" i="194" s="1"/>
  <c r="B152" i="194"/>
  <c r="P152" i="194" s="1"/>
  <c r="G151" i="194"/>
  <c r="Q151" i="194" s="1"/>
  <c r="B151" i="194"/>
  <c r="P151" i="194" s="1"/>
  <c r="G150" i="194"/>
  <c r="Q150" i="194" s="1"/>
  <c r="B150" i="194"/>
  <c r="P150" i="194" s="1"/>
  <c r="G149" i="194"/>
  <c r="Q149" i="194" s="1"/>
  <c r="B149" i="194"/>
  <c r="P149" i="194" s="1"/>
  <c r="G148" i="194"/>
  <c r="Q148" i="194" s="1"/>
  <c r="B148" i="194"/>
  <c r="P148" i="194" s="1"/>
  <c r="G147" i="194"/>
  <c r="Q147" i="194" s="1"/>
  <c r="B147" i="194"/>
  <c r="P147" i="194" s="1"/>
  <c r="G146" i="194"/>
  <c r="Q146" i="194" s="1"/>
  <c r="B146" i="194"/>
  <c r="P146" i="194" s="1"/>
  <c r="G145" i="194"/>
  <c r="Q145" i="194" s="1"/>
  <c r="B145" i="194"/>
  <c r="P145" i="194" s="1"/>
  <c r="G144" i="194"/>
  <c r="Q144" i="194" s="1"/>
  <c r="B144" i="194"/>
  <c r="P144" i="194" s="1"/>
  <c r="G143" i="194"/>
  <c r="Q143" i="194" s="1"/>
  <c r="B143" i="194"/>
  <c r="P143" i="194" s="1"/>
  <c r="G142" i="194"/>
  <c r="Q142" i="194" s="1"/>
  <c r="B142" i="194"/>
  <c r="P142" i="194" s="1"/>
  <c r="G141" i="194"/>
  <c r="Q141" i="194" s="1"/>
  <c r="B141" i="194"/>
  <c r="P141" i="194" s="1"/>
  <c r="G140" i="194"/>
  <c r="Q140" i="194" s="1"/>
  <c r="B140" i="194"/>
  <c r="P140" i="194" s="1"/>
  <c r="G139" i="194"/>
  <c r="Q139" i="194" s="1"/>
  <c r="B139" i="194"/>
  <c r="P139" i="194" s="1"/>
  <c r="G138" i="194"/>
  <c r="Q138" i="194" s="1"/>
  <c r="B138" i="194"/>
  <c r="P138" i="194" s="1"/>
  <c r="G137" i="194"/>
  <c r="Q137" i="194" s="1"/>
  <c r="B137" i="194"/>
  <c r="P137" i="194" s="1"/>
  <c r="G136" i="194"/>
  <c r="Q136" i="194" s="1"/>
  <c r="B136" i="194"/>
  <c r="P136" i="194" s="1"/>
  <c r="G135" i="194"/>
  <c r="Q135" i="194" s="1"/>
  <c r="B135" i="194"/>
  <c r="P135" i="194" s="1"/>
  <c r="G134" i="194"/>
  <c r="Q134" i="194" s="1"/>
  <c r="B134" i="194"/>
  <c r="P134" i="194" s="1"/>
  <c r="G133" i="194"/>
  <c r="Q133" i="194" s="1"/>
  <c r="B133" i="194"/>
  <c r="P133" i="194" s="1"/>
  <c r="G132" i="194"/>
  <c r="Q132" i="194" s="1"/>
  <c r="B132" i="194"/>
  <c r="P132" i="194" s="1"/>
  <c r="G131" i="194"/>
  <c r="Q131" i="194" s="1"/>
  <c r="B131" i="194"/>
  <c r="P131" i="194" s="1"/>
  <c r="G130" i="194"/>
  <c r="Q130" i="194" s="1"/>
  <c r="B130" i="194"/>
  <c r="P130" i="194" s="1"/>
  <c r="G129" i="194"/>
  <c r="Q129" i="194" s="1"/>
  <c r="B129" i="194"/>
  <c r="P129" i="194" s="1"/>
  <c r="G128" i="194"/>
  <c r="Q128" i="194" s="1"/>
  <c r="B128" i="194"/>
  <c r="P128" i="194" s="1"/>
  <c r="G127" i="194"/>
  <c r="Q127" i="194" s="1"/>
  <c r="B127" i="194"/>
  <c r="P127" i="194" s="1"/>
  <c r="G126" i="194"/>
  <c r="Q126" i="194" s="1"/>
  <c r="B126" i="194"/>
  <c r="P126" i="194" s="1"/>
  <c r="G125" i="194"/>
  <c r="Q125" i="194" s="1"/>
  <c r="B125" i="194"/>
  <c r="P125" i="194" s="1"/>
  <c r="G124" i="194"/>
  <c r="Q124" i="194" s="1"/>
  <c r="B124" i="194"/>
  <c r="P124" i="194" s="1"/>
  <c r="G123" i="194"/>
  <c r="Q123" i="194" s="1"/>
  <c r="B123" i="194"/>
  <c r="P123" i="194" s="1"/>
  <c r="G122" i="194"/>
  <c r="Q122" i="194" s="1"/>
  <c r="B122" i="194"/>
  <c r="P122" i="194" s="1"/>
  <c r="G121" i="194"/>
  <c r="Q121" i="194" s="1"/>
  <c r="B121" i="194"/>
  <c r="P121" i="194" s="1"/>
  <c r="G120" i="194"/>
  <c r="Q120" i="194" s="1"/>
  <c r="B120" i="194"/>
  <c r="P120" i="194" s="1"/>
  <c r="G119" i="194"/>
  <c r="Q119" i="194" s="1"/>
  <c r="B119" i="194"/>
  <c r="P119" i="194" s="1"/>
  <c r="G118" i="194"/>
  <c r="Q118" i="194" s="1"/>
  <c r="B118" i="194"/>
  <c r="P118" i="194" s="1"/>
  <c r="G117" i="194"/>
  <c r="Q117" i="194" s="1"/>
  <c r="B117" i="194"/>
  <c r="P117" i="194" s="1"/>
  <c r="G116" i="194"/>
  <c r="Q116" i="194" s="1"/>
  <c r="B116" i="194"/>
  <c r="P116" i="194" s="1"/>
  <c r="G115" i="194"/>
  <c r="Q115" i="194" s="1"/>
  <c r="B115" i="194"/>
  <c r="P115" i="194" s="1"/>
  <c r="G114" i="194"/>
  <c r="Q114" i="194" s="1"/>
  <c r="B114" i="194"/>
  <c r="P114" i="194" s="1"/>
  <c r="G113" i="194"/>
  <c r="Q113" i="194" s="1"/>
  <c r="B113" i="194"/>
  <c r="P113" i="194" s="1"/>
  <c r="G112" i="194"/>
  <c r="Q112" i="194" s="1"/>
  <c r="B112" i="194"/>
  <c r="P112" i="194" s="1"/>
  <c r="G111" i="194"/>
  <c r="Q111" i="194" s="1"/>
  <c r="B111" i="194"/>
  <c r="P111" i="194" s="1"/>
  <c r="G110" i="194"/>
  <c r="Q110" i="194" s="1"/>
  <c r="B110" i="194"/>
  <c r="P110" i="194" s="1"/>
  <c r="G109" i="194"/>
  <c r="Q109" i="194" s="1"/>
  <c r="B109" i="194"/>
  <c r="P109" i="194" s="1"/>
  <c r="G108" i="194"/>
  <c r="Q108" i="194" s="1"/>
  <c r="B108" i="194"/>
  <c r="P108" i="194" s="1"/>
  <c r="G107" i="194"/>
  <c r="Q107" i="194" s="1"/>
  <c r="B107" i="194"/>
  <c r="P107" i="194" s="1"/>
  <c r="G106" i="194"/>
  <c r="Q106" i="194" s="1"/>
  <c r="B106" i="194"/>
  <c r="P106" i="194" s="1"/>
  <c r="G105" i="194"/>
  <c r="Q105" i="194" s="1"/>
  <c r="B105" i="194"/>
  <c r="P105" i="194" s="1"/>
  <c r="G104" i="194"/>
  <c r="Q104" i="194" s="1"/>
  <c r="B104" i="194"/>
  <c r="P104" i="194" s="1"/>
  <c r="G103" i="194"/>
  <c r="Q103" i="194" s="1"/>
  <c r="B103" i="194"/>
  <c r="P103" i="194" s="1"/>
  <c r="G102" i="194"/>
  <c r="Q102" i="194" s="1"/>
  <c r="B102" i="194"/>
  <c r="P102" i="194" s="1"/>
  <c r="G101" i="194"/>
  <c r="Q101" i="194" s="1"/>
  <c r="B101" i="194"/>
  <c r="P101" i="194" s="1"/>
  <c r="G100" i="194"/>
  <c r="Q100" i="194" s="1"/>
  <c r="B100" i="194"/>
  <c r="P100" i="194" s="1"/>
  <c r="G99" i="194"/>
  <c r="Q99" i="194" s="1"/>
  <c r="B99" i="194"/>
  <c r="P99" i="194" s="1"/>
  <c r="G98" i="194"/>
  <c r="Q98" i="194" s="1"/>
  <c r="B98" i="194"/>
  <c r="P98" i="194" s="1"/>
  <c r="G97" i="194"/>
  <c r="Q97" i="194" s="1"/>
  <c r="B97" i="194"/>
  <c r="P97" i="194" s="1"/>
  <c r="G96" i="194"/>
  <c r="Q96" i="194" s="1"/>
  <c r="B96" i="194"/>
  <c r="P96" i="194" s="1"/>
  <c r="G95" i="194"/>
  <c r="Q95" i="194" s="1"/>
  <c r="B95" i="194"/>
  <c r="P95" i="194" s="1"/>
  <c r="G94" i="194"/>
  <c r="Q94" i="194" s="1"/>
  <c r="B94" i="194"/>
  <c r="P94" i="194" s="1"/>
  <c r="G93" i="194"/>
  <c r="Q93" i="194" s="1"/>
  <c r="B93" i="194"/>
  <c r="P93" i="194" s="1"/>
  <c r="G92" i="194"/>
  <c r="Q92" i="194" s="1"/>
  <c r="B92" i="194"/>
  <c r="P92" i="194" s="1"/>
  <c r="G91" i="194"/>
  <c r="Q91" i="194" s="1"/>
  <c r="B91" i="194"/>
  <c r="P91" i="194" s="1"/>
  <c r="G90" i="194"/>
  <c r="Q90" i="194" s="1"/>
  <c r="B90" i="194"/>
  <c r="P90" i="194" s="1"/>
  <c r="G89" i="194"/>
  <c r="Q89" i="194" s="1"/>
  <c r="B89" i="194"/>
  <c r="P89" i="194" s="1"/>
  <c r="G88" i="194"/>
  <c r="Q88" i="194" s="1"/>
  <c r="B88" i="194"/>
  <c r="P88" i="194" s="1"/>
  <c r="G87" i="194"/>
  <c r="Q87" i="194" s="1"/>
  <c r="B87" i="194"/>
  <c r="P87" i="194" s="1"/>
  <c r="G86" i="194"/>
  <c r="Q86" i="194" s="1"/>
  <c r="B86" i="194"/>
  <c r="P86" i="194" s="1"/>
  <c r="G85" i="194"/>
  <c r="Q85" i="194" s="1"/>
  <c r="B85" i="194"/>
  <c r="P85" i="194" s="1"/>
  <c r="G84" i="194"/>
  <c r="Q84" i="194" s="1"/>
  <c r="B84" i="194"/>
  <c r="P84" i="194" s="1"/>
  <c r="G83" i="194"/>
  <c r="Q83" i="194" s="1"/>
  <c r="B83" i="194"/>
  <c r="P83" i="194" s="1"/>
  <c r="G82" i="194"/>
  <c r="Q82" i="194" s="1"/>
  <c r="B82" i="194"/>
  <c r="P82" i="194" s="1"/>
  <c r="G81" i="194"/>
  <c r="Q81" i="194" s="1"/>
  <c r="B81" i="194"/>
  <c r="P81" i="194" s="1"/>
  <c r="G80" i="194"/>
  <c r="Q80" i="194" s="1"/>
  <c r="B80" i="194"/>
  <c r="P80" i="194" s="1"/>
  <c r="G79" i="194"/>
  <c r="Q79" i="194" s="1"/>
  <c r="B79" i="194"/>
  <c r="P79" i="194" s="1"/>
  <c r="G78" i="194"/>
  <c r="Q78" i="194" s="1"/>
  <c r="B78" i="194"/>
  <c r="P78" i="194" s="1"/>
  <c r="G77" i="194"/>
  <c r="Q77" i="194" s="1"/>
  <c r="B77" i="194"/>
  <c r="P77" i="194" s="1"/>
  <c r="G76" i="194"/>
  <c r="Q76" i="194" s="1"/>
  <c r="B76" i="194"/>
  <c r="P76" i="194" s="1"/>
  <c r="G75" i="194"/>
  <c r="Q75" i="194" s="1"/>
  <c r="B75" i="194"/>
  <c r="P75" i="194" s="1"/>
  <c r="G74" i="194"/>
  <c r="Q74" i="194" s="1"/>
  <c r="B74" i="194"/>
  <c r="P74" i="194" s="1"/>
  <c r="G73" i="194"/>
  <c r="Q73" i="194" s="1"/>
  <c r="B73" i="194"/>
  <c r="P73" i="194" s="1"/>
  <c r="G72" i="194"/>
  <c r="Q72" i="194" s="1"/>
  <c r="B72" i="194"/>
  <c r="P72" i="194" s="1"/>
  <c r="G71" i="194"/>
  <c r="Q71" i="194" s="1"/>
  <c r="B71" i="194"/>
  <c r="P71" i="194" s="1"/>
  <c r="G70" i="194"/>
  <c r="Q70" i="194" s="1"/>
  <c r="B70" i="194"/>
  <c r="P70" i="194" s="1"/>
  <c r="G69" i="194"/>
  <c r="Q69" i="194" s="1"/>
  <c r="B69" i="194"/>
  <c r="P69" i="194" s="1"/>
  <c r="G68" i="194"/>
  <c r="Q68" i="194" s="1"/>
  <c r="B68" i="194"/>
  <c r="P68" i="194" s="1"/>
  <c r="G67" i="194"/>
  <c r="Q67" i="194" s="1"/>
  <c r="B67" i="194"/>
  <c r="P67" i="194" s="1"/>
  <c r="G66" i="194"/>
  <c r="Q66" i="194" s="1"/>
  <c r="B66" i="194"/>
  <c r="P66" i="194" s="1"/>
  <c r="G65" i="194"/>
  <c r="Q65" i="194" s="1"/>
  <c r="B65" i="194"/>
  <c r="P65" i="194" s="1"/>
  <c r="G64" i="194"/>
  <c r="Q64" i="194" s="1"/>
  <c r="B64" i="194"/>
  <c r="P64" i="194" s="1"/>
  <c r="G63" i="194"/>
  <c r="Q63" i="194" s="1"/>
  <c r="B63" i="194"/>
  <c r="P63" i="194" s="1"/>
  <c r="G62" i="194"/>
  <c r="Q62" i="194" s="1"/>
  <c r="B62" i="194"/>
  <c r="P62" i="194" s="1"/>
  <c r="G61" i="194"/>
  <c r="Q61" i="194" s="1"/>
  <c r="B61" i="194"/>
  <c r="P61" i="194" s="1"/>
  <c r="G60" i="194"/>
  <c r="Q60" i="194" s="1"/>
  <c r="B60" i="194"/>
  <c r="P60" i="194" s="1"/>
  <c r="G59" i="194"/>
  <c r="Q59" i="194" s="1"/>
  <c r="B59" i="194"/>
  <c r="P59" i="194" s="1"/>
  <c r="G58" i="194"/>
  <c r="Q58" i="194" s="1"/>
  <c r="B58" i="194"/>
  <c r="P58" i="194" s="1"/>
  <c r="G57" i="194"/>
  <c r="Q57" i="194" s="1"/>
  <c r="B57" i="194"/>
  <c r="P57" i="194" s="1"/>
  <c r="G56" i="194"/>
  <c r="Q56" i="194" s="1"/>
  <c r="B56" i="194"/>
  <c r="P56" i="194" s="1"/>
  <c r="G55" i="194"/>
  <c r="Q55" i="194" s="1"/>
  <c r="B55" i="194"/>
  <c r="P55" i="194" s="1"/>
  <c r="G54" i="194"/>
  <c r="Q54" i="194" s="1"/>
  <c r="B54" i="194"/>
  <c r="P54" i="194" s="1"/>
  <c r="G53" i="194"/>
  <c r="Q53" i="194" s="1"/>
  <c r="B53" i="194"/>
  <c r="P53" i="194" s="1"/>
  <c r="G52" i="194"/>
  <c r="Q52" i="194" s="1"/>
  <c r="B52" i="194"/>
  <c r="P52" i="194" s="1"/>
  <c r="G51" i="194"/>
  <c r="Q51" i="194" s="1"/>
  <c r="B51" i="194"/>
  <c r="P51" i="194" s="1"/>
  <c r="G50" i="194"/>
  <c r="Q50" i="194" s="1"/>
  <c r="B50" i="194"/>
  <c r="P50" i="194" s="1"/>
  <c r="G49" i="194"/>
  <c r="Q49" i="194" s="1"/>
  <c r="B49" i="194"/>
  <c r="P49" i="194" s="1"/>
  <c r="G48" i="194"/>
  <c r="Q48" i="194" s="1"/>
  <c r="B48" i="194"/>
  <c r="P48" i="194" s="1"/>
  <c r="G47" i="194"/>
  <c r="Q47" i="194" s="1"/>
  <c r="B47" i="194"/>
  <c r="P47" i="194" s="1"/>
  <c r="G46" i="194"/>
  <c r="Q46" i="194" s="1"/>
  <c r="B46" i="194"/>
  <c r="P46" i="194" s="1"/>
  <c r="G45" i="194"/>
  <c r="Q45" i="194" s="1"/>
  <c r="B45" i="194"/>
  <c r="P45" i="194" s="1"/>
  <c r="G44" i="194"/>
  <c r="Q44" i="194" s="1"/>
  <c r="B44" i="194"/>
  <c r="P44" i="194" s="1"/>
  <c r="G43" i="194"/>
  <c r="Q43" i="194" s="1"/>
  <c r="B43" i="194"/>
  <c r="P43" i="194" s="1"/>
  <c r="G42" i="194"/>
  <c r="Q42" i="194" s="1"/>
  <c r="B42" i="194"/>
  <c r="P42" i="194" s="1"/>
  <c r="G41" i="194"/>
  <c r="Q41" i="194" s="1"/>
  <c r="B41" i="194"/>
  <c r="P41" i="194" s="1"/>
  <c r="G40" i="194"/>
  <c r="Q40" i="194" s="1"/>
  <c r="B40" i="194"/>
  <c r="P40" i="194" s="1"/>
  <c r="G39" i="194"/>
  <c r="Q39" i="194" s="1"/>
  <c r="B39" i="194"/>
  <c r="P39" i="194" s="1"/>
  <c r="G38" i="194"/>
  <c r="Q38" i="194" s="1"/>
  <c r="B38" i="194"/>
  <c r="P38" i="194" s="1"/>
  <c r="G37" i="194"/>
  <c r="Q37" i="194" s="1"/>
  <c r="B37" i="194"/>
  <c r="P37" i="194" s="1"/>
  <c r="G36" i="194"/>
  <c r="Q36" i="194" s="1"/>
  <c r="B36" i="194"/>
  <c r="P36" i="194" s="1"/>
  <c r="G35" i="194"/>
  <c r="Q35" i="194" s="1"/>
  <c r="B35" i="194"/>
  <c r="P35" i="194" s="1"/>
  <c r="G34" i="194"/>
  <c r="Q34" i="194" s="1"/>
  <c r="B34" i="194"/>
  <c r="P34" i="194" s="1"/>
  <c r="G33" i="194"/>
  <c r="Q33" i="194" s="1"/>
  <c r="B33" i="194"/>
  <c r="P33" i="194" s="1"/>
  <c r="G32" i="194"/>
  <c r="Q32" i="194" s="1"/>
  <c r="B32" i="194"/>
  <c r="P32" i="194" s="1"/>
  <c r="G31" i="194"/>
  <c r="Q31" i="194" s="1"/>
  <c r="B31" i="194"/>
  <c r="P31" i="194" s="1"/>
  <c r="G30" i="194"/>
  <c r="Q30" i="194" s="1"/>
  <c r="B30" i="194"/>
  <c r="P30" i="194" s="1"/>
  <c r="G29" i="194"/>
  <c r="Q29" i="194" s="1"/>
  <c r="B29" i="194"/>
  <c r="P29" i="194" s="1"/>
  <c r="G28" i="194"/>
  <c r="Q28" i="194" s="1"/>
  <c r="B28" i="194"/>
  <c r="P28" i="194" s="1"/>
  <c r="G27" i="194"/>
  <c r="Q27" i="194" s="1"/>
  <c r="B27" i="194"/>
  <c r="P27" i="194" s="1"/>
  <c r="G26" i="194"/>
  <c r="Q26" i="194" s="1"/>
  <c r="B26" i="194"/>
  <c r="P26" i="194" s="1"/>
  <c r="G25" i="194"/>
  <c r="Q25" i="194" s="1"/>
  <c r="B25" i="194"/>
  <c r="P25" i="194" s="1"/>
  <c r="G24" i="194"/>
  <c r="Q24" i="194" s="1"/>
  <c r="B24" i="194"/>
  <c r="P24" i="194" s="1"/>
  <c r="G23" i="194"/>
  <c r="B23" i="194"/>
  <c r="P23" i="194" s="1"/>
  <c r="G22" i="194"/>
  <c r="B22" i="194"/>
  <c r="P22" i="194" s="1"/>
  <c r="G21" i="194"/>
  <c r="Q21" i="194" s="1"/>
  <c r="B21" i="194"/>
  <c r="P21" i="194" s="1"/>
  <c r="G20" i="194"/>
  <c r="Q20" i="194" s="1"/>
  <c r="B20" i="194"/>
  <c r="P20" i="194" s="1"/>
  <c r="G19" i="194"/>
  <c r="Q19" i="194" s="1"/>
  <c r="B19" i="194"/>
  <c r="P19" i="194" s="1"/>
  <c r="G18" i="194"/>
  <c r="Q18" i="194" s="1"/>
  <c r="B18" i="194"/>
  <c r="P18" i="194" s="1"/>
  <c r="G17" i="194"/>
  <c r="B17" i="194"/>
  <c r="P17" i="194" s="1"/>
  <c r="G16" i="194"/>
  <c r="Q16" i="194" s="1"/>
  <c r="B16" i="194"/>
  <c r="P16" i="194" s="1"/>
  <c r="G15" i="194"/>
  <c r="Q15" i="194" s="1"/>
  <c r="B15" i="194"/>
  <c r="P15" i="194" s="1"/>
  <c r="G14" i="194"/>
  <c r="Q14" i="194" s="1"/>
  <c r="B14" i="194"/>
  <c r="P14" i="194" s="1"/>
  <c r="G13" i="194"/>
  <c r="Q13" i="194" s="1"/>
  <c r="B13" i="194"/>
  <c r="P13" i="194" s="1"/>
  <c r="G47" i="193"/>
  <c r="Q47" i="193" s="1"/>
  <c r="B47" i="193"/>
  <c r="P47" i="193" s="1"/>
  <c r="G46" i="193"/>
  <c r="Q46" i="193" s="1"/>
  <c r="B46" i="193"/>
  <c r="P46" i="193" s="1"/>
  <c r="G45" i="193"/>
  <c r="Q45" i="193" s="1"/>
  <c r="B45" i="193"/>
  <c r="P45" i="193" s="1"/>
  <c r="G44" i="193"/>
  <c r="Q44" i="193" s="1"/>
  <c r="B44" i="193"/>
  <c r="P44" i="193" s="1"/>
  <c r="G43" i="193"/>
  <c r="Q43" i="193" s="1"/>
  <c r="B43" i="193"/>
  <c r="P43" i="193" s="1"/>
  <c r="G42" i="193"/>
  <c r="Q42" i="193" s="1"/>
  <c r="B42" i="193"/>
  <c r="P42" i="193" s="1"/>
  <c r="G41" i="193"/>
  <c r="Q41" i="193" s="1"/>
  <c r="B41" i="193"/>
  <c r="P41" i="193" s="1"/>
  <c r="G40" i="193"/>
  <c r="Q40" i="193" s="1"/>
  <c r="B40" i="193"/>
  <c r="P40" i="193" s="1"/>
  <c r="G39" i="193"/>
  <c r="Q39" i="193" s="1"/>
  <c r="B39" i="193"/>
  <c r="P39" i="193" s="1"/>
  <c r="G38" i="193"/>
  <c r="Q38" i="193" s="1"/>
  <c r="B38" i="193"/>
  <c r="P38" i="193" s="1"/>
  <c r="G37" i="193"/>
  <c r="Q37" i="193" s="1"/>
  <c r="B37" i="193"/>
  <c r="P37" i="193" s="1"/>
  <c r="G36" i="193"/>
  <c r="Q36" i="193" s="1"/>
  <c r="B36" i="193"/>
  <c r="P36" i="193" s="1"/>
  <c r="G35" i="193"/>
  <c r="Q35" i="193" s="1"/>
  <c r="B35" i="193"/>
  <c r="P35" i="193" s="1"/>
  <c r="G34" i="193"/>
  <c r="Q34" i="193" s="1"/>
  <c r="B34" i="193"/>
  <c r="P34" i="193" s="1"/>
  <c r="G33" i="193"/>
  <c r="Q33" i="193" s="1"/>
  <c r="B33" i="193"/>
  <c r="P33" i="193" s="1"/>
  <c r="G32" i="193"/>
  <c r="Q32" i="193" s="1"/>
  <c r="B32" i="193"/>
  <c r="P32" i="193" s="1"/>
  <c r="G31" i="193"/>
  <c r="Q31" i="193" s="1"/>
  <c r="B31" i="193"/>
  <c r="P31" i="193" s="1"/>
  <c r="G30" i="193"/>
  <c r="Q30" i="193" s="1"/>
  <c r="B30" i="193"/>
  <c r="P30" i="193" s="1"/>
  <c r="G29" i="193"/>
  <c r="Q29" i="193" s="1"/>
  <c r="B29" i="193"/>
  <c r="P29" i="193" s="1"/>
  <c r="G28" i="193"/>
  <c r="Q28" i="193" s="1"/>
  <c r="B28" i="193"/>
  <c r="P28" i="193" s="1"/>
  <c r="G27" i="193"/>
  <c r="Q27" i="193" s="1"/>
  <c r="B27" i="193"/>
  <c r="P27" i="193" s="1"/>
  <c r="G26" i="193"/>
  <c r="Q26" i="193" s="1"/>
  <c r="B26" i="193"/>
  <c r="P26" i="193" s="1"/>
  <c r="G25" i="193"/>
  <c r="Q25" i="193" s="1"/>
  <c r="B25" i="193"/>
  <c r="P25" i="193" s="1"/>
  <c r="G24" i="193"/>
  <c r="Q24" i="193" s="1"/>
  <c r="B24" i="193"/>
  <c r="P24" i="193" s="1"/>
  <c r="G23" i="193"/>
  <c r="Q23" i="193" s="1"/>
  <c r="B23" i="193"/>
  <c r="P23" i="193" s="1"/>
  <c r="G22" i="193"/>
  <c r="Q22" i="193" s="1"/>
  <c r="B22" i="193"/>
  <c r="P22" i="193" s="1"/>
  <c r="G21" i="193"/>
  <c r="Q21" i="193" s="1"/>
  <c r="B21" i="193"/>
  <c r="P21" i="193" s="1"/>
  <c r="G20" i="193"/>
  <c r="Q20" i="193" s="1"/>
  <c r="B20" i="193"/>
  <c r="P20" i="193" s="1"/>
  <c r="G19" i="193"/>
  <c r="Q19" i="193" s="1"/>
  <c r="B19" i="193"/>
  <c r="P19" i="193" s="1"/>
  <c r="G18" i="193"/>
  <c r="Q18" i="193" s="1"/>
  <c r="B18" i="193"/>
  <c r="P18" i="193" s="1"/>
  <c r="G17" i="193"/>
  <c r="B17" i="193"/>
  <c r="P17" i="193" s="1"/>
  <c r="G16" i="193"/>
  <c r="Q16" i="193" s="1"/>
  <c r="B16" i="193"/>
  <c r="P16" i="193" s="1"/>
  <c r="G15" i="193"/>
  <c r="Q15" i="193" s="1"/>
  <c r="B15" i="193"/>
  <c r="P15" i="193" s="1"/>
  <c r="G14" i="193"/>
  <c r="Q14" i="193" s="1"/>
  <c r="B14" i="193"/>
  <c r="P14" i="193" s="1"/>
  <c r="G13" i="193"/>
  <c r="Q13" i="193" s="1"/>
  <c r="B13" i="193"/>
  <c r="P13" i="193" s="1"/>
  <c r="G47" i="192"/>
  <c r="Q47" i="192" s="1"/>
  <c r="B47" i="192"/>
  <c r="P47" i="192" s="1"/>
  <c r="G46" i="192"/>
  <c r="Q46" i="192" s="1"/>
  <c r="B46" i="192"/>
  <c r="P46" i="192" s="1"/>
  <c r="G45" i="192"/>
  <c r="Q45" i="192" s="1"/>
  <c r="B45" i="192"/>
  <c r="P45" i="192" s="1"/>
  <c r="G44" i="192"/>
  <c r="Q44" i="192" s="1"/>
  <c r="B44" i="192"/>
  <c r="P44" i="192" s="1"/>
  <c r="G43" i="192"/>
  <c r="Q43" i="192" s="1"/>
  <c r="B43" i="192"/>
  <c r="P43" i="192" s="1"/>
  <c r="G42" i="192"/>
  <c r="Q42" i="192" s="1"/>
  <c r="B42" i="192"/>
  <c r="P42" i="192" s="1"/>
  <c r="G41" i="192"/>
  <c r="Q41" i="192" s="1"/>
  <c r="B41" i="192"/>
  <c r="P41" i="192" s="1"/>
  <c r="G40" i="192"/>
  <c r="Q40" i="192" s="1"/>
  <c r="B40" i="192"/>
  <c r="P40" i="192" s="1"/>
  <c r="G39" i="192"/>
  <c r="Q39" i="192" s="1"/>
  <c r="B39" i="192"/>
  <c r="P39" i="192" s="1"/>
  <c r="G38" i="192"/>
  <c r="Q38" i="192" s="1"/>
  <c r="B38" i="192"/>
  <c r="P38" i="192" s="1"/>
  <c r="G37" i="192"/>
  <c r="Q37" i="192" s="1"/>
  <c r="B37" i="192"/>
  <c r="P37" i="192" s="1"/>
  <c r="G36" i="192"/>
  <c r="Q36" i="192" s="1"/>
  <c r="B36" i="192"/>
  <c r="P36" i="192" s="1"/>
  <c r="G35" i="192"/>
  <c r="Q35" i="192" s="1"/>
  <c r="B35" i="192"/>
  <c r="P35" i="192" s="1"/>
  <c r="G34" i="192"/>
  <c r="Q34" i="192" s="1"/>
  <c r="B34" i="192"/>
  <c r="P34" i="192" s="1"/>
  <c r="G33" i="192"/>
  <c r="Q33" i="192" s="1"/>
  <c r="B33" i="192"/>
  <c r="P33" i="192" s="1"/>
  <c r="G32" i="192"/>
  <c r="Q32" i="192" s="1"/>
  <c r="B32" i="192"/>
  <c r="P32" i="192" s="1"/>
  <c r="G31" i="192"/>
  <c r="Q31" i="192" s="1"/>
  <c r="B31" i="192"/>
  <c r="P31" i="192" s="1"/>
  <c r="G30" i="192"/>
  <c r="Q30" i="192" s="1"/>
  <c r="B30" i="192"/>
  <c r="P30" i="192" s="1"/>
  <c r="G29" i="192"/>
  <c r="Q29" i="192" s="1"/>
  <c r="B29" i="192"/>
  <c r="P29" i="192" s="1"/>
  <c r="G28" i="192"/>
  <c r="Q28" i="192" s="1"/>
  <c r="B28" i="192"/>
  <c r="P28" i="192" s="1"/>
  <c r="G27" i="192"/>
  <c r="Q27" i="192" s="1"/>
  <c r="B27" i="192"/>
  <c r="P27" i="192" s="1"/>
  <c r="G26" i="192"/>
  <c r="Q26" i="192" s="1"/>
  <c r="B26" i="192"/>
  <c r="P26" i="192" s="1"/>
  <c r="G25" i="192"/>
  <c r="Q25" i="192" s="1"/>
  <c r="B25" i="192"/>
  <c r="P25" i="192" s="1"/>
  <c r="G24" i="192"/>
  <c r="Q24" i="192" s="1"/>
  <c r="B24" i="192"/>
  <c r="P24" i="192" s="1"/>
  <c r="G23" i="192"/>
  <c r="Q23" i="192" s="1"/>
  <c r="B23" i="192"/>
  <c r="P23" i="192" s="1"/>
  <c r="G22" i="192"/>
  <c r="Q22" i="192" s="1"/>
  <c r="B22" i="192"/>
  <c r="P22" i="192" s="1"/>
  <c r="G21" i="192"/>
  <c r="Q21" i="192" s="1"/>
  <c r="B21" i="192"/>
  <c r="P21" i="192" s="1"/>
  <c r="G20" i="192"/>
  <c r="Q20" i="192" s="1"/>
  <c r="B20" i="192"/>
  <c r="P20" i="192" s="1"/>
  <c r="G19" i="192"/>
  <c r="Q19" i="192" s="1"/>
  <c r="B19" i="192"/>
  <c r="P19" i="192" s="1"/>
  <c r="G18" i="192"/>
  <c r="Q18" i="192" s="1"/>
  <c r="B18" i="192"/>
  <c r="P18" i="192" s="1"/>
  <c r="G17" i="192"/>
  <c r="B17" i="192"/>
  <c r="P17" i="192" s="1"/>
  <c r="G16" i="192"/>
  <c r="Q16" i="192" s="1"/>
  <c r="B16" i="192"/>
  <c r="P16" i="192" s="1"/>
  <c r="G15" i="192"/>
  <c r="Q15" i="192" s="1"/>
  <c r="B15" i="192"/>
  <c r="P15" i="192" s="1"/>
  <c r="G14" i="192"/>
  <c r="Q14" i="192" s="1"/>
  <c r="B14" i="192"/>
  <c r="P14" i="192" s="1"/>
  <c r="G13" i="192"/>
  <c r="Q13" i="192" s="1"/>
  <c r="B13" i="192"/>
  <c r="P13" i="192" s="1"/>
  <c r="R17" i="193" l="1"/>
  <c r="Q17" i="193"/>
  <c r="R23" i="195"/>
  <c r="Q23" i="195"/>
  <c r="R22" i="194"/>
  <c r="Q22" i="194"/>
  <c r="R23" i="194"/>
  <c r="Q23" i="194"/>
  <c r="R17" i="196"/>
  <c r="Q17" i="196"/>
  <c r="Q17" i="192"/>
  <c r="R17" i="192"/>
  <c r="R17" i="195"/>
  <c r="Q17" i="195"/>
  <c r="R22" i="196"/>
  <c r="Q22" i="196"/>
  <c r="R17" i="194"/>
  <c r="Q17" i="194"/>
  <c r="R22" i="195"/>
  <c r="Q22" i="195"/>
  <c r="Q23" i="196"/>
  <c r="R23" i="196"/>
  <c r="G20" i="191"/>
  <c r="Q20" i="191" s="1"/>
  <c r="B20" i="191"/>
  <c r="P20" i="191" s="1"/>
  <c r="G18" i="191"/>
  <c r="Q18" i="191" s="1"/>
  <c r="B18" i="191"/>
  <c r="P18" i="191" s="1"/>
  <c r="G16" i="191"/>
  <c r="Q16" i="191" s="1"/>
  <c r="B16" i="191"/>
  <c r="P16" i="191" s="1"/>
  <c r="G19" i="191"/>
  <c r="Q19" i="191" s="1"/>
  <c r="B19" i="191"/>
  <c r="P19" i="191" s="1"/>
  <c r="G17" i="191"/>
  <c r="Q17" i="191" s="1"/>
  <c r="B17" i="191"/>
  <c r="P17" i="191" s="1"/>
  <c r="G15" i="191"/>
  <c r="Q15" i="191" s="1"/>
  <c r="B15" i="191"/>
  <c r="P15" i="191" s="1"/>
  <c r="G14" i="191"/>
  <c r="Q14" i="191" s="1"/>
  <c r="B14" i="191"/>
  <c r="P14" i="191" s="1"/>
  <c r="G13" i="191"/>
  <c r="Q13" i="191" s="1"/>
  <c r="B13" i="191"/>
  <c r="P13" i="191" s="1"/>
  <c r="G15" i="190" l="1"/>
  <c r="Q15" i="190" s="1"/>
  <c r="B15" i="190"/>
  <c r="P15" i="190" s="1"/>
  <c r="G13" i="190"/>
  <c r="Q13" i="190" s="1"/>
  <c r="B13" i="190"/>
  <c r="P13" i="190" s="1"/>
  <c r="G16" i="189"/>
  <c r="Q16" i="189" s="1"/>
  <c r="B16" i="189"/>
  <c r="P16" i="189" s="1"/>
  <c r="G15" i="189"/>
  <c r="Q15" i="189" s="1"/>
  <c r="B15" i="189"/>
  <c r="P15" i="189" s="1"/>
  <c r="G13" i="188"/>
  <c r="Q13" i="188" s="1"/>
  <c r="B13" i="188"/>
  <c r="P13" i="188" s="1"/>
  <c r="G31" i="187"/>
  <c r="Q31" i="187" s="1"/>
  <c r="B31" i="187"/>
  <c r="P31" i="187" s="1"/>
  <c r="G30" i="187"/>
  <c r="Q30" i="187" s="1"/>
  <c r="B30" i="187"/>
  <c r="P30" i="187" s="1"/>
  <c r="G29" i="187"/>
  <c r="Q29" i="187" s="1"/>
  <c r="B29" i="187"/>
  <c r="P29" i="187" s="1"/>
  <c r="G28" i="187"/>
  <c r="Q28" i="187" s="1"/>
  <c r="B28" i="187"/>
  <c r="P28" i="187" s="1"/>
  <c r="G27" i="187"/>
  <c r="Q27" i="187" s="1"/>
  <c r="B27" i="187"/>
  <c r="P27" i="187" s="1"/>
  <c r="G26" i="187"/>
  <c r="Q26" i="187" s="1"/>
  <c r="B26" i="187"/>
  <c r="P26" i="187" s="1"/>
  <c r="G25" i="187"/>
  <c r="Q25" i="187" s="1"/>
  <c r="B25" i="187"/>
  <c r="P25" i="187" s="1"/>
  <c r="G24" i="187"/>
  <c r="Q24" i="187" s="1"/>
  <c r="B24" i="187"/>
  <c r="P24" i="187" s="1"/>
  <c r="G23" i="187"/>
  <c r="B23" i="187"/>
  <c r="P23" i="187" s="1"/>
  <c r="G22" i="187"/>
  <c r="B22" i="187"/>
  <c r="P22" i="187" s="1"/>
  <c r="G21" i="187"/>
  <c r="Q21" i="187" s="1"/>
  <c r="B21" i="187"/>
  <c r="P21" i="187" s="1"/>
  <c r="G20" i="187"/>
  <c r="Q20" i="187" s="1"/>
  <c r="B20" i="187"/>
  <c r="P20" i="187" s="1"/>
  <c r="G19" i="187"/>
  <c r="Q19" i="187" s="1"/>
  <c r="B19" i="187"/>
  <c r="P19" i="187" s="1"/>
  <c r="G18" i="187"/>
  <c r="Q18" i="187" s="1"/>
  <c r="B18" i="187"/>
  <c r="P18" i="187" s="1"/>
  <c r="G17" i="187"/>
  <c r="B17" i="187"/>
  <c r="P17" i="187" s="1"/>
  <c r="G16" i="187"/>
  <c r="Q16" i="187" s="1"/>
  <c r="B16" i="187"/>
  <c r="P16" i="187" s="1"/>
  <c r="G15" i="187"/>
  <c r="Q15" i="187" s="1"/>
  <c r="B15" i="187"/>
  <c r="P15" i="187" s="1"/>
  <c r="G14" i="187"/>
  <c r="Q14" i="187" s="1"/>
  <c r="B14" i="187"/>
  <c r="P14" i="187" s="1"/>
  <c r="G13" i="187"/>
  <c r="Q13" i="187" s="1"/>
  <c r="B13" i="187"/>
  <c r="P13" i="187" s="1"/>
  <c r="G31" i="186"/>
  <c r="Q31" i="186" s="1"/>
  <c r="B31" i="186"/>
  <c r="P31" i="186" s="1"/>
  <c r="G30" i="186"/>
  <c r="Q30" i="186" s="1"/>
  <c r="B30" i="186"/>
  <c r="P30" i="186" s="1"/>
  <c r="G29" i="186"/>
  <c r="Q29" i="186" s="1"/>
  <c r="B29" i="186"/>
  <c r="P29" i="186" s="1"/>
  <c r="G28" i="186"/>
  <c r="Q28" i="186" s="1"/>
  <c r="B28" i="186"/>
  <c r="P28" i="186" s="1"/>
  <c r="G27" i="186"/>
  <c r="Q27" i="186" s="1"/>
  <c r="B27" i="186"/>
  <c r="P27" i="186" s="1"/>
  <c r="G26" i="186"/>
  <c r="Q26" i="186" s="1"/>
  <c r="B26" i="186"/>
  <c r="P26" i="186" s="1"/>
  <c r="G25" i="186"/>
  <c r="Q25" i="186" s="1"/>
  <c r="B25" i="186"/>
  <c r="P25" i="186" s="1"/>
  <c r="G24" i="186"/>
  <c r="Q24" i="186" s="1"/>
  <c r="B24" i="186"/>
  <c r="P24" i="186" s="1"/>
  <c r="G23" i="186"/>
  <c r="B23" i="186"/>
  <c r="P23" i="186" s="1"/>
  <c r="G22" i="186"/>
  <c r="B22" i="186"/>
  <c r="P22" i="186" s="1"/>
  <c r="G21" i="186"/>
  <c r="Q21" i="186" s="1"/>
  <c r="B21" i="186"/>
  <c r="P21" i="186" s="1"/>
  <c r="G20" i="186"/>
  <c r="Q20" i="186" s="1"/>
  <c r="B20" i="186"/>
  <c r="P20" i="186" s="1"/>
  <c r="G19" i="186"/>
  <c r="Q19" i="186" s="1"/>
  <c r="B19" i="186"/>
  <c r="P19" i="186" s="1"/>
  <c r="G18" i="186"/>
  <c r="Q18" i="186" s="1"/>
  <c r="B18" i="186"/>
  <c r="P18" i="186" s="1"/>
  <c r="G17" i="186"/>
  <c r="B17" i="186"/>
  <c r="P17" i="186" s="1"/>
  <c r="G16" i="186"/>
  <c r="Q16" i="186" s="1"/>
  <c r="B16" i="186"/>
  <c r="P16" i="186" s="1"/>
  <c r="G15" i="186"/>
  <c r="Q15" i="186" s="1"/>
  <c r="B15" i="186"/>
  <c r="P15" i="186" s="1"/>
  <c r="G14" i="186"/>
  <c r="Q14" i="186" s="1"/>
  <c r="B14" i="186"/>
  <c r="P14" i="186" s="1"/>
  <c r="G13" i="186"/>
  <c r="Q13" i="186" s="1"/>
  <c r="B13" i="186"/>
  <c r="P13" i="186" s="1"/>
  <c r="G17" i="185"/>
  <c r="B17" i="185"/>
  <c r="P17" i="185" s="1"/>
  <c r="G16" i="185"/>
  <c r="Q16" i="185" s="1"/>
  <c r="B16" i="185"/>
  <c r="P16" i="185" s="1"/>
  <c r="G155" i="185"/>
  <c r="Q155" i="185" s="1"/>
  <c r="B155" i="185"/>
  <c r="P155" i="185" s="1"/>
  <c r="G154" i="185"/>
  <c r="Q154" i="185" s="1"/>
  <c r="B154" i="185"/>
  <c r="P154" i="185" s="1"/>
  <c r="G153" i="185"/>
  <c r="Q153" i="185" s="1"/>
  <c r="B153" i="185"/>
  <c r="P153" i="185" s="1"/>
  <c r="G152" i="185"/>
  <c r="Q152" i="185" s="1"/>
  <c r="B152" i="185"/>
  <c r="P152" i="185" s="1"/>
  <c r="G151" i="185"/>
  <c r="Q151" i="185" s="1"/>
  <c r="B151" i="185"/>
  <c r="P151" i="185" s="1"/>
  <c r="G150" i="185"/>
  <c r="Q150" i="185" s="1"/>
  <c r="B150" i="185"/>
  <c r="P150" i="185" s="1"/>
  <c r="G149" i="185"/>
  <c r="Q149" i="185" s="1"/>
  <c r="B149" i="185"/>
  <c r="P149" i="185" s="1"/>
  <c r="G148" i="185"/>
  <c r="Q148" i="185" s="1"/>
  <c r="B148" i="185"/>
  <c r="P148" i="185" s="1"/>
  <c r="G147" i="185"/>
  <c r="Q147" i="185" s="1"/>
  <c r="B147" i="185"/>
  <c r="P147" i="185" s="1"/>
  <c r="G146" i="185"/>
  <c r="Q146" i="185" s="1"/>
  <c r="B146" i="185"/>
  <c r="P146" i="185" s="1"/>
  <c r="G145" i="185"/>
  <c r="Q145" i="185" s="1"/>
  <c r="B145" i="185"/>
  <c r="P145" i="185" s="1"/>
  <c r="G144" i="185"/>
  <c r="Q144" i="185" s="1"/>
  <c r="B144" i="185"/>
  <c r="P144" i="185" s="1"/>
  <c r="G143" i="185"/>
  <c r="Q143" i="185" s="1"/>
  <c r="B143" i="185"/>
  <c r="P143" i="185" s="1"/>
  <c r="G142" i="185"/>
  <c r="Q142" i="185" s="1"/>
  <c r="B142" i="185"/>
  <c r="P142" i="185" s="1"/>
  <c r="G141" i="185"/>
  <c r="Q141" i="185" s="1"/>
  <c r="B141" i="185"/>
  <c r="P141" i="185" s="1"/>
  <c r="G140" i="185"/>
  <c r="Q140" i="185" s="1"/>
  <c r="B140" i="185"/>
  <c r="P140" i="185" s="1"/>
  <c r="G139" i="185"/>
  <c r="Q139" i="185" s="1"/>
  <c r="B139" i="185"/>
  <c r="P139" i="185" s="1"/>
  <c r="G138" i="185"/>
  <c r="Q138" i="185" s="1"/>
  <c r="B138" i="185"/>
  <c r="P138" i="185" s="1"/>
  <c r="G137" i="185"/>
  <c r="Q137" i="185" s="1"/>
  <c r="B137" i="185"/>
  <c r="P137" i="185" s="1"/>
  <c r="G136" i="185"/>
  <c r="Q136" i="185" s="1"/>
  <c r="B136" i="185"/>
  <c r="P136" i="185" s="1"/>
  <c r="G135" i="185"/>
  <c r="Q135" i="185" s="1"/>
  <c r="B135" i="185"/>
  <c r="P135" i="185" s="1"/>
  <c r="G134" i="185"/>
  <c r="Q134" i="185" s="1"/>
  <c r="B134" i="185"/>
  <c r="P134" i="185" s="1"/>
  <c r="G133" i="185"/>
  <c r="Q133" i="185" s="1"/>
  <c r="B133" i="185"/>
  <c r="P133" i="185" s="1"/>
  <c r="G132" i="185"/>
  <c r="Q132" i="185" s="1"/>
  <c r="B132" i="185"/>
  <c r="P132" i="185" s="1"/>
  <c r="G131" i="185"/>
  <c r="Q131" i="185" s="1"/>
  <c r="B131" i="185"/>
  <c r="P131" i="185" s="1"/>
  <c r="G130" i="185"/>
  <c r="Q130" i="185" s="1"/>
  <c r="B130" i="185"/>
  <c r="P130" i="185" s="1"/>
  <c r="G129" i="185"/>
  <c r="Q129" i="185" s="1"/>
  <c r="B129" i="185"/>
  <c r="P129" i="185" s="1"/>
  <c r="G128" i="185"/>
  <c r="Q128" i="185" s="1"/>
  <c r="B128" i="185"/>
  <c r="P128" i="185" s="1"/>
  <c r="G127" i="185"/>
  <c r="Q127" i="185" s="1"/>
  <c r="B127" i="185"/>
  <c r="P127" i="185" s="1"/>
  <c r="G126" i="185"/>
  <c r="Q126" i="185" s="1"/>
  <c r="B126" i="185"/>
  <c r="P126" i="185" s="1"/>
  <c r="G125" i="185"/>
  <c r="Q125" i="185" s="1"/>
  <c r="B125" i="185"/>
  <c r="P125" i="185" s="1"/>
  <c r="G124" i="185"/>
  <c r="Q124" i="185" s="1"/>
  <c r="B124" i="185"/>
  <c r="P124" i="185" s="1"/>
  <c r="G123" i="185"/>
  <c r="Q123" i="185" s="1"/>
  <c r="B123" i="185"/>
  <c r="P123" i="185" s="1"/>
  <c r="G122" i="185"/>
  <c r="Q122" i="185" s="1"/>
  <c r="B122" i="185"/>
  <c r="P122" i="185" s="1"/>
  <c r="G121" i="185"/>
  <c r="Q121" i="185" s="1"/>
  <c r="B121" i="185"/>
  <c r="P121" i="185" s="1"/>
  <c r="G120" i="185"/>
  <c r="Q120" i="185" s="1"/>
  <c r="B120" i="185"/>
  <c r="P120" i="185" s="1"/>
  <c r="G119" i="185"/>
  <c r="Q119" i="185" s="1"/>
  <c r="B119" i="185"/>
  <c r="P119" i="185" s="1"/>
  <c r="G118" i="185"/>
  <c r="Q118" i="185" s="1"/>
  <c r="B118" i="185"/>
  <c r="P118" i="185" s="1"/>
  <c r="G117" i="185"/>
  <c r="Q117" i="185" s="1"/>
  <c r="B117" i="185"/>
  <c r="P117" i="185" s="1"/>
  <c r="G116" i="185"/>
  <c r="Q116" i="185" s="1"/>
  <c r="B116" i="185"/>
  <c r="P116" i="185" s="1"/>
  <c r="G115" i="185"/>
  <c r="Q115" i="185" s="1"/>
  <c r="B115" i="185"/>
  <c r="P115" i="185" s="1"/>
  <c r="G114" i="185"/>
  <c r="Q114" i="185" s="1"/>
  <c r="B114" i="185"/>
  <c r="P114" i="185" s="1"/>
  <c r="G113" i="185"/>
  <c r="Q113" i="185" s="1"/>
  <c r="B113" i="185"/>
  <c r="P113" i="185" s="1"/>
  <c r="G112" i="185"/>
  <c r="Q112" i="185" s="1"/>
  <c r="B112" i="185"/>
  <c r="P112" i="185" s="1"/>
  <c r="G111" i="185"/>
  <c r="Q111" i="185" s="1"/>
  <c r="B111" i="185"/>
  <c r="P111" i="185" s="1"/>
  <c r="G110" i="185"/>
  <c r="Q110" i="185" s="1"/>
  <c r="B110" i="185"/>
  <c r="P110" i="185" s="1"/>
  <c r="G109" i="185"/>
  <c r="Q109" i="185" s="1"/>
  <c r="B109" i="185"/>
  <c r="P109" i="185" s="1"/>
  <c r="G108" i="185"/>
  <c r="Q108" i="185" s="1"/>
  <c r="B108" i="185"/>
  <c r="P108" i="185" s="1"/>
  <c r="G107" i="185"/>
  <c r="Q107" i="185" s="1"/>
  <c r="B107" i="185"/>
  <c r="P107" i="185" s="1"/>
  <c r="G106" i="185"/>
  <c r="Q106" i="185" s="1"/>
  <c r="B106" i="185"/>
  <c r="P106" i="185" s="1"/>
  <c r="G105" i="185"/>
  <c r="Q105" i="185" s="1"/>
  <c r="B105" i="185"/>
  <c r="P105" i="185" s="1"/>
  <c r="G104" i="185"/>
  <c r="Q104" i="185" s="1"/>
  <c r="B104" i="185"/>
  <c r="P104" i="185" s="1"/>
  <c r="G103" i="185"/>
  <c r="Q103" i="185" s="1"/>
  <c r="B103" i="185"/>
  <c r="P103" i="185" s="1"/>
  <c r="G102" i="185"/>
  <c r="Q102" i="185" s="1"/>
  <c r="B102" i="185"/>
  <c r="P102" i="185" s="1"/>
  <c r="G101" i="185"/>
  <c r="Q101" i="185" s="1"/>
  <c r="B101" i="185"/>
  <c r="P101" i="185" s="1"/>
  <c r="G100" i="185"/>
  <c r="Q100" i="185" s="1"/>
  <c r="B100" i="185"/>
  <c r="P100" i="185" s="1"/>
  <c r="G99" i="185"/>
  <c r="Q99" i="185" s="1"/>
  <c r="B99" i="185"/>
  <c r="P99" i="185" s="1"/>
  <c r="G98" i="185"/>
  <c r="Q98" i="185" s="1"/>
  <c r="B98" i="185"/>
  <c r="P98" i="185" s="1"/>
  <c r="G97" i="185"/>
  <c r="Q97" i="185" s="1"/>
  <c r="B97" i="185"/>
  <c r="P97" i="185" s="1"/>
  <c r="G96" i="185"/>
  <c r="Q96" i="185" s="1"/>
  <c r="B96" i="185"/>
  <c r="P96" i="185" s="1"/>
  <c r="G95" i="185"/>
  <c r="Q95" i="185" s="1"/>
  <c r="B95" i="185"/>
  <c r="P95" i="185" s="1"/>
  <c r="G94" i="185"/>
  <c r="Q94" i="185" s="1"/>
  <c r="B94" i="185"/>
  <c r="P94" i="185" s="1"/>
  <c r="G93" i="185"/>
  <c r="Q93" i="185" s="1"/>
  <c r="B93" i="185"/>
  <c r="P93" i="185" s="1"/>
  <c r="G92" i="185"/>
  <c r="Q92" i="185" s="1"/>
  <c r="B92" i="185"/>
  <c r="P92" i="185" s="1"/>
  <c r="G91" i="185"/>
  <c r="Q91" i="185" s="1"/>
  <c r="B91" i="185"/>
  <c r="P91" i="185" s="1"/>
  <c r="G90" i="185"/>
  <c r="Q90" i="185" s="1"/>
  <c r="B90" i="185"/>
  <c r="P90" i="185" s="1"/>
  <c r="G89" i="185"/>
  <c r="Q89" i="185" s="1"/>
  <c r="B89" i="185"/>
  <c r="P89" i="185" s="1"/>
  <c r="G88" i="185"/>
  <c r="Q88" i="185" s="1"/>
  <c r="B88" i="185"/>
  <c r="P88" i="185" s="1"/>
  <c r="G87" i="185"/>
  <c r="Q87" i="185" s="1"/>
  <c r="B87" i="185"/>
  <c r="P87" i="185" s="1"/>
  <c r="G86" i="185"/>
  <c r="Q86" i="185" s="1"/>
  <c r="B86" i="185"/>
  <c r="P86" i="185" s="1"/>
  <c r="G85" i="185"/>
  <c r="Q85" i="185" s="1"/>
  <c r="B85" i="185"/>
  <c r="P85" i="185" s="1"/>
  <c r="G84" i="185"/>
  <c r="Q84" i="185" s="1"/>
  <c r="B84" i="185"/>
  <c r="P84" i="185" s="1"/>
  <c r="G83" i="185"/>
  <c r="Q83" i="185" s="1"/>
  <c r="B83" i="185"/>
  <c r="P83" i="185" s="1"/>
  <c r="G82" i="185"/>
  <c r="Q82" i="185" s="1"/>
  <c r="B82" i="185"/>
  <c r="P82" i="185" s="1"/>
  <c r="G81" i="185"/>
  <c r="Q81" i="185" s="1"/>
  <c r="B81" i="185"/>
  <c r="P81" i="185" s="1"/>
  <c r="G80" i="185"/>
  <c r="Q80" i="185" s="1"/>
  <c r="B80" i="185"/>
  <c r="P80" i="185" s="1"/>
  <c r="G79" i="185"/>
  <c r="Q79" i="185" s="1"/>
  <c r="B79" i="185"/>
  <c r="P79" i="185" s="1"/>
  <c r="G78" i="185"/>
  <c r="Q78" i="185" s="1"/>
  <c r="B78" i="185"/>
  <c r="P78" i="185" s="1"/>
  <c r="G77" i="185"/>
  <c r="Q77" i="185" s="1"/>
  <c r="B77" i="185"/>
  <c r="P77" i="185" s="1"/>
  <c r="G76" i="185"/>
  <c r="Q76" i="185" s="1"/>
  <c r="B76" i="185"/>
  <c r="P76" i="185" s="1"/>
  <c r="G75" i="185"/>
  <c r="Q75" i="185" s="1"/>
  <c r="B75" i="185"/>
  <c r="P75" i="185" s="1"/>
  <c r="G74" i="185"/>
  <c r="Q74" i="185" s="1"/>
  <c r="B74" i="185"/>
  <c r="P74" i="185" s="1"/>
  <c r="G73" i="185"/>
  <c r="Q73" i="185" s="1"/>
  <c r="B73" i="185"/>
  <c r="P73" i="185" s="1"/>
  <c r="G72" i="185"/>
  <c r="Q72" i="185" s="1"/>
  <c r="B72" i="185"/>
  <c r="P72" i="185" s="1"/>
  <c r="G71" i="185"/>
  <c r="Q71" i="185" s="1"/>
  <c r="B71" i="185"/>
  <c r="P71" i="185" s="1"/>
  <c r="G70" i="185"/>
  <c r="Q70" i="185" s="1"/>
  <c r="B70" i="185"/>
  <c r="P70" i="185" s="1"/>
  <c r="G69" i="185"/>
  <c r="Q69" i="185" s="1"/>
  <c r="B69" i="185"/>
  <c r="P69" i="185" s="1"/>
  <c r="G68" i="185"/>
  <c r="Q68" i="185" s="1"/>
  <c r="B68" i="185"/>
  <c r="P68" i="185" s="1"/>
  <c r="G67" i="185"/>
  <c r="Q67" i="185" s="1"/>
  <c r="B67" i="185"/>
  <c r="P67" i="185" s="1"/>
  <c r="G66" i="185"/>
  <c r="Q66" i="185" s="1"/>
  <c r="B66" i="185"/>
  <c r="P66" i="185" s="1"/>
  <c r="G65" i="185"/>
  <c r="Q65" i="185" s="1"/>
  <c r="B65" i="185"/>
  <c r="P65" i="185" s="1"/>
  <c r="G64" i="185"/>
  <c r="Q64" i="185" s="1"/>
  <c r="B64" i="185"/>
  <c r="P64" i="185" s="1"/>
  <c r="G63" i="185"/>
  <c r="Q63" i="185" s="1"/>
  <c r="B63" i="185"/>
  <c r="P63" i="185" s="1"/>
  <c r="G62" i="185"/>
  <c r="Q62" i="185" s="1"/>
  <c r="B62" i="185"/>
  <c r="P62" i="185" s="1"/>
  <c r="G61" i="185"/>
  <c r="Q61" i="185" s="1"/>
  <c r="B61" i="185"/>
  <c r="P61" i="185" s="1"/>
  <c r="G60" i="185"/>
  <c r="Q60" i="185" s="1"/>
  <c r="B60" i="185"/>
  <c r="P60" i="185" s="1"/>
  <c r="G59" i="185"/>
  <c r="Q59" i="185" s="1"/>
  <c r="B59" i="185"/>
  <c r="P59" i="185" s="1"/>
  <c r="G58" i="185"/>
  <c r="Q58" i="185" s="1"/>
  <c r="B58" i="185"/>
  <c r="P58" i="185" s="1"/>
  <c r="G57" i="185"/>
  <c r="Q57" i="185" s="1"/>
  <c r="B57" i="185"/>
  <c r="P57" i="185" s="1"/>
  <c r="G56" i="185"/>
  <c r="Q56" i="185" s="1"/>
  <c r="B56" i="185"/>
  <c r="P56" i="185" s="1"/>
  <c r="G55" i="185"/>
  <c r="Q55" i="185" s="1"/>
  <c r="B55" i="185"/>
  <c r="P55" i="185" s="1"/>
  <c r="G54" i="185"/>
  <c r="Q54" i="185" s="1"/>
  <c r="B54" i="185"/>
  <c r="P54" i="185" s="1"/>
  <c r="G53" i="185"/>
  <c r="Q53" i="185" s="1"/>
  <c r="B53" i="185"/>
  <c r="P53" i="185" s="1"/>
  <c r="G52" i="185"/>
  <c r="Q52" i="185" s="1"/>
  <c r="B52" i="185"/>
  <c r="P52" i="185" s="1"/>
  <c r="G51" i="185"/>
  <c r="Q51" i="185" s="1"/>
  <c r="B51" i="185"/>
  <c r="P51" i="185" s="1"/>
  <c r="G50" i="185"/>
  <c r="Q50" i="185" s="1"/>
  <c r="B50" i="185"/>
  <c r="P50" i="185" s="1"/>
  <c r="G49" i="185"/>
  <c r="Q49" i="185" s="1"/>
  <c r="B49" i="185"/>
  <c r="P49" i="185" s="1"/>
  <c r="G48" i="185"/>
  <c r="Q48" i="185" s="1"/>
  <c r="B48" i="185"/>
  <c r="P48" i="185" s="1"/>
  <c r="G47" i="185"/>
  <c r="Q47" i="185" s="1"/>
  <c r="B47" i="185"/>
  <c r="P47" i="185" s="1"/>
  <c r="G46" i="185"/>
  <c r="Q46" i="185" s="1"/>
  <c r="B46" i="185"/>
  <c r="P46" i="185" s="1"/>
  <c r="G45" i="185"/>
  <c r="Q45" i="185" s="1"/>
  <c r="B45" i="185"/>
  <c r="P45" i="185" s="1"/>
  <c r="G44" i="185"/>
  <c r="Q44" i="185" s="1"/>
  <c r="B44" i="185"/>
  <c r="P44" i="185" s="1"/>
  <c r="G43" i="185"/>
  <c r="Q43" i="185" s="1"/>
  <c r="B43" i="185"/>
  <c r="P43" i="185" s="1"/>
  <c r="G42" i="185"/>
  <c r="Q42" i="185" s="1"/>
  <c r="B42" i="185"/>
  <c r="P42" i="185" s="1"/>
  <c r="G41" i="185"/>
  <c r="Q41" i="185" s="1"/>
  <c r="B41" i="185"/>
  <c r="P41" i="185" s="1"/>
  <c r="G40" i="185"/>
  <c r="Q40" i="185" s="1"/>
  <c r="B40" i="185"/>
  <c r="P40" i="185" s="1"/>
  <c r="G39" i="185"/>
  <c r="Q39" i="185" s="1"/>
  <c r="B39" i="185"/>
  <c r="P39" i="185" s="1"/>
  <c r="G38" i="185"/>
  <c r="Q38" i="185" s="1"/>
  <c r="B38" i="185"/>
  <c r="P38" i="185" s="1"/>
  <c r="G37" i="185"/>
  <c r="Q37" i="185" s="1"/>
  <c r="B37" i="185"/>
  <c r="P37" i="185" s="1"/>
  <c r="G36" i="185"/>
  <c r="Q36" i="185" s="1"/>
  <c r="B36" i="185"/>
  <c r="P36" i="185" s="1"/>
  <c r="G35" i="185"/>
  <c r="Q35" i="185" s="1"/>
  <c r="B35" i="185"/>
  <c r="P35" i="185" s="1"/>
  <c r="G34" i="185"/>
  <c r="Q34" i="185" s="1"/>
  <c r="B34" i="185"/>
  <c r="P34" i="185" s="1"/>
  <c r="G33" i="185"/>
  <c r="Q33" i="185" s="1"/>
  <c r="B33" i="185"/>
  <c r="P33" i="185" s="1"/>
  <c r="G32" i="185"/>
  <c r="Q32" i="185" s="1"/>
  <c r="B32" i="185"/>
  <c r="P32" i="185" s="1"/>
  <c r="G31" i="185"/>
  <c r="Q31" i="185" s="1"/>
  <c r="B31" i="185"/>
  <c r="P31" i="185" s="1"/>
  <c r="G30" i="185"/>
  <c r="Q30" i="185" s="1"/>
  <c r="B30" i="185"/>
  <c r="P30" i="185" s="1"/>
  <c r="G29" i="185"/>
  <c r="Q29" i="185" s="1"/>
  <c r="B29" i="185"/>
  <c r="P29" i="185" s="1"/>
  <c r="G28" i="185"/>
  <c r="Q28" i="185" s="1"/>
  <c r="B28" i="185"/>
  <c r="P28" i="185" s="1"/>
  <c r="G27" i="185"/>
  <c r="Q27" i="185" s="1"/>
  <c r="B27" i="185"/>
  <c r="P27" i="185" s="1"/>
  <c r="G26" i="185"/>
  <c r="Q26" i="185" s="1"/>
  <c r="B26" i="185"/>
  <c r="P26" i="185" s="1"/>
  <c r="G25" i="185"/>
  <c r="Q25" i="185" s="1"/>
  <c r="B25" i="185"/>
  <c r="P25" i="185" s="1"/>
  <c r="G24" i="185"/>
  <c r="Q24" i="185" s="1"/>
  <c r="B24" i="185"/>
  <c r="P24" i="185" s="1"/>
  <c r="G23" i="185"/>
  <c r="B23" i="185"/>
  <c r="P23" i="185" s="1"/>
  <c r="G22" i="185"/>
  <c r="B22" i="185"/>
  <c r="P22" i="185" s="1"/>
  <c r="G21" i="185"/>
  <c r="Q21" i="185" s="1"/>
  <c r="B21" i="185"/>
  <c r="P21" i="185" s="1"/>
  <c r="G20" i="185"/>
  <c r="Q20" i="185" s="1"/>
  <c r="B20" i="185"/>
  <c r="P20" i="185" s="1"/>
  <c r="G19" i="185"/>
  <c r="Q19" i="185" s="1"/>
  <c r="B19" i="185"/>
  <c r="P19" i="185" s="1"/>
  <c r="G18" i="185"/>
  <c r="Q18" i="185" s="1"/>
  <c r="B18" i="185"/>
  <c r="P18" i="185" s="1"/>
  <c r="G15" i="185"/>
  <c r="Q15" i="185" s="1"/>
  <c r="B15" i="185"/>
  <c r="P15" i="185" s="1"/>
  <c r="G14" i="185"/>
  <c r="Q14" i="185" s="1"/>
  <c r="B14" i="185"/>
  <c r="P14" i="185" s="1"/>
  <c r="G13" i="185"/>
  <c r="Q13" i="185" s="1"/>
  <c r="B13" i="185"/>
  <c r="P13" i="185" s="1"/>
  <c r="Q22" i="185" l="1"/>
  <c r="R22" i="185"/>
  <c r="R23" i="185"/>
  <c r="Q23" i="185"/>
  <c r="R17" i="185"/>
  <c r="Q17" i="185"/>
  <c r="R23" i="187"/>
  <c r="Q23" i="187"/>
  <c r="R17" i="187"/>
  <c r="Q17" i="187"/>
  <c r="R22" i="187"/>
  <c r="Q22" i="187"/>
  <c r="R22" i="186"/>
  <c r="Q22" i="186"/>
  <c r="Q17" i="186"/>
  <c r="R17" i="186"/>
  <c r="R23" i="186"/>
  <c r="Q23" i="186"/>
  <c r="A219" i="25"/>
  <c r="A205" i="25"/>
  <c r="A200" i="25"/>
  <c r="A164" i="25"/>
  <c r="A157" i="25"/>
  <c r="A153" i="25"/>
  <c r="A112" i="25"/>
  <c r="A111" i="25"/>
  <c r="A110" i="25"/>
  <c r="A109" i="25"/>
  <c r="A108" i="25"/>
  <c r="AM205" i="25"/>
  <c r="AM219" i="25"/>
  <c r="BK205" i="25" l="1"/>
  <c r="BK219" i="25"/>
  <c r="G152" i="182" l="1"/>
  <c r="Q152" i="182" s="1"/>
  <c r="B152" i="182"/>
  <c r="P152" i="182" s="1"/>
  <c r="G151" i="182"/>
  <c r="Q151" i="182" s="1"/>
  <c r="B151" i="182"/>
  <c r="P151" i="182" s="1"/>
  <c r="G150" i="182"/>
  <c r="Q150" i="182" s="1"/>
  <c r="B150" i="182"/>
  <c r="P150" i="182" s="1"/>
  <c r="G149" i="182"/>
  <c r="Q149" i="182" s="1"/>
  <c r="B149" i="182"/>
  <c r="P149" i="182" s="1"/>
  <c r="G148" i="182"/>
  <c r="Q148" i="182" s="1"/>
  <c r="B148" i="182"/>
  <c r="P148" i="182" s="1"/>
  <c r="G147" i="182"/>
  <c r="Q147" i="182" s="1"/>
  <c r="B147" i="182"/>
  <c r="P147" i="182" s="1"/>
  <c r="G146" i="182"/>
  <c r="Q146" i="182" s="1"/>
  <c r="B146" i="182"/>
  <c r="P146" i="182" s="1"/>
  <c r="G145" i="182"/>
  <c r="Q145" i="182" s="1"/>
  <c r="B145" i="182"/>
  <c r="P145" i="182" s="1"/>
  <c r="G144" i="182"/>
  <c r="Q144" i="182" s="1"/>
  <c r="B144" i="182"/>
  <c r="P144" i="182" s="1"/>
  <c r="G143" i="182"/>
  <c r="Q143" i="182" s="1"/>
  <c r="B143" i="182"/>
  <c r="P143" i="182" s="1"/>
  <c r="G142" i="182"/>
  <c r="Q142" i="182" s="1"/>
  <c r="B142" i="182"/>
  <c r="P142" i="182" s="1"/>
  <c r="G141" i="182"/>
  <c r="Q141" i="182" s="1"/>
  <c r="B141" i="182"/>
  <c r="P141" i="182" s="1"/>
  <c r="G140" i="182"/>
  <c r="Q140" i="182" s="1"/>
  <c r="B140" i="182"/>
  <c r="P140" i="182" s="1"/>
  <c r="G139" i="182"/>
  <c r="Q139" i="182" s="1"/>
  <c r="B139" i="182"/>
  <c r="P139" i="182" s="1"/>
  <c r="G138" i="182"/>
  <c r="Q138" i="182" s="1"/>
  <c r="B138" i="182"/>
  <c r="P138" i="182" s="1"/>
  <c r="G137" i="182"/>
  <c r="Q137" i="182" s="1"/>
  <c r="B137" i="182"/>
  <c r="P137" i="182" s="1"/>
  <c r="G136" i="182"/>
  <c r="Q136" i="182" s="1"/>
  <c r="B136" i="182"/>
  <c r="P136" i="182" s="1"/>
  <c r="G135" i="182"/>
  <c r="Q135" i="182" s="1"/>
  <c r="B135" i="182"/>
  <c r="P135" i="182" s="1"/>
  <c r="G134" i="182"/>
  <c r="Q134" i="182" s="1"/>
  <c r="B134" i="182"/>
  <c r="P134" i="182" s="1"/>
  <c r="G133" i="182"/>
  <c r="Q133" i="182" s="1"/>
  <c r="B133" i="182"/>
  <c r="P133" i="182" s="1"/>
  <c r="G132" i="182"/>
  <c r="Q132" i="182" s="1"/>
  <c r="B132" i="182"/>
  <c r="P132" i="182" s="1"/>
  <c r="G131" i="182"/>
  <c r="Q131" i="182" s="1"/>
  <c r="B131" i="182"/>
  <c r="P131" i="182" s="1"/>
  <c r="G130" i="182"/>
  <c r="Q130" i="182" s="1"/>
  <c r="B130" i="182"/>
  <c r="P130" i="182" s="1"/>
  <c r="G129" i="182"/>
  <c r="Q129" i="182" s="1"/>
  <c r="B129" i="182"/>
  <c r="P129" i="182" s="1"/>
  <c r="G128" i="182"/>
  <c r="Q128" i="182" s="1"/>
  <c r="B128" i="182"/>
  <c r="P128" i="182" s="1"/>
  <c r="G127" i="182"/>
  <c r="Q127" i="182" s="1"/>
  <c r="B127" i="182"/>
  <c r="P127" i="182" s="1"/>
  <c r="G126" i="182"/>
  <c r="Q126" i="182" s="1"/>
  <c r="B126" i="182"/>
  <c r="P126" i="182" s="1"/>
  <c r="G125" i="182"/>
  <c r="Q125" i="182" s="1"/>
  <c r="B125" i="182"/>
  <c r="P125" i="182" s="1"/>
  <c r="G124" i="182"/>
  <c r="Q124" i="182" s="1"/>
  <c r="B124" i="182"/>
  <c r="P124" i="182" s="1"/>
  <c r="G123" i="182"/>
  <c r="Q123" i="182" s="1"/>
  <c r="B123" i="182"/>
  <c r="P123" i="182" s="1"/>
  <c r="G122" i="182"/>
  <c r="Q122" i="182" s="1"/>
  <c r="B122" i="182"/>
  <c r="P122" i="182" s="1"/>
  <c r="G121" i="182"/>
  <c r="Q121" i="182" s="1"/>
  <c r="B121" i="182"/>
  <c r="P121" i="182" s="1"/>
  <c r="G120" i="182"/>
  <c r="Q120" i="182" s="1"/>
  <c r="B120" i="182"/>
  <c r="P120" i="182" s="1"/>
  <c r="G119" i="182"/>
  <c r="Q119" i="182" s="1"/>
  <c r="B119" i="182"/>
  <c r="P119" i="182" s="1"/>
  <c r="G118" i="182"/>
  <c r="Q118" i="182" s="1"/>
  <c r="B118" i="182"/>
  <c r="P118" i="182" s="1"/>
  <c r="G117" i="182"/>
  <c r="Q117" i="182" s="1"/>
  <c r="B117" i="182"/>
  <c r="P117" i="182" s="1"/>
  <c r="G116" i="182"/>
  <c r="Q116" i="182" s="1"/>
  <c r="B116" i="182"/>
  <c r="P116" i="182" s="1"/>
  <c r="G115" i="182"/>
  <c r="Q115" i="182" s="1"/>
  <c r="B115" i="182"/>
  <c r="P115" i="182" s="1"/>
  <c r="G114" i="182"/>
  <c r="Q114" i="182" s="1"/>
  <c r="B114" i="182"/>
  <c r="P114" i="182" s="1"/>
  <c r="G113" i="182"/>
  <c r="Q113" i="182" s="1"/>
  <c r="B113" i="182"/>
  <c r="P113" i="182" s="1"/>
  <c r="G112" i="182"/>
  <c r="Q112" i="182" s="1"/>
  <c r="B112" i="182"/>
  <c r="P112" i="182" s="1"/>
  <c r="G111" i="182"/>
  <c r="Q111" i="182" s="1"/>
  <c r="B111" i="182"/>
  <c r="P111" i="182" s="1"/>
  <c r="G110" i="182"/>
  <c r="Q110" i="182" s="1"/>
  <c r="B110" i="182"/>
  <c r="P110" i="182" s="1"/>
  <c r="G109" i="182"/>
  <c r="Q109" i="182" s="1"/>
  <c r="B109" i="182"/>
  <c r="P109" i="182" s="1"/>
  <c r="G108" i="182"/>
  <c r="Q108" i="182" s="1"/>
  <c r="B108" i="182"/>
  <c r="P108" i="182" s="1"/>
  <c r="G107" i="182"/>
  <c r="Q107" i="182" s="1"/>
  <c r="B107" i="182"/>
  <c r="P107" i="182" s="1"/>
  <c r="G106" i="182"/>
  <c r="Q106" i="182" s="1"/>
  <c r="B106" i="182"/>
  <c r="P106" i="182" s="1"/>
  <c r="G105" i="182"/>
  <c r="Q105" i="182" s="1"/>
  <c r="B105" i="182"/>
  <c r="P105" i="182" s="1"/>
  <c r="G104" i="182"/>
  <c r="Q104" i="182" s="1"/>
  <c r="B104" i="182"/>
  <c r="P104" i="182" s="1"/>
  <c r="G103" i="182"/>
  <c r="Q103" i="182" s="1"/>
  <c r="B103" i="182"/>
  <c r="P103" i="182" s="1"/>
  <c r="G102" i="182"/>
  <c r="Q102" i="182" s="1"/>
  <c r="B102" i="182"/>
  <c r="P102" i="182" s="1"/>
  <c r="G101" i="182"/>
  <c r="Q101" i="182" s="1"/>
  <c r="B101" i="182"/>
  <c r="P101" i="182" s="1"/>
  <c r="G100" i="182"/>
  <c r="Q100" i="182" s="1"/>
  <c r="B100" i="182"/>
  <c r="P100" i="182" s="1"/>
  <c r="G99" i="182"/>
  <c r="Q99" i="182" s="1"/>
  <c r="B99" i="182"/>
  <c r="P99" i="182" s="1"/>
  <c r="G98" i="182"/>
  <c r="Q98" i="182" s="1"/>
  <c r="B98" i="182"/>
  <c r="P98" i="182" s="1"/>
  <c r="G97" i="182"/>
  <c r="Q97" i="182" s="1"/>
  <c r="B97" i="182"/>
  <c r="P97" i="182" s="1"/>
  <c r="G96" i="182"/>
  <c r="Q96" i="182" s="1"/>
  <c r="B96" i="182"/>
  <c r="P96" i="182" s="1"/>
  <c r="G95" i="182"/>
  <c r="Q95" i="182" s="1"/>
  <c r="B95" i="182"/>
  <c r="P95" i="182" s="1"/>
  <c r="G94" i="182"/>
  <c r="Q94" i="182" s="1"/>
  <c r="B94" i="182"/>
  <c r="P94" i="182" s="1"/>
  <c r="G93" i="182"/>
  <c r="Q93" i="182" s="1"/>
  <c r="B93" i="182"/>
  <c r="P93" i="182" s="1"/>
  <c r="G92" i="182"/>
  <c r="Q92" i="182" s="1"/>
  <c r="B92" i="182"/>
  <c r="P92" i="182" s="1"/>
  <c r="G91" i="182"/>
  <c r="Q91" i="182" s="1"/>
  <c r="B91" i="182"/>
  <c r="P91" i="182" s="1"/>
  <c r="G90" i="182"/>
  <c r="Q90" i="182" s="1"/>
  <c r="B90" i="182"/>
  <c r="P90" i="182" s="1"/>
  <c r="G89" i="182"/>
  <c r="Q89" i="182" s="1"/>
  <c r="B89" i="182"/>
  <c r="P89" i="182" s="1"/>
  <c r="G88" i="182"/>
  <c r="Q88" i="182" s="1"/>
  <c r="B88" i="182"/>
  <c r="P88" i="182" s="1"/>
  <c r="G87" i="182"/>
  <c r="Q87" i="182" s="1"/>
  <c r="B87" i="182"/>
  <c r="P87" i="182" s="1"/>
  <c r="G86" i="182"/>
  <c r="Q86" i="182" s="1"/>
  <c r="B86" i="182"/>
  <c r="P86" i="182" s="1"/>
  <c r="G85" i="182"/>
  <c r="Q85" i="182" s="1"/>
  <c r="B85" i="182"/>
  <c r="P85" i="182" s="1"/>
  <c r="G84" i="182"/>
  <c r="Q84" i="182" s="1"/>
  <c r="B84" i="182"/>
  <c r="P84" i="182" s="1"/>
  <c r="G83" i="182"/>
  <c r="Q83" i="182" s="1"/>
  <c r="B83" i="182"/>
  <c r="P83" i="182" s="1"/>
  <c r="G82" i="182"/>
  <c r="Q82" i="182" s="1"/>
  <c r="B82" i="182"/>
  <c r="P82" i="182" s="1"/>
  <c r="G81" i="182"/>
  <c r="Q81" i="182" s="1"/>
  <c r="B81" i="182"/>
  <c r="P81" i="182" s="1"/>
  <c r="G80" i="182"/>
  <c r="Q80" i="182" s="1"/>
  <c r="B80" i="182"/>
  <c r="P80" i="182" s="1"/>
  <c r="G79" i="182"/>
  <c r="Q79" i="182" s="1"/>
  <c r="B79" i="182"/>
  <c r="P79" i="182" s="1"/>
  <c r="G78" i="182"/>
  <c r="Q78" i="182" s="1"/>
  <c r="B78" i="182"/>
  <c r="P78" i="182" s="1"/>
  <c r="G77" i="182"/>
  <c r="Q77" i="182" s="1"/>
  <c r="B77" i="182"/>
  <c r="P77" i="182" s="1"/>
  <c r="G76" i="182"/>
  <c r="Q76" i="182" s="1"/>
  <c r="B76" i="182"/>
  <c r="P76" i="182" s="1"/>
  <c r="G75" i="182"/>
  <c r="Q75" i="182" s="1"/>
  <c r="B75" i="182"/>
  <c r="P75" i="182" s="1"/>
  <c r="G74" i="182"/>
  <c r="Q74" i="182" s="1"/>
  <c r="B74" i="182"/>
  <c r="P74" i="182" s="1"/>
  <c r="G73" i="182"/>
  <c r="Q73" i="182" s="1"/>
  <c r="B73" i="182"/>
  <c r="P73" i="182" s="1"/>
  <c r="G72" i="182"/>
  <c r="Q72" i="182" s="1"/>
  <c r="B72" i="182"/>
  <c r="P72" i="182" s="1"/>
  <c r="G71" i="182"/>
  <c r="Q71" i="182" s="1"/>
  <c r="B71" i="182"/>
  <c r="P71" i="182" s="1"/>
  <c r="G70" i="182"/>
  <c r="Q70" i="182" s="1"/>
  <c r="B70" i="182"/>
  <c r="P70" i="182" s="1"/>
  <c r="G69" i="182"/>
  <c r="Q69" i="182" s="1"/>
  <c r="B69" i="182"/>
  <c r="P69" i="182" s="1"/>
  <c r="G68" i="182"/>
  <c r="Q68" i="182" s="1"/>
  <c r="B68" i="182"/>
  <c r="P68" i="182" s="1"/>
  <c r="G67" i="182"/>
  <c r="Q67" i="182" s="1"/>
  <c r="B67" i="182"/>
  <c r="P67" i="182" s="1"/>
  <c r="G66" i="182"/>
  <c r="Q66" i="182" s="1"/>
  <c r="B66" i="182"/>
  <c r="P66" i="182" s="1"/>
  <c r="G65" i="182"/>
  <c r="Q65" i="182" s="1"/>
  <c r="B65" i="182"/>
  <c r="P65" i="182" s="1"/>
  <c r="G64" i="182"/>
  <c r="Q64" i="182" s="1"/>
  <c r="B64" i="182"/>
  <c r="P64" i="182" s="1"/>
  <c r="G63" i="182"/>
  <c r="Q63" i="182" s="1"/>
  <c r="B63" i="182"/>
  <c r="P63" i="182" s="1"/>
  <c r="G62" i="182"/>
  <c r="Q62" i="182" s="1"/>
  <c r="B62" i="182"/>
  <c r="P62" i="182" s="1"/>
  <c r="G61" i="182"/>
  <c r="Q61" i="182" s="1"/>
  <c r="B61" i="182"/>
  <c r="P61" i="182" s="1"/>
  <c r="G60" i="182"/>
  <c r="Q60" i="182" s="1"/>
  <c r="B60" i="182"/>
  <c r="P60" i="182" s="1"/>
  <c r="G59" i="182"/>
  <c r="Q59" i="182" s="1"/>
  <c r="B59" i="182"/>
  <c r="P59" i="182" s="1"/>
  <c r="G58" i="182"/>
  <c r="Q58" i="182" s="1"/>
  <c r="B58" i="182"/>
  <c r="P58" i="182" s="1"/>
  <c r="G57" i="182"/>
  <c r="Q57" i="182" s="1"/>
  <c r="B57" i="182"/>
  <c r="P57" i="182" s="1"/>
  <c r="G56" i="182"/>
  <c r="Q56" i="182" s="1"/>
  <c r="B56" i="182"/>
  <c r="P56" i="182" s="1"/>
  <c r="G55" i="182"/>
  <c r="Q55" i="182" s="1"/>
  <c r="B55" i="182"/>
  <c r="P55" i="182" s="1"/>
  <c r="G54" i="182"/>
  <c r="Q54" i="182" s="1"/>
  <c r="B54" i="182"/>
  <c r="P54" i="182" s="1"/>
  <c r="G53" i="182"/>
  <c r="Q53" i="182" s="1"/>
  <c r="B53" i="182"/>
  <c r="P53" i="182" s="1"/>
  <c r="G52" i="182"/>
  <c r="Q52" i="182" s="1"/>
  <c r="B52" i="182"/>
  <c r="P52" i="182" s="1"/>
  <c r="G51" i="182"/>
  <c r="Q51" i="182" s="1"/>
  <c r="B51" i="182"/>
  <c r="P51" i="182" s="1"/>
  <c r="G50" i="182"/>
  <c r="Q50" i="182" s="1"/>
  <c r="B50" i="182"/>
  <c r="P50" i="182" s="1"/>
  <c r="G49" i="182"/>
  <c r="Q49" i="182" s="1"/>
  <c r="B49" i="182"/>
  <c r="P49" i="182" s="1"/>
  <c r="G48" i="182"/>
  <c r="Q48" i="182" s="1"/>
  <c r="B48" i="182"/>
  <c r="P48" i="182" s="1"/>
  <c r="G47" i="182"/>
  <c r="Q47" i="182" s="1"/>
  <c r="B47" i="182"/>
  <c r="P47" i="182" s="1"/>
  <c r="G46" i="182"/>
  <c r="Q46" i="182" s="1"/>
  <c r="B46" i="182"/>
  <c r="P46" i="182" s="1"/>
  <c r="G45" i="182"/>
  <c r="Q45" i="182" s="1"/>
  <c r="B45" i="182"/>
  <c r="P45" i="182" s="1"/>
  <c r="G44" i="182"/>
  <c r="Q44" i="182" s="1"/>
  <c r="B44" i="182"/>
  <c r="P44" i="182" s="1"/>
  <c r="G43" i="182"/>
  <c r="Q43" i="182" s="1"/>
  <c r="B43" i="182"/>
  <c r="P43" i="182" s="1"/>
  <c r="G42" i="182"/>
  <c r="Q42" i="182" s="1"/>
  <c r="B42" i="182"/>
  <c r="P42" i="182" s="1"/>
  <c r="G41" i="182"/>
  <c r="Q41" i="182" s="1"/>
  <c r="B41" i="182"/>
  <c r="P41" i="182" s="1"/>
  <c r="G40" i="182"/>
  <c r="Q40" i="182" s="1"/>
  <c r="B40" i="182"/>
  <c r="P40" i="182" s="1"/>
  <c r="G39" i="182"/>
  <c r="Q39" i="182" s="1"/>
  <c r="B39" i="182"/>
  <c r="P39" i="182" s="1"/>
  <c r="G153" i="182"/>
  <c r="Q153" i="182" s="1"/>
  <c r="B153" i="182"/>
  <c r="P153" i="182" s="1"/>
  <c r="G38" i="182"/>
  <c r="Q38" i="182" s="1"/>
  <c r="B38" i="182"/>
  <c r="P38" i="182" s="1"/>
  <c r="G37" i="182"/>
  <c r="Q37" i="182" s="1"/>
  <c r="B37" i="182"/>
  <c r="P37" i="182" s="1"/>
  <c r="G36" i="182"/>
  <c r="Q36" i="182" s="1"/>
  <c r="B36" i="182"/>
  <c r="P36" i="182" s="1"/>
  <c r="G35" i="182"/>
  <c r="Q35" i="182" s="1"/>
  <c r="B35" i="182"/>
  <c r="P35" i="182" s="1"/>
  <c r="G34" i="182"/>
  <c r="Q34" i="182" s="1"/>
  <c r="B34" i="182"/>
  <c r="P34" i="182" s="1"/>
  <c r="G33" i="182"/>
  <c r="Q33" i="182" s="1"/>
  <c r="B33" i="182"/>
  <c r="P33" i="182" s="1"/>
  <c r="G32" i="182"/>
  <c r="Q32" i="182" s="1"/>
  <c r="B32" i="182"/>
  <c r="P32" i="182" s="1"/>
  <c r="G31" i="182"/>
  <c r="Q31" i="182" s="1"/>
  <c r="B31" i="182"/>
  <c r="P31" i="182" s="1"/>
  <c r="G30" i="182"/>
  <c r="Q30" i="182" s="1"/>
  <c r="B30" i="182"/>
  <c r="P30" i="182" s="1"/>
  <c r="G29" i="182"/>
  <c r="Q29" i="182" s="1"/>
  <c r="B29" i="182"/>
  <c r="P29" i="182" s="1"/>
  <c r="G28" i="182"/>
  <c r="Q28" i="182" s="1"/>
  <c r="B28" i="182"/>
  <c r="P28" i="182" s="1"/>
  <c r="G27" i="182"/>
  <c r="Q27" i="182" s="1"/>
  <c r="B27" i="182"/>
  <c r="P27" i="182" s="1"/>
  <c r="G26" i="182"/>
  <c r="Q26" i="182" s="1"/>
  <c r="B26" i="182"/>
  <c r="P26" i="182" s="1"/>
  <c r="G25" i="182"/>
  <c r="Q25" i="182" s="1"/>
  <c r="B25" i="182"/>
  <c r="P25" i="182" s="1"/>
  <c r="G24" i="182"/>
  <c r="B24" i="182"/>
  <c r="P24" i="182" s="1"/>
  <c r="G23" i="182"/>
  <c r="B23" i="182"/>
  <c r="P23" i="182" s="1"/>
  <c r="G22" i="182"/>
  <c r="Q22" i="182" s="1"/>
  <c r="B22" i="182"/>
  <c r="P22" i="182" s="1"/>
  <c r="G21" i="182"/>
  <c r="Q21" i="182" s="1"/>
  <c r="B21" i="182"/>
  <c r="P21" i="182" s="1"/>
  <c r="G20" i="182"/>
  <c r="Q20" i="182" s="1"/>
  <c r="B20" i="182"/>
  <c r="P20" i="182" s="1"/>
  <c r="G19" i="182"/>
  <c r="Q19" i="182" s="1"/>
  <c r="B19" i="182"/>
  <c r="P19" i="182" s="1"/>
  <c r="G18" i="182"/>
  <c r="Q18" i="182" s="1"/>
  <c r="B18" i="182"/>
  <c r="P18" i="182" s="1"/>
  <c r="G17" i="182"/>
  <c r="B17" i="182"/>
  <c r="P17" i="182" s="1"/>
  <c r="G16" i="182"/>
  <c r="Q16" i="182" s="1"/>
  <c r="B16" i="182"/>
  <c r="P16" i="182" s="1"/>
  <c r="G15" i="182"/>
  <c r="Q15" i="182" s="1"/>
  <c r="B15" i="182"/>
  <c r="P15" i="182" s="1"/>
  <c r="G14" i="182"/>
  <c r="Q14" i="182" s="1"/>
  <c r="B14" i="182"/>
  <c r="P14" i="182" s="1"/>
  <c r="G13" i="182"/>
  <c r="Q13" i="182" s="1"/>
  <c r="B13" i="182"/>
  <c r="P13" i="182" s="1"/>
  <c r="G45" i="181"/>
  <c r="Q45" i="181" s="1"/>
  <c r="B45" i="181"/>
  <c r="P45" i="181" s="1"/>
  <c r="G47" i="181"/>
  <c r="Q47" i="181" s="1"/>
  <c r="B47" i="181"/>
  <c r="P47" i="181" s="1"/>
  <c r="G46" i="181"/>
  <c r="Q46" i="181" s="1"/>
  <c r="B46" i="181"/>
  <c r="P46" i="181" s="1"/>
  <c r="G44" i="181"/>
  <c r="Q44" i="181" s="1"/>
  <c r="B44" i="181"/>
  <c r="P44" i="181" s="1"/>
  <c r="G43" i="181"/>
  <c r="Q43" i="181" s="1"/>
  <c r="B43" i="181"/>
  <c r="P43" i="181" s="1"/>
  <c r="G42" i="181"/>
  <c r="Q42" i="181" s="1"/>
  <c r="B42" i="181"/>
  <c r="P42" i="181" s="1"/>
  <c r="G41" i="181"/>
  <c r="Q41" i="181" s="1"/>
  <c r="B41" i="181"/>
  <c r="P41" i="181" s="1"/>
  <c r="G40" i="181"/>
  <c r="Q40" i="181" s="1"/>
  <c r="B40" i="181"/>
  <c r="P40" i="181" s="1"/>
  <c r="G39" i="181"/>
  <c r="Q39" i="181" s="1"/>
  <c r="B39" i="181"/>
  <c r="P39" i="181" s="1"/>
  <c r="G38" i="181"/>
  <c r="Q38" i="181" s="1"/>
  <c r="B38" i="181"/>
  <c r="P38" i="181" s="1"/>
  <c r="G37" i="181"/>
  <c r="Q37" i="181" s="1"/>
  <c r="B37" i="181"/>
  <c r="P37" i="181" s="1"/>
  <c r="G36" i="181"/>
  <c r="Q36" i="181" s="1"/>
  <c r="B36" i="181"/>
  <c r="P36" i="181" s="1"/>
  <c r="G35" i="181"/>
  <c r="Q35" i="181" s="1"/>
  <c r="B35" i="181"/>
  <c r="P35" i="181" s="1"/>
  <c r="G34" i="181"/>
  <c r="Q34" i="181" s="1"/>
  <c r="B34" i="181"/>
  <c r="P34" i="181" s="1"/>
  <c r="G33" i="181"/>
  <c r="Q33" i="181" s="1"/>
  <c r="B33" i="181"/>
  <c r="P33" i="181" s="1"/>
  <c r="G32" i="181"/>
  <c r="Q32" i="181" s="1"/>
  <c r="B32" i="181"/>
  <c r="P32" i="181" s="1"/>
  <c r="G31" i="181"/>
  <c r="Q31" i="181" s="1"/>
  <c r="B31" i="181"/>
  <c r="P31" i="181" s="1"/>
  <c r="G30" i="181"/>
  <c r="Q30" i="181" s="1"/>
  <c r="B30" i="181"/>
  <c r="P30" i="181" s="1"/>
  <c r="G29" i="181"/>
  <c r="Q29" i="181" s="1"/>
  <c r="B29" i="181"/>
  <c r="P29" i="181" s="1"/>
  <c r="G28" i="181"/>
  <c r="Q28" i="181" s="1"/>
  <c r="B28" i="181"/>
  <c r="P28" i="181" s="1"/>
  <c r="G27" i="181"/>
  <c r="Q27" i="181" s="1"/>
  <c r="B27" i="181"/>
  <c r="P27" i="181" s="1"/>
  <c r="G26" i="181"/>
  <c r="Q26" i="181" s="1"/>
  <c r="B26" i="181"/>
  <c r="P26" i="181" s="1"/>
  <c r="G25" i="181"/>
  <c r="Q25" i="181" s="1"/>
  <c r="B25" i="181"/>
  <c r="P25" i="181" s="1"/>
  <c r="G24" i="181"/>
  <c r="Q24" i="181" s="1"/>
  <c r="B24" i="181"/>
  <c r="P24" i="181" s="1"/>
  <c r="G23" i="181"/>
  <c r="Q23" i="181" s="1"/>
  <c r="B23" i="181"/>
  <c r="P23" i="181" s="1"/>
  <c r="G22" i="181"/>
  <c r="Q22" i="181" s="1"/>
  <c r="B22" i="181"/>
  <c r="P22" i="181" s="1"/>
  <c r="G21" i="181"/>
  <c r="Q21" i="181" s="1"/>
  <c r="B21" i="181"/>
  <c r="P21" i="181" s="1"/>
  <c r="G20" i="181"/>
  <c r="Q20" i="181" s="1"/>
  <c r="B20" i="181"/>
  <c r="P20" i="181" s="1"/>
  <c r="G19" i="181"/>
  <c r="Q19" i="181" s="1"/>
  <c r="B19" i="181"/>
  <c r="P19" i="181" s="1"/>
  <c r="G18" i="181"/>
  <c r="Q18" i="181" s="1"/>
  <c r="B18" i="181"/>
  <c r="P18" i="181" s="1"/>
  <c r="G17" i="181"/>
  <c r="B17" i="181"/>
  <c r="P17" i="181" s="1"/>
  <c r="G16" i="181"/>
  <c r="Q16" i="181" s="1"/>
  <c r="B16" i="181"/>
  <c r="P16" i="181" s="1"/>
  <c r="G15" i="181"/>
  <c r="Q15" i="181" s="1"/>
  <c r="B15" i="181"/>
  <c r="P15" i="181" s="1"/>
  <c r="G14" i="181"/>
  <c r="Q14" i="181" s="1"/>
  <c r="B14" i="181"/>
  <c r="P14" i="181" s="1"/>
  <c r="G13" i="181"/>
  <c r="Q13" i="181" s="1"/>
  <c r="B13" i="181"/>
  <c r="P13" i="181" s="1"/>
  <c r="G46" i="172"/>
  <c r="G45" i="172"/>
  <c r="G44" i="172"/>
  <c r="G43" i="172"/>
  <c r="G42" i="172"/>
  <c r="G41" i="172"/>
  <c r="G40" i="172"/>
  <c r="G39" i="172"/>
  <c r="G38" i="172"/>
  <c r="G37" i="172"/>
  <c r="G36" i="172"/>
  <c r="G35" i="172"/>
  <c r="G34" i="172"/>
  <c r="G33" i="172"/>
  <c r="G32" i="172"/>
  <c r="G31" i="172"/>
  <c r="G30" i="172"/>
  <c r="G29" i="172"/>
  <c r="G28" i="172"/>
  <c r="G27" i="172"/>
  <c r="G26" i="172"/>
  <c r="G25" i="172"/>
  <c r="G24" i="172"/>
  <c r="G23" i="172"/>
  <c r="G22" i="172"/>
  <c r="G21" i="172"/>
  <c r="G20" i="172"/>
  <c r="G19" i="172"/>
  <c r="G18" i="172"/>
  <c r="G17" i="172"/>
  <c r="G16" i="172"/>
  <c r="G15" i="172"/>
  <c r="G14" i="172"/>
  <c r="G13" i="172"/>
  <c r="G47" i="179"/>
  <c r="Q47" i="179" s="1"/>
  <c r="G46" i="179"/>
  <c r="Q46" i="179" s="1"/>
  <c r="G45" i="179"/>
  <c r="Q45" i="179" s="1"/>
  <c r="G44" i="179"/>
  <c r="Q44" i="179" s="1"/>
  <c r="G43" i="179"/>
  <c r="Q43" i="179" s="1"/>
  <c r="G42" i="179"/>
  <c r="Q42" i="179" s="1"/>
  <c r="G41" i="179"/>
  <c r="Q41" i="179" s="1"/>
  <c r="G40" i="179"/>
  <c r="Q40" i="179" s="1"/>
  <c r="G39" i="179"/>
  <c r="Q39" i="179" s="1"/>
  <c r="G38" i="179"/>
  <c r="Q38" i="179" s="1"/>
  <c r="G37" i="179"/>
  <c r="Q37" i="179" s="1"/>
  <c r="G36" i="179"/>
  <c r="Q36" i="179" s="1"/>
  <c r="G35" i="179"/>
  <c r="Q35" i="179" s="1"/>
  <c r="G34" i="179"/>
  <c r="Q34" i="179" s="1"/>
  <c r="G33" i="179"/>
  <c r="Q33" i="179" s="1"/>
  <c r="G32" i="179"/>
  <c r="Q32" i="179" s="1"/>
  <c r="G31" i="179"/>
  <c r="Q31" i="179" s="1"/>
  <c r="G30" i="179"/>
  <c r="Q30" i="179" s="1"/>
  <c r="G29" i="179"/>
  <c r="Q29" i="179" s="1"/>
  <c r="G28" i="179"/>
  <c r="Q28" i="179" s="1"/>
  <c r="G27" i="179"/>
  <c r="Q27" i="179" s="1"/>
  <c r="G26" i="179"/>
  <c r="Q26" i="179" s="1"/>
  <c r="G25" i="179"/>
  <c r="Q25" i="179" s="1"/>
  <c r="G24" i="179"/>
  <c r="Q24" i="179" s="1"/>
  <c r="G23" i="179"/>
  <c r="Q23" i="179" s="1"/>
  <c r="G22" i="179"/>
  <c r="Q22" i="179" s="1"/>
  <c r="G21" i="179"/>
  <c r="Q21" i="179" s="1"/>
  <c r="G20" i="179"/>
  <c r="Q20" i="179" s="1"/>
  <c r="G19" i="179"/>
  <c r="Q19" i="179" s="1"/>
  <c r="G18" i="179"/>
  <c r="Q18" i="179" s="1"/>
  <c r="G17" i="179"/>
  <c r="G16" i="179"/>
  <c r="Q16" i="179" s="1"/>
  <c r="G15" i="179"/>
  <c r="Q15" i="179" s="1"/>
  <c r="G14" i="179"/>
  <c r="Q14" i="179" s="1"/>
  <c r="G13" i="179"/>
  <c r="Q13" i="179" s="1"/>
  <c r="R17" i="181" l="1"/>
  <c r="Q17" i="181"/>
  <c r="Q23" i="182"/>
  <c r="R23" i="182"/>
  <c r="R24" i="182"/>
  <c r="Q24" i="182"/>
  <c r="Q17" i="179"/>
  <c r="R17" i="179"/>
  <c r="R17" i="182"/>
  <c r="Q17" i="182"/>
  <c r="BK164" i="25"/>
  <c r="BK200" i="25"/>
  <c r="BK157" i="25"/>
  <c r="BK153" i="25"/>
  <c r="B45" i="179"/>
  <c r="P45" i="179" s="1"/>
  <c r="BK110" i="25"/>
  <c r="BK109" i="25"/>
  <c r="B47" i="179"/>
  <c r="P47" i="179" s="1"/>
  <c r="B46" i="179"/>
  <c r="P46" i="179" s="1"/>
  <c r="B44" i="179"/>
  <c r="P44" i="179" s="1"/>
  <c r="B43" i="179"/>
  <c r="P43" i="179" s="1"/>
  <c r="B42" i="179"/>
  <c r="P42" i="179" s="1"/>
  <c r="B41" i="179"/>
  <c r="P41" i="179" s="1"/>
  <c r="B40" i="179"/>
  <c r="P40" i="179" s="1"/>
  <c r="B39" i="179"/>
  <c r="P39" i="179" s="1"/>
  <c r="B38" i="179"/>
  <c r="P38" i="179" s="1"/>
  <c r="B37" i="179"/>
  <c r="P37" i="179" s="1"/>
  <c r="B36" i="179"/>
  <c r="P36" i="179" s="1"/>
  <c r="B35" i="179"/>
  <c r="P35" i="179" s="1"/>
  <c r="B34" i="179"/>
  <c r="P34" i="179" s="1"/>
  <c r="B33" i="179"/>
  <c r="P33" i="179" s="1"/>
  <c r="B32" i="179"/>
  <c r="P32" i="179" s="1"/>
  <c r="B31" i="179"/>
  <c r="P31" i="179" s="1"/>
  <c r="B30" i="179"/>
  <c r="P30" i="179" s="1"/>
  <c r="B29" i="179"/>
  <c r="P29" i="179" s="1"/>
  <c r="B28" i="179"/>
  <c r="P28" i="179" s="1"/>
  <c r="B27" i="179"/>
  <c r="P27" i="179" s="1"/>
  <c r="B26" i="179"/>
  <c r="P26" i="179" s="1"/>
  <c r="B25" i="179"/>
  <c r="P25" i="179" s="1"/>
  <c r="B24" i="179"/>
  <c r="P24" i="179" s="1"/>
  <c r="B23" i="179"/>
  <c r="P23" i="179" s="1"/>
  <c r="B22" i="179"/>
  <c r="P22" i="179" s="1"/>
  <c r="B21" i="179"/>
  <c r="P21" i="179" s="1"/>
  <c r="B20" i="179"/>
  <c r="P20" i="179" s="1"/>
  <c r="B19" i="179"/>
  <c r="P19" i="179" s="1"/>
  <c r="B18" i="179"/>
  <c r="P18" i="179" s="1"/>
  <c r="B17" i="179"/>
  <c r="P17" i="179" s="1"/>
  <c r="B16" i="179"/>
  <c r="P16" i="179" s="1"/>
  <c r="B15" i="179"/>
  <c r="P15" i="179" s="1"/>
  <c r="B14" i="179"/>
  <c r="P14" i="179" s="1"/>
  <c r="B13" i="179"/>
  <c r="P13" i="179" s="1"/>
  <c r="T45" i="172"/>
  <c r="S45" i="172"/>
  <c r="R45" i="172"/>
  <c r="Q45" i="172"/>
  <c r="B45" i="172"/>
  <c r="P45" i="172" s="1"/>
  <c r="T44" i="172"/>
  <c r="S44" i="172"/>
  <c r="R44" i="172"/>
  <c r="Q44" i="172"/>
  <c r="B44" i="172"/>
  <c r="P44" i="172" s="1"/>
  <c r="T43" i="172"/>
  <c r="S43" i="172"/>
  <c r="R43" i="172"/>
  <c r="Q43" i="172"/>
  <c r="B43" i="172"/>
  <c r="P43" i="172" s="1"/>
  <c r="T42" i="172"/>
  <c r="S42" i="172"/>
  <c r="R42" i="172"/>
  <c r="Q42" i="172"/>
  <c r="B42" i="172"/>
  <c r="P42" i="172" s="1"/>
  <c r="T41" i="172"/>
  <c r="S41" i="172"/>
  <c r="R41" i="172"/>
  <c r="Q41" i="172"/>
  <c r="B41" i="172"/>
  <c r="P41" i="172" s="1"/>
  <c r="T40" i="172"/>
  <c r="S40" i="172"/>
  <c r="R40" i="172"/>
  <c r="Q40" i="172"/>
  <c r="B40" i="172"/>
  <c r="P40" i="172" s="1"/>
  <c r="T39" i="172"/>
  <c r="S39" i="172"/>
  <c r="R39" i="172"/>
  <c r="Q39" i="172"/>
  <c r="B39" i="172"/>
  <c r="P39" i="172" s="1"/>
  <c r="T38" i="172"/>
  <c r="S38" i="172"/>
  <c r="R38" i="172"/>
  <c r="Q38" i="172"/>
  <c r="B38" i="172"/>
  <c r="P38" i="172" s="1"/>
  <c r="T37" i="172"/>
  <c r="S37" i="172"/>
  <c r="R37" i="172"/>
  <c r="Q37" i="172"/>
  <c r="B37" i="172"/>
  <c r="P37" i="172" s="1"/>
  <c r="T36" i="172"/>
  <c r="S36" i="172"/>
  <c r="R36" i="172"/>
  <c r="Q36" i="172"/>
  <c r="B36" i="172"/>
  <c r="P36" i="172" s="1"/>
  <c r="T35" i="172"/>
  <c r="S35" i="172"/>
  <c r="R35" i="172"/>
  <c r="Q35" i="172"/>
  <c r="B35" i="172"/>
  <c r="P35" i="172" s="1"/>
  <c r="T34" i="172"/>
  <c r="S34" i="172"/>
  <c r="R34" i="172"/>
  <c r="Q34" i="172"/>
  <c r="B34" i="172"/>
  <c r="P34" i="172" s="1"/>
  <c r="T33" i="172"/>
  <c r="S33" i="172"/>
  <c r="R33" i="172"/>
  <c r="Q33" i="172"/>
  <c r="B33" i="172"/>
  <c r="P33" i="172" s="1"/>
  <c r="T32" i="172"/>
  <c r="S32" i="172"/>
  <c r="R32" i="172"/>
  <c r="Q32" i="172"/>
  <c r="B32" i="172"/>
  <c r="P32" i="172" s="1"/>
  <c r="T31" i="172"/>
  <c r="S31" i="172"/>
  <c r="R31" i="172"/>
  <c r="Q31" i="172"/>
  <c r="B31" i="172"/>
  <c r="P31" i="172" s="1"/>
  <c r="T30" i="172"/>
  <c r="S30" i="172"/>
  <c r="R30" i="172"/>
  <c r="Q30" i="172"/>
  <c r="B30" i="172"/>
  <c r="P30" i="172" s="1"/>
  <c r="T29" i="172"/>
  <c r="S29" i="172"/>
  <c r="R29" i="172"/>
  <c r="Q29" i="172"/>
  <c r="B29" i="172"/>
  <c r="P29" i="172" s="1"/>
  <c r="T28" i="172"/>
  <c r="S28" i="172"/>
  <c r="R28" i="172"/>
  <c r="Q28" i="172"/>
  <c r="B28" i="172"/>
  <c r="P28" i="172" s="1"/>
  <c r="T27" i="172"/>
  <c r="S27" i="172"/>
  <c r="R27" i="172"/>
  <c r="Q27" i="172"/>
  <c r="B27" i="172"/>
  <c r="P27" i="172" s="1"/>
  <c r="T26" i="172"/>
  <c r="S26" i="172"/>
  <c r="R26" i="172"/>
  <c r="Q26" i="172"/>
  <c r="B26" i="172"/>
  <c r="P26" i="172" s="1"/>
  <c r="T25" i="172"/>
  <c r="S25" i="172"/>
  <c r="R25" i="172"/>
  <c r="Q25" i="172"/>
  <c r="B25" i="172"/>
  <c r="P25" i="172" s="1"/>
  <c r="T24" i="172"/>
  <c r="S24" i="172"/>
  <c r="R24" i="172"/>
  <c r="Q24" i="172"/>
  <c r="B24" i="172"/>
  <c r="P24" i="172" s="1"/>
  <c r="AM153" i="25"/>
  <c r="AM111" i="25"/>
  <c r="AM200" i="25"/>
  <c r="AM157" i="25"/>
  <c r="AM112" i="25"/>
  <c r="AM164" i="25"/>
  <c r="AM107" i="25"/>
  <c r="BK111" i="25" l="1"/>
  <c r="BK108" i="25"/>
  <c r="BK112" i="25"/>
  <c r="R259" i="178"/>
  <c r="R247" i="178"/>
  <c r="R235" i="178"/>
  <c r="R223" i="178"/>
  <c r="R211" i="178"/>
  <c r="AM110" i="25"/>
  <c r="AM109" i="25"/>
  <c r="AM108" i="25"/>
  <c r="C209" i="178" l="1"/>
  <c r="W209" i="178" s="1"/>
  <c r="C208" i="178"/>
  <c r="W208" i="178" s="1"/>
  <c r="C257" i="178"/>
  <c r="W257" i="178" s="1"/>
  <c r="C256" i="178"/>
  <c r="W256" i="178" s="1"/>
  <c r="C221" i="178"/>
  <c r="W221" i="178" s="1"/>
  <c r="C220" i="178"/>
  <c r="W220" i="178" s="1"/>
  <c r="C233" i="178"/>
  <c r="W233" i="178" s="1"/>
  <c r="C232" i="178"/>
  <c r="W232" i="178" s="1"/>
  <c r="C245" i="178"/>
  <c r="W245" i="178" s="1"/>
  <c r="C244" i="178"/>
  <c r="W244" i="178" s="1"/>
  <c r="R1136" i="174"/>
  <c r="R1124" i="174"/>
  <c r="C1121" i="174" s="1"/>
  <c r="W1121" i="174" s="1"/>
  <c r="R1112" i="174"/>
  <c r="R1100" i="174"/>
  <c r="R1088" i="174"/>
  <c r="R1076" i="174"/>
  <c r="C1074" i="174" l="1"/>
  <c r="W1074" i="174" s="1"/>
  <c r="C1073" i="174"/>
  <c r="W1073" i="174" s="1"/>
  <c r="C1134" i="174"/>
  <c r="W1134" i="174" s="1"/>
  <c r="C1133" i="174"/>
  <c r="W1133" i="174" s="1"/>
  <c r="C1098" i="174"/>
  <c r="W1098" i="174" s="1"/>
  <c r="C1097" i="174"/>
  <c r="W1097" i="174" s="1"/>
  <c r="C1110" i="174"/>
  <c r="W1110" i="174" s="1"/>
  <c r="C1109" i="174"/>
  <c r="W1109" i="174" s="1"/>
  <c r="C1086" i="174"/>
  <c r="W1086" i="174" s="1"/>
  <c r="C1085" i="174"/>
  <c r="W1085" i="174" s="1"/>
  <c r="C1122" i="174"/>
  <c r="W1122" i="174" s="1"/>
  <c r="S13" i="172" l="1"/>
  <c r="B46" i="172" l="1"/>
  <c r="B23" i="172"/>
  <c r="B22" i="172"/>
  <c r="B21" i="172"/>
  <c r="B20" i="172"/>
  <c r="B19" i="172"/>
  <c r="B18" i="172"/>
  <c r="B17" i="172"/>
  <c r="B16" i="172"/>
  <c r="B15" i="172"/>
  <c r="B14" i="172"/>
  <c r="B13" i="172"/>
  <c r="P13" i="172" s="1"/>
  <c r="BK107" i="25"/>
  <c r="A107" i="25" l="1"/>
  <c r="D5" i="430" l="1"/>
  <c r="D8" i="430" s="1"/>
  <c r="D4" i="430"/>
  <c r="D6" i="430"/>
  <c r="D6" i="429"/>
  <c r="D4" i="429"/>
  <c r="D5" i="429"/>
  <c r="D8" i="429" s="1"/>
  <c r="D4" i="428"/>
  <c r="D6" i="428"/>
  <c r="D5" i="428"/>
  <c r="D8" i="428" s="1"/>
  <c r="AS16" i="428" s="1"/>
  <c r="D6" i="427"/>
  <c r="D4" i="427"/>
  <c r="D5" i="427"/>
  <c r="D8" i="427" s="1"/>
  <c r="D5" i="426"/>
  <c r="D8" i="426" s="1"/>
  <c r="D4" i="426"/>
  <c r="D6" i="426"/>
  <c r="D5" i="425"/>
  <c r="D8" i="425" s="1"/>
  <c r="D4" i="425"/>
  <c r="D6" i="425"/>
  <c r="D5" i="424"/>
  <c r="D8" i="424" s="1"/>
  <c r="D6" i="424"/>
  <c r="D4" i="424"/>
  <c r="D5" i="423"/>
  <c r="D8" i="423" s="1"/>
  <c r="D4" i="423"/>
  <c r="D6" i="423"/>
  <c r="D5" i="422"/>
  <c r="D8" i="422" s="1"/>
  <c r="D4" i="422"/>
  <c r="D6" i="422"/>
  <c r="D6" i="421"/>
  <c r="D5" i="421"/>
  <c r="D8" i="421" s="1"/>
  <c r="D4" i="421"/>
  <c r="D6" i="420"/>
  <c r="D4" i="420"/>
  <c r="D5" i="420"/>
  <c r="D8" i="420" s="1"/>
  <c r="D6" i="419"/>
  <c r="D5" i="419"/>
  <c r="D8" i="419" s="1"/>
  <c r="D4" i="419"/>
  <c r="D6" i="418"/>
  <c r="D4" i="418"/>
  <c r="D5" i="418"/>
  <c r="D8" i="418" s="1"/>
  <c r="D4" i="417"/>
  <c r="D6" i="417"/>
  <c r="D5" i="417"/>
  <c r="D8" i="417" s="1"/>
  <c r="D6" i="416"/>
  <c r="D5" i="416"/>
  <c r="D8" i="416" s="1"/>
  <c r="D4" i="416"/>
  <c r="D6" i="415"/>
  <c r="D5" i="415"/>
  <c r="D8" i="415" s="1"/>
  <c r="D4" i="415"/>
  <c r="D6" i="414"/>
  <c r="D4" i="414"/>
  <c r="D5" i="414"/>
  <c r="D8" i="414" s="1"/>
  <c r="D6" i="413"/>
  <c r="D5" i="413"/>
  <c r="D8" i="413" s="1"/>
  <c r="D4" i="413"/>
  <c r="D6" i="412"/>
  <c r="D4" i="412"/>
  <c r="D5" i="412"/>
  <c r="D8" i="412" s="1"/>
  <c r="D4" i="411"/>
  <c r="D6" i="411"/>
  <c r="D5" i="411"/>
  <c r="D8" i="411" s="1"/>
  <c r="D5" i="409"/>
  <c r="D8" i="409" s="1"/>
  <c r="D4" i="409"/>
  <c r="D6" i="409"/>
  <c r="D6" i="408"/>
  <c r="D5" i="408"/>
  <c r="D8" i="408" s="1"/>
  <c r="D4" i="408"/>
  <c r="D6" i="407"/>
  <c r="D5" i="407"/>
  <c r="D8" i="407" s="1"/>
  <c r="D4" i="407"/>
  <c r="D6" i="406"/>
  <c r="D4" i="406"/>
  <c r="D5" i="406"/>
  <c r="D8" i="406" s="1"/>
  <c r="D4" i="405"/>
  <c r="D5" i="405"/>
  <c r="D8" i="405" s="1"/>
  <c r="D6" i="405"/>
  <c r="D6" i="404"/>
  <c r="D5" i="404"/>
  <c r="D8" i="404" s="1"/>
  <c r="D4" i="404"/>
  <c r="D6" i="403"/>
  <c r="D5" i="403"/>
  <c r="D8" i="403" s="1"/>
  <c r="D4" i="403"/>
  <c r="D6" i="402"/>
  <c r="D5" i="402"/>
  <c r="D8" i="402" s="1"/>
  <c r="D4" i="402"/>
  <c r="D6" i="401"/>
  <c r="D5" i="401"/>
  <c r="D8" i="401" s="1"/>
  <c r="D4" i="401"/>
  <c r="D6" i="400"/>
  <c r="D5" i="400"/>
  <c r="D8" i="400" s="1"/>
  <c r="D4" i="400"/>
  <c r="D5" i="399"/>
  <c r="D8" i="399" s="1"/>
  <c r="AS30" i="399" s="1"/>
  <c r="D6" i="399"/>
  <c r="D4" i="399"/>
  <c r="D6" i="398"/>
  <c r="D5" i="398"/>
  <c r="D8" i="398" s="1"/>
  <c r="D4" i="398"/>
  <c r="D5" i="397"/>
  <c r="D8" i="397" s="1"/>
  <c r="D4" i="397"/>
  <c r="D6" i="397"/>
  <c r="D6" i="396"/>
  <c r="D5" i="396"/>
  <c r="D8" i="396" s="1"/>
  <c r="D4" i="396"/>
  <c r="D6" i="395"/>
  <c r="D5" i="395"/>
  <c r="D8" i="395" s="1"/>
  <c r="D4" i="395"/>
  <c r="D6" i="394"/>
  <c r="D5" i="394"/>
  <c r="D8" i="394" s="1"/>
  <c r="D4" i="394"/>
  <c r="D6" i="393"/>
  <c r="D5" i="393"/>
  <c r="D8" i="393" s="1"/>
  <c r="D4" i="393"/>
  <c r="D6" i="392"/>
  <c r="D5" i="392"/>
  <c r="D4" i="392"/>
  <c r="D6" i="391"/>
  <c r="D5" i="391"/>
  <c r="D8" i="391" s="1"/>
  <c r="D4" i="391"/>
  <c r="D4" i="390"/>
  <c r="D5" i="390"/>
  <c r="D8" i="390" s="1"/>
  <c r="D6" i="390"/>
  <c r="D6" i="388"/>
  <c r="D5" i="388"/>
  <c r="D4" i="388"/>
  <c r="D6" i="387"/>
  <c r="D5" i="387"/>
  <c r="D8" i="387" s="1"/>
  <c r="D4" i="387"/>
  <c r="D5" i="386"/>
  <c r="D8" i="386" s="1"/>
  <c r="D4" i="386"/>
  <c r="D6" i="386"/>
  <c r="D6" i="373"/>
  <c r="D5" i="378"/>
  <c r="D8" i="378" s="1"/>
  <c r="AS20" i="378" s="1"/>
  <c r="D6" i="382"/>
  <c r="D5" i="372"/>
  <c r="D8" i="372" s="1"/>
  <c r="D5" i="379"/>
  <c r="D8" i="379" s="1"/>
  <c r="D4" i="383"/>
  <c r="D4" i="380"/>
  <c r="D4" i="381"/>
  <c r="D6" i="374"/>
  <c r="D5" i="374"/>
  <c r="D8" i="374" s="1"/>
  <c r="D5" i="373"/>
  <c r="D8" i="373" s="1"/>
  <c r="D5" i="382"/>
  <c r="D8" i="382" s="1"/>
  <c r="D4" i="374"/>
  <c r="D6" i="380"/>
  <c r="D4" i="378"/>
  <c r="D4" i="373"/>
  <c r="D6" i="377"/>
  <c r="D6" i="381"/>
  <c r="D5" i="377"/>
  <c r="D8" i="377" s="1"/>
  <c r="D5" i="381"/>
  <c r="D8" i="381" s="1"/>
  <c r="D4" i="379"/>
  <c r="D6" i="378"/>
  <c r="D6" i="383"/>
  <c r="D4" i="382"/>
  <c r="D5" i="380"/>
  <c r="D8" i="380" s="1"/>
  <c r="D6" i="379"/>
  <c r="D4" i="372"/>
  <c r="D4" i="377"/>
  <c r="D5" i="383"/>
  <c r="D8" i="383" s="1"/>
  <c r="D6" i="372"/>
  <c r="D4" i="371"/>
  <c r="D5" i="371"/>
  <c r="D8" i="371" s="1"/>
  <c r="D6" i="371"/>
  <c r="D6" i="369"/>
  <c r="D4" i="369"/>
  <c r="D5" i="370"/>
  <c r="D8" i="370" s="1"/>
  <c r="D5" i="366"/>
  <c r="D8" i="366" s="1"/>
  <c r="D4" i="368"/>
  <c r="D5" i="367"/>
  <c r="D8" i="367" s="1"/>
  <c r="D4" i="366"/>
  <c r="D5" i="365"/>
  <c r="D8" i="365" s="1"/>
  <c r="D5" i="369"/>
  <c r="D8" i="369" s="1"/>
  <c r="D6" i="368"/>
  <c r="D6" i="365"/>
  <c r="D6" i="366"/>
  <c r="D4" i="367"/>
  <c r="D5" i="368"/>
  <c r="D8" i="368" s="1"/>
  <c r="D6" i="370"/>
  <c r="D6" i="367"/>
  <c r="D4" i="370"/>
  <c r="D4" i="365"/>
  <c r="D6" i="358"/>
  <c r="D5" i="358"/>
  <c r="D8" i="358" s="1"/>
  <c r="D4" i="358"/>
  <c r="D6" i="334"/>
  <c r="D4" i="336"/>
  <c r="D4" i="192"/>
  <c r="D5" i="345"/>
  <c r="D8" i="345" s="1"/>
  <c r="D4" i="335"/>
  <c r="D6" i="341"/>
  <c r="D4" i="341"/>
  <c r="D4" i="333"/>
  <c r="D6" i="333"/>
  <c r="D5" i="346"/>
  <c r="D8" i="346" s="1"/>
  <c r="D5" i="334"/>
  <c r="D8" i="334" s="1"/>
  <c r="D6" i="337"/>
  <c r="D5" i="194"/>
  <c r="D8" i="194" s="1"/>
  <c r="D6" i="336"/>
  <c r="D6" i="339"/>
  <c r="D4" i="338"/>
  <c r="D4" i="346"/>
  <c r="D4" i="342"/>
  <c r="D4" i="195"/>
  <c r="D4" i="334"/>
  <c r="D5" i="337"/>
  <c r="D8" i="337" s="1"/>
  <c r="D6" i="195"/>
  <c r="D5" i="195"/>
  <c r="D8" i="195" s="1"/>
  <c r="D4" i="347"/>
  <c r="D5" i="333"/>
  <c r="D8" i="333" s="1"/>
  <c r="D6" i="194"/>
  <c r="D5" i="336"/>
  <c r="D8" i="336" s="1"/>
  <c r="D4" i="345"/>
  <c r="D5" i="338"/>
  <c r="D8" i="338" s="1"/>
  <c r="D5" i="347"/>
  <c r="D8" i="347" s="1"/>
  <c r="D6" i="192"/>
  <c r="D6" i="346"/>
  <c r="D4" i="194"/>
  <c r="D6" i="342"/>
  <c r="D4" i="344"/>
  <c r="D4" i="193"/>
  <c r="D6" i="343"/>
  <c r="D5" i="344"/>
  <c r="D8" i="344" s="1"/>
  <c r="D6" i="196"/>
  <c r="D5" i="339"/>
  <c r="D8" i="339" s="1"/>
  <c r="D5" i="342"/>
  <c r="D8" i="342" s="1"/>
  <c r="D5" i="340"/>
  <c r="D8" i="340" s="1"/>
  <c r="D6" i="347"/>
  <c r="D4" i="343"/>
  <c r="D5" i="343"/>
  <c r="D8" i="343" s="1"/>
  <c r="D6" i="193"/>
  <c r="D4" i="339"/>
  <c r="D4" i="337"/>
  <c r="D6" i="338"/>
  <c r="D6" i="345"/>
  <c r="D6" i="344"/>
  <c r="D5" i="193"/>
  <c r="D8" i="193" s="1"/>
  <c r="D6" i="335"/>
  <c r="D5" i="192"/>
  <c r="D8" i="192" s="1"/>
  <c r="D5" i="335"/>
  <c r="D8" i="335" s="1"/>
  <c r="D4" i="340"/>
  <c r="D5" i="341"/>
  <c r="D8" i="341" s="1"/>
  <c r="D5" i="196"/>
  <c r="D8" i="196" s="1"/>
  <c r="D4" i="196"/>
  <c r="D6" i="340"/>
  <c r="D6" i="181"/>
  <c r="D5" i="213"/>
  <c r="D8" i="213" s="1"/>
  <c r="D4" i="234"/>
  <c r="D6" i="257"/>
  <c r="D5" i="324"/>
  <c r="D8" i="324" s="1"/>
  <c r="D4" i="279"/>
  <c r="D6" i="300"/>
  <c r="D4" i="355"/>
  <c r="D5" i="181"/>
  <c r="D8" i="181" s="1"/>
  <c r="D4" i="213"/>
  <c r="D6" i="235"/>
  <c r="D5" i="257"/>
  <c r="D8" i="257" s="1"/>
  <c r="D4" i="324"/>
  <c r="D6" i="280"/>
  <c r="D5" i="300"/>
  <c r="D8" i="300" s="1"/>
  <c r="D6" i="356"/>
  <c r="D5" i="329"/>
  <c r="D8" i="329" s="1"/>
  <c r="D4" i="200"/>
  <c r="D6" i="222"/>
  <c r="D5" i="243"/>
  <c r="D8" i="243" s="1"/>
  <c r="D4" i="311"/>
  <c r="D6" i="267"/>
  <c r="D5" i="288"/>
  <c r="D8" i="288" s="1"/>
  <c r="D4" i="308"/>
  <c r="D4" i="354"/>
  <c r="D6" i="209"/>
  <c r="D5" i="230"/>
  <c r="D8" i="230" s="1"/>
  <c r="D4" i="252"/>
  <c r="D6" i="320"/>
  <c r="D5" i="276"/>
  <c r="D8" i="276" s="1"/>
  <c r="D4" i="296"/>
  <c r="D5" i="351"/>
  <c r="D8" i="351" s="1"/>
  <c r="D4" i="256"/>
  <c r="D6" i="187"/>
  <c r="D5" i="217"/>
  <c r="D8" i="217" s="1"/>
  <c r="D4" i="238"/>
  <c r="D6" i="261"/>
  <c r="D5" i="328"/>
  <c r="D8" i="328" s="1"/>
  <c r="D4" i="283"/>
  <c r="D6" i="304"/>
  <c r="D6" i="229"/>
  <c r="D4" i="352"/>
  <c r="D5" i="212"/>
  <c r="D8" i="212" s="1"/>
  <c r="D4" i="233"/>
  <c r="D6" i="256"/>
  <c r="D5" i="323"/>
  <c r="D8" i="323" s="1"/>
  <c r="D4" i="309"/>
  <c r="D6" i="299"/>
  <c r="D5" i="202"/>
  <c r="D8" i="202" s="1"/>
  <c r="D6" i="310"/>
  <c r="D5" i="207"/>
  <c r="D8" i="207" s="1"/>
  <c r="D4" i="228"/>
  <c r="D6" i="251"/>
  <c r="D5" i="318"/>
  <c r="D8" i="318" s="1"/>
  <c r="D4" i="274"/>
  <c r="D6" i="295"/>
  <c r="D4" i="349"/>
  <c r="D4" i="268"/>
  <c r="D5" i="287"/>
  <c r="D8" i="287" s="1"/>
  <c r="D4" i="328"/>
  <c r="D4" i="323"/>
  <c r="D5" i="299"/>
  <c r="D8" i="299" s="1"/>
  <c r="D4" i="357"/>
  <c r="D4" i="207"/>
  <c r="D6" i="275"/>
  <c r="D6" i="268"/>
  <c r="D5" i="251"/>
  <c r="D8" i="251" s="1"/>
  <c r="D4" i="261"/>
  <c r="D4" i="304"/>
  <c r="D6" i="292"/>
  <c r="D4" i="220"/>
  <c r="D4" i="185"/>
  <c r="D6" i="216"/>
  <c r="D5" i="237"/>
  <c r="D8" i="237" s="1"/>
  <c r="D4" i="259"/>
  <c r="D6" i="327"/>
  <c r="D5" i="282"/>
  <c r="D8" i="282" s="1"/>
  <c r="D4" i="302"/>
  <c r="D5" i="179"/>
  <c r="D8" i="179" s="1"/>
  <c r="D6" i="186"/>
  <c r="D5" i="216"/>
  <c r="D8" i="216" s="1"/>
  <c r="D4" i="237"/>
  <c r="D6" i="260"/>
  <c r="D5" i="327"/>
  <c r="D8" i="327" s="1"/>
  <c r="D4" i="282"/>
  <c r="D6" i="303"/>
  <c r="D4" i="179"/>
  <c r="D4" i="284"/>
  <c r="D5" i="203"/>
  <c r="D8" i="203" s="1"/>
  <c r="D4" i="224"/>
  <c r="D6" i="247"/>
  <c r="D5" i="314"/>
  <c r="D8" i="314" s="1"/>
  <c r="D4" i="269"/>
  <c r="D6" i="291"/>
  <c r="D5" i="188"/>
  <c r="D8" i="188" s="1"/>
  <c r="D6" i="197"/>
  <c r="D6" i="350"/>
  <c r="D4" i="211"/>
  <c r="D6" i="233"/>
  <c r="D5" i="255"/>
  <c r="D8" i="255" s="1"/>
  <c r="D4" i="322"/>
  <c r="D6" i="309"/>
  <c r="D5" i="298"/>
  <c r="D8" i="298" s="1"/>
  <c r="D6" i="354"/>
  <c r="D5" i="321"/>
  <c r="D8" i="321" s="1"/>
  <c r="D4" i="198"/>
  <c r="D6" i="220"/>
  <c r="D5" i="241"/>
  <c r="D8" i="241" s="1"/>
  <c r="D4" i="263"/>
  <c r="D6" i="265"/>
  <c r="D5" i="286"/>
  <c r="D8" i="286" s="1"/>
  <c r="D4" i="306"/>
  <c r="D4" i="248"/>
  <c r="D4" i="182"/>
  <c r="D6" i="215"/>
  <c r="D5" i="236"/>
  <c r="D8" i="236" s="1"/>
  <c r="D4" i="258"/>
  <c r="D6" i="326"/>
  <c r="D5" i="281"/>
  <c r="D8" i="281" s="1"/>
  <c r="D4" i="301"/>
  <c r="D4" i="215"/>
  <c r="D6" i="190"/>
  <c r="D6" i="210"/>
  <c r="D5" i="231"/>
  <c r="D8" i="231" s="1"/>
  <c r="D4" i="253"/>
  <c r="D6" i="321"/>
  <c r="D5" i="277"/>
  <c r="D8" i="277" s="1"/>
  <c r="D4" i="297"/>
  <c r="D5" i="352"/>
  <c r="D8" i="352" s="1"/>
  <c r="D6" i="284"/>
  <c r="D5" i="226"/>
  <c r="D8" i="226" s="1"/>
  <c r="D4" i="212"/>
  <c r="D5" i="256"/>
  <c r="D8" i="256" s="1"/>
  <c r="D6" i="349"/>
  <c r="D5" i="244"/>
  <c r="D8" i="244" s="1"/>
  <c r="D6" i="329"/>
  <c r="D6" i="242"/>
  <c r="D5" i="197"/>
  <c r="D8" i="197" s="1"/>
  <c r="D4" i="218"/>
  <c r="D6" i="240"/>
  <c r="D5" i="262"/>
  <c r="D8" i="262" s="1"/>
  <c r="D4" i="329"/>
  <c r="D6" i="285"/>
  <c r="D5" i="305"/>
  <c r="D8" i="305" s="1"/>
  <c r="D5" i="210"/>
  <c r="D8" i="210" s="1"/>
  <c r="D4" i="197"/>
  <c r="D6" i="219"/>
  <c r="D5" i="240"/>
  <c r="D8" i="240" s="1"/>
  <c r="D4" i="262"/>
  <c r="D6" i="330"/>
  <c r="D5" i="285"/>
  <c r="D8" i="285" s="1"/>
  <c r="D4" i="305"/>
  <c r="D4" i="351"/>
  <c r="D4" i="299"/>
  <c r="D6" i="206"/>
  <c r="D5" i="227"/>
  <c r="D8" i="227" s="1"/>
  <c r="D4" i="249"/>
  <c r="D6" i="317"/>
  <c r="D5" i="273"/>
  <c r="D8" i="273" s="1"/>
  <c r="D4" i="293"/>
  <c r="D6" i="191"/>
  <c r="D5" i="348"/>
  <c r="D8" i="348" s="1"/>
  <c r="D5" i="218"/>
  <c r="D8" i="218" s="1"/>
  <c r="D6" i="182"/>
  <c r="D5" i="214"/>
  <c r="D8" i="214" s="1"/>
  <c r="D4" i="235"/>
  <c r="D6" i="258"/>
  <c r="D5" i="325"/>
  <c r="D8" i="325" s="1"/>
  <c r="D4" i="280"/>
  <c r="D6" i="301"/>
  <c r="D4" i="356"/>
  <c r="D4" i="277"/>
  <c r="D5" i="201"/>
  <c r="D8" i="201" s="1"/>
  <c r="D4" i="222"/>
  <c r="D6" i="244"/>
  <c r="D5" i="312"/>
  <c r="D8" i="312" s="1"/>
  <c r="D4" i="267"/>
  <c r="D6" i="289"/>
  <c r="D4" i="264"/>
  <c r="D5" i="187"/>
  <c r="D8" i="187" s="1"/>
  <c r="D4" i="217"/>
  <c r="D6" i="239"/>
  <c r="D5" i="261"/>
  <c r="D8" i="261" s="1"/>
  <c r="D5" i="304"/>
  <c r="D8" i="304" s="1"/>
  <c r="D6" i="234"/>
  <c r="D6" i="279"/>
  <c r="D6" i="305"/>
  <c r="D4" i="191"/>
  <c r="D4" i="312"/>
  <c r="D6" i="218"/>
  <c r="D4" i="223"/>
  <c r="D5" i="199"/>
  <c r="D8" i="199" s="1"/>
  <c r="D4" i="265"/>
  <c r="D6" i="200"/>
  <c r="D5" i="221"/>
  <c r="D8" i="221" s="1"/>
  <c r="D4" i="242"/>
  <c r="D6" i="311"/>
  <c r="D5" i="266"/>
  <c r="D8" i="266" s="1"/>
  <c r="D4" i="287"/>
  <c r="D6" i="308"/>
  <c r="D4" i="231"/>
  <c r="D5" i="200"/>
  <c r="D8" i="200" s="1"/>
  <c r="D4" i="221"/>
  <c r="D6" i="243"/>
  <c r="D5" i="311"/>
  <c r="D8" i="311" s="1"/>
  <c r="D4" i="266"/>
  <c r="D6" i="288"/>
  <c r="D5" i="308"/>
  <c r="D8" i="308" s="1"/>
  <c r="D6" i="355"/>
  <c r="D4" i="208"/>
  <c r="D6" i="230"/>
  <c r="D5" i="252"/>
  <c r="D8" i="252" s="1"/>
  <c r="D4" i="319"/>
  <c r="D6" i="276"/>
  <c r="D5" i="296"/>
  <c r="D8" i="296" s="1"/>
  <c r="D6" i="351"/>
  <c r="D6" i="245"/>
  <c r="D4" i="186"/>
  <c r="D6" i="217"/>
  <c r="D5" i="238"/>
  <c r="D8" i="238" s="1"/>
  <c r="D4" i="260"/>
  <c r="D6" i="328"/>
  <c r="D5" i="283"/>
  <c r="D8" i="283" s="1"/>
  <c r="D4" i="303"/>
  <c r="D5" i="172"/>
  <c r="D8" i="172" s="1"/>
  <c r="D4" i="292"/>
  <c r="D6" i="204"/>
  <c r="D5" i="225"/>
  <c r="D8" i="225" s="1"/>
  <c r="D4" i="247"/>
  <c r="D6" i="315"/>
  <c r="D5" i="271"/>
  <c r="D8" i="271" s="1"/>
  <c r="D4" i="291"/>
  <c r="D6" i="189"/>
  <c r="D6" i="324"/>
  <c r="D6" i="199"/>
  <c r="D5" i="220"/>
  <c r="D8" i="220" s="1"/>
  <c r="D4" i="241"/>
  <c r="D6" i="264"/>
  <c r="D5" i="265"/>
  <c r="D8" i="265" s="1"/>
  <c r="D4" i="286"/>
  <c r="D6" i="307"/>
  <c r="D6" i="237"/>
  <c r="D6" i="185"/>
  <c r="D5" i="215"/>
  <c r="D8" i="215" s="1"/>
  <c r="D4" i="236"/>
  <c r="D6" i="259"/>
  <c r="D5" i="326"/>
  <c r="D8" i="326" s="1"/>
  <c r="D4" i="281"/>
  <c r="D6" i="302"/>
  <c r="D5" i="289"/>
  <c r="D8" i="289" s="1"/>
  <c r="D4" i="187"/>
  <c r="D5" i="284"/>
  <c r="D8" i="284" s="1"/>
  <c r="D6" i="179"/>
  <c r="D4" i="318"/>
  <c r="D6" i="287"/>
  <c r="D4" i="202"/>
  <c r="D6" i="224"/>
  <c r="D5" i="245"/>
  <c r="D8" i="245" s="1"/>
  <c r="D4" i="313"/>
  <c r="D6" i="269"/>
  <c r="D5" i="290"/>
  <c r="D8" i="290" s="1"/>
  <c r="D5" i="313"/>
  <c r="D8" i="313" s="1"/>
  <c r="D6" i="203"/>
  <c r="D5" i="224"/>
  <c r="D8" i="224" s="1"/>
  <c r="D4" i="245"/>
  <c r="D6" i="314"/>
  <c r="D5" i="269"/>
  <c r="D8" i="269" s="1"/>
  <c r="D4" i="290"/>
  <c r="D6" i="188"/>
  <c r="D4" i="199"/>
  <c r="D5" i="211"/>
  <c r="D8" i="211" s="1"/>
  <c r="D4" i="232"/>
  <c r="D6" i="255"/>
  <c r="D5" i="322"/>
  <c r="D8" i="322" s="1"/>
  <c r="D4" i="278"/>
  <c r="D6" i="298"/>
  <c r="D4" i="353"/>
  <c r="D6" i="262"/>
  <c r="D5" i="198"/>
  <c r="D8" i="198" s="1"/>
  <c r="D4" i="219"/>
  <c r="D6" i="241"/>
  <c r="D5" i="263"/>
  <c r="D8" i="263" s="1"/>
  <c r="D4" i="330"/>
  <c r="D6" i="286"/>
  <c r="D5" i="306"/>
  <c r="D8" i="306" s="1"/>
  <c r="D6" i="357"/>
  <c r="D4" i="206"/>
  <c r="D6" i="228"/>
  <c r="D5" i="250"/>
  <c r="D8" i="250" s="1"/>
  <c r="D4" i="317"/>
  <c r="D6" i="274"/>
  <c r="D5" i="294"/>
  <c r="D8" i="294" s="1"/>
  <c r="D6" i="223"/>
  <c r="D5" i="239"/>
  <c r="D8" i="239" s="1"/>
  <c r="D4" i="239"/>
  <c r="D5" i="205"/>
  <c r="D8" i="205" s="1"/>
  <c r="D4" i="226"/>
  <c r="D6" i="249"/>
  <c r="D5" i="316"/>
  <c r="D8" i="316" s="1"/>
  <c r="D4" i="272"/>
  <c r="D6" i="293"/>
  <c r="D5" i="190"/>
  <c r="D8" i="190" s="1"/>
  <c r="AS14" i="190" s="1"/>
  <c r="D5" i="272"/>
  <c r="D8" i="272" s="1"/>
  <c r="D4" i="205"/>
  <c r="D6" i="227"/>
  <c r="D5" i="249"/>
  <c r="D8" i="249" s="1"/>
  <c r="D4" i="316"/>
  <c r="D6" i="273"/>
  <c r="D5" i="293"/>
  <c r="D8" i="293" s="1"/>
  <c r="D4" i="190"/>
  <c r="D6" i="348"/>
  <c r="D6" i="221"/>
  <c r="D4" i="181"/>
  <c r="D6" i="214"/>
  <c r="D5" i="235"/>
  <c r="D8" i="235" s="1"/>
  <c r="D4" i="257"/>
  <c r="D6" i="325"/>
  <c r="D5" i="280"/>
  <c r="D8" i="280" s="1"/>
  <c r="D4" i="300"/>
  <c r="D5" i="356"/>
  <c r="D8" i="356" s="1"/>
  <c r="D4" i="326"/>
  <c r="D6" i="201"/>
  <c r="D5" i="222"/>
  <c r="D8" i="222" s="1"/>
  <c r="D4" i="243"/>
  <c r="D6" i="312"/>
  <c r="D5" i="267"/>
  <c r="D8" i="267" s="1"/>
  <c r="D4" i="288"/>
  <c r="D5" i="357"/>
  <c r="D8" i="357" s="1"/>
  <c r="D5" i="209"/>
  <c r="D8" i="209" s="1"/>
  <c r="D4" i="230"/>
  <c r="D6" i="253"/>
  <c r="D5" i="320"/>
  <c r="D8" i="320" s="1"/>
  <c r="D4" i="276"/>
  <c r="D6" i="297"/>
  <c r="D5" i="354"/>
  <c r="D8" i="354" s="1"/>
  <c r="D6" i="290"/>
  <c r="D5" i="204"/>
  <c r="D8" i="204" s="1"/>
  <c r="D4" i="225"/>
  <c r="D6" i="248"/>
  <c r="D5" i="315"/>
  <c r="D8" i="315" s="1"/>
  <c r="D4" i="271"/>
  <c r="D5" i="307"/>
  <c r="D8" i="307" s="1"/>
  <c r="D6" i="208"/>
  <c r="D5" i="229"/>
  <c r="D8" i="229" s="1"/>
  <c r="D4" i="251"/>
  <c r="D6" i="319"/>
  <c r="D5" i="275"/>
  <c r="D8" i="275" s="1"/>
  <c r="D4" i="295"/>
  <c r="D5" i="350"/>
  <c r="D8" i="350" s="1"/>
  <c r="D5" i="302"/>
  <c r="D8" i="302" s="1"/>
  <c r="D5" i="208"/>
  <c r="D8" i="208" s="1"/>
  <c r="D4" i="229"/>
  <c r="D6" i="252"/>
  <c r="D5" i="319"/>
  <c r="D8" i="319" s="1"/>
  <c r="D4" i="275"/>
  <c r="D6" i="296"/>
  <c r="D4" i="350"/>
  <c r="D5" i="242"/>
  <c r="D8" i="242" s="1"/>
  <c r="D5" i="186"/>
  <c r="D8" i="186" s="1"/>
  <c r="D4" i="216"/>
  <c r="D6" i="238"/>
  <c r="D5" i="260"/>
  <c r="D8" i="260" s="1"/>
  <c r="D4" i="327"/>
  <c r="D6" i="283"/>
  <c r="D5" i="303"/>
  <c r="D8" i="303" s="1"/>
  <c r="D4" i="172"/>
  <c r="D5" i="279"/>
  <c r="D8" i="279" s="1"/>
  <c r="D4" i="203"/>
  <c r="D6" i="225"/>
  <c r="D5" i="247"/>
  <c r="D8" i="247" s="1"/>
  <c r="D4" i="314"/>
  <c r="D6" i="271"/>
  <c r="D5" i="291"/>
  <c r="D8" i="291" s="1"/>
  <c r="D4" i="188"/>
  <c r="D6" i="205"/>
  <c r="D5" i="355"/>
  <c r="D8" i="355" s="1"/>
  <c r="D6" i="212"/>
  <c r="D5" i="233"/>
  <c r="D8" i="233" s="1"/>
  <c r="D4" i="255"/>
  <c r="D6" i="323"/>
  <c r="D5" i="309"/>
  <c r="D8" i="309" s="1"/>
  <c r="D4" i="298"/>
  <c r="D5" i="185"/>
  <c r="D8" i="185" s="1"/>
  <c r="D4" i="307"/>
  <c r="D6" i="207"/>
  <c r="D5" i="228"/>
  <c r="D8" i="228" s="1"/>
  <c r="D4" i="250"/>
  <c r="D6" i="318"/>
  <c r="D5" i="274"/>
  <c r="D8" i="274" s="1"/>
  <c r="D4" i="294"/>
  <c r="D5" i="349"/>
  <c r="D8" i="349" s="1"/>
  <c r="D6" i="266"/>
  <c r="D6" i="202"/>
  <c r="D5" i="223"/>
  <c r="D8" i="223" s="1"/>
  <c r="D4" i="244"/>
  <c r="D6" i="313"/>
  <c r="D5" i="268"/>
  <c r="D8" i="268" s="1"/>
  <c r="D4" i="289"/>
  <c r="D4" i="210"/>
  <c r="D6" i="232"/>
  <c r="D5" i="254"/>
  <c r="D8" i="254" s="1"/>
  <c r="D4" i="321"/>
  <c r="D6" i="278"/>
  <c r="D5" i="310"/>
  <c r="D8" i="310" s="1"/>
  <c r="D6" i="353"/>
  <c r="D6" i="211"/>
  <c r="D5" i="232"/>
  <c r="D8" i="232" s="1"/>
  <c r="D4" i="254"/>
  <c r="D6" i="322"/>
  <c r="D5" i="278"/>
  <c r="D8" i="278" s="1"/>
  <c r="D4" i="310"/>
  <c r="D5" i="353"/>
  <c r="D8" i="353" s="1"/>
  <c r="D5" i="259"/>
  <c r="D8" i="259" s="1"/>
  <c r="D6" i="198"/>
  <c r="D5" i="219"/>
  <c r="D8" i="219" s="1"/>
  <c r="D4" i="240"/>
  <c r="D6" i="263"/>
  <c r="D5" i="330"/>
  <c r="D8" i="330" s="1"/>
  <c r="D4" i="285"/>
  <c r="D6" i="306"/>
  <c r="D6" i="172"/>
  <c r="D5" i="295"/>
  <c r="D8" i="295" s="1"/>
  <c r="D5" i="206"/>
  <c r="D8" i="206" s="1"/>
  <c r="D4" i="227"/>
  <c r="D6" i="250"/>
  <c r="D5" i="317"/>
  <c r="D8" i="317" s="1"/>
  <c r="D4" i="273"/>
  <c r="D6" i="294"/>
  <c r="D5" i="191"/>
  <c r="D8" i="191" s="1"/>
  <c r="D4" i="348"/>
  <c r="D5" i="234"/>
  <c r="D8" i="234" s="1"/>
  <c r="D5" i="182"/>
  <c r="D8" i="182" s="1"/>
  <c r="D4" i="214"/>
  <c r="D6" i="236"/>
  <c r="D5" i="258"/>
  <c r="D8" i="258" s="1"/>
  <c r="D4" i="325"/>
  <c r="D6" i="281"/>
  <c r="D5" i="301"/>
  <c r="D8" i="301" s="1"/>
  <c r="D6" i="213"/>
  <c r="D4" i="209"/>
  <c r="D6" i="231"/>
  <c r="D5" i="253"/>
  <c r="D8" i="253" s="1"/>
  <c r="D4" i="320"/>
  <c r="D6" i="277"/>
  <c r="D5" i="297"/>
  <c r="D8" i="297" s="1"/>
  <c r="D6" i="352"/>
  <c r="D6" i="282"/>
  <c r="D4" i="204"/>
  <c r="D6" i="226"/>
  <c r="D5" i="248"/>
  <c r="D8" i="248" s="1"/>
  <c r="D4" i="315"/>
  <c r="D6" i="272"/>
  <c r="D5" i="292"/>
  <c r="D8" i="292" s="1"/>
  <c r="D4" i="189"/>
  <c r="D6" i="316"/>
  <c r="D4" i="201"/>
  <c r="D5" i="189"/>
  <c r="D8" i="189" s="1"/>
  <c r="D5" i="264"/>
  <c r="D8" i="264" s="1"/>
  <c r="D6" i="254"/>
  <c r="AE124" i="25"/>
  <c r="AE37" i="25"/>
  <c r="AE32" i="25"/>
  <c r="AE22" i="25"/>
  <c r="AE112" i="25"/>
  <c r="AE153" i="25"/>
  <c r="AE152" i="25"/>
  <c r="AE79" i="25"/>
  <c r="AE156" i="25"/>
  <c r="AE39" i="25"/>
  <c r="AE165" i="25"/>
  <c r="AE171" i="25"/>
  <c r="AE185" i="25"/>
  <c r="AE173" i="25"/>
  <c r="AE227" i="25"/>
  <c r="AE224" i="25"/>
  <c r="AE167" i="25"/>
  <c r="AE197" i="25"/>
  <c r="AE87" i="25"/>
  <c r="AE129" i="25"/>
  <c r="AE74" i="25"/>
  <c r="AE35" i="25"/>
  <c r="AE161" i="25"/>
  <c r="AE83" i="25"/>
  <c r="AE209" i="25"/>
  <c r="AE213" i="25"/>
  <c r="AE131" i="25"/>
  <c r="AE149" i="25"/>
  <c r="AE228" i="25"/>
  <c r="AE98" i="25"/>
  <c r="AE196" i="25"/>
  <c r="AE163" i="25"/>
  <c r="AE48" i="25"/>
  <c r="AE138" i="25"/>
  <c r="AE122" i="25"/>
  <c r="AE214" i="25"/>
  <c r="AE107" i="25"/>
  <c r="AE12" i="25"/>
  <c r="AE55" i="25"/>
  <c r="AE144" i="25"/>
  <c r="AE9" i="25"/>
  <c r="AE191" i="25"/>
  <c r="AE10" i="25"/>
  <c r="AE27" i="25"/>
  <c r="AE137" i="25"/>
  <c r="AE59" i="25"/>
  <c r="AE42" i="25"/>
  <c r="AE236" i="25"/>
  <c r="AE170" i="25"/>
  <c r="AE162" i="25"/>
  <c r="AE189" i="25"/>
  <c r="AE136" i="25"/>
  <c r="AE49" i="25"/>
  <c r="AE24" i="25"/>
  <c r="AE143" i="25"/>
  <c r="AE174" i="25"/>
  <c r="AE234" i="25"/>
  <c r="AE142" i="25"/>
  <c r="AE140" i="25"/>
  <c r="AE65" i="25"/>
  <c r="AE212" i="25"/>
  <c r="AE99" i="25"/>
  <c r="AE23" i="25"/>
  <c r="AE16" i="25"/>
  <c r="AE40" i="25"/>
  <c r="AE86" i="25"/>
  <c r="AE41" i="25"/>
  <c r="AE92" i="25"/>
  <c r="AE75" i="25"/>
  <c r="AE101" i="25"/>
  <c r="AE178" i="25"/>
  <c r="AE229" i="25"/>
  <c r="AE225" i="25"/>
  <c r="AE51" i="25"/>
  <c r="AE29" i="25"/>
  <c r="AE85" i="25"/>
  <c r="AE56" i="25"/>
  <c r="AE36" i="25"/>
  <c r="AE151" i="25"/>
  <c r="AE67" i="25"/>
  <c r="AE46" i="25"/>
  <c r="AE133" i="25"/>
  <c r="AE125" i="25"/>
  <c r="AE117" i="25"/>
  <c r="AE186" i="25"/>
  <c r="AE195" i="25"/>
  <c r="AE26" i="25"/>
  <c r="AE158" i="25"/>
  <c r="AE25" i="25"/>
  <c r="AE203" i="25"/>
  <c r="AE134" i="25"/>
  <c r="AE184" i="25"/>
  <c r="AE97" i="25"/>
  <c r="AE210" i="25"/>
  <c r="AE19" i="25"/>
  <c r="AE159" i="25"/>
  <c r="AE90" i="25"/>
  <c r="AE157" i="25"/>
  <c r="AE181" i="25"/>
  <c r="AE17" i="25"/>
  <c r="AE194" i="25"/>
  <c r="AE73" i="25"/>
  <c r="AE198" i="25"/>
  <c r="AE120" i="25"/>
  <c r="AE91" i="25"/>
  <c r="AE28" i="25"/>
  <c r="AE103" i="25"/>
  <c r="AE68" i="25"/>
  <c r="AE61" i="25"/>
  <c r="AE54" i="25"/>
  <c r="AE135" i="25"/>
  <c r="AE164" i="25"/>
  <c r="AE64" i="25"/>
  <c r="AE115" i="25"/>
  <c r="AE96" i="25"/>
  <c r="AE58" i="25"/>
  <c r="AE34" i="25"/>
  <c r="AE205" i="25"/>
  <c r="AE93" i="25"/>
  <c r="AE15" i="25"/>
  <c r="AE223" i="25"/>
  <c r="AE113" i="25"/>
  <c r="AE182" i="25"/>
  <c r="AE11" i="25"/>
  <c r="AE31" i="25"/>
  <c r="AE63" i="25"/>
  <c r="AE217" i="25"/>
  <c r="AE145" i="25"/>
  <c r="AE180" i="25"/>
  <c r="AE146" i="25"/>
  <c r="AE100" i="25"/>
  <c r="AE88" i="25"/>
  <c r="AE190" i="25"/>
  <c r="AE78" i="25"/>
  <c r="AE94" i="25"/>
  <c r="AE53" i="25"/>
  <c r="AE204" i="25"/>
  <c r="AE148" i="25"/>
  <c r="AE118" i="25"/>
  <c r="AE44" i="25"/>
  <c r="AE199" i="25"/>
  <c r="AE240" i="25"/>
  <c r="AE69" i="25"/>
  <c r="AE242" i="25"/>
  <c r="AE50" i="25"/>
  <c r="AE222" i="25"/>
  <c r="AE14" i="25"/>
  <c r="AE45" i="25"/>
  <c r="AE160" i="25"/>
  <c r="AE150" i="25"/>
  <c r="AE8" i="25"/>
  <c r="AE221" i="25"/>
  <c r="AE126" i="25"/>
  <c r="AE18" i="25"/>
  <c r="AE215" i="25"/>
  <c r="AE139" i="25"/>
  <c r="AE52" i="25"/>
  <c r="AE62" i="25"/>
  <c r="AE123" i="25"/>
  <c r="AE179" i="25"/>
  <c r="AE216" i="25"/>
  <c r="AE114" i="25"/>
  <c r="AE206" i="25"/>
  <c r="AE132" i="25"/>
  <c r="AE121" i="25"/>
  <c r="AE20" i="25"/>
  <c r="AE208" i="25"/>
  <c r="AE220" i="25"/>
  <c r="AE102" i="25"/>
  <c r="AE232" i="25"/>
  <c r="AE193" i="25"/>
  <c r="AE66" i="25"/>
  <c r="AE21" i="25"/>
  <c r="AE155" i="25"/>
  <c r="AE247" i="25"/>
  <c r="AE6" i="25"/>
  <c r="AE119" i="25"/>
  <c r="AE147" i="25"/>
  <c r="AE77" i="25"/>
  <c r="AE82" i="25"/>
  <c r="AE81" i="25"/>
  <c r="AE7" i="25"/>
  <c r="AE192" i="25"/>
  <c r="AE168" i="25"/>
  <c r="AE116" i="25"/>
  <c r="AE202" i="25"/>
  <c r="AE76" i="25"/>
  <c r="AE33" i="25"/>
  <c r="AE141" i="25"/>
  <c r="AE104" i="25"/>
  <c r="AE238" i="25"/>
  <c r="AE154" i="25"/>
  <c r="AE230" i="25"/>
  <c r="AE175" i="25"/>
  <c r="AE187" i="25"/>
  <c r="AE183" i="25"/>
  <c r="AE95" i="25"/>
  <c r="AE106" i="25"/>
  <c r="AE127" i="25"/>
  <c r="AE38" i="25"/>
  <c r="AE226" i="25"/>
  <c r="AE176" i="25"/>
  <c r="AE188" i="25"/>
  <c r="AE89" i="25"/>
  <c r="AE60" i="25"/>
  <c r="AE80" i="25"/>
  <c r="AE84" i="25"/>
  <c r="AE172" i="25"/>
  <c r="AE130" i="25"/>
  <c r="AE169" i="25"/>
  <c r="AE72" i="25"/>
  <c r="AE218" i="25"/>
  <c r="AE43" i="25"/>
  <c r="AE201" i="25"/>
  <c r="AE219" i="25"/>
  <c r="AE70" i="25"/>
  <c r="AE57" i="25"/>
  <c r="AE13" i="25"/>
  <c r="AE200" i="25"/>
  <c r="AE177" i="25"/>
  <c r="AE166" i="25"/>
  <c r="AE71" i="25"/>
  <c r="AE111" i="25"/>
  <c r="AE47" i="25"/>
  <c r="AE128" i="25"/>
  <c r="AS17" i="430" l="1"/>
  <c r="N11" i="430"/>
  <c r="AS16" i="430"/>
  <c r="AS10" i="430"/>
  <c r="AJ10" i="430"/>
  <c r="AS15" i="430"/>
  <c r="N10" i="430"/>
  <c r="AJ11" i="430"/>
  <c r="AS14" i="430"/>
  <c r="AS13" i="430"/>
  <c r="AS12" i="430"/>
  <c r="AS17" i="429"/>
  <c r="N11" i="429"/>
  <c r="AS10" i="429"/>
  <c r="AS15" i="429"/>
  <c r="N10" i="429"/>
  <c r="AS13" i="429"/>
  <c r="AS16" i="429"/>
  <c r="AJ10" i="429"/>
  <c r="AS14" i="429"/>
  <c r="AJ11" i="429"/>
  <c r="AS12" i="429"/>
  <c r="AS15" i="409"/>
  <c r="AS17" i="409"/>
  <c r="AS18" i="409"/>
  <c r="AS14" i="391"/>
  <c r="AS13" i="391"/>
  <c r="AS17" i="391"/>
  <c r="AS16" i="391"/>
  <c r="AS15" i="391"/>
  <c r="AS13" i="390"/>
  <c r="AS15" i="390"/>
  <c r="AS14" i="390"/>
  <c r="AS16" i="390"/>
  <c r="AS17" i="390"/>
  <c r="AS15" i="428"/>
  <c r="N10" i="428"/>
  <c r="AS14" i="428"/>
  <c r="AS13" i="428"/>
  <c r="AS12" i="428"/>
  <c r="AJ11" i="428"/>
  <c r="N11" i="428"/>
  <c r="AS17" i="428"/>
  <c r="AJ10" i="428"/>
  <c r="AS10" i="428"/>
  <c r="AS18" i="427"/>
  <c r="N11" i="427"/>
  <c r="AS17" i="427"/>
  <c r="AS10" i="427"/>
  <c r="AS16" i="427"/>
  <c r="AJ10" i="427"/>
  <c r="AS15" i="427"/>
  <c r="N10" i="427"/>
  <c r="AS14" i="427"/>
  <c r="AS13" i="427"/>
  <c r="AJ11" i="427"/>
  <c r="AS12" i="427"/>
  <c r="AS18" i="426"/>
  <c r="N11" i="426"/>
  <c r="AS17" i="426"/>
  <c r="AS10" i="426"/>
  <c r="AS16" i="426"/>
  <c r="AJ10" i="426"/>
  <c r="AS15" i="426"/>
  <c r="N10" i="426"/>
  <c r="AS13" i="426"/>
  <c r="AS14" i="426"/>
  <c r="AS12" i="426"/>
  <c r="AJ11" i="426"/>
  <c r="AS17" i="425"/>
  <c r="AS10" i="425"/>
  <c r="AS16" i="425"/>
  <c r="AJ10" i="425"/>
  <c r="AS15" i="425"/>
  <c r="N10" i="425"/>
  <c r="AS12" i="425"/>
  <c r="AJ11" i="425"/>
  <c r="AS14" i="425"/>
  <c r="AS13" i="425"/>
  <c r="N11" i="425"/>
  <c r="AS17" i="424"/>
  <c r="AS10" i="424"/>
  <c r="AS16" i="424"/>
  <c r="AJ10" i="424"/>
  <c r="AS15" i="424"/>
  <c r="N10" i="424"/>
  <c r="N11" i="424"/>
  <c r="AS14" i="424"/>
  <c r="AS13" i="424"/>
  <c r="AS12" i="424"/>
  <c r="AJ11" i="424"/>
  <c r="AS16" i="423"/>
  <c r="AJ10" i="423"/>
  <c r="AS15" i="423"/>
  <c r="N10" i="423"/>
  <c r="AS14" i="423"/>
  <c r="AS13" i="423"/>
  <c r="AS12" i="423"/>
  <c r="AS17" i="423"/>
  <c r="AS10" i="423"/>
  <c r="AJ11" i="423"/>
  <c r="N11" i="423"/>
  <c r="AS17" i="422"/>
  <c r="AS10" i="422"/>
  <c r="AS16" i="422"/>
  <c r="AJ10" i="422"/>
  <c r="AS15" i="422"/>
  <c r="N10" i="422"/>
  <c r="AS14" i="422"/>
  <c r="AS13" i="422"/>
  <c r="AS12" i="422"/>
  <c r="N11" i="422"/>
  <c r="AJ11" i="422"/>
  <c r="AS17" i="421"/>
  <c r="AS10" i="421"/>
  <c r="N10" i="421"/>
  <c r="AS16" i="421"/>
  <c r="AJ10" i="421"/>
  <c r="AS15" i="421"/>
  <c r="AS14" i="421"/>
  <c r="N11" i="421"/>
  <c r="AS13" i="421"/>
  <c r="AJ11" i="421"/>
  <c r="AS12" i="421"/>
  <c r="AS17" i="420"/>
  <c r="AS10" i="420"/>
  <c r="AS16" i="420"/>
  <c r="AJ10" i="420"/>
  <c r="AS15" i="420"/>
  <c r="N10" i="420"/>
  <c r="AS14" i="420"/>
  <c r="AS13" i="420"/>
  <c r="AS12" i="420"/>
  <c r="N11" i="420"/>
  <c r="AJ11" i="420"/>
  <c r="AS17" i="419"/>
  <c r="AS10" i="419"/>
  <c r="AS16" i="419"/>
  <c r="AJ10" i="419"/>
  <c r="AS15" i="419"/>
  <c r="N10" i="419"/>
  <c r="AS14" i="419"/>
  <c r="AS13" i="419"/>
  <c r="AS12" i="419"/>
  <c r="N11" i="419"/>
  <c r="AJ11" i="419"/>
  <c r="AS17" i="418"/>
  <c r="AS10" i="418"/>
  <c r="AS16" i="418"/>
  <c r="AJ10" i="418"/>
  <c r="N11" i="418"/>
  <c r="AS15" i="418"/>
  <c r="N10" i="418"/>
  <c r="AS14" i="418"/>
  <c r="AS13" i="418"/>
  <c r="AS12" i="418"/>
  <c r="AJ11" i="418"/>
  <c r="AS17" i="417"/>
  <c r="AS10" i="417"/>
  <c r="AJ11" i="417"/>
  <c r="N11" i="417"/>
  <c r="AS16" i="417"/>
  <c r="AJ10" i="417"/>
  <c r="AS15" i="417"/>
  <c r="N10" i="417"/>
  <c r="AS13" i="417"/>
  <c r="AS14" i="417"/>
  <c r="AS12" i="417"/>
  <c r="AS16" i="416"/>
  <c r="AJ10" i="416"/>
  <c r="AS15" i="416"/>
  <c r="N10" i="416"/>
  <c r="AS14" i="416"/>
  <c r="AS13" i="416"/>
  <c r="AS12" i="416"/>
  <c r="AJ11" i="416"/>
  <c r="N11" i="416"/>
  <c r="AS17" i="416"/>
  <c r="AS10" i="416"/>
  <c r="AS17" i="415"/>
  <c r="AS10" i="415"/>
  <c r="AS16" i="415"/>
  <c r="AJ10" i="415"/>
  <c r="AS15" i="415"/>
  <c r="N10" i="415"/>
  <c r="AS14" i="415"/>
  <c r="AS13" i="415"/>
  <c r="N11" i="415"/>
  <c r="AS12" i="415"/>
  <c r="AJ11" i="415"/>
  <c r="AS17" i="414"/>
  <c r="AS10" i="414"/>
  <c r="AS16" i="414"/>
  <c r="AJ10" i="414"/>
  <c r="AS15" i="414"/>
  <c r="N10" i="414"/>
  <c r="AS14" i="414"/>
  <c r="AS13" i="414"/>
  <c r="AS12" i="414"/>
  <c r="N11" i="414"/>
  <c r="AJ11" i="414"/>
  <c r="AS17" i="413"/>
  <c r="AS16" i="413"/>
  <c r="AJ10" i="413"/>
  <c r="AS15" i="413"/>
  <c r="N10" i="413"/>
  <c r="AS13" i="413"/>
  <c r="AS14" i="413"/>
  <c r="AS12" i="413"/>
  <c r="AJ11" i="413"/>
  <c r="N11" i="413"/>
  <c r="AS10" i="413"/>
  <c r="AS39" i="412"/>
  <c r="AS31" i="412"/>
  <c r="AS22" i="412"/>
  <c r="AS37" i="412"/>
  <c r="AS29" i="412"/>
  <c r="AS38" i="412"/>
  <c r="AS30" i="412"/>
  <c r="AS36" i="412"/>
  <c r="AS28" i="412"/>
  <c r="AS26" i="412"/>
  <c r="AS35" i="412"/>
  <c r="AS27" i="412"/>
  <c r="AS24" i="412"/>
  <c r="AS34" i="412"/>
  <c r="AS33" i="412"/>
  <c r="AS25" i="412"/>
  <c r="AS32" i="412"/>
  <c r="AS40" i="412"/>
  <c r="AS16" i="412"/>
  <c r="AJ10" i="412"/>
  <c r="AS15" i="412"/>
  <c r="N10" i="412"/>
  <c r="AS23" i="412"/>
  <c r="AS14" i="412"/>
  <c r="AS21" i="412"/>
  <c r="AS13" i="412"/>
  <c r="AS18" i="412"/>
  <c r="N11" i="412"/>
  <c r="AS17" i="412"/>
  <c r="AS20" i="412"/>
  <c r="AS12" i="412"/>
  <c r="AS19" i="412"/>
  <c r="AJ11" i="412"/>
  <c r="AS10" i="412"/>
  <c r="AS21" i="411"/>
  <c r="AS20" i="411"/>
  <c r="AS16" i="411"/>
  <c r="AS19" i="411"/>
  <c r="AS22" i="411"/>
  <c r="AS18" i="411"/>
  <c r="AS17" i="411"/>
  <c r="AS15" i="411"/>
  <c r="AS24" i="411"/>
  <c r="AJ10" i="411"/>
  <c r="AS23" i="411"/>
  <c r="N10" i="411"/>
  <c r="AS14" i="411"/>
  <c r="AS12" i="411"/>
  <c r="AS13" i="411"/>
  <c r="AJ11" i="411"/>
  <c r="N11" i="411"/>
  <c r="AS10" i="411"/>
  <c r="AS14" i="408"/>
  <c r="AS19" i="409"/>
  <c r="AS12" i="409"/>
  <c r="N11" i="409"/>
  <c r="AJ10" i="409"/>
  <c r="AJ11" i="409"/>
  <c r="AS10" i="409"/>
  <c r="AS14" i="409"/>
  <c r="AS13" i="409"/>
  <c r="AS16" i="409"/>
  <c r="N10" i="409"/>
  <c r="AS23" i="398"/>
  <c r="AS28" i="398"/>
  <c r="AS28" i="399"/>
  <c r="AS14" i="399"/>
  <c r="AS13" i="399"/>
  <c r="AS14" i="397"/>
  <c r="AS13" i="397"/>
  <c r="AS14" i="396"/>
  <c r="AS13" i="396"/>
  <c r="AS14" i="395"/>
  <c r="AS13" i="395"/>
  <c r="AS14" i="394"/>
  <c r="AS13" i="394"/>
  <c r="AS16" i="408"/>
  <c r="N10" i="408"/>
  <c r="AJ11" i="408"/>
  <c r="AS15" i="408"/>
  <c r="AS13" i="408"/>
  <c r="AS12" i="408"/>
  <c r="N11" i="408"/>
  <c r="AS10" i="408"/>
  <c r="AJ10" i="408"/>
  <c r="AS15" i="407"/>
  <c r="N10" i="407"/>
  <c r="AS14" i="407"/>
  <c r="AS13" i="407"/>
  <c r="AS12" i="407"/>
  <c r="AJ11" i="407"/>
  <c r="N11" i="407"/>
  <c r="AS10" i="407"/>
  <c r="AJ10" i="407"/>
  <c r="AS16" i="406"/>
  <c r="AS17" i="406"/>
  <c r="AS15" i="406"/>
  <c r="N10" i="406"/>
  <c r="AJ10" i="406"/>
  <c r="AS14" i="406"/>
  <c r="AS13" i="406"/>
  <c r="AS12" i="406"/>
  <c r="AJ11" i="406"/>
  <c r="N11" i="406"/>
  <c r="AS10" i="406"/>
  <c r="AS15" i="405"/>
  <c r="AS10" i="405"/>
  <c r="AJ10" i="405"/>
  <c r="N10" i="405"/>
  <c r="AS12" i="405"/>
  <c r="AS14" i="405"/>
  <c r="AJ11" i="405"/>
  <c r="AS13" i="405"/>
  <c r="N11" i="405"/>
  <c r="AS23" i="404"/>
  <c r="AS22" i="404"/>
  <c r="AS21" i="404"/>
  <c r="AS24" i="404"/>
  <c r="AS20" i="404"/>
  <c r="AS19" i="404"/>
  <c r="AS18" i="404"/>
  <c r="AS17" i="404"/>
  <c r="AS16" i="404"/>
  <c r="AS25" i="404"/>
  <c r="AJ11" i="404"/>
  <c r="N11" i="404"/>
  <c r="AS10" i="404"/>
  <c r="AJ10" i="404"/>
  <c r="AS15" i="404"/>
  <c r="N10" i="404"/>
  <c r="AS14" i="404"/>
  <c r="AS13" i="404"/>
  <c r="AS12" i="404"/>
  <c r="AS20" i="403"/>
  <c r="AJ10" i="403"/>
  <c r="AS15" i="403"/>
  <c r="N10" i="403"/>
  <c r="AS14" i="403"/>
  <c r="AS13" i="403"/>
  <c r="AS19" i="403"/>
  <c r="AS12" i="403"/>
  <c r="AS18" i="403"/>
  <c r="AJ11" i="403"/>
  <c r="AS17" i="403"/>
  <c r="N11" i="403"/>
  <c r="AS16" i="403"/>
  <c r="AS10" i="403"/>
  <c r="AS17" i="402"/>
  <c r="AS16" i="402"/>
  <c r="AJ10" i="402"/>
  <c r="AS13" i="402"/>
  <c r="AS12" i="402"/>
  <c r="AS15" i="402"/>
  <c r="N10" i="402"/>
  <c r="AJ11" i="402"/>
  <c r="N11" i="402"/>
  <c r="AS10" i="402"/>
  <c r="AS14" i="402"/>
  <c r="AS16" i="401"/>
  <c r="AS15" i="401"/>
  <c r="AS17" i="401"/>
  <c r="AS14" i="401"/>
  <c r="AJ11" i="401"/>
  <c r="N11" i="401"/>
  <c r="AS13" i="401"/>
  <c r="N10" i="401"/>
  <c r="AS12" i="401"/>
  <c r="AS10" i="401"/>
  <c r="AJ10" i="401"/>
  <c r="AS22" i="400"/>
  <c r="AS14" i="400"/>
  <c r="AS21" i="400"/>
  <c r="AS20" i="400"/>
  <c r="AS12" i="400"/>
  <c r="AS10" i="400"/>
  <c r="AJ10" i="400"/>
  <c r="AS13" i="400"/>
  <c r="AS19" i="400"/>
  <c r="AJ11" i="400"/>
  <c r="AS18" i="400"/>
  <c r="N11" i="400"/>
  <c r="AS17" i="400"/>
  <c r="AS16" i="400"/>
  <c r="AS15" i="400"/>
  <c r="N10" i="400"/>
  <c r="AS31" i="399"/>
  <c r="AS21" i="399"/>
  <c r="AS12" i="399"/>
  <c r="AS29" i="399"/>
  <c r="AS20" i="399"/>
  <c r="AJ11" i="399"/>
  <c r="AS15" i="399"/>
  <c r="AS27" i="399"/>
  <c r="AS19" i="399"/>
  <c r="N11" i="399"/>
  <c r="AS10" i="399"/>
  <c r="AS22" i="399"/>
  <c r="AS26" i="399"/>
  <c r="AS18" i="399"/>
  <c r="AS25" i="399"/>
  <c r="AS17" i="399"/>
  <c r="AJ10" i="399"/>
  <c r="AS24" i="399"/>
  <c r="AS16" i="399"/>
  <c r="N10" i="399"/>
  <c r="AS23" i="399"/>
  <c r="AS25" i="398"/>
  <c r="AS16" i="398"/>
  <c r="AS24" i="398"/>
  <c r="AS15" i="398"/>
  <c r="AS22" i="398"/>
  <c r="AS21" i="398"/>
  <c r="AS20" i="398"/>
  <c r="AS19" i="398"/>
  <c r="AS18" i="398"/>
  <c r="AS17" i="398"/>
  <c r="AS29" i="398"/>
  <c r="AS10" i="398"/>
  <c r="AS26" i="398"/>
  <c r="N10" i="398"/>
  <c r="AS14" i="398"/>
  <c r="AS13" i="398"/>
  <c r="AS12" i="398"/>
  <c r="AJ11" i="398"/>
  <c r="N11" i="398"/>
  <c r="AS27" i="398"/>
  <c r="AJ10" i="398"/>
  <c r="AS23" i="397"/>
  <c r="AS15" i="397"/>
  <c r="N10" i="397"/>
  <c r="AS22" i="397"/>
  <c r="AS21" i="397"/>
  <c r="AS12" i="397"/>
  <c r="AS20" i="397"/>
  <c r="AJ11" i="397"/>
  <c r="AS19" i="397"/>
  <c r="N11" i="397"/>
  <c r="AS16" i="397"/>
  <c r="AS18" i="397"/>
  <c r="AS10" i="397"/>
  <c r="AS17" i="397"/>
  <c r="AJ10" i="397"/>
  <c r="AS23" i="396"/>
  <c r="AS15" i="396"/>
  <c r="AS22" i="396"/>
  <c r="AS21" i="396"/>
  <c r="AS12" i="396"/>
  <c r="AS20" i="396"/>
  <c r="AJ11" i="396"/>
  <c r="AS19" i="396"/>
  <c r="N11" i="396"/>
  <c r="AS18" i="396"/>
  <c r="AS10" i="396"/>
  <c r="AS17" i="396"/>
  <c r="AJ10" i="396"/>
  <c r="AS16" i="396"/>
  <c r="N10" i="396"/>
  <c r="AS22" i="395"/>
  <c r="AS21" i="395"/>
  <c r="AS20" i="395"/>
  <c r="AS18" i="395"/>
  <c r="AS19" i="395"/>
  <c r="AS15" i="395"/>
  <c r="AS17" i="395"/>
  <c r="AS16" i="395"/>
  <c r="AS23" i="395"/>
  <c r="N10" i="395"/>
  <c r="AS12" i="395"/>
  <c r="AJ11" i="395"/>
  <c r="N11" i="395"/>
  <c r="AS10" i="395"/>
  <c r="AJ10" i="395"/>
  <c r="AS12" i="394"/>
  <c r="AJ11" i="394"/>
  <c r="N11" i="394"/>
  <c r="AS10" i="394"/>
  <c r="AJ10" i="394"/>
  <c r="AS16" i="394"/>
  <c r="N10" i="394"/>
  <c r="AS15" i="394"/>
  <c r="AS18" i="393"/>
  <c r="AS17" i="393"/>
  <c r="AS16" i="393"/>
  <c r="D8" i="392"/>
  <c r="AS15" i="392" s="1"/>
  <c r="AS20" i="393"/>
  <c r="AS10" i="393"/>
  <c r="AS15" i="393"/>
  <c r="N10" i="393"/>
  <c r="AS14" i="393"/>
  <c r="AS13" i="393"/>
  <c r="AS12" i="393"/>
  <c r="AJ11" i="393"/>
  <c r="N11" i="393"/>
  <c r="AS19" i="393"/>
  <c r="AJ10" i="393"/>
  <c r="AS10" i="391"/>
  <c r="AJ10" i="391"/>
  <c r="N10" i="391"/>
  <c r="AS12" i="391"/>
  <c r="AJ11" i="391"/>
  <c r="N11" i="391"/>
  <c r="AJ11" i="390"/>
  <c r="N11" i="390"/>
  <c r="AS10" i="390"/>
  <c r="AJ10" i="390"/>
  <c r="AS12" i="390"/>
  <c r="N10" i="390"/>
  <c r="D8" i="388"/>
  <c r="AS15" i="387"/>
  <c r="AS10" i="387"/>
  <c r="AJ10" i="387"/>
  <c r="N10" i="387"/>
  <c r="AS14" i="387"/>
  <c r="AS13" i="387"/>
  <c r="AS12" i="387"/>
  <c r="AJ11" i="387"/>
  <c r="N11" i="387"/>
  <c r="AS17" i="386"/>
  <c r="AJ11" i="386"/>
  <c r="AS10" i="386"/>
  <c r="AS16" i="386"/>
  <c r="N11" i="386"/>
  <c r="AJ10" i="386"/>
  <c r="AS12" i="386"/>
  <c r="AS15" i="386"/>
  <c r="N10" i="386"/>
  <c r="AS13" i="386"/>
  <c r="AS14" i="386"/>
  <c r="AS16" i="381"/>
  <c r="N11" i="381"/>
  <c r="AJ10" i="381"/>
  <c r="AS21" i="381"/>
  <c r="N10" i="381"/>
  <c r="AS14" i="381"/>
  <c r="AS13" i="381"/>
  <c r="AS10" i="381"/>
  <c r="AS18" i="381"/>
  <c r="AS20" i="381"/>
  <c r="AS25" i="381"/>
  <c r="AS23" i="381"/>
  <c r="AS12" i="381"/>
  <c r="AS17" i="381"/>
  <c r="AS15" i="381"/>
  <c r="AS19" i="381"/>
  <c r="AJ11" i="381"/>
  <c r="AS24" i="381"/>
  <c r="AS22" i="381"/>
  <c r="AS32" i="380"/>
  <c r="AS10" i="380"/>
  <c r="AS21" i="380"/>
  <c r="AS18" i="380"/>
  <c r="AS19" i="380"/>
  <c r="AS24" i="380"/>
  <c r="AS31" i="380"/>
  <c r="AS13" i="380"/>
  <c r="N11" i="380"/>
  <c r="AS15" i="380"/>
  <c r="AS16" i="380"/>
  <c r="AS23" i="380"/>
  <c r="AJ11" i="380"/>
  <c r="AJ10" i="380"/>
  <c r="AS17" i="380"/>
  <c r="AS14" i="380"/>
  <c r="N10" i="380"/>
  <c r="AS30" i="380"/>
  <c r="AS28" i="380"/>
  <c r="AS27" i="380"/>
  <c r="AS12" i="380"/>
  <c r="AS22" i="380"/>
  <c r="AS20" i="380"/>
  <c r="AS25" i="380"/>
  <c r="AS29" i="380"/>
  <c r="AS26" i="380"/>
  <c r="AS15" i="377"/>
  <c r="AS16" i="377"/>
  <c r="AS13" i="377"/>
  <c r="AS12" i="377"/>
  <c r="N11" i="377"/>
  <c r="AS10" i="377"/>
  <c r="AJ10" i="377"/>
  <c r="AS14" i="377"/>
  <c r="N10" i="377"/>
  <c r="AS17" i="377"/>
  <c r="AJ11" i="377"/>
  <c r="AS33" i="382"/>
  <c r="AJ10" i="382"/>
  <c r="AS22" i="382"/>
  <c r="AS27" i="382"/>
  <c r="AS25" i="382"/>
  <c r="AS31" i="382"/>
  <c r="AS14" i="382"/>
  <c r="AS19" i="382"/>
  <c r="AS17" i="382"/>
  <c r="AS23" i="382"/>
  <c r="AS18" i="382"/>
  <c r="AJ11" i="382"/>
  <c r="AS10" i="382"/>
  <c r="AS15" i="382"/>
  <c r="AS29" i="382"/>
  <c r="AS26" i="382"/>
  <c r="AS12" i="382"/>
  <c r="N10" i="382"/>
  <c r="AS21" i="382"/>
  <c r="AS28" i="382"/>
  <c r="AS32" i="382"/>
  <c r="AS20" i="382"/>
  <c r="AS13" i="382"/>
  <c r="AS24" i="382"/>
  <c r="AS16" i="382"/>
  <c r="AS30" i="382"/>
  <c r="N11" i="382"/>
  <c r="AS44" i="379"/>
  <c r="AS54" i="379"/>
  <c r="AS47" i="379"/>
  <c r="AS56" i="379"/>
  <c r="AS41" i="379"/>
  <c r="AS50" i="379"/>
  <c r="AS59" i="379"/>
  <c r="N11" i="379"/>
  <c r="AS31" i="379"/>
  <c r="AS42" i="379"/>
  <c r="AS36" i="379"/>
  <c r="AS13" i="379"/>
  <c r="AS55" i="379"/>
  <c r="AS21" i="379"/>
  <c r="AS49" i="379"/>
  <c r="AS58" i="379"/>
  <c r="AS16" i="379"/>
  <c r="AS17" i="379"/>
  <c r="AS12" i="379"/>
  <c r="AS46" i="379"/>
  <c r="AS37" i="379"/>
  <c r="AS29" i="379"/>
  <c r="AS45" i="379"/>
  <c r="AJ10" i="379"/>
  <c r="AS57" i="379"/>
  <c r="AJ11" i="379"/>
  <c r="N10" i="379"/>
  <c r="AS26" i="379"/>
  <c r="AS43" i="379"/>
  <c r="AS14" i="379"/>
  <c r="AS53" i="379"/>
  <c r="AS19" i="379"/>
  <c r="AS30" i="379"/>
  <c r="AS35" i="379"/>
  <c r="AS38" i="379"/>
  <c r="AS34" i="379"/>
  <c r="AS48" i="379"/>
  <c r="AS51" i="379"/>
  <c r="AS52" i="379"/>
  <c r="AS22" i="379"/>
  <c r="AS15" i="379"/>
  <c r="AS24" i="379"/>
  <c r="AS10" i="379"/>
  <c r="AS18" i="379"/>
  <c r="AS27" i="379"/>
  <c r="AS23" i="379"/>
  <c r="AS25" i="379"/>
  <c r="AS20" i="379"/>
  <c r="AS32" i="379"/>
  <c r="AS39" i="379"/>
  <c r="AS40" i="379"/>
  <c r="AS28" i="379"/>
  <c r="AS33" i="379"/>
  <c r="AS17" i="373"/>
  <c r="AS13" i="373"/>
  <c r="AS10" i="373"/>
  <c r="N10" i="373"/>
  <c r="AJ11" i="373"/>
  <c r="AS12" i="373"/>
  <c r="N11" i="373"/>
  <c r="AS15" i="373"/>
  <c r="AS14" i="373"/>
  <c r="AJ10" i="373"/>
  <c r="AS16" i="373"/>
  <c r="AS10" i="374"/>
  <c r="AS15" i="374"/>
  <c r="AJ10" i="374"/>
  <c r="AS12" i="374"/>
  <c r="N10" i="374"/>
  <c r="AJ11" i="374"/>
  <c r="AS13" i="374"/>
  <c r="N11" i="374"/>
  <c r="AS14" i="374"/>
  <c r="N10" i="372"/>
  <c r="AS15" i="372"/>
  <c r="AS13" i="372"/>
  <c r="AS18" i="372"/>
  <c r="AS16" i="372"/>
  <c r="AS12" i="372"/>
  <c r="AJ10" i="372"/>
  <c r="AS14" i="372"/>
  <c r="AS10" i="372"/>
  <c r="N11" i="372"/>
  <c r="AS17" i="372"/>
  <c r="AS19" i="372"/>
  <c r="AJ11" i="372"/>
  <c r="AS26" i="383"/>
  <c r="AS18" i="383"/>
  <c r="N11" i="383"/>
  <c r="AS25" i="383"/>
  <c r="AS17" i="383"/>
  <c r="AS10" i="383"/>
  <c r="AS24" i="383"/>
  <c r="AS16" i="383"/>
  <c r="AJ10" i="383"/>
  <c r="AS23" i="383"/>
  <c r="AS15" i="383"/>
  <c r="N10" i="383"/>
  <c r="AS22" i="383"/>
  <c r="AS14" i="383"/>
  <c r="AS21" i="383"/>
  <c r="AS13" i="383"/>
  <c r="AS20" i="383"/>
  <c r="AS12" i="383"/>
  <c r="AS19" i="383"/>
  <c r="AJ11" i="383"/>
  <c r="AS15" i="378"/>
  <c r="AS17" i="378"/>
  <c r="N10" i="378"/>
  <c r="AS16" i="378"/>
  <c r="AS13" i="378"/>
  <c r="AS19" i="378"/>
  <c r="AS14" i="378"/>
  <c r="AS10" i="378"/>
  <c r="AS12" i="378"/>
  <c r="AJ10" i="378"/>
  <c r="N11" i="378"/>
  <c r="AJ11" i="378"/>
  <c r="AS18" i="378"/>
  <c r="AS16" i="371"/>
  <c r="N11" i="371"/>
  <c r="AJ10" i="371"/>
  <c r="AS10" i="371"/>
  <c r="AS15" i="371"/>
  <c r="N10" i="371"/>
  <c r="AS12" i="371"/>
  <c r="AS14" i="371"/>
  <c r="AS13" i="371"/>
  <c r="AJ11" i="371"/>
  <c r="AS30" i="365"/>
  <c r="AS31" i="365"/>
  <c r="AS24" i="365"/>
  <c r="AS27" i="365"/>
  <c r="AS26" i="365"/>
  <c r="N10" i="365"/>
  <c r="AS46" i="365"/>
  <c r="AS43" i="365"/>
  <c r="AS20" i="365"/>
  <c r="AS22" i="365"/>
  <c r="AS23" i="365"/>
  <c r="AS44" i="365"/>
  <c r="AS19" i="365"/>
  <c r="AS18" i="365"/>
  <c r="AS16" i="365"/>
  <c r="AS28" i="365"/>
  <c r="AS38" i="365"/>
  <c r="AS34" i="365"/>
  <c r="AS14" i="365"/>
  <c r="AS45" i="365"/>
  <c r="AS36" i="365"/>
  <c r="AJ11" i="365"/>
  <c r="N11" i="365"/>
  <c r="AS21" i="365"/>
  <c r="AS13" i="365"/>
  <c r="AS37" i="365"/>
  <c r="AS41" i="365"/>
  <c r="AS40" i="365"/>
  <c r="AS17" i="365"/>
  <c r="AS12" i="365"/>
  <c r="AS29" i="365"/>
  <c r="AS25" i="365"/>
  <c r="AS32" i="365"/>
  <c r="AS10" i="365"/>
  <c r="AS33" i="365"/>
  <c r="AS15" i="365"/>
  <c r="AJ10" i="365"/>
  <c r="AS42" i="365"/>
  <c r="AS39" i="365"/>
  <c r="AS35" i="365"/>
  <c r="N11" i="368"/>
  <c r="AS19" i="368"/>
  <c r="AS15" i="368"/>
  <c r="N10" i="368"/>
  <c r="AS22" i="368"/>
  <c r="AS18" i="368"/>
  <c r="AS20" i="368"/>
  <c r="AS12" i="368"/>
  <c r="AS14" i="368"/>
  <c r="AS17" i="368"/>
  <c r="AJ11" i="368"/>
  <c r="AS10" i="368"/>
  <c r="AS21" i="368"/>
  <c r="AS16" i="368"/>
  <c r="AS23" i="368"/>
  <c r="AS13" i="368"/>
  <c r="AJ10" i="368"/>
  <c r="AS21" i="367"/>
  <c r="AS18" i="367"/>
  <c r="AJ11" i="367"/>
  <c r="AS13" i="367"/>
  <c r="N11" i="367"/>
  <c r="AS20" i="367"/>
  <c r="AS17" i="367"/>
  <c r="N10" i="367"/>
  <c r="AS12" i="367"/>
  <c r="AS10" i="367"/>
  <c r="AJ10" i="367"/>
  <c r="AS16" i="367"/>
  <c r="AS19" i="367"/>
  <c r="AS22" i="367"/>
  <c r="AS14" i="367"/>
  <c r="AS15" i="367"/>
  <c r="AJ11" i="366"/>
  <c r="N10" i="366"/>
  <c r="AS12" i="366"/>
  <c r="AS14" i="366"/>
  <c r="AS21" i="366"/>
  <c r="AS17" i="366"/>
  <c r="AS15" i="366"/>
  <c r="AS18" i="366"/>
  <c r="AS13" i="366"/>
  <c r="AS10" i="366"/>
  <c r="AS19" i="366"/>
  <c r="AS16" i="366"/>
  <c r="AS20" i="366"/>
  <c r="AJ10" i="366"/>
  <c r="AS22" i="366"/>
  <c r="N11" i="366"/>
  <c r="AS24" i="370"/>
  <c r="AS21" i="370"/>
  <c r="AJ11" i="370"/>
  <c r="AS22" i="370"/>
  <c r="AJ10" i="370"/>
  <c r="AS19" i="370"/>
  <c r="AS16" i="370"/>
  <c r="AS13" i="370"/>
  <c r="AS17" i="370"/>
  <c r="AS10" i="370"/>
  <c r="AS23" i="370"/>
  <c r="AS18" i="370"/>
  <c r="AS15" i="370"/>
  <c r="AS20" i="370"/>
  <c r="N10" i="370"/>
  <c r="AS12" i="370"/>
  <c r="AS14" i="370"/>
  <c r="N11" i="370"/>
  <c r="AS32" i="369"/>
  <c r="AS31" i="369"/>
  <c r="AS29" i="369"/>
  <c r="AS35" i="369"/>
  <c r="AS24" i="369"/>
  <c r="AS23" i="369"/>
  <c r="AS21" i="369"/>
  <c r="AS27" i="369"/>
  <c r="AS10" i="369"/>
  <c r="AS40" i="369"/>
  <c r="AS39" i="369"/>
  <c r="AS41" i="369"/>
  <c r="AS16" i="369"/>
  <c r="AS38" i="369"/>
  <c r="AS13" i="369"/>
  <c r="AS19" i="369"/>
  <c r="N10" i="369"/>
  <c r="AS33" i="369"/>
  <c r="AJ10" i="369"/>
  <c r="AS30" i="369"/>
  <c r="AS26" i="369"/>
  <c r="AJ11" i="369"/>
  <c r="AS25" i="369"/>
  <c r="AS15" i="369"/>
  <c r="AS22" i="369"/>
  <c r="AS36" i="369"/>
  <c r="AS18" i="369"/>
  <c r="AS17" i="369"/>
  <c r="AS14" i="369"/>
  <c r="AS28" i="369"/>
  <c r="N11" i="369"/>
  <c r="AS34" i="369"/>
  <c r="AS20" i="369"/>
  <c r="AS37" i="369"/>
  <c r="AS12" i="369"/>
  <c r="AS13" i="358"/>
  <c r="AS12" i="358"/>
  <c r="AJ11" i="358"/>
  <c r="AS18" i="358"/>
  <c r="AS10" i="358"/>
  <c r="N10" i="358"/>
  <c r="N11" i="358"/>
  <c r="AS15" i="358"/>
  <c r="AS14" i="358"/>
  <c r="AS17" i="358"/>
  <c r="AJ10" i="358"/>
  <c r="AS16" i="358"/>
  <c r="AS14" i="189"/>
  <c r="AS13" i="189"/>
  <c r="AS10" i="172"/>
  <c r="AS21" i="357"/>
  <c r="AS17" i="357"/>
  <c r="AS13" i="357"/>
  <c r="AS10" i="357"/>
  <c r="AS20" i="357"/>
  <c r="AS16" i="357"/>
  <c r="AS12" i="357"/>
  <c r="AJ10" i="357"/>
  <c r="AS19" i="357"/>
  <c r="AS15" i="357"/>
  <c r="AJ11" i="357"/>
  <c r="N10" i="357"/>
  <c r="AS18" i="357"/>
  <c r="AS14" i="357"/>
  <c r="N11" i="357"/>
  <c r="AS19" i="337"/>
  <c r="AS21" i="337"/>
  <c r="AS25" i="337"/>
  <c r="AS23" i="337"/>
  <c r="AS20" i="337"/>
  <c r="AS17" i="337"/>
  <c r="AS15" i="337"/>
  <c r="AS12" i="337"/>
  <c r="AS10" i="337"/>
  <c r="N10" i="337"/>
  <c r="AS18" i="337"/>
  <c r="N11" i="337"/>
  <c r="AS16" i="337"/>
  <c r="AJ10" i="337"/>
  <c r="AS22" i="337"/>
  <c r="AS14" i="337"/>
  <c r="AS24" i="337"/>
  <c r="AS13" i="337"/>
  <c r="AJ11" i="337"/>
  <c r="AS21" i="351"/>
  <c r="AS17" i="351"/>
  <c r="AS13" i="351"/>
  <c r="AS10" i="351"/>
  <c r="AS20" i="351"/>
  <c r="AS16" i="351"/>
  <c r="AS19" i="351"/>
  <c r="AS15" i="351"/>
  <c r="AS12" i="351"/>
  <c r="AJ10" i="351"/>
  <c r="AJ11" i="351"/>
  <c r="N10" i="351"/>
  <c r="AS18" i="351"/>
  <c r="AS14" i="351"/>
  <c r="N11" i="351"/>
  <c r="AS25" i="339"/>
  <c r="AS23" i="339"/>
  <c r="AS17" i="339"/>
  <c r="AS15" i="339"/>
  <c r="AS27" i="339"/>
  <c r="AS10" i="339"/>
  <c r="N10" i="339"/>
  <c r="AS19" i="339"/>
  <c r="AS20" i="339"/>
  <c r="AS22" i="339"/>
  <c r="AJ11" i="339"/>
  <c r="AS26" i="339"/>
  <c r="AS18" i="339"/>
  <c r="AS13" i="339"/>
  <c r="N11" i="339"/>
  <c r="AS14" i="339"/>
  <c r="AS24" i="339"/>
  <c r="AS16" i="339"/>
  <c r="AJ10" i="339"/>
  <c r="AS12" i="339"/>
  <c r="AS21" i="339"/>
  <c r="AS21" i="335"/>
  <c r="N11" i="335"/>
  <c r="AS13" i="335"/>
  <c r="AS17" i="335"/>
  <c r="AS20" i="335"/>
  <c r="AS16" i="335"/>
  <c r="AS12" i="335"/>
  <c r="AJ10" i="335"/>
  <c r="N10" i="335"/>
  <c r="AS19" i="335"/>
  <c r="AJ11" i="335"/>
  <c r="AS10" i="335"/>
  <c r="AS14" i="335"/>
  <c r="AS18" i="335"/>
  <c r="AS15" i="335"/>
  <c r="AJ10" i="336"/>
  <c r="AS23" i="336"/>
  <c r="AS21" i="336"/>
  <c r="AS30" i="336"/>
  <c r="AS15" i="336"/>
  <c r="AS13" i="336"/>
  <c r="AS22" i="336"/>
  <c r="N10" i="336"/>
  <c r="AS27" i="336"/>
  <c r="AS14" i="336"/>
  <c r="AS26" i="336"/>
  <c r="AS10" i="336"/>
  <c r="AS25" i="336"/>
  <c r="AS20" i="336"/>
  <c r="AS29" i="336"/>
  <c r="AS17" i="336"/>
  <c r="AS12" i="336"/>
  <c r="AS24" i="336"/>
  <c r="AS16" i="336"/>
  <c r="AS31" i="336"/>
  <c r="AJ11" i="336"/>
  <c r="AS19" i="336"/>
  <c r="AS32" i="336"/>
  <c r="N11" i="336"/>
  <c r="AS18" i="336"/>
  <c r="AS28" i="336"/>
  <c r="AS17" i="340"/>
  <c r="AS31" i="340"/>
  <c r="AS29" i="340"/>
  <c r="AJ11" i="340"/>
  <c r="AS10" i="340"/>
  <c r="AS23" i="340"/>
  <c r="AS21" i="340"/>
  <c r="AS12" i="340"/>
  <c r="AS15" i="340"/>
  <c r="AS13" i="340"/>
  <c r="AS24" i="340"/>
  <c r="AS20" i="340"/>
  <c r="AS32" i="340"/>
  <c r="N10" i="340"/>
  <c r="AS28" i="340"/>
  <c r="AS30" i="340"/>
  <c r="AS16" i="340"/>
  <c r="AS22" i="340"/>
  <c r="AS26" i="340"/>
  <c r="AS25" i="340"/>
  <c r="AS18" i="340"/>
  <c r="N11" i="340"/>
  <c r="AS19" i="340"/>
  <c r="AS27" i="340"/>
  <c r="AS14" i="340"/>
  <c r="AJ10" i="340"/>
  <c r="AS33" i="340"/>
  <c r="AS16" i="341"/>
  <c r="AS20" i="341"/>
  <c r="AJ10" i="341"/>
  <c r="AS12" i="341"/>
  <c r="AS25" i="341"/>
  <c r="AS21" i="341"/>
  <c r="AS19" i="341"/>
  <c r="AS10" i="341"/>
  <c r="AS18" i="341"/>
  <c r="AS17" i="341"/>
  <c r="AS23" i="341"/>
  <c r="AJ11" i="341"/>
  <c r="AS15" i="341"/>
  <c r="AS14" i="341"/>
  <c r="N10" i="341"/>
  <c r="AS24" i="341"/>
  <c r="N11" i="341"/>
  <c r="AS13" i="341"/>
  <c r="AS22" i="341"/>
  <c r="AS23" i="348"/>
  <c r="AS21" i="348"/>
  <c r="AJ11" i="348"/>
  <c r="AS15" i="348"/>
  <c r="AS13" i="348"/>
  <c r="AS26" i="348"/>
  <c r="AS32" i="348"/>
  <c r="N10" i="348"/>
  <c r="AS28" i="348"/>
  <c r="AS18" i="348"/>
  <c r="AS16" i="348"/>
  <c r="AS24" i="348"/>
  <c r="AS30" i="348"/>
  <c r="AS20" i="348"/>
  <c r="N11" i="348"/>
  <c r="AS12" i="348"/>
  <c r="AS22" i="348"/>
  <c r="AJ10" i="348"/>
  <c r="AS14" i="348"/>
  <c r="AS25" i="348"/>
  <c r="AS10" i="348"/>
  <c r="AS17" i="348"/>
  <c r="AS31" i="348"/>
  <c r="AS29" i="348"/>
  <c r="AS19" i="348"/>
  <c r="AS27" i="348"/>
  <c r="AS28" i="342"/>
  <c r="N11" i="342"/>
  <c r="AS16" i="342"/>
  <c r="AS20" i="342"/>
  <c r="AS25" i="342"/>
  <c r="AJ10" i="342"/>
  <c r="AS14" i="342"/>
  <c r="AS17" i="342"/>
  <c r="AS23" i="342"/>
  <c r="AS29" i="342"/>
  <c r="AS27" i="342"/>
  <c r="AS10" i="342"/>
  <c r="AS19" i="342"/>
  <c r="AS21" i="342"/>
  <c r="AS13" i="342"/>
  <c r="AJ11" i="342"/>
  <c r="N10" i="342"/>
  <c r="AS15" i="342"/>
  <c r="AS18" i="342"/>
  <c r="AS24" i="342"/>
  <c r="AS12" i="342"/>
  <c r="AS26" i="342"/>
  <c r="AS22" i="342"/>
  <c r="AS18" i="344"/>
  <c r="AS19" i="344"/>
  <c r="N11" i="344"/>
  <c r="AJ11" i="344"/>
  <c r="AS22" i="344"/>
  <c r="AS17" i="344"/>
  <c r="AS16" i="344"/>
  <c r="AS14" i="344"/>
  <c r="AS10" i="344"/>
  <c r="AS21" i="344"/>
  <c r="AS23" i="344"/>
  <c r="AS13" i="344"/>
  <c r="AJ10" i="344"/>
  <c r="N10" i="344"/>
  <c r="AS12" i="344"/>
  <c r="AS20" i="344"/>
  <c r="AS15" i="344"/>
  <c r="AS13" i="353"/>
  <c r="AS10" i="353"/>
  <c r="AS20" i="353"/>
  <c r="AS16" i="353"/>
  <c r="AS12" i="353"/>
  <c r="AJ10" i="353"/>
  <c r="AS19" i="353"/>
  <c r="AS15" i="353"/>
  <c r="AJ11" i="353"/>
  <c r="N10" i="353"/>
  <c r="AS18" i="353"/>
  <c r="AS14" i="353"/>
  <c r="N11" i="353"/>
  <c r="AS21" i="353"/>
  <c r="AS17" i="353"/>
  <c r="AS12" i="345"/>
  <c r="N10" i="345"/>
  <c r="AS26" i="345"/>
  <c r="AS32" i="345"/>
  <c r="AS37" i="345"/>
  <c r="AS36" i="345"/>
  <c r="AS18" i="345"/>
  <c r="AS24" i="345"/>
  <c r="AS29" i="345"/>
  <c r="AS35" i="345"/>
  <c r="AS33" i="345"/>
  <c r="AS16" i="345"/>
  <c r="AS38" i="345"/>
  <c r="AS13" i="345"/>
  <c r="AS17" i="345"/>
  <c r="AS21" i="345"/>
  <c r="AS27" i="345"/>
  <c r="AS25" i="345"/>
  <c r="AJ10" i="345"/>
  <c r="AS19" i="345"/>
  <c r="AS30" i="345"/>
  <c r="AS28" i="345"/>
  <c r="AJ11" i="345"/>
  <c r="AS10" i="345"/>
  <c r="AS14" i="345"/>
  <c r="AS31" i="345"/>
  <c r="AS34" i="345"/>
  <c r="AS15" i="345"/>
  <c r="AS22" i="345"/>
  <c r="AS20" i="345"/>
  <c r="AS23" i="345"/>
  <c r="N11" i="345"/>
  <c r="AS20" i="355"/>
  <c r="AS10" i="355"/>
  <c r="AS17" i="355"/>
  <c r="N10" i="355"/>
  <c r="N11" i="355"/>
  <c r="AS15" i="355"/>
  <c r="AS18" i="355"/>
  <c r="AS13" i="355"/>
  <c r="AJ11" i="355"/>
  <c r="AS14" i="355"/>
  <c r="AS19" i="355"/>
  <c r="AJ10" i="355"/>
  <c r="AS12" i="355"/>
  <c r="AS16" i="355"/>
  <c r="AJ10" i="347"/>
  <c r="AS22" i="347"/>
  <c r="AS26" i="347"/>
  <c r="AS19" i="347"/>
  <c r="AS39" i="347"/>
  <c r="AS14" i="347"/>
  <c r="AS36" i="347"/>
  <c r="AJ11" i="347"/>
  <c r="AS31" i="347"/>
  <c r="AS18" i="347"/>
  <c r="AS28" i="347"/>
  <c r="AS33" i="347"/>
  <c r="AS40" i="347"/>
  <c r="AS29" i="347"/>
  <c r="AS17" i="347"/>
  <c r="AS23" i="347"/>
  <c r="AS37" i="347"/>
  <c r="AS20" i="347"/>
  <c r="AS25" i="347"/>
  <c r="AS15" i="347"/>
  <c r="AS12" i="347"/>
  <c r="AS32" i="347"/>
  <c r="N10" i="347"/>
  <c r="AS21" i="347"/>
  <c r="N11" i="347"/>
  <c r="AS10" i="347"/>
  <c r="AS16" i="347"/>
  <c r="AS30" i="347"/>
  <c r="AS34" i="347"/>
  <c r="AS27" i="347"/>
  <c r="AS24" i="347"/>
  <c r="AS38" i="347"/>
  <c r="AS13" i="347"/>
  <c r="AS35" i="347"/>
  <c r="AS17" i="343"/>
  <c r="AS15" i="343"/>
  <c r="AS19" i="343"/>
  <c r="AS10" i="343"/>
  <c r="N10" i="343"/>
  <c r="AJ11" i="343"/>
  <c r="AS24" i="343"/>
  <c r="AS14" i="343"/>
  <c r="AS18" i="343"/>
  <c r="AS16" i="343"/>
  <c r="AS22" i="343"/>
  <c r="AJ10" i="343"/>
  <c r="AS13" i="343"/>
  <c r="AS21" i="343"/>
  <c r="AS25" i="343"/>
  <c r="AS23" i="343"/>
  <c r="AS12" i="343"/>
  <c r="N11" i="343"/>
  <c r="AS20" i="343"/>
  <c r="N10" i="352"/>
  <c r="AJ11" i="352"/>
  <c r="AS13" i="352"/>
  <c r="AS18" i="352"/>
  <c r="AS22" i="352"/>
  <c r="N11" i="352"/>
  <c r="AS21" i="352"/>
  <c r="AS14" i="352"/>
  <c r="AS17" i="352"/>
  <c r="AS10" i="352"/>
  <c r="AS20" i="352"/>
  <c r="AS16" i="352"/>
  <c r="AS23" i="352"/>
  <c r="AS12" i="352"/>
  <c r="AJ10" i="352"/>
  <c r="AS15" i="352"/>
  <c r="AS19" i="352"/>
  <c r="AS18" i="346"/>
  <c r="AS20" i="346"/>
  <c r="AS21" i="346"/>
  <c r="N11" i="346"/>
  <c r="AS23" i="346"/>
  <c r="AS13" i="346"/>
  <c r="AS25" i="346"/>
  <c r="AS15" i="346"/>
  <c r="AJ11" i="346"/>
  <c r="AS17" i="346"/>
  <c r="N10" i="346"/>
  <c r="AS10" i="346"/>
  <c r="AS12" i="346"/>
  <c r="AS24" i="346"/>
  <c r="AS22" i="346"/>
  <c r="AS26" i="346"/>
  <c r="AJ10" i="346"/>
  <c r="AS19" i="346"/>
  <c r="AS14" i="346"/>
  <c r="AS16" i="346"/>
  <c r="AS15" i="333"/>
  <c r="AS17" i="333"/>
  <c r="AS12" i="333"/>
  <c r="AS21" i="333"/>
  <c r="AS19" i="333"/>
  <c r="AS13" i="333"/>
  <c r="AS24" i="333"/>
  <c r="AJ11" i="333"/>
  <c r="AS20" i="333"/>
  <c r="AS18" i="333"/>
  <c r="AS16" i="333"/>
  <c r="N11" i="333"/>
  <c r="AS22" i="333"/>
  <c r="AS14" i="333"/>
  <c r="AS10" i="333"/>
  <c r="AJ10" i="333"/>
  <c r="N10" i="333"/>
  <c r="AS23" i="333"/>
  <c r="AJ11" i="350"/>
  <c r="N10" i="350"/>
  <c r="AS18" i="350"/>
  <c r="AS14" i="350"/>
  <c r="N11" i="350"/>
  <c r="AS13" i="350"/>
  <c r="AS10" i="350"/>
  <c r="AS17" i="350"/>
  <c r="AS12" i="350"/>
  <c r="AS16" i="350"/>
  <c r="AJ10" i="350"/>
  <c r="AS19" i="350"/>
  <c r="AS15" i="350"/>
  <c r="AS24" i="334"/>
  <c r="AS23" i="334"/>
  <c r="AS17" i="334"/>
  <c r="AS16" i="334"/>
  <c r="AS15" i="334"/>
  <c r="AS10" i="334"/>
  <c r="AJ10" i="334"/>
  <c r="AS22" i="334"/>
  <c r="N10" i="334"/>
  <c r="AS21" i="334"/>
  <c r="N11" i="334"/>
  <c r="AS12" i="334"/>
  <c r="AJ11" i="334"/>
  <c r="AS18" i="334"/>
  <c r="AS14" i="334"/>
  <c r="AS20" i="334"/>
  <c r="AS19" i="334"/>
  <c r="AS13" i="334"/>
  <c r="AS14" i="354"/>
  <c r="N11" i="354"/>
  <c r="AS21" i="354"/>
  <c r="AS17" i="354"/>
  <c r="AS13" i="354"/>
  <c r="AS10" i="354"/>
  <c r="AS20" i="354"/>
  <c r="AS16" i="354"/>
  <c r="AJ10" i="354"/>
  <c r="AS12" i="354"/>
  <c r="AS19" i="354"/>
  <c r="AS15" i="354"/>
  <c r="AJ11" i="354"/>
  <c r="N10" i="354"/>
  <c r="AS22" i="354"/>
  <c r="AS18" i="354"/>
  <c r="AS25" i="356"/>
  <c r="AS23" i="356"/>
  <c r="AS29" i="356"/>
  <c r="AS19" i="356"/>
  <c r="AS17" i="356"/>
  <c r="AS15" i="356"/>
  <c r="AS21" i="356"/>
  <c r="AJ11" i="356"/>
  <c r="AS10" i="356"/>
  <c r="N10" i="356"/>
  <c r="AS13" i="356"/>
  <c r="AS22" i="356"/>
  <c r="AS32" i="356"/>
  <c r="AS30" i="356"/>
  <c r="N11" i="356"/>
  <c r="AS24" i="356"/>
  <c r="AS28" i="356"/>
  <c r="AS16" i="356"/>
  <c r="AS14" i="356"/>
  <c r="AS20" i="356"/>
  <c r="AJ10" i="356"/>
  <c r="AS26" i="356"/>
  <c r="AS12" i="356"/>
  <c r="AS33" i="356"/>
  <c r="AS31" i="356"/>
  <c r="AS18" i="356"/>
  <c r="AS27" i="356"/>
  <c r="AS34" i="349"/>
  <c r="AS32" i="349"/>
  <c r="AS20" i="349"/>
  <c r="AS36" i="349"/>
  <c r="AS26" i="349"/>
  <c r="AS24" i="349"/>
  <c r="AS30" i="349"/>
  <c r="AS12" i="349"/>
  <c r="AS18" i="349"/>
  <c r="AS16" i="349"/>
  <c r="AS22" i="349"/>
  <c r="AS33" i="349"/>
  <c r="AS28" i="349"/>
  <c r="N11" i="349"/>
  <c r="AJ10" i="349"/>
  <c r="AS14" i="349"/>
  <c r="AS31" i="349"/>
  <c r="AS35" i="349"/>
  <c r="AS27" i="349"/>
  <c r="AS25" i="349"/>
  <c r="AS23" i="349"/>
  <c r="AS29" i="349"/>
  <c r="AS19" i="349"/>
  <c r="AS17" i="349"/>
  <c r="AS15" i="349"/>
  <c r="AS21" i="349"/>
  <c r="AJ11" i="349"/>
  <c r="AS10" i="349"/>
  <c r="N10" i="349"/>
  <c r="AS13" i="349"/>
  <c r="AS15" i="338"/>
  <c r="AS18" i="338"/>
  <c r="N10" i="338"/>
  <c r="AS16" i="338"/>
  <c r="N11" i="338"/>
  <c r="AS20" i="338"/>
  <c r="AS22" i="338"/>
  <c r="AS12" i="338"/>
  <c r="AJ10" i="338"/>
  <c r="AS23" i="338"/>
  <c r="AS17" i="338"/>
  <c r="AS21" i="338"/>
  <c r="AS14" i="338"/>
  <c r="AS10" i="338"/>
  <c r="AS13" i="338"/>
  <c r="AS19" i="338"/>
  <c r="AJ11" i="338"/>
  <c r="N11" i="315"/>
  <c r="AS12" i="315"/>
  <c r="AS18" i="315"/>
  <c r="AS15" i="315"/>
  <c r="AJ11" i="315"/>
  <c r="AS16" i="315"/>
  <c r="AS14" i="315"/>
  <c r="N10" i="315"/>
  <c r="AS13" i="315"/>
  <c r="AJ10" i="315"/>
  <c r="AS19" i="315"/>
  <c r="AS17" i="315"/>
  <c r="AS10" i="315"/>
  <c r="AS27" i="322"/>
  <c r="AS18" i="322"/>
  <c r="AS20" i="322"/>
  <c r="AS23" i="322"/>
  <c r="N11" i="322"/>
  <c r="AS16" i="322"/>
  <c r="AS12" i="322"/>
  <c r="AS22" i="322"/>
  <c r="AS13" i="322"/>
  <c r="AS24" i="322"/>
  <c r="AS10" i="322"/>
  <c r="AS15" i="322"/>
  <c r="N10" i="322"/>
  <c r="AS19" i="322"/>
  <c r="AJ11" i="322"/>
  <c r="AS17" i="322"/>
  <c r="AS14" i="322"/>
  <c r="AS26" i="322"/>
  <c r="AS25" i="322"/>
  <c r="AS21" i="322"/>
  <c r="AJ10" i="322"/>
  <c r="AJ11" i="312"/>
  <c r="AS12" i="312"/>
  <c r="AS15" i="312"/>
  <c r="N10" i="312"/>
  <c r="AS13" i="312"/>
  <c r="N11" i="312"/>
  <c r="AS16" i="312"/>
  <c r="AJ10" i="312"/>
  <c r="AS18" i="312"/>
  <c r="AS20" i="312"/>
  <c r="AS10" i="312"/>
  <c r="AS19" i="312"/>
  <c r="AS14" i="312"/>
  <c r="AS17" i="312"/>
  <c r="AS18" i="313"/>
  <c r="AS17" i="313"/>
  <c r="AS16" i="313"/>
  <c r="AJ10" i="313"/>
  <c r="AJ11" i="313"/>
  <c r="AS20" i="313"/>
  <c r="AS15" i="313"/>
  <c r="N10" i="313"/>
  <c r="AS14" i="313"/>
  <c r="AS10" i="313"/>
  <c r="AS12" i="313"/>
  <c r="N11" i="313"/>
  <c r="AS13" i="313"/>
  <c r="AS19" i="313"/>
  <c r="N11" i="323"/>
  <c r="N10" i="323"/>
  <c r="AS19" i="323"/>
  <c r="AS15" i="323"/>
  <c r="AS18" i="323"/>
  <c r="AS12" i="323"/>
  <c r="AS10" i="323"/>
  <c r="AS14" i="323"/>
  <c r="AS13" i="323"/>
  <c r="AJ10" i="323"/>
  <c r="AS17" i="323"/>
  <c r="AS20" i="323"/>
  <c r="AS16" i="323"/>
  <c r="AJ11" i="323"/>
  <c r="AS17" i="326"/>
  <c r="AS10" i="326"/>
  <c r="AS15" i="326"/>
  <c r="AS16" i="326"/>
  <c r="AS20" i="326"/>
  <c r="N11" i="326"/>
  <c r="N10" i="326"/>
  <c r="AS22" i="326"/>
  <c r="AS12" i="326"/>
  <c r="AS23" i="326"/>
  <c r="AS14" i="326"/>
  <c r="AS21" i="326"/>
  <c r="AS19" i="326"/>
  <c r="AS18" i="326"/>
  <c r="AS13" i="326"/>
  <c r="AJ10" i="326"/>
  <c r="AJ11" i="326"/>
  <c r="AS13" i="327"/>
  <c r="N11" i="327"/>
  <c r="AS10" i="327"/>
  <c r="AS20" i="327"/>
  <c r="AS19" i="327"/>
  <c r="AJ11" i="327"/>
  <c r="AS18" i="327"/>
  <c r="AS12" i="327"/>
  <c r="AS15" i="327"/>
  <c r="AS17" i="327"/>
  <c r="N10" i="327"/>
  <c r="AJ10" i="327"/>
  <c r="AS16" i="327"/>
  <c r="AS14" i="327"/>
  <c r="AS18" i="321"/>
  <c r="N10" i="321"/>
  <c r="AS12" i="321"/>
  <c r="AS17" i="321"/>
  <c r="AS19" i="321"/>
  <c r="AS21" i="321"/>
  <c r="AS13" i="321"/>
  <c r="AS20" i="321"/>
  <c r="AS15" i="321"/>
  <c r="AS10" i="321"/>
  <c r="AJ10" i="321"/>
  <c r="N11" i="321"/>
  <c r="AS16" i="321"/>
  <c r="AS23" i="321"/>
  <c r="AS22" i="321"/>
  <c r="AS24" i="321"/>
  <c r="AJ11" i="321"/>
  <c r="AS14" i="321"/>
  <c r="AS16" i="317"/>
  <c r="N11" i="317"/>
  <c r="AS15" i="317"/>
  <c r="N10" i="317"/>
  <c r="AJ10" i="317"/>
  <c r="AS19" i="317"/>
  <c r="AS10" i="317"/>
  <c r="AJ11" i="317"/>
  <c r="AS14" i="317"/>
  <c r="AS18" i="317"/>
  <c r="AS20" i="317"/>
  <c r="AS13" i="317"/>
  <c r="AS17" i="317"/>
  <c r="AS12" i="317"/>
  <c r="AS10" i="318"/>
  <c r="AS13" i="318"/>
  <c r="AS15" i="318"/>
  <c r="AS14" i="318"/>
  <c r="AS20" i="318"/>
  <c r="AS19" i="318"/>
  <c r="AJ11" i="318"/>
  <c r="N10" i="318"/>
  <c r="AS21" i="318"/>
  <c r="AS18" i="318"/>
  <c r="AS17" i="318"/>
  <c r="AS16" i="318"/>
  <c r="AS12" i="318"/>
  <c r="AJ10" i="318"/>
  <c r="N11" i="318"/>
  <c r="AS15" i="330"/>
  <c r="AS10" i="330"/>
  <c r="N10" i="330"/>
  <c r="AS17" i="330"/>
  <c r="AJ10" i="330"/>
  <c r="AS14" i="330"/>
  <c r="AS16" i="330"/>
  <c r="AS21" i="330"/>
  <c r="AS19" i="330"/>
  <c r="AJ11" i="330"/>
  <c r="N11" i="330"/>
  <c r="AS13" i="330"/>
  <c r="AS12" i="330"/>
  <c r="AS18" i="330"/>
  <c r="AS20" i="330"/>
  <c r="AS21" i="324"/>
  <c r="AS13" i="324"/>
  <c r="AJ11" i="324"/>
  <c r="AS20" i="324"/>
  <c r="AS15" i="324"/>
  <c r="AS10" i="324"/>
  <c r="AS16" i="324"/>
  <c r="AS19" i="324"/>
  <c r="AS17" i="324"/>
  <c r="AS12" i="324"/>
  <c r="N11" i="324"/>
  <c r="AS14" i="324"/>
  <c r="AJ10" i="324"/>
  <c r="N10" i="324"/>
  <c r="AS18" i="324"/>
  <c r="N11" i="316"/>
  <c r="N10" i="316"/>
  <c r="AS19" i="316"/>
  <c r="AS10" i="316"/>
  <c r="AS16" i="316"/>
  <c r="AS14" i="316"/>
  <c r="AS12" i="316"/>
  <c r="AS20" i="316"/>
  <c r="AS15" i="316"/>
  <c r="AS18" i="316"/>
  <c r="AJ11" i="316"/>
  <c r="AJ10" i="316"/>
  <c r="AS17" i="316"/>
  <c r="AS13" i="316"/>
  <c r="AJ10" i="328"/>
  <c r="AS16" i="328"/>
  <c r="N10" i="328"/>
  <c r="AS21" i="328"/>
  <c r="AS20" i="328"/>
  <c r="AJ11" i="328"/>
  <c r="AS17" i="328"/>
  <c r="AS12" i="328"/>
  <c r="AS14" i="328"/>
  <c r="N11" i="328"/>
  <c r="AS10" i="328"/>
  <c r="AS13" i="328"/>
  <c r="AS15" i="328"/>
  <c r="AS18" i="328"/>
  <c r="AS19" i="328"/>
  <c r="AS19" i="314"/>
  <c r="AS15" i="314"/>
  <c r="AS17" i="314"/>
  <c r="AJ10" i="314"/>
  <c r="AS18" i="314"/>
  <c r="AS12" i="314"/>
  <c r="AJ11" i="314"/>
  <c r="AS13" i="314"/>
  <c r="N10" i="314"/>
  <c r="N11" i="314"/>
  <c r="AS10" i="314"/>
  <c r="AS14" i="314"/>
  <c r="AS16" i="314"/>
  <c r="AS32" i="332"/>
  <c r="AS10" i="332"/>
  <c r="AS12" i="332"/>
  <c r="AS18" i="332"/>
  <c r="AS24" i="332"/>
  <c r="AS31" i="332"/>
  <c r="AS29" i="332"/>
  <c r="N11" i="332"/>
  <c r="AS16" i="332"/>
  <c r="AS23" i="332"/>
  <c r="AS21" i="332"/>
  <c r="AJ10" i="332"/>
  <c r="N10" i="332"/>
  <c r="AS13" i="332"/>
  <c r="AS15" i="332"/>
  <c r="AS30" i="332"/>
  <c r="AS19" i="332"/>
  <c r="AS20" i="332"/>
  <c r="AS22" i="332"/>
  <c r="AJ11" i="332"/>
  <c r="AS27" i="332"/>
  <c r="AS14" i="332"/>
  <c r="AS17" i="332"/>
  <c r="AS25" i="332"/>
  <c r="AS28" i="332"/>
  <c r="AS26" i="332"/>
  <c r="AS15" i="309"/>
  <c r="AS18" i="309"/>
  <c r="AS16" i="309"/>
  <c r="AS20" i="309"/>
  <c r="AS22" i="309"/>
  <c r="AS14" i="309"/>
  <c r="N11" i="309"/>
  <c r="AS21" i="309"/>
  <c r="AS23" i="309"/>
  <c r="AS12" i="309"/>
  <c r="AS17" i="309"/>
  <c r="AJ10" i="309"/>
  <c r="AS10" i="309"/>
  <c r="N10" i="309"/>
  <c r="AS13" i="309"/>
  <c r="AS19" i="309"/>
  <c r="AJ11" i="309"/>
  <c r="AS20" i="319"/>
  <c r="AS12" i="319"/>
  <c r="AS18" i="319"/>
  <c r="N10" i="319"/>
  <c r="AS14" i="319"/>
  <c r="AS22" i="319"/>
  <c r="AJ11" i="319"/>
  <c r="AJ10" i="319"/>
  <c r="AS10" i="319"/>
  <c r="AS17" i="319"/>
  <c r="AS21" i="319"/>
  <c r="AS15" i="319"/>
  <c r="AS13" i="319"/>
  <c r="N11" i="319"/>
  <c r="AS19" i="319"/>
  <c r="AS16" i="319"/>
  <c r="AS19" i="329"/>
  <c r="AS26" i="329"/>
  <c r="AS21" i="329"/>
  <c r="AS24" i="329"/>
  <c r="N11" i="329"/>
  <c r="AS22" i="329"/>
  <c r="AJ11" i="329"/>
  <c r="AS27" i="329"/>
  <c r="AS16" i="329"/>
  <c r="AS25" i="329"/>
  <c r="AS17" i="329"/>
  <c r="AS18" i="329"/>
  <c r="AS13" i="329"/>
  <c r="AS29" i="329"/>
  <c r="N10" i="329"/>
  <c r="AS28" i="329"/>
  <c r="AS31" i="329"/>
  <c r="AS12" i="329"/>
  <c r="AS15" i="329"/>
  <c r="AS10" i="329"/>
  <c r="AS14" i="329"/>
  <c r="AS23" i="329"/>
  <c r="AS32" i="329"/>
  <c r="AS30" i="329"/>
  <c r="AS20" i="329"/>
  <c r="AJ10" i="329"/>
  <c r="AJ10" i="320"/>
  <c r="AJ11" i="320"/>
  <c r="AS20" i="320"/>
  <c r="AS19" i="320"/>
  <c r="AS21" i="320"/>
  <c r="AS16" i="320"/>
  <c r="N11" i="320"/>
  <c r="AS12" i="320"/>
  <c r="AS18" i="320"/>
  <c r="AS23" i="320"/>
  <c r="AS14" i="320"/>
  <c r="N10" i="320"/>
  <c r="AS22" i="320"/>
  <c r="AS17" i="320"/>
  <c r="AS15" i="320"/>
  <c r="AS13" i="320"/>
  <c r="AS10" i="320"/>
  <c r="AS13" i="310"/>
  <c r="AS18" i="310"/>
  <c r="AS19" i="310"/>
  <c r="AJ11" i="310"/>
  <c r="AS20" i="310"/>
  <c r="AS16" i="310"/>
  <c r="AS15" i="310"/>
  <c r="AS14" i="310"/>
  <c r="AS21" i="310"/>
  <c r="AS10" i="310"/>
  <c r="N11" i="310"/>
  <c r="AS12" i="310"/>
  <c r="N10" i="310"/>
  <c r="AJ10" i="310"/>
  <c r="AS17" i="310"/>
  <c r="AJ11" i="325"/>
  <c r="AS12" i="325"/>
  <c r="AS14" i="325"/>
  <c r="AS16" i="325"/>
  <c r="AS13" i="325"/>
  <c r="N11" i="325"/>
  <c r="N10" i="325"/>
  <c r="AS10" i="325"/>
  <c r="AS21" i="325"/>
  <c r="AS22" i="325"/>
  <c r="AS20" i="325"/>
  <c r="AS18" i="325"/>
  <c r="AS15" i="325"/>
  <c r="AS19" i="325"/>
  <c r="AS17" i="325"/>
  <c r="AJ10" i="325"/>
  <c r="AS31" i="311"/>
  <c r="AS29" i="311"/>
  <c r="AS16" i="311"/>
  <c r="AS32" i="311"/>
  <c r="AS27" i="311"/>
  <c r="AS28" i="311"/>
  <c r="AS17" i="311"/>
  <c r="AS14" i="311"/>
  <c r="AS25" i="311"/>
  <c r="AS18" i="311"/>
  <c r="AS26" i="311"/>
  <c r="AJ11" i="311"/>
  <c r="AS22" i="311"/>
  <c r="AS15" i="311"/>
  <c r="AS13" i="311"/>
  <c r="AS34" i="311"/>
  <c r="AS19" i="311"/>
  <c r="AS20" i="311"/>
  <c r="AS12" i="311"/>
  <c r="AS30" i="311"/>
  <c r="AJ10" i="311"/>
  <c r="AS23" i="311"/>
  <c r="AS24" i="311"/>
  <c r="AS10" i="311"/>
  <c r="N11" i="311"/>
  <c r="AS21" i="311"/>
  <c r="AS33" i="311"/>
  <c r="N10" i="311"/>
  <c r="AS13" i="331"/>
  <c r="N11" i="331"/>
  <c r="AS14" i="331"/>
  <c r="AS10" i="331"/>
  <c r="AS17" i="331"/>
  <c r="AS12" i="331"/>
  <c r="AJ10" i="331"/>
  <c r="AJ11" i="331"/>
  <c r="AS16" i="331"/>
  <c r="N10" i="331"/>
  <c r="AS15" i="331"/>
  <c r="AJ10" i="247"/>
  <c r="AS12" i="247"/>
  <c r="AS13" i="247"/>
  <c r="AJ11" i="247"/>
  <c r="AS16" i="247"/>
  <c r="AS15" i="247"/>
  <c r="AS14" i="247"/>
  <c r="N11" i="247"/>
  <c r="N10" i="247"/>
  <c r="AS10" i="247"/>
  <c r="AS31" i="196"/>
  <c r="AS24" i="196"/>
  <c r="AS16" i="196"/>
  <c r="AJ10" i="196"/>
  <c r="AS13" i="196"/>
  <c r="AS30" i="196"/>
  <c r="AS14" i="196"/>
  <c r="AS25" i="196"/>
  <c r="AS17" i="196"/>
  <c r="N10" i="196"/>
  <c r="AJ11" i="196"/>
  <c r="AS23" i="196"/>
  <c r="AS26" i="196"/>
  <c r="AS18" i="196"/>
  <c r="AS21" i="196"/>
  <c r="AS15" i="196"/>
  <c r="AS27" i="196"/>
  <c r="AS19" i="196"/>
  <c r="AS28" i="196"/>
  <c r="AS20" i="196"/>
  <c r="AS12" i="196"/>
  <c r="AS29" i="196"/>
  <c r="AS22" i="196"/>
  <c r="N11" i="196"/>
  <c r="AS10" i="196"/>
  <c r="AS20" i="218"/>
  <c r="AS13" i="218"/>
  <c r="AJ11" i="218"/>
  <c r="AS22" i="218"/>
  <c r="AS21" i="218"/>
  <c r="AS14" i="218"/>
  <c r="N11" i="218"/>
  <c r="AS23" i="218"/>
  <c r="AS15" i="218"/>
  <c r="AS10" i="218"/>
  <c r="AS16" i="218"/>
  <c r="AJ10" i="218"/>
  <c r="N10" i="218"/>
  <c r="AS12" i="218"/>
  <c r="AS17" i="218"/>
  <c r="AS18" i="218"/>
  <c r="AS19" i="218"/>
  <c r="AS43" i="199"/>
  <c r="AS35" i="199"/>
  <c r="AS25" i="199"/>
  <c r="AS24" i="199"/>
  <c r="AS23" i="199"/>
  <c r="AS44" i="199"/>
  <c r="AS36" i="199"/>
  <c r="AS26" i="199"/>
  <c r="AS15" i="199"/>
  <c r="AS10" i="199"/>
  <c r="AS47" i="199"/>
  <c r="AS46" i="199"/>
  <c r="AS45" i="199"/>
  <c r="AS37" i="199"/>
  <c r="AS27" i="199"/>
  <c r="AS17" i="199"/>
  <c r="AS16" i="199"/>
  <c r="AJ10" i="199"/>
  <c r="AS39" i="199"/>
  <c r="AS38" i="199"/>
  <c r="AS28" i="199"/>
  <c r="AS19" i="199"/>
  <c r="AS18" i="199"/>
  <c r="N10" i="199"/>
  <c r="AS40" i="199"/>
  <c r="AS29" i="199"/>
  <c r="AS41" i="199"/>
  <c r="AS31" i="199"/>
  <c r="AS30" i="199"/>
  <c r="AS20" i="199"/>
  <c r="AS34" i="199"/>
  <c r="AS33" i="199"/>
  <c r="AS12" i="199"/>
  <c r="AS48" i="199"/>
  <c r="AS32" i="199"/>
  <c r="AS13" i="199"/>
  <c r="AJ11" i="199"/>
  <c r="AS21" i="199"/>
  <c r="AS49" i="199"/>
  <c r="AS14" i="199"/>
  <c r="N11" i="199"/>
  <c r="AS42" i="199"/>
  <c r="AS22" i="199"/>
  <c r="AS13" i="263"/>
  <c r="AJ11" i="263"/>
  <c r="AS14" i="263"/>
  <c r="N11" i="263"/>
  <c r="AS15" i="263"/>
  <c r="AS10" i="263"/>
  <c r="AS16" i="263"/>
  <c r="AJ10" i="263"/>
  <c r="AS17" i="263"/>
  <c r="N10" i="263"/>
  <c r="AS21" i="263"/>
  <c r="AS22" i="263"/>
  <c r="AS20" i="263"/>
  <c r="AS19" i="263"/>
  <c r="AS18" i="263"/>
  <c r="AS12" i="263"/>
  <c r="AS31" i="283"/>
  <c r="AS22" i="283"/>
  <c r="AS15" i="283"/>
  <c r="AS10" i="283"/>
  <c r="AS32" i="283"/>
  <c r="AS23" i="283"/>
  <c r="AS16" i="283"/>
  <c r="AJ10" i="283"/>
  <c r="AS24" i="283"/>
  <c r="AS17" i="283"/>
  <c r="N10" i="283"/>
  <c r="AS25" i="283"/>
  <c r="AS18" i="283"/>
  <c r="AS26" i="283"/>
  <c r="AS33" i="283"/>
  <c r="AS27" i="283"/>
  <c r="AS19" i="283"/>
  <c r="AS12" i="283"/>
  <c r="AS29" i="283"/>
  <c r="AS28" i="283"/>
  <c r="AS20" i="283"/>
  <c r="AS13" i="283"/>
  <c r="AJ11" i="283"/>
  <c r="N11" i="283"/>
  <c r="AS30" i="283"/>
  <c r="AS21" i="283"/>
  <c r="AS14" i="283"/>
  <c r="AJ10" i="188"/>
  <c r="AS14" i="188"/>
  <c r="N11" i="188"/>
  <c r="N10" i="188"/>
  <c r="AS13" i="188"/>
  <c r="AJ11" i="188"/>
  <c r="AS10" i="188"/>
  <c r="AS12" i="188"/>
  <c r="AS16" i="219"/>
  <c r="AJ10" i="219"/>
  <c r="N10" i="219"/>
  <c r="AS17" i="219"/>
  <c r="AS18" i="219"/>
  <c r="AS19" i="219"/>
  <c r="AS12" i="219"/>
  <c r="AJ11" i="219"/>
  <c r="AS13" i="219"/>
  <c r="N11" i="219"/>
  <c r="AS14" i="219"/>
  <c r="AS10" i="219"/>
  <c r="AS15" i="219"/>
  <c r="AS20" i="219"/>
  <c r="AS21" i="219"/>
  <c r="AS21" i="300"/>
  <c r="AS14" i="300"/>
  <c r="N11" i="300"/>
  <c r="AS24" i="300"/>
  <c r="AS23" i="300"/>
  <c r="AS22" i="300"/>
  <c r="AS15" i="300"/>
  <c r="AS10" i="300"/>
  <c r="AS26" i="300"/>
  <c r="AS25" i="300"/>
  <c r="AS16" i="300"/>
  <c r="AJ10" i="300"/>
  <c r="AS27" i="300"/>
  <c r="AS17" i="300"/>
  <c r="N10" i="300"/>
  <c r="AS28" i="300"/>
  <c r="AS29" i="300"/>
  <c r="AS19" i="300"/>
  <c r="AS18" i="300"/>
  <c r="AS12" i="300"/>
  <c r="AJ11" i="300"/>
  <c r="AS20" i="300"/>
  <c r="AS13" i="300"/>
  <c r="AS34" i="215"/>
  <c r="AS22" i="215"/>
  <c r="AS16" i="215"/>
  <c r="AJ10" i="215"/>
  <c r="AS35" i="215"/>
  <c r="AS23" i="215"/>
  <c r="AS17" i="215"/>
  <c r="N10" i="215"/>
  <c r="AS36" i="215"/>
  <c r="AS24" i="215"/>
  <c r="AS37" i="215"/>
  <c r="AS25" i="215"/>
  <c r="AS18" i="215"/>
  <c r="AS38" i="215"/>
  <c r="AS28" i="215"/>
  <c r="AS27" i="215"/>
  <c r="AS26" i="215"/>
  <c r="AS19" i="215"/>
  <c r="AS12" i="215"/>
  <c r="AS21" i="215"/>
  <c r="AJ11" i="215"/>
  <c r="AS13" i="215"/>
  <c r="N11" i="215"/>
  <c r="AS14" i="215"/>
  <c r="AS10" i="215"/>
  <c r="AS15" i="215"/>
  <c r="AS29" i="215"/>
  <c r="AS20" i="215"/>
  <c r="AS32" i="215"/>
  <c r="AS31" i="215"/>
  <c r="AS30" i="215"/>
  <c r="AS33" i="215"/>
  <c r="AS15" i="292"/>
  <c r="AS14" i="292"/>
  <c r="AS16" i="292"/>
  <c r="AS13" i="292"/>
  <c r="AS12" i="292"/>
  <c r="AS17" i="292"/>
  <c r="AJ11" i="292"/>
  <c r="AS18" i="292"/>
  <c r="N11" i="292"/>
  <c r="AS19" i="292"/>
  <c r="AS10" i="292"/>
  <c r="AS20" i="292"/>
  <c r="AJ10" i="292"/>
  <c r="AS21" i="292"/>
  <c r="N10" i="292"/>
  <c r="AS22" i="292"/>
  <c r="AS40" i="192"/>
  <c r="AS32" i="192"/>
  <c r="AS28" i="192"/>
  <c r="AS20" i="192"/>
  <c r="AS12" i="192"/>
  <c r="AS39" i="192"/>
  <c r="AS41" i="192"/>
  <c r="AS33" i="192"/>
  <c r="AS29" i="192"/>
  <c r="AS21" i="192"/>
  <c r="AS13" i="192"/>
  <c r="AJ11" i="192"/>
  <c r="AS46" i="192"/>
  <c r="AS38" i="192"/>
  <c r="AS18" i="192"/>
  <c r="AS42" i="192"/>
  <c r="AS34" i="192"/>
  <c r="AS30" i="192"/>
  <c r="AS22" i="192"/>
  <c r="AS14" i="192"/>
  <c r="N11" i="192"/>
  <c r="AS17" i="192"/>
  <c r="AS26" i="192"/>
  <c r="AS31" i="192"/>
  <c r="AS27" i="192"/>
  <c r="AS19" i="192"/>
  <c r="AS43" i="192"/>
  <c r="AS35" i="192"/>
  <c r="AS23" i="192"/>
  <c r="AS15" i="192"/>
  <c r="AS10" i="192"/>
  <c r="AS45" i="192"/>
  <c r="AS37" i="192"/>
  <c r="N10" i="192"/>
  <c r="AS44" i="192"/>
  <c r="AS36" i="192"/>
  <c r="AS24" i="192"/>
  <c r="AS16" i="192"/>
  <c r="AJ10" i="192"/>
  <c r="AS25" i="192"/>
  <c r="AS47" i="192"/>
  <c r="AS14" i="227"/>
  <c r="N11" i="227"/>
  <c r="AS16" i="227"/>
  <c r="AS15" i="227"/>
  <c r="AS10" i="227"/>
  <c r="AS17" i="227"/>
  <c r="AJ10" i="227"/>
  <c r="AS19" i="227"/>
  <c r="AS18" i="227"/>
  <c r="N10" i="227"/>
  <c r="AS20" i="227"/>
  <c r="AS21" i="227"/>
  <c r="AS25" i="227"/>
  <c r="AS24" i="227"/>
  <c r="AS23" i="227"/>
  <c r="AS22" i="227"/>
  <c r="AS12" i="227"/>
  <c r="AS13" i="227"/>
  <c r="AJ11" i="227"/>
  <c r="AS79" i="198"/>
  <c r="AS71" i="198"/>
  <c r="AS62" i="198"/>
  <c r="AS61" i="198"/>
  <c r="AS52" i="198"/>
  <c r="AS43" i="198"/>
  <c r="AS42" i="198"/>
  <c r="AS34" i="198"/>
  <c r="AS24" i="198"/>
  <c r="AS14" i="198"/>
  <c r="N11" i="198"/>
  <c r="AS80" i="198"/>
  <c r="AS72" i="198"/>
  <c r="AS63" i="198"/>
  <c r="AS54" i="198"/>
  <c r="AS53" i="198"/>
  <c r="AS45" i="198"/>
  <c r="AS44" i="198"/>
  <c r="AS35" i="198"/>
  <c r="AS25" i="198"/>
  <c r="AS15" i="198"/>
  <c r="AS10" i="198"/>
  <c r="AS81" i="198"/>
  <c r="AS73" i="198"/>
  <c r="AS64" i="198"/>
  <c r="AS55" i="198"/>
  <c r="AS46" i="198"/>
  <c r="AS36" i="198"/>
  <c r="AS26" i="198"/>
  <c r="AS16" i="198"/>
  <c r="AJ10" i="198"/>
  <c r="AS82" i="198"/>
  <c r="AS74" i="198"/>
  <c r="AS65" i="198"/>
  <c r="AS56" i="198"/>
  <c r="AS47" i="198"/>
  <c r="AS37" i="198"/>
  <c r="AS27" i="198"/>
  <c r="AS83" i="198"/>
  <c r="N10" i="198"/>
  <c r="AS75" i="198"/>
  <c r="AS66" i="198"/>
  <c r="AS57" i="198"/>
  <c r="AS48" i="198"/>
  <c r="AS38" i="198"/>
  <c r="AS30" i="198"/>
  <c r="AS29" i="198"/>
  <c r="AS28" i="198"/>
  <c r="AS17" i="198"/>
  <c r="AS60" i="198"/>
  <c r="AS49" i="198"/>
  <c r="AS32" i="198"/>
  <c r="AS70" i="198"/>
  <c r="AS58" i="198"/>
  <c r="AS20" i="198"/>
  <c r="AS76" i="198"/>
  <c r="AS50" i="198"/>
  <c r="AS39" i="198"/>
  <c r="AS12" i="198"/>
  <c r="AS18" i="198"/>
  <c r="AS77" i="198"/>
  <c r="AS51" i="198"/>
  <c r="AS40" i="198"/>
  <c r="AS13" i="198"/>
  <c r="AJ11" i="198"/>
  <c r="AS68" i="198"/>
  <c r="AS19" i="198"/>
  <c r="AS33" i="198"/>
  <c r="AS22" i="198"/>
  <c r="AS78" i="198"/>
  <c r="AS41" i="198"/>
  <c r="AS59" i="198"/>
  <c r="AS23" i="198"/>
  <c r="AS67" i="198"/>
  <c r="AS31" i="198"/>
  <c r="AS69" i="198"/>
  <c r="AS21" i="198"/>
  <c r="AS22" i="223"/>
  <c r="AS14" i="223"/>
  <c r="N11" i="223"/>
  <c r="AS23" i="223"/>
  <c r="AS15" i="223"/>
  <c r="AS10" i="223"/>
  <c r="AS24" i="223"/>
  <c r="AS16" i="223"/>
  <c r="AJ10" i="223"/>
  <c r="AS25" i="223"/>
  <c r="N10" i="223"/>
  <c r="AS26" i="223"/>
  <c r="AS17" i="223"/>
  <c r="AS27" i="223"/>
  <c r="AS12" i="223"/>
  <c r="AS13" i="223"/>
  <c r="AJ11" i="223"/>
  <c r="AS19" i="223"/>
  <c r="AS18" i="223"/>
  <c r="AS20" i="223"/>
  <c r="AS21" i="223"/>
  <c r="N10" i="240"/>
  <c r="AJ11" i="240"/>
  <c r="AS17" i="240"/>
  <c r="AS19" i="240"/>
  <c r="AS12" i="240"/>
  <c r="AS13" i="240"/>
  <c r="AS14" i="240"/>
  <c r="AS18" i="240"/>
  <c r="N11" i="240"/>
  <c r="AS16" i="240"/>
  <c r="AS10" i="240"/>
  <c r="AJ10" i="240"/>
  <c r="AS15" i="240"/>
  <c r="AS14" i="239"/>
  <c r="N11" i="239"/>
  <c r="AS12" i="239"/>
  <c r="AS15" i="239"/>
  <c r="AS10" i="239"/>
  <c r="AJ10" i="239"/>
  <c r="N10" i="239"/>
  <c r="AJ11" i="239"/>
  <c r="AS13" i="239"/>
  <c r="AS16" i="245"/>
  <c r="AJ10" i="245"/>
  <c r="N10" i="245"/>
  <c r="AS10" i="245"/>
  <c r="AS14" i="245"/>
  <c r="AS12" i="245"/>
  <c r="N11" i="245"/>
  <c r="AS13" i="245"/>
  <c r="AJ11" i="245"/>
  <c r="AS15" i="245"/>
  <c r="AS20" i="256"/>
  <c r="AS12" i="256"/>
  <c r="AS21" i="256"/>
  <c r="AS13" i="256"/>
  <c r="AJ11" i="256"/>
  <c r="AS22" i="256"/>
  <c r="AS14" i="256"/>
  <c r="N11" i="256"/>
  <c r="AS15" i="256"/>
  <c r="AS10" i="256"/>
  <c r="AS16" i="256"/>
  <c r="AJ10" i="256"/>
  <c r="AS17" i="256"/>
  <c r="N10" i="256"/>
  <c r="AS18" i="256"/>
  <c r="AS19" i="256"/>
  <c r="AS13" i="266"/>
  <c r="AJ11" i="266"/>
  <c r="N11" i="266"/>
  <c r="AS14" i="266"/>
  <c r="AS10" i="266"/>
  <c r="AJ10" i="266"/>
  <c r="AS15" i="266"/>
  <c r="N10" i="266"/>
  <c r="AS12" i="266"/>
  <c r="AS16" i="266"/>
  <c r="AS17" i="284"/>
  <c r="N10" i="284"/>
  <c r="AS19" i="284"/>
  <c r="AS21" i="284"/>
  <c r="AS20" i="284"/>
  <c r="AS18" i="284"/>
  <c r="AS12" i="284"/>
  <c r="AS13" i="284"/>
  <c r="AJ11" i="284"/>
  <c r="AS14" i="284"/>
  <c r="N11" i="284"/>
  <c r="AS15" i="284"/>
  <c r="AS10" i="284"/>
  <c r="AS16" i="284"/>
  <c r="AJ10" i="284"/>
  <c r="AS22" i="230"/>
  <c r="AS15" i="230"/>
  <c r="AJ11" i="230"/>
  <c r="AS23" i="230"/>
  <c r="AS16" i="230"/>
  <c r="N11" i="230"/>
  <c r="AS19" i="230"/>
  <c r="AS13" i="230"/>
  <c r="AS24" i="230"/>
  <c r="AS10" i="230"/>
  <c r="AS25" i="230"/>
  <c r="AS17" i="230"/>
  <c r="AJ10" i="230"/>
  <c r="AS14" i="230"/>
  <c r="AS26" i="230"/>
  <c r="AS18" i="230"/>
  <c r="N10" i="230"/>
  <c r="AS20" i="230"/>
  <c r="AS12" i="230"/>
  <c r="AS21" i="230"/>
  <c r="AS23" i="205"/>
  <c r="AS16" i="205"/>
  <c r="AS24" i="205"/>
  <c r="AS17" i="205"/>
  <c r="AS26" i="205"/>
  <c r="AS18" i="205"/>
  <c r="AS27" i="205"/>
  <c r="AS19" i="205"/>
  <c r="AS12" i="205"/>
  <c r="AS29" i="205"/>
  <c r="AS28" i="205"/>
  <c r="AS13" i="205"/>
  <c r="AJ11" i="205"/>
  <c r="AS30" i="205"/>
  <c r="AS14" i="205"/>
  <c r="N11" i="205"/>
  <c r="AS31" i="205"/>
  <c r="AS15" i="205"/>
  <c r="AS10" i="205"/>
  <c r="AS25" i="205"/>
  <c r="AJ10" i="205"/>
  <c r="AS20" i="205"/>
  <c r="N10" i="205"/>
  <c r="AS21" i="205"/>
  <c r="AS22" i="205"/>
  <c r="N10" i="221"/>
  <c r="AS18" i="221"/>
  <c r="AS17" i="221"/>
  <c r="AS19" i="221"/>
  <c r="AS20" i="221"/>
  <c r="AS12" i="221"/>
  <c r="AS22" i="221"/>
  <c r="AS21" i="221"/>
  <c r="AS13" i="221"/>
  <c r="AJ11" i="221"/>
  <c r="N11" i="221"/>
  <c r="AS23" i="221"/>
  <c r="AS10" i="221"/>
  <c r="AS24" i="221"/>
  <c r="AJ10" i="221"/>
  <c r="AS25" i="221"/>
  <c r="AS14" i="221"/>
  <c r="AS15" i="221"/>
  <c r="AS16" i="221"/>
  <c r="AS16" i="279"/>
  <c r="AJ10" i="279"/>
  <c r="AS17" i="279"/>
  <c r="N10" i="279"/>
  <c r="AS18" i="279"/>
  <c r="AS19" i="279"/>
  <c r="AS20" i="279"/>
  <c r="AS12" i="279"/>
  <c r="AS13" i="279"/>
  <c r="AJ11" i="279"/>
  <c r="AS21" i="279"/>
  <c r="AS14" i="279"/>
  <c r="N11" i="279"/>
  <c r="AS10" i="279"/>
  <c r="AS15" i="279"/>
  <c r="AS18" i="307"/>
  <c r="AS12" i="307"/>
  <c r="AS13" i="307"/>
  <c r="AJ11" i="307"/>
  <c r="AS14" i="307"/>
  <c r="N11" i="307"/>
  <c r="AS15" i="307"/>
  <c r="AS10" i="307"/>
  <c r="AS16" i="307"/>
  <c r="AJ10" i="307"/>
  <c r="N10" i="307"/>
  <c r="AS17" i="307"/>
  <c r="AS20" i="307"/>
  <c r="AS22" i="307"/>
  <c r="AS21" i="307"/>
  <c r="AS19" i="307"/>
  <c r="AS30" i="224"/>
  <c r="AS22" i="224"/>
  <c r="AS15" i="224"/>
  <c r="AJ11" i="224"/>
  <c r="AS31" i="224"/>
  <c r="AS23" i="224"/>
  <c r="AS16" i="224"/>
  <c r="N11" i="224"/>
  <c r="AS32" i="224"/>
  <c r="AS24" i="224"/>
  <c r="AS10" i="224"/>
  <c r="AS33" i="224"/>
  <c r="AS25" i="224"/>
  <c r="AS17" i="224"/>
  <c r="AJ10" i="224"/>
  <c r="AS26" i="224"/>
  <c r="AS18" i="224"/>
  <c r="N10" i="224"/>
  <c r="AS27" i="224"/>
  <c r="AS28" i="224"/>
  <c r="AS14" i="224"/>
  <c r="AS13" i="224"/>
  <c r="AS12" i="224"/>
  <c r="AS29" i="224"/>
  <c r="AS19" i="224"/>
  <c r="AS20" i="224"/>
  <c r="AS21" i="224"/>
  <c r="AS29" i="234"/>
  <c r="AS20" i="234"/>
  <c r="AS12" i="234"/>
  <c r="AS31" i="234"/>
  <c r="AS30" i="234"/>
  <c r="AS21" i="234"/>
  <c r="AS13" i="234"/>
  <c r="AJ11" i="234"/>
  <c r="AS26" i="234"/>
  <c r="AS28" i="234"/>
  <c r="AS32" i="234"/>
  <c r="AS23" i="234"/>
  <c r="AS22" i="234"/>
  <c r="AS14" i="234"/>
  <c r="N11" i="234"/>
  <c r="N10" i="234"/>
  <c r="AS18" i="234"/>
  <c r="AS19" i="234"/>
  <c r="AS33" i="234"/>
  <c r="AS24" i="234"/>
  <c r="AS15" i="234"/>
  <c r="AS10" i="234"/>
  <c r="AS25" i="234"/>
  <c r="AS16" i="234"/>
  <c r="AJ10" i="234"/>
  <c r="AS17" i="234"/>
  <c r="AS27" i="234"/>
  <c r="AS19" i="242"/>
  <c r="AS10" i="242"/>
  <c r="AJ10" i="242"/>
  <c r="AS18" i="242"/>
  <c r="N10" i="242"/>
  <c r="AS17" i="242"/>
  <c r="N11" i="242"/>
  <c r="AJ11" i="242"/>
  <c r="AS16" i="242"/>
  <c r="AS15" i="242"/>
  <c r="AS14" i="242"/>
  <c r="AS13" i="242"/>
  <c r="AS12" i="242"/>
  <c r="AS153" i="194"/>
  <c r="AS145" i="194"/>
  <c r="AS137" i="194"/>
  <c r="AS129" i="194"/>
  <c r="AS121" i="194"/>
  <c r="AS113" i="194"/>
  <c r="AS105" i="194"/>
  <c r="AS97" i="194"/>
  <c r="AS89" i="194"/>
  <c r="AS81" i="194"/>
  <c r="AS73" i="194"/>
  <c r="AS65" i="194"/>
  <c r="AS57" i="194"/>
  <c r="AS49" i="194"/>
  <c r="AS41" i="194"/>
  <c r="AS33" i="194"/>
  <c r="AS154" i="194"/>
  <c r="AS146" i="194"/>
  <c r="AS138" i="194"/>
  <c r="AS130" i="194"/>
  <c r="AS122" i="194"/>
  <c r="AS114" i="194"/>
  <c r="AS106" i="194"/>
  <c r="AS98" i="194"/>
  <c r="AS90" i="194"/>
  <c r="AS82" i="194"/>
  <c r="AS74" i="194"/>
  <c r="AS66" i="194"/>
  <c r="AS58" i="194"/>
  <c r="AS50" i="194"/>
  <c r="AS42" i="194"/>
  <c r="AS34" i="194"/>
  <c r="AS155" i="194"/>
  <c r="AS147" i="194"/>
  <c r="AS139" i="194"/>
  <c r="AS131" i="194"/>
  <c r="AS123" i="194"/>
  <c r="AS115" i="194"/>
  <c r="AS107" i="194"/>
  <c r="AS99" i="194"/>
  <c r="AS91" i="194"/>
  <c r="AS83" i="194"/>
  <c r="AS75" i="194"/>
  <c r="AS67" i="194"/>
  <c r="AS59" i="194"/>
  <c r="AS51" i="194"/>
  <c r="AS43" i="194"/>
  <c r="AS35" i="194"/>
  <c r="AS148" i="194"/>
  <c r="AS140" i="194"/>
  <c r="AS132" i="194"/>
  <c r="AS124" i="194"/>
  <c r="AS116" i="194"/>
  <c r="AS108" i="194"/>
  <c r="AS100" i="194"/>
  <c r="AS92" i="194"/>
  <c r="AS84" i="194"/>
  <c r="AS76" i="194"/>
  <c r="AS68" i="194"/>
  <c r="AS60" i="194"/>
  <c r="AS52" i="194"/>
  <c r="AS44" i="194"/>
  <c r="AS36" i="194"/>
  <c r="AS149" i="194"/>
  <c r="AS141" i="194"/>
  <c r="AS133" i="194"/>
  <c r="AS125" i="194"/>
  <c r="AS117" i="194"/>
  <c r="AS109" i="194"/>
  <c r="AS101" i="194"/>
  <c r="AS93" i="194"/>
  <c r="AS85" i="194"/>
  <c r="AS77" i="194"/>
  <c r="AS69" i="194"/>
  <c r="AS61" i="194"/>
  <c r="AS53" i="194"/>
  <c r="AS45" i="194"/>
  <c r="AS37" i="194"/>
  <c r="AS151" i="194"/>
  <c r="AS126" i="194"/>
  <c r="AS112" i="194"/>
  <c r="AS87" i="194"/>
  <c r="AS62" i="194"/>
  <c r="AS48" i="194"/>
  <c r="AS24" i="194"/>
  <c r="AS16" i="194"/>
  <c r="AJ10" i="194"/>
  <c r="AS134" i="194"/>
  <c r="AS95" i="194"/>
  <c r="AS56" i="194"/>
  <c r="AS31" i="194"/>
  <c r="AS21" i="194"/>
  <c r="AS135" i="194"/>
  <c r="AS150" i="194"/>
  <c r="AS111" i="194"/>
  <c r="AS23" i="194"/>
  <c r="AS152" i="194"/>
  <c r="AS127" i="194"/>
  <c r="AS102" i="194"/>
  <c r="AS88" i="194"/>
  <c r="AS63" i="194"/>
  <c r="AS38" i="194"/>
  <c r="AS25" i="194"/>
  <c r="AS17" i="194"/>
  <c r="N10" i="194"/>
  <c r="AS13" i="194"/>
  <c r="AS110" i="194"/>
  <c r="AS46" i="194"/>
  <c r="AS22" i="194"/>
  <c r="N11" i="194"/>
  <c r="AS72" i="194"/>
  <c r="AS142" i="194"/>
  <c r="AS128" i="194"/>
  <c r="AS103" i="194"/>
  <c r="AS78" i="194"/>
  <c r="AS64" i="194"/>
  <c r="AS39" i="194"/>
  <c r="AS26" i="194"/>
  <c r="AS18" i="194"/>
  <c r="AS29" i="194"/>
  <c r="AS96" i="194"/>
  <c r="AS32" i="194"/>
  <c r="AS15" i="194"/>
  <c r="AS143" i="194"/>
  <c r="AS118" i="194"/>
  <c r="AS104" i="194"/>
  <c r="AS79" i="194"/>
  <c r="AS54" i="194"/>
  <c r="AS40" i="194"/>
  <c r="AS27" i="194"/>
  <c r="AS19" i="194"/>
  <c r="AS70" i="194"/>
  <c r="AJ11" i="194"/>
  <c r="AS136" i="194"/>
  <c r="AS144" i="194"/>
  <c r="AS119" i="194"/>
  <c r="AS94" i="194"/>
  <c r="AS80" i="194"/>
  <c r="AS55" i="194"/>
  <c r="AS28" i="194"/>
  <c r="AS20" i="194"/>
  <c r="AS12" i="194"/>
  <c r="AS120" i="194"/>
  <c r="AS71" i="194"/>
  <c r="AS30" i="194"/>
  <c r="AS14" i="194"/>
  <c r="AS86" i="194"/>
  <c r="AS47" i="194"/>
  <c r="AS10" i="194"/>
  <c r="AS25" i="187"/>
  <c r="N11" i="187"/>
  <c r="AS22" i="187"/>
  <c r="AS12" i="187"/>
  <c r="AS28" i="187"/>
  <c r="AS18" i="187"/>
  <c r="AS13" i="187"/>
  <c r="AS10" i="187"/>
  <c r="AS31" i="187"/>
  <c r="AS23" i="187"/>
  <c r="AS21" i="187"/>
  <c r="AS16" i="187"/>
  <c r="AJ10" i="187"/>
  <c r="AS24" i="187"/>
  <c r="AS26" i="187"/>
  <c r="N10" i="187"/>
  <c r="AS17" i="187"/>
  <c r="AS29" i="187"/>
  <c r="AS19" i="187"/>
  <c r="AS14" i="187"/>
  <c r="AS27" i="187"/>
  <c r="AS15" i="187"/>
  <c r="AJ11" i="187"/>
  <c r="AS20" i="187"/>
  <c r="AS30" i="187"/>
  <c r="AS155" i="185"/>
  <c r="AS147" i="185"/>
  <c r="AS139" i="185"/>
  <c r="AS131" i="185"/>
  <c r="AS123" i="185"/>
  <c r="AS115" i="185"/>
  <c r="AS107" i="185"/>
  <c r="AS99" i="185"/>
  <c r="AS91" i="185"/>
  <c r="AS83" i="185"/>
  <c r="AS75" i="185"/>
  <c r="AS67" i="185"/>
  <c r="AS59" i="185"/>
  <c r="AS51" i="185"/>
  <c r="AS42" i="185"/>
  <c r="AS34" i="185"/>
  <c r="AS26" i="185"/>
  <c r="AS18" i="185"/>
  <c r="AS136" i="185"/>
  <c r="AS120" i="185"/>
  <c r="AS39" i="185"/>
  <c r="AS23" i="185"/>
  <c r="AS153" i="185"/>
  <c r="AS129" i="185"/>
  <c r="AS113" i="185"/>
  <c r="AS65" i="185"/>
  <c r="AS40" i="185"/>
  <c r="AJ10" i="185"/>
  <c r="AS41" i="185"/>
  <c r="AS148" i="185"/>
  <c r="AS140" i="185"/>
  <c r="AS132" i="185"/>
  <c r="AS124" i="185"/>
  <c r="AS116" i="185"/>
  <c r="AS108" i="185"/>
  <c r="AS100" i="185"/>
  <c r="AS92" i="185"/>
  <c r="AS84" i="185"/>
  <c r="AS76" i="185"/>
  <c r="AS68" i="185"/>
  <c r="AS60" i="185"/>
  <c r="AS52" i="185"/>
  <c r="AS43" i="185"/>
  <c r="AS35" i="185"/>
  <c r="AS27" i="185"/>
  <c r="AS19" i="185"/>
  <c r="AS128" i="185"/>
  <c r="AS56" i="185"/>
  <c r="AS10" i="185"/>
  <c r="AS81" i="185"/>
  <c r="AS122" i="185"/>
  <c r="AS114" i="185"/>
  <c r="AS106" i="185"/>
  <c r="AS149" i="185"/>
  <c r="AS141" i="185"/>
  <c r="AS133" i="185"/>
  <c r="AS125" i="185"/>
  <c r="AS117" i="185"/>
  <c r="AS109" i="185"/>
  <c r="AS101" i="185"/>
  <c r="AS93" i="185"/>
  <c r="AS85" i="185"/>
  <c r="AS77" i="185"/>
  <c r="AS69" i="185"/>
  <c r="AS61" i="185"/>
  <c r="AS53" i="185"/>
  <c r="AS44" i="185"/>
  <c r="AS36" i="185"/>
  <c r="AS28" i="185"/>
  <c r="AS20" i="185"/>
  <c r="AS12" i="185"/>
  <c r="AS152" i="185"/>
  <c r="AS80" i="185"/>
  <c r="AS48" i="185"/>
  <c r="AS31" i="185"/>
  <c r="AS15" i="185"/>
  <c r="AS105" i="185"/>
  <c r="AS57" i="185"/>
  <c r="AS49" i="185"/>
  <c r="AS32" i="185"/>
  <c r="AS146" i="185"/>
  <c r="AS98" i="185"/>
  <c r="AS90" i="185"/>
  <c r="AS25" i="185"/>
  <c r="AS17" i="185"/>
  <c r="AS150" i="185"/>
  <c r="AS142" i="185"/>
  <c r="AS134" i="185"/>
  <c r="AS126" i="185"/>
  <c r="AS118" i="185"/>
  <c r="AS110" i="185"/>
  <c r="AS102" i="185"/>
  <c r="AS94" i="185"/>
  <c r="AS86" i="185"/>
  <c r="AS78" i="185"/>
  <c r="AS70" i="185"/>
  <c r="AS62" i="185"/>
  <c r="AS54" i="185"/>
  <c r="AS45" i="185"/>
  <c r="AS37" i="185"/>
  <c r="AS29" i="185"/>
  <c r="AS21" i="185"/>
  <c r="AS13" i="185"/>
  <c r="AJ11" i="185"/>
  <c r="AS112" i="185"/>
  <c r="AS88" i="185"/>
  <c r="AS121" i="185"/>
  <c r="AS97" i="185"/>
  <c r="AS73" i="185"/>
  <c r="AS24" i="185"/>
  <c r="AS130" i="185"/>
  <c r="AS66" i="185"/>
  <c r="AS151" i="185"/>
  <c r="AS143" i="185"/>
  <c r="AS135" i="185"/>
  <c r="AS127" i="185"/>
  <c r="AS119" i="185"/>
  <c r="AS111" i="185"/>
  <c r="AS103" i="185"/>
  <c r="AS95" i="185"/>
  <c r="AS87" i="185"/>
  <c r="AS79" i="185"/>
  <c r="AS71" i="185"/>
  <c r="AS63" i="185"/>
  <c r="AS55" i="185"/>
  <c r="AS46" i="185"/>
  <c r="AS38" i="185"/>
  <c r="AS30" i="185"/>
  <c r="AS22" i="185"/>
  <c r="AS14" i="185"/>
  <c r="N11" i="185"/>
  <c r="AS144" i="185"/>
  <c r="AS104" i="185"/>
  <c r="AS96" i="185"/>
  <c r="AS72" i="185"/>
  <c r="AS64" i="185"/>
  <c r="AS47" i="185"/>
  <c r="AS145" i="185"/>
  <c r="AS137" i="185"/>
  <c r="AS89" i="185"/>
  <c r="AS16" i="185"/>
  <c r="AS154" i="185"/>
  <c r="AS138" i="185"/>
  <c r="AS82" i="185"/>
  <c r="AS74" i="185"/>
  <c r="AS58" i="185"/>
  <c r="AS50" i="185"/>
  <c r="AS33" i="185"/>
  <c r="N10" i="185"/>
  <c r="AS23" i="228"/>
  <c r="AS12" i="228"/>
  <c r="AS13" i="228"/>
  <c r="AJ11" i="228"/>
  <c r="AS16" i="228"/>
  <c r="AS15" i="228"/>
  <c r="AS14" i="228"/>
  <c r="N11" i="228"/>
  <c r="AS10" i="228"/>
  <c r="AS19" i="228"/>
  <c r="AS18" i="228"/>
  <c r="AS17" i="228"/>
  <c r="AJ10" i="228"/>
  <c r="N10" i="228"/>
  <c r="AS20" i="228"/>
  <c r="AS21" i="228"/>
  <c r="AS22" i="228"/>
  <c r="AS19" i="233"/>
  <c r="AS12" i="233"/>
  <c r="AS20" i="233"/>
  <c r="AS13" i="233"/>
  <c r="AJ11" i="233"/>
  <c r="AS17" i="233"/>
  <c r="AS18" i="233"/>
  <c r="AS21" i="233"/>
  <c r="AS14" i="233"/>
  <c r="N11" i="233"/>
  <c r="N10" i="233"/>
  <c r="AS22" i="233"/>
  <c r="AS15" i="233"/>
  <c r="AS10" i="233"/>
  <c r="AS23" i="233"/>
  <c r="AS16" i="233"/>
  <c r="AJ10" i="233"/>
  <c r="AS24" i="233"/>
  <c r="AS25" i="233"/>
  <c r="AS29" i="207"/>
  <c r="AS21" i="207"/>
  <c r="AS20" i="207"/>
  <c r="AS19" i="207"/>
  <c r="AS18" i="207"/>
  <c r="AS17" i="207"/>
  <c r="AS10" i="207"/>
  <c r="AS22" i="207"/>
  <c r="AJ10" i="207"/>
  <c r="AS23" i="207"/>
  <c r="N10" i="207"/>
  <c r="AS24" i="207"/>
  <c r="AS25" i="207"/>
  <c r="AS12" i="207"/>
  <c r="AS26" i="207"/>
  <c r="AS15" i="207"/>
  <c r="AS14" i="207"/>
  <c r="AS13" i="207"/>
  <c r="AJ11" i="207"/>
  <c r="AS27" i="207"/>
  <c r="AS16" i="207"/>
  <c r="N11" i="207"/>
  <c r="AS28" i="207"/>
  <c r="AS15" i="254"/>
  <c r="AS14" i="254"/>
  <c r="AS43" i="254"/>
  <c r="AS42" i="254"/>
  <c r="AS29" i="254"/>
  <c r="N10" i="254"/>
  <c r="AS16" i="254"/>
  <c r="AS30" i="254"/>
  <c r="AS18" i="254"/>
  <c r="AS17" i="254"/>
  <c r="AS33" i="254"/>
  <c r="AS32" i="254"/>
  <c r="AS31" i="254"/>
  <c r="AS20" i="254"/>
  <c r="AS19" i="254"/>
  <c r="AS34" i="254"/>
  <c r="AS12" i="254"/>
  <c r="AS41" i="254"/>
  <c r="AS23" i="254"/>
  <c r="AS22" i="254"/>
  <c r="AS21" i="254"/>
  <c r="AS35" i="254"/>
  <c r="AS25" i="254"/>
  <c r="AS24" i="254"/>
  <c r="AS13" i="254"/>
  <c r="AJ11" i="254"/>
  <c r="AS38" i="254"/>
  <c r="AS37" i="254"/>
  <c r="AS36" i="254"/>
  <c r="AS26" i="254"/>
  <c r="N11" i="254"/>
  <c r="AS39" i="254"/>
  <c r="AJ10" i="254"/>
  <c r="AS40" i="254"/>
  <c r="AS10" i="254"/>
  <c r="AS27" i="254"/>
  <c r="AS28" i="254"/>
  <c r="AS13" i="252"/>
  <c r="AS20" i="252"/>
  <c r="AS14" i="252"/>
  <c r="N11" i="252"/>
  <c r="AS15" i="252"/>
  <c r="AS21" i="252"/>
  <c r="AS16" i="252"/>
  <c r="AJ10" i="252"/>
  <c r="AS17" i="252"/>
  <c r="N10" i="252"/>
  <c r="AS18" i="252"/>
  <c r="AS19" i="252"/>
  <c r="AS12" i="252"/>
  <c r="AJ11" i="252"/>
  <c r="AS10" i="252"/>
  <c r="AS22" i="250"/>
  <c r="AS18" i="250"/>
  <c r="N11" i="250"/>
  <c r="AS14" i="250"/>
  <c r="AS10" i="250"/>
  <c r="AS19" i="250"/>
  <c r="AJ10" i="250"/>
  <c r="AS21" i="250"/>
  <c r="AS15" i="250"/>
  <c r="N10" i="250"/>
  <c r="AS17" i="250"/>
  <c r="AJ11" i="250"/>
  <c r="AS20" i="250"/>
  <c r="AS13" i="250"/>
  <c r="AS16" i="250"/>
  <c r="AS12" i="250"/>
  <c r="AS16" i="258"/>
  <c r="AS17" i="258"/>
  <c r="AS18" i="258"/>
  <c r="AS12" i="258"/>
  <c r="AS19" i="258"/>
  <c r="AS13" i="258"/>
  <c r="AJ11" i="258"/>
  <c r="AS21" i="258"/>
  <c r="AS20" i="258"/>
  <c r="AS14" i="258"/>
  <c r="N11" i="258"/>
  <c r="AS15" i="258"/>
  <c r="AS10" i="258"/>
  <c r="AS22" i="258"/>
  <c r="AS23" i="258"/>
  <c r="AJ10" i="258"/>
  <c r="N10" i="258"/>
  <c r="AS17" i="277"/>
  <c r="N10" i="277"/>
  <c r="AS32" i="277"/>
  <c r="AS24" i="277"/>
  <c r="AS18" i="277"/>
  <c r="AS19" i="277"/>
  <c r="AS27" i="277"/>
  <c r="AS25" i="277"/>
  <c r="AS20" i="277"/>
  <c r="AS12" i="277"/>
  <c r="AS29" i="277"/>
  <c r="AS28" i="277"/>
  <c r="AS21" i="277"/>
  <c r="AS13" i="277"/>
  <c r="AJ11" i="277"/>
  <c r="AS30" i="277"/>
  <c r="AS26" i="277"/>
  <c r="AS22" i="277"/>
  <c r="AS14" i="277"/>
  <c r="N11" i="277"/>
  <c r="AS15" i="277"/>
  <c r="AS10" i="277"/>
  <c r="AS31" i="277"/>
  <c r="AJ10" i="277"/>
  <c r="AS23" i="277"/>
  <c r="AS16" i="277"/>
  <c r="AS28" i="267"/>
  <c r="AS24" i="267"/>
  <c r="AS18" i="267"/>
  <c r="AS12" i="267"/>
  <c r="AS39" i="267"/>
  <c r="AS34" i="267"/>
  <c r="AS19" i="267"/>
  <c r="AS13" i="267"/>
  <c r="AJ11" i="267"/>
  <c r="AS35" i="267"/>
  <c r="AS29" i="267"/>
  <c r="AS25" i="267"/>
  <c r="AS20" i="267"/>
  <c r="N11" i="267"/>
  <c r="AS40" i="267"/>
  <c r="AS36" i="267"/>
  <c r="AS14" i="267"/>
  <c r="AS10" i="267"/>
  <c r="AS30" i="267"/>
  <c r="AS26" i="267"/>
  <c r="AS21" i="267"/>
  <c r="AJ10" i="267"/>
  <c r="AS41" i="267"/>
  <c r="AS37" i="267"/>
  <c r="AS32" i="267"/>
  <c r="AS31" i="267"/>
  <c r="AS17" i="267"/>
  <c r="AS16" i="267"/>
  <c r="AS15" i="267"/>
  <c r="N10" i="267"/>
  <c r="AS42" i="267"/>
  <c r="AS22" i="267"/>
  <c r="AS44" i="267"/>
  <c r="AS33" i="267"/>
  <c r="AS23" i="267"/>
  <c r="AS38" i="267"/>
  <c r="AS27" i="267"/>
  <c r="AS43" i="267"/>
  <c r="AS16" i="268"/>
  <c r="AS17" i="268"/>
  <c r="AS12" i="268"/>
  <c r="AS13" i="268"/>
  <c r="AJ11" i="268"/>
  <c r="AS19" i="268"/>
  <c r="N11" i="268"/>
  <c r="AS14" i="268"/>
  <c r="AS10" i="268"/>
  <c r="AS20" i="268"/>
  <c r="AJ10" i="268"/>
  <c r="AS15" i="268"/>
  <c r="N10" i="268"/>
  <c r="AS18" i="268"/>
  <c r="AS42" i="296"/>
  <c r="AS30" i="296"/>
  <c r="AS17" i="296"/>
  <c r="AJ10" i="296"/>
  <c r="AS45" i="296"/>
  <c r="AS44" i="296"/>
  <c r="AS50" i="296"/>
  <c r="AS49" i="296"/>
  <c r="AS43" i="296"/>
  <c r="AS32" i="296"/>
  <c r="AS31" i="296"/>
  <c r="AS18" i="296"/>
  <c r="N10" i="296"/>
  <c r="AS48" i="296"/>
  <c r="AS47" i="296"/>
  <c r="AS46" i="296"/>
  <c r="AS35" i="296"/>
  <c r="AS34" i="296"/>
  <c r="AS33" i="296"/>
  <c r="AS51" i="296"/>
  <c r="AS20" i="296"/>
  <c r="AS19" i="296"/>
  <c r="AS36" i="296"/>
  <c r="AS23" i="296"/>
  <c r="AS22" i="296"/>
  <c r="AS52" i="296"/>
  <c r="AS37" i="296"/>
  <c r="AS24" i="296"/>
  <c r="AS21" i="296"/>
  <c r="AS13" i="296"/>
  <c r="AS12" i="296"/>
  <c r="AS38" i="296"/>
  <c r="AS27" i="296"/>
  <c r="AS25" i="296"/>
  <c r="AS14" i="296"/>
  <c r="AJ11" i="296"/>
  <c r="AS40" i="296"/>
  <c r="AS39" i="296"/>
  <c r="AS28" i="296"/>
  <c r="AS26" i="296"/>
  <c r="AS15" i="296"/>
  <c r="N11" i="296"/>
  <c r="AS29" i="296"/>
  <c r="AS16" i="296"/>
  <c r="AS41" i="296"/>
  <c r="AS10" i="296"/>
  <c r="AS24" i="286"/>
  <c r="AS14" i="286"/>
  <c r="N11" i="286"/>
  <c r="AS27" i="286"/>
  <c r="AS26" i="286"/>
  <c r="AS25" i="286"/>
  <c r="AS15" i="286"/>
  <c r="AS10" i="286"/>
  <c r="AS16" i="286"/>
  <c r="AJ10" i="286"/>
  <c r="AS19" i="286"/>
  <c r="AS18" i="286"/>
  <c r="AS29" i="286"/>
  <c r="AS28" i="286"/>
  <c r="AS17" i="286"/>
  <c r="N10" i="286"/>
  <c r="AS20" i="286"/>
  <c r="AS21" i="286"/>
  <c r="AS22" i="286"/>
  <c r="AS12" i="286"/>
  <c r="AS23" i="286"/>
  <c r="AJ11" i="286"/>
  <c r="AS13" i="286"/>
  <c r="AS19" i="281"/>
  <c r="AS20" i="281"/>
  <c r="AS12" i="281"/>
  <c r="AS13" i="281"/>
  <c r="AJ11" i="281"/>
  <c r="AS14" i="281"/>
  <c r="N11" i="281"/>
  <c r="AS15" i="281"/>
  <c r="AS10" i="281"/>
  <c r="AS16" i="281"/>
  <c r="AJ10" i="281"/>
  <c r="AS17" i="281"/>
  <c r="N10" i="281"/>
  <c r="AS18" i="281"/>
  <c r="AS26" i="308"/>
  <c r="AS27" i="308"/>
  <c r="AS19" i="308"/>
  <c r="AS12" i="308"/>
  <c r="AS20" i="308"/>
  <c r="AS13" i="308"/>
  <c r="AJ11" i="308"/>
  <c r="AS21" i="308"/>
  <c r="AS14" i="308"/>
  <c r="N11" i="308"/>
  <c r="AS22" i="308"/>
  <c r="AS15" i="308"/>
  <c r="AS10" i="308"/>
  <c r="AS23" i="308"/>
  <c r="AS16" i="308"/>
  <c r="AJ10" i="308"/>
  <c r="AS24" i="308"/>
  <c r="AS17" i="308"/>
  <c r="N10" i="308"/>
  <c r="AS25" i="308"/>
  <c r="AS18" i="308"/>
  <c r="AS15" i="259"/>
  <c r="N11" i="259"/>
  <c r="AS16" i="259"/>
  <c r="AS10" i="259"/>
  <c r="AJ10" i="259"/>
  <c r="N10" i="259"/>
  <c r="AJ11" i="259"/>
  <c r="AS14" i="259"/>
  <c r="AS13" i="259"/>
  <c r="AS12" i="259"/>
  <c r="AS25" i="212"/>
  <c r="AS16" i="212"/>
  <c r="AS10" i="212"/>
  <c r="AS28" i="212"/>
  <c r="AS27" i="212"/>
  <c r="AS26" i="212"/>
  <c r="AS17" i="212"/>
  <c r="AJ10" i="212"/>
  <c r="AS30" i="212"/>
  <c r="AS29" i="212"/>
  <c r="N10" i="212"/>
  <c r="AS31" i="212"/>
  <c r="AS19" i="212"/>
  <c r="AS18" i="212"/>
  <c r="AS32" i="212"/>
  <c r="AS20" i="212"/>
  <c r="AS15" i="212"/>
  <c r="N11" i="212"/>
  <c r="AS33" i="212"/>
  <c r="AS22" i="212"/>
  <c r="AS21" i="212"/>
  <c r="AS36" i="212"/>
  <c r="AS35" i="212"/>
  <c r="AS34" i="212"/>
  <c r="AS23" i="212"/>
  <c r="AS24" i="212"/>
  <c r="AS12" i="212"/>
  <c r="AS14" i="212"/>
  <c r="AS13" i="212"/>
  <c r="AJ11" i="212"/>
  <c r="AS20" i="295"/>
  <c r="AS21" i="295"/>
  <c r="AS12" i="295"/>
  <c r="AS22" i="295"/>
  <c r="AS14" i="295"/>
  <c r="AS13" i="295"/>
  <c r="AJ11" i="295"/>
  <c r="AS15" i="295"/>
  <c r="N11" i="295"/>
  <c r="AS16" i="295"/>
  <c r="AS10" i="295"/>
  <c r="AS17" i="295"/>
  <c r="AJ10" i="295"/>
  <c r="AS18" i="295"/>
  <c r="N10" i="295"/>
  <c r="AS19" i="295"/>
  <c r="N10" i="297"/>
  <c r="AS17" i="297"/>
  <c r="AS16" i="297"/>
  <c r="AS15" i="297"/>
  <c r="AS14" i="297"/>
  <c r="AS13" i="297"/>
  <c r="AS12" i="297"/>
  <c r="AS18" i="297"/>
  <c r="AJ11" i="297"/>
  <c r="AS19" i="297"/>
  <c r="N11" i="297"/>
  <c r="AS22" i="297"/>
  <c r="AS21" i="297"/>
  <c r="AS20" i="297"/>
  <c r="AS10" i="297"/>
  <c r="AJ10" i="297"/>
  <c r="AS15" i="301"/>
  <c r="AS10" i="301"/>
  <c r="AS16" i="301"/>
  <c r="AJ10" i="301"/>
  <c r="AS17" i="301"/>
  <c r="N10" i="301"/>
  <c r="AS18" i="301"/>
  <c r="AS20" i="301"/>
  <c r="AS19" i="301"/>
  <c r="AS21" i="301"/>
  <c r="AS12" i="301"/>
  <c r="AS13" i="301"/>
  <c r="AJ11" i="301"/>
  <c r="N11" i="301"/>
  <c r="AS14" i="301"/>
  <c r="AS31" i="220"/>
  <c r="AS21" i="220"/>
  <c r="AS20" i="220"/>
  <c r="AS12" i="220"/>
  <c r="AS32" i="220"/>
  <c r="AS22" i="220"/>
  <c r="AS13" i="220"/>
  <c r="AJ11" i="220"/>
  <c r="AS23" i="220"/>
  <c r="AS14" i="220"/>
  <c r="N11" i="220"/>
  <c r="AS24" i="220"/>
  <c r="AS15" i="220"/>
  <c r="AS10" i="220"/>
  <c r="AS25" i="220"/>
  <c r="AS16" i="220"/>
  <c r="AJ10" i="220"/>
  <c r="AS17" i="220"/>
  <c r="AS19" i="220"/>
  <c r="AS18" i="220"/>
  <c r="AS27" i="220"/>
  <c r="AS26" i="220"/>
  <c r="N10" i="220"/>
  <c r="AS29" i="220"/>
  <c r="AS28" i="220"/>
  <c r="AS30" i="220"/>
  <c r="AS24" i="253"/>
  <c r="AS23" i="253"/>
  <c r="AS32" i="253"/>
  <c r="AS26" i="253"/>
  <c r="AS10" i="253"/>
  <c r="AS25" i="253"/>
  <c r="AS14" i="253"/>
  <c r="AS27" i="253"/>
  <c r="AJ10" i="253"/>
  <c r="AS16" i="253"/>
  <c r="AS15" i="253"/>
  <c r="AS28" i="253"/>
  <c r="N10" i="253"/>
  <c r="AS17" i="253"/>
  <c r="AS29" i="253"/>
  <c r="AS18" i="253"/>
  <c r="AS30" i="253"/>
  <c r="AS20" i="253"/>
  <c r="AS19" i="253"/>
  <c r="AS12" i="253"/>
  <c r="AS21" i="253"/>
  <c r="AS31" i="253"/>
  <c r="AS22" i="253"/>
  <c r="N11" i="253"/>
  <c r="AS13" i="253"/>
  <c r="AJ11" i="253"/>
  <c r="AS17" i="287"/>
  <c r="N10" i="287"/>
  <c r="AS18" i="287"/>
  <c r="AS20" i="287"/>
  <c r="AS19" i="287"/>
  <c r="AS21" i="287"/>
  <c r="AS12" i="287"/>
  <c r="AS13" i="287"/>
  <c r="AJ11" i="287"/>
  <c r="AS14" i="287"/>
  <c r="N11" i="287"/>
  <c r="AS15" i="287"/>
  <c r="AS10" i="287"/>
  <c r="AS16" i="287"/>
  <c r="AJ10" i="287"/>
  <c r="AS42" i="193"/>
  <c r="AS43" i="193"/>
  <c r="AS44" i="193"/>
  <c r="AS45" i="193"/>
  <c r="AS39" i="193"/>
  <c r="AS31" i="193"/>
  <c r="AS28" i="193"/>
  <c r="AS20" i="193"/>
  <c r="AS12" i="193"/>
  <c r="AS25" i="193"/>
  <c r="AS18" i="193"/>
  <c r="AS38" i="193"/>
  <c r="AS27" i="193"/>
  <c r="AS40" i="193"/>
  <c r="AS32" i="193"/>
  <c r="AS29" i="193"/>
  <c r="AS21" i="193"/>
  <c r="AS13" i="193"/>
  <c r="AJ11" i="193"/>
  <c r="AS17" i="193"/>
  <c r="AS41" i="193"/>
  <c r="AS33" i="193"/>
  <c r="AS30" i="193"/>
  <c r="AS22" i="193"/>
  <c r="AS14" i="193"/>
  <c r="N11" i="193"/>
  <c r="AS36" i="193"/>
  <c r="AS37" i="193"/>
  <c r="AS26" i="193"/>
  <c r="AS46" i="193"/>
  <c r="AS34" i="193"/>
  <c r="AS23" i="193"/>
  <c r="AS15" i="193"/>
  <c r="AS10" i="193"/>
  <c r="AS19" i="193"/>
  <c r="AS47" i="193"/>
  <c r="AS35" i="193"/>
  <c r="AS24" i="193"/>
  <c r="AS16" i="193"/>
  <c r="AJ10" i="193"/>
  <c r="N10" i="193"/>
  <c r="AS13" i="264"/>
  <c r="AS12" i="264"/>
  <c r="AS14" i="264"/>
  <c r="AJ11" i="264"/>
  <c r="AS15" i="264"/>
  <c r="N11" i="264"/>
  <c r="AS16" i="264"/>
  <c r="AS10" i="264"/>
  <c r="AS17" i="264"/>
  <c r="AJ10" i="264"/>
  <c r="N10" i="264"/>
  <c r="AS18" i="264"/>
  <c r="AS16" i="265"/>
  <c r="N11" i="265"/>
  <c r="AS10" i="265"/>
  <c r="AS17" i="265"/>
  <c r="AJ10" i="265"/>
  <c r="AS18" i="265"/>
  <c r="N10" i="265"/>
  <c r="AS15" i="265"/>
  <c r="AS19" i="265"/>
  <c r="AJ11" i="265"/>
  <c r="AS14" i="265"/>
  <c r="AS13" i="265"/>
  <c r="AS12" i="265"/>
  <c r="AS15" i="285"/>
  <c r="AS10" i="285"/>
  <c r="AS16" i="285"/>
  <c r="AJ10" i="285"/>
  <c r="AS17" i="285"/>
  <c r="N10" i="285"/>
  <c r="AS18" i="285"/>
  <c r="AS19" i="285"/>
  <c r="AS12" i="285"/>
  <c r="AS13" i="285"/>
  <c r="AJ11" i="285"/>
  <c r="N11" i="285"/>
  <c r="AS14" i="285"/>
  <c r="AS24" i="201"/>
  <c r="N10" i="201"/>
  <c r="AS25" i="201"/>
  <c r="AS18" i="201"/>
  <c r="AS19" i="201"/>
  <c r="AS13" i="201"/>
  <c r="AS12" i="201"/>
  <c r="AS20" i="201"/>
  <c r="AS14" i="201"/>
  <c r="AJ11" i="201"/>
  <c r="AS21" i="201"/>
  <c r="AS15" i="201"/>
  <c r="N11" i="201"/>
  <c r="AJ10" i="201"/>
  <c r="AS22" i="201"/>
  <c r="AS23" i="201"/>
  <c r="AS16" i="201"/>
  <c r="AS17" i="201"/>
  <c r="AS10" i="201"/>
  <c r="AS34" i="210"/>
  <c r="AS22" i="210"/>
  <c r="AS16" i="210"/>
  <c r="AJ10" i="210"/>
  <c r="AS35" i="210"/>
  <c r="AS25" i="210"/>
  <c r="AS24" i="210"/>
  <c r="AS23" i="210"/>
  <c r="AS17" i="210"/>
  <c r="N10" i="210"/>
  <c r="AS36" i="210"/>
  <c r="AS26" i="210"/>
  <c r="AS27" i="210"/>
  <c r="AS18" i="210"/>
  <c r="AS28" i="210"/>
  <c r="AS19" i="210"/>
  <c r="AS12" i="210"/>
  <c r="AS21" i="210"/>
  <c r="AJ11" i="210"/>
  <c r="AS13" i="210"/>
  <c r="N11" i="210"/>
  <c r="AS14" i="210"/>
  <c r="AS10" i="210"/>
  <c r="AS15" i="210"/>
  <c r="AS29" i="210"/>
  <c r="AS20" i="210"/>
  <c r="AS30" i="210"/>
  <c r="AS33" i="210"/>
  <c r="AS32" i="210"/>
  <c r="AS31" i="210"/>
  <c r="AS25" i="232"/>
  <c r="AS17" i="232"/>
  <c r="AJ10" i="232"/>
  <c r="AS14" i="232"/>
  <c r="AS26" i="232"/>
  <c r="AS18" i="232"/>
  <c r="N10" i="232"/>
  <c r="AS31" i="232"/>
  <c r="AS13" i="232"/>
  <c r="AS32" i="232"/>
  <c r="AS23" i="232"/>
  <c r="AS24" i="232"/>
  <c r="AS10" i="232"/>
  <c r="AS27" i="232"/>
  <c r="AS19" i="232"/>
  <c r="AS22" i="232"/>
  <c r="AS15" i="232"/>
  <c r="AS28" i="232"/>
  <c r="AS20" i="232"/>
  <c r="AS29" i="232"/>
  <c r="AS21" i="232"/>
  <c r="AS12" i="232"/>
  <c r="AS30" i="232"/>
  <c r="AJ11" i="232"/>
  <c r="AS16" i="232"/>
  <c r="N11" i="232"/>
  <c r="AS44" i="204"/>
  <c r="AS21" i="204"/>
  <c r="AS45" i="204"/>
  <c r="AS27" i="204"/>
  <c r="AS26" i="204"/>
  <c r="AS25" i="204"/>
  <c r="AS24" i="204"/>
  <c r="AS23" i="204"/>
  <c r="AS22" i="204"/>
  <c r="AS46" i="204"/>
  <c r="AS28" i="204"/>
  <c r="AS12" i="204"/>
  <c r="AS47" i="204"/>
  <c r="AS29" i="204"/>
  <c r="AS13" i="204"/>
  <c r="AJ11" i="204"/>
  <c r="AS31" i="204"/>
  <c r="AS30" i="204"/>
  <c r="AS17" i="204"/>
  <c r="AS16" i="204"/>
  <c r="AS15" i="204"/>
  <c r="AS14" i="204"/>
  <c r="N11" i="204"/>
  <c r="AS32" i="204"/>
  <c r="AS18" i="204"/>
  <c r="AS10" i="204"/>
  <c r="AS43" i="204"/>
  <c r="AS42" i="204"/>
  <c r="AS39" i="204"/>
  <c r="AS35" i="204"/>
  <c r="AJ10" i="204"/>
  <c r="AS38" i="204"/>
  <c r="N10" i="204"/>
  <c r="AS40" i="204"/>
  <c r="AS37" i="204"/>
  <c r="AS33" i="204"/>
  <c r="AS19" i="204"/>
  <c r="AS36" i="204"/>
  <c r="AS20" i="204"/>
  <c r="AS41" i="204"/>
  <c r="AS34" i="204"/>
  <c r="AS37" i="231"/>
  <c r="AS36" i="231"/>
  <c r="AS40" i="231"/>
  <c r="AS39" i="231"/>
  <c r="AS34" i="231"/>
  <c r="AS24" i="231"/>
  <c r="AS15" i="231"/>
  <c r="N11" i="231"/>
  <c r="AS32" i="231"/>
  <c r="AS13" i="231"/>
  <c r="AS38" i="231"/>
  <c r="AS35" i="231"/>
  <c r="AS25" i="231"/>
  <c r="AS16" i="231"/>
  <c r="AS10" i="231"/>
  <c r="AS21" i="231"/>
  <c r="AS12" i="231"/>
  <c r="AJ11" i="231"/>
  <c r="AS27" i="231"/>
  <c r="AS26" i="231"/>
  <c r="AJ10" i="231"/>
  <c r="AS19" i="231"/>
  <c r="AS29" i="231"/>
  <c r="AS28" i="231"/>
  <c r="AS17" i="231"/>
  <c r="N10" i="231"/>
  <c r="AS33" i="231"/>
  <c r="AS14" i="231"/>
  <c r="AS30" i="231"/>
  <c r="AS18" i="231"/>
  <c r="AS31" i="231"/>
  <c r="AS20" i="231"/>
  <c r="AS22" i="231"/>
  <c r="AS23" i="231"/>
  <c r="AS23" i="211"/>
  <c r="AS16" i="211"/>
  <c r="AJ10" i="211"/>
  <c r="AS24" i="211"/>
  <c r="AS17" i="211"/>
  <c r="N10" i="211"/>
  <c r="AS25" i="211"/>
  <c r="AS26" i="211"/>
  <c r="AS18" i="211"/>
  <c r="AS19" i="211"/>
  <c r="AS12" i="211"/>
  <c r="AS21" i="211"/>
  <c r="AS22" i="211"/>
  <c r="AJ11" i="211"/>
  <c r="AS13" i="211"/>
  <c r="N11" i="211"/>
  <c r="AS14" i="211"/>
  <c r="AS10" i="211"/>
  <c r="AS15" i="211"/>
  <c r="AS20" i="211"/>
  <c r="AS25" i="236"/>
  <c r="AS16" i="236"/>
  <c r="AJ10" i="236"/>
  <c r="AS17" i="236"/>
  <c r="AS18" i="236"/>
  <c r="AS13" i="236"/>
  <c r="AS14" i="236"/>
  <c r="AS26" i="236"/>
  <c r="N10" i="236"/>
  <c r="AS27" i="236"/>
  <c r="AS29" i="236"/>
  <c r="AS31" i="236"/>
  <c r="AS12" i="236"/>
  <c r="AS21" i="236"/>
  <c r="AS24" i="236"/>
  <c r="AS15" i="236"/>
  <c r="AS28" i="236"/>
  <c r="AS19" i="236"/>
  <c r="AJ11" i="236"/>
  <c r="AS22" i="236"/>
  <c r="AS23" i="236"/>
  <c r="AS20" i="236"/>
  <c r="N11" i="236"/>
  <c r="AS10" i="236"/>
  <c r="AS32" i="236"/>
  <c r="AS30" i="236"/>
  <c r="AS13" i="261"/>
  <c r="AS12" i="261"/>
  <c r="AS14" i="261"/>
  <c r="AJ11" i="261"/>
  <c r="AS15" i="261"/>
  <c r="N11" i="261"/>
  <c r="AS19" i="261"/>
  <c r="AS18" i="261"/>
  <c r="AS17" i="261"/>
  <c r="AS16" i="261"/>
  <c r="AS10" i="261"/>
  <c r="AJ10" i="261"/>
  <c r="N10" i="261"/>
  <c r="AS12" i="241"/>
  <c r="AS13" i="241"/>
  <c r="AJ11" i="241"/>
  <c r="AJ10" i="241"/>
  <c r="AS14" i="241"/>
  <c r="N11" i="241"/>
  <c r="AS15" i="241"/>
  <c r="AS10" i="241"/>
  <c r="N10" i="241"/>
  <c r="AS25" i="278"/>
  <c r="AS21" i="278"/>
  <c r="AS13" i="278"/>
  <c r="AJ11" i="278"/>
  <c r="AS14" i="278"/>
  <c r="N11" i="278"/>
  <c r="AS26" i="278"/>
  <c r="AS22" i="278"/>
  <c r="AS15" i="278"/>
  <c r="AS10" i="278"/>
  <c r="AS16" i="278"/>
  <c r="AJ10" i="278"/>
  <c r="AS23" i="278"/>
  <c r="AS17" i="278"/>
  <c r="N10" i="278"/>
  <c r="AS18" i="278"/>
  <c r="AS24" i="278"/>
  <c r="AS19" i="278"/>
  <c r="AS20" i="278"/>
  <c r="AS12" i="278"/>
  <c r="AS14" i="291"/>
  <c r="AS13" i="291"/>
  <c r="AS12" i="291"/>
  <c r="AS15" i="291"/>
  <c r="AJ11" i="291"/>
  <c r="AS16" i="291"/>
  <c r="N11" i="291"/>
  <c r="AS17" i="291"/>
  <c r="AS10" i="291"/>
  <c r="AS18" i="291"/>
  <c r="AJ10" i="291"/>
  <c r="AS19" i="291"/>
  <c r="N10" i="291"/>
  <c r="AS20" i="291"/>
  <c r="AS22" i="291"/>
  <c r="AS24" i="291"/>
  <c r="AS23" i="291"/>
  <c r="AS21" i="291"/>
  <c r="AS12" i="280"/>
  <c r="AS13" i="280"/>
  <c r="AJ11" i="280"/>
  <c r="AS14" i="280"/>
  <c r="N11" i="280"/>
  <c r="AS15" i="280"/>
  <c r="AS10" i="280"/>
  <c r="AS16" i="280"/>
  <c r="AJ10" i="280"/>
  <c r="AS17" i="280"/>
  <c r="N10" i="280"/>
  <c r="AS18" i="280"/>
  <c r="AS20" i="280"/>
  <c r="AS22" i="280"/>
  <c r="AS21" i="280"/>
  <c r="AS19" i="280"/>
  <c r="AS29" i="298"/>
  <c r="AS34" i="298"/>
  <c r="AS13" i="298"/>
  <c r="AS12" i="298"/>
  <c r="AS30" i="298"/>
  <c r="AS21" i="298"/>
  <c r="AS14" i="298"/>
  <c r="AJ11" i="298"/>
  <c r="AS32" i="298"/>
  <c r="AS31" i="298"/>
  <c r="AS22" i="298"/>
  <c r="AS15" i="298"/>
  <c r="N11" i="298"/>
  <c r="AS33" i="298"/>
  <c r="AS24" i="298"/>
  <c r="AS23" i="298"/>
  <c r="AS16" i="298"/>
  <c r="AS10" i="298"/>
  <c r="AS25" i="298"/>
  <c r="AS17" i="298"/>
  <c r="AJ10" i="298"/>
  <c r="AS26" i="298"/>
  <c r="AS18" i="298"/>
  <c r="N10" i="298"/>
  <c r="AS27" i="298"/>
  <c r="AS19" i="298"/>
  <c r="AS28" i="298"/>
  <c r="AS20" i="298"/>
  <c r="AS46" i="214"/>
  <c r="AS38" i="214"/>
  <c r="AS30" i="214"/>
  <c r="AS22" i="214"/>
  <c r="AS15" i="214"/>
  <c r="AS14" i="214"/>
  <c r="N11" i="214"/>
  <c r="AS47" i="214"/>
  <c r="AS39" i="214"/>
  <c r="AS31" i="214"/>
  <c r="AS23" i="214"/>
  <c r="AS16" i="214"/>
  <c r="AS10" i="214"/>
  <c r="AS48" i="214"/>
  <c r="AS40" i="214"/>
  <c r="AS32" i="214"/>
  <c r="AS24" i="214"/>
  <c r="AS17" i="214"/>
  <c r="AJ10" i="214"/>
  <c r="AS41" i="214"/>
  <c r="AS33" i="214"/>
  <c r="AS25" i="214"/>
  <c r="N10" i="214"/>
  <c r="AS42" i="214"/>
  <c r="AS34" i="214"/>
  <c r="AS26" i="214"/>
  <c r="AS18" i="214"/>
  <c r="AS36" i="214"/>
  <c r="AS37" i="214"/>
  <c r="AS12" i="214"/>
  <c r="AS27" i="214"/>
  <c r="AS13" i="214"/>
  <c r="AJ11" i="214"/>
  <c r="AS28" i="214"/>
  <c r="AS43" i="214"/>
  <c r="AS29" i="214"/>
  <c r="AS44" i="214"/>
  <c r="AS19" i="214"/>
  <c r="AS35" i="214"/>
  <c r="AS45" i="214"/>
  <c r="AS20" i="214"/>
  <c r="AS21" i="214"/>
  <c r="AS24" i="197"/>
  <c r="AS17" i="197"/>
  <c r="AS15" i="197"/>
  <c r="AS25" i="197"/>
  <c r="AS18" i="197"/>
  <c r="AS29" i="197"/>
  <c r="AS10" i="197"/>
  <c r="N10" i="197"/>
  <c r="AS26" i="197"/>
  <c r="AS19" i="197"/>
  <c r="AS12" i="197"/>
  <c r="AS22" i="197"/>
  <c r="AS30" i="197"/>
  <c r="AS16" i="197"/>
  <c r="AS27" i="197"/>
  <c r="AS20" i="197"/>
  <c r="AS13" i="197"/>
  <c r="AJ11" i="197"/>
  <c r="AS23" i="197"/>
  <c r="AS28" i="197"/>
  <c r="AS21" i="197"/>
  <c r="AS14" i="197"/>
  <c r="N11" i="197"/>
  <c r="AJ10" i="197"/>
  <c r="AS17" i="272"/>
  <c r="AS13" i="272"/>
  <c r="AS12" i="272"/>
  <c r="AJ11" i="272"/>
  <c r="AS18" i="272"/>
  <c r="AS14" i="272"/>
  <c r="N11" i="272"/>
  <c r="AS10" i="272"/>
  <c r="AS19" i="272"/>
  <c r="AS15" i="272"/>
  <c r="AJ10" i="272"/>
  <c r="N10" i="272"/>
  <c r="AS16" i="272"/>
  <c r="AS15" i="294"/>
  <c r="AS14" i="294"/>
  <c r="AS13" i="294"/>
  <c r="AS12" i="294"/>
  <c r="AS16" i="294"/>
  <c r="AJ11" i="294"/>
  <c r="AS17" i="294"/>
  <c r="N11" i="294"/>
  <c r="AS19" i="294"/>
  <c r="AS18" i="294"/>
  <c r="AS10" i="294"/>
  <c r="AS20" i="294"/>
  <c r="AJ10" i="294"/>
  <c r="N10" i="294"/>
  <c r="AS23" i="294"/>
  <c r="AS22" i="294"/>
  <c r="AS21" i="294"/>
  <c r="AS156" i="262"/>
  <c r="AS146" i="262"/>
  <c r="AS137" i="262"/>
  <c r="AS136" i="262"/>
  <c r="AS126" i="262"/>
  <c r="AS116" i="262"/>
  <c r="AS107" i="262"/>
  <c r="AS97" i="262"/>
  <c r="AS96" i="262"/>
  <c r="AS86" i="262"/>
  <c r="AS76" i="262"/>
  <c r="AS67" i="262"/>
  <c r="AS66" i="262"/>
  <c r="AS57" i="262"/>
  <c r="AS56" i="262"/>
  <c r="AS47" i="262"/>
  <c r="AS38" i="262"/>
  <c r="AS30" i="262"/>
  <c r="AS22" i="262"/>
  <c r="AS15" i="262"/>
  <c r="AS10" i="262"/>
  <c r="AS157" i="262"/>
  <c r="AS147" i="262"/>
  <c r="AS138" i="262"/>
  <c r="AS127" i="262"/>
  <c r="AS117" i="262"/>
  <c r="AS108" i="262"/>
  <c r="AS99" i="262"/>
  <c r="AS98" i="262"/>
  <c r="AS87" i="262"/>
  <c r="AS77" i="262"/>
  <c r="AS68" i="262"/>
  <c r="AS58" i="262"/>
  <c r="AS49" i="262"/>
  <c r="AS48" i="262"/>
  <c r="AS39" i="262"/>
  <c r="AS31" i="262"/>
  <c r="AS23" i="262"/>
  <c r="AS16" i="262"/>
  <c r="AJ10" i="262"/>
  <c r="AS158" i="262"/>
  <c r="AS148" i="262"/>
  <c r="AS139" i="262"/>
  <c r="AS129" i="262"/>
  <c r="AS128" i="262"/>
  <c r="AS118" i="262"/>
  <c r="AS109" i="262"/>
  <c r="AS100" i="262"/>
  <c r="AS89" i="262"/>
  <c r="AS88" i="262"/>
  <c r="AS78" i="262"/>
  <c r="AS69" i="262"/>
  <c r="AS59" i="262"/>
  <c r="AS50" i="262"/>
  <c r="AS41" i="262"/>
  <c r="AS40" i="262"/>
  <c r="AS32" i="262"/>
  <c r="AS24" i="262"/>
  <c r="AS17" i="262"/>
  <c r="N10" i="262"/>
  <c r="AS159" i="262"/>
  <c r="AS149" i="262"/>
  <c r="AS140" i="262"/>
  <c r="AS131" i="262"/>
  <c r="AS130" i="262"/>
  <c r="AS119" i="262"/>
  <c r="AS110" i="262"/>
  <c r="AS101" i="262"/>
  <c r="AS91" i="262"/>
  <c r="AS90" i="262"/>
  <c r="AS79" i="262"/>
  <c r="AS70" i="262"/>
  <c r="AS60" i="262"/>
  <c r="AS51" i="262"/>
  <c r="AS42" i="262"/>
  <c r="AS33" i="262"/>
  <c r="AS25" i="262"/>
  <c r="AS163" i="262"/>
  <c r="AS161" i="262"/>
  <c r="AS160" i="262"/>
  <c r="AS150" i="262"/>
  <c r="AS141" i="262"/>
  <c r="AS132" i="262"/>
  <c r="AS121" i="262"/>
  <c r="AS120" i="262"/>
  <c r="AS111" i="262"/>
  <c r="AS102" i="262"/>
  <c r="AS92" i="262"/>
  <c r="AS81" i="262"/>
  <c r="AS80" i="262"/>
  <c r="AS71" i="262"/>
  <c r="AS61" i="262"/>
  <c r="AS52" i="262"/>
  <c r="AS43" i="262"/>
  <c r="AS34" i="262"/>
  <c r="AS26" i="262"/>
  <c r="AS18" i="262"/>
  <c r="AS162" i="262"/>
  <c r="AS151" i="262"/>
  <c r="AS142" i="262"/>
  <c r="AS133" i="262"/>
  <c r="AS123" i="262"/>
  <c r="AS122" i="262"/>
  <c r="AS113" i="262"/>
  <c r="AS112" i="262"/>
  <c r="AS103" i="262"/>
  <c r="AS93" i="262"/>
  <c r="AS83" i="262"/>
  <c r="AS82" i="262"/>
  <c r="AS73" i="262"/>
  <c r="AS72" i="262"/>
  <c r="AS62" i="262"/>
  <c r="AS53" i="262"/>
  <c r="AS44" i="262"/>
  <c r="AS35" i="262"/>
  <c r="AS27" i="262"/>
  <c r="AS19" i="262"/>
  <c r="AS12" i="262"/>
  <c r="AS143" i="262"/>
  <c r="AS29" i="262"/>
  <c r="AS145" i="262"/>
  <c r="AS144" i="262"/>
  <c r="AS134" i="262"/>
  <c r="AS124" i="262"/>
  <c r="AS114" i="262"/>
  <c r="AS20" i="262"/>
  <c r="AS135" i="262"/>
  <c r="AS125" i="262"/>
  <c r="AS115" i="262"/>
  <c r="AS105" i="262"/>
  <c r="AS104" i="262"/>
  <c r="AS94" i="262"/>
  <c r="AS84" i="262"/>
  <c r="AS74" i="262"/>
  <c r="AS63" i="262"/>
  <c r="AS21" i="262"/>
  <c r="AJ11" i="262"/>
  <c r="AS154" i="262"/>
  <c r="AS106" i="262"/>
  <c r="AS95" i="262"/>
  <c r="AS85" i="262"/>
  <c r="AS75" i="262"/>
  <c r="AS65" i="262"/>
  <c r="AS64" i="262"/>
  <c r="AS54" i="262"/>
  <c r="AS13" i="262"/>
  <c r="N11" i="262"/>
  <c r="AS155" i="262"/>
  <c r="AS55" i="262"/>
  <c r="AS45" i="262"/>
  <c r="AS14" i="262"/>
  <c r="AS28" i="262"/>
  <c r="AS46" i="262"/>
  <c r="AS36" i="262"/>
  <c r="AS37" i="262"/>
  <c r="AS153" i="262"/>
  <c r="AS152" i="262"/>
  <c r="AS15" i="273"/>
  <c r="AJ11" i="273"/>
  <c r="AS24" i="273"/>
  <c r="AS20" i="273"/>
  <c r="N11" i="273"/>
  <c r="AS16" i="273"/>
  <c r="AS10" i="273"/>
  <c r="AS25" i="273"/>
  <c r="AS21" i="273"/>
  <c r="AS17" i="273"/>
  <c r="AJ10" i="273"/>
  <c r="N10" i="273"/>
  <c r="AS26" i="273"/>
  <c r="AS22" i="273"/>
  <c r="AS18" i="273"/>
  <c r="AS23" i="273"/>
  <c r="AS13" i="273"/>
  <c r="AS14" i="273"/>
  <c r="AS12" i="273"/>
  <c r="AS19" i="273"/>
  <c r="AS23" i="303"/>
  <c r="AS15" i="303"/>
  <c r="AS10" i="303"/>
  <c r="AS24" i="303"/>
  <c r="AS16" i="303"/>
  <c r="AJ10" i="303"/>
  <c r="AS25" i="303"/>
  <c r="AS17" i="303"/>
  <c r="N10" i="303"/>
  <c r="AS27" i="303"/>
  <c r="AS26" i="303"/>
  <c r="AS18" i="303"/>
  <c r="AS28" i="303"/>
  <c r="AS19" i="303"/>
  <c r="AS20" i="303"/>
  <c r="AS12" i="303"/>
  <c r="AS21" i="303"/>
  <c r="AS13" i="303"/>
  <c r="AJ11" i="303"/>
  <c r="N11" i="303"/>
  <c r="AS22" i="303"/>
  <c r="AS14" i="303"/>
  <c r="AS12" i="269"/>
  <c r="AS13" i="269"/>
  <c r="AJ11" i="269"/>
  <c r="AS14" i="269"/>
  <c r="N11" i="269"/>
  <c r="AS15" i="269"/>
  <c r="AS10" i="269"/>
  <c r="AJ10" i="269"/>
  <c r="N10" i="269"/>
  <c r="AS34" i="200"/>
  <c r="AS25" i="200"/>
  <c r="AS18" i="200"/>
  <c r="AJ10" i="200"/>
  <c r="AS35" i="200"/>
  <c r="AS26" i="200"/>
  <c r="AS19" i="200"/>
  <c r="N10" i="200"/>
  <c r="AS27" i="200"/>
  <c r="AS28" i="200"/>
  <c r="AS20" i="200"/>
  <c r="AS29" i="200"/>
  <c r="AS21" i="200"/>
  <c r="AS12" i="200"/>
  <c r="AS31" i="200"/>
  <c r="AS30" i="200"/>
  <c r="AS22" i="200"/>
  <c r="AS13" i="200"/>
  <c r="AJ11" i="200"/>
  <c r="AS17" i="200"/>
  <c r="AS16" i="200"/>
  <c r="AS15" i="200"/>
  <c r="AS14" i="200"/>
  <c r="AS23" i="200"/>
  <c r="AS24" i="200"/>
  <c r="AS10" i="200"/>
  <c r="N11" i="200"/>
  <c r="AS32" i="200"/>
  <c r="AS33" i="200"/>
  <c r="AS20" i="213"/>
  <c r="AS12" i="213"/>
  <c r="AS21" i="213"/>
  <c r="AS13" i="213"/>
  <c r="AJ11" i="213"/>
  <c r="AS22" i="213"/>
  <c r="AS14" i="213"/>
  <c r="N11" i="213"/>
  <c r="AS23" i="213"/>
  <c r="AS15" i="213"/>
  <c r="AS10" i="213"/>
  <c r="AS26" i="213"/>
  <c r="AS25" i="213"/>
  <c r="AS24" i="213"/>
  <c r="AS17" i="213"/>
  <c r="AS16" i="213"/>
  <c r="AJ10" i="213"/>
  <c r="N10" i="213"/>
  <c r="AS18" i="213"/>
  <c r="AS19" i="213"/>
  <c r="AS26" i="202"/>
  <c r="AS25" i="202"/>
  <c r="AS24" i="202"/>
  <c r="AS23" i="202"/>
  <c r="N10" i="202"/>
  <c r="AS27" i="202"/>
  <c r="AS30" i="202"/>
  <c r="AS29" i="202"/>
  <c r="AS28" i="202"/>
  <c r="AS31" i="202"/>
  <c r="AS14" i="202"/>
  <c r="AS13" i="202"/>
  <c r="AS12" i="202"/>
  <c r="AS34" i="202"/>
  <c r="AS33" i="202"/>
  <c r="AS32" i="202"/>
  <c r="AS15" i="202"/>
  <c r="AJ11" i="202"/>
  <c r="AS35" i="202"/>
  <c r="AS17" i="202"/>
  <c r="AS16" i="202"/>
  <c r="N11" i="202"/>
  <c r="AS22" i="202"/>
  <c r="AS19" i="202"/>
  <c r="AS21" i="202"/>
  <c r="AJ10" i="202"/>
  <c r="AS20" i="202"/>
  <c r="AS18" i="202"/>
  <c r="AS10" i="202"/>
  <c r="AS19" i="216"/>
  <c r="AS12" i="216"/>
  <c r="AS21" i="216"/>
  <c r="AS20" i="216"/>
  <c r="AS13" i="216"/>
  <c r="AJ11" i="216"/>
  <c r="AS22" i="216"/>
  <c r="AS14" i="216"/>
  <c r="N11" i="216"/>
  <c r="AS23" i="216"/>
  <c r="AS15" i="216"/>
  <c r="AS10" i="216"/>
  <c r="AS24" i="216"/>
  <c r="AS16" i="216"/>
  <c r="AJ10" i="216"/>
  <c r="N10" i="216"/>
  <c r="AS17" i="216"/>
  <c r="AS18" i="216"/>
  <c r="AS19" i="248"/>
  <c r="AS18" i="248"/>
  <c r="AS17" i="248"/>
  <c r="AS21" i="248"/>
  <c r="AS20" i="248"/>
  <c r="AS14" i="248"/>
  <c r="N11" i="248"/>
  <c r="AS10" i="248"/>
  <c r="AJ10" i="248"/>
  <c r="AS15" i="248"/>
  <c r="N10" i="248"/>
  <c r="AS12" i="248"/>
  <c r="AS13" i="248"/>
  <c r="AJ11" i="248"/>
  <c r="AS16" i="248"/>
  <c r="AS17" i="257"/>
  <c r="AJ10" i="257"/>
  <c r="N10" i="257"/>
  <c r="AS13" i="257"/>
  <c r="AS12" i="257"/>
  <c r="AS14" i="257"/>
  <c r="AJ11" i="257"/>
  <c r="N11" i="257"/>
  <c r="AS10" i="257"/>
  <c r="AS15" i="257"/>
  <c r="AS16" i="257"/>
  <c r="AS15" i="249"/>
  <c r="N11" i="249"/>
  <c r="AS17" i="249"/>
  <c r="AS16" i="249"/>
  <c r="AS10" i="249"/>
  <c r="AS20" i="249"/>
  <c r="AS26" i="249"/>
  <c r="AS25" i="249"/>
  <c r="AS19" i="249"/>
  <c r="AS18" i="249"/>
  <c r="AJ10" i="249"/>
  <c r="AS13" i="249"/>
  <c r="AS21" i="249"/>
  <c r="N10" i="249"/>
  <c r="AS24" i="249"/>
  <c r="AS23" i="249"/>
  <c r="AS22" i="249"/>
  <c r="AS12" i="249"/>
  <c r="AJ11" i="249"/>
  <c r="AS14" i="249"/>
  <c r="AS15" i="274"/>
  <c r="AS14" i="274"/>
  <c r="AJ11" i="274"/>
  <c r="AS16" i="274"/>
  <c r="N11" i="274"/>
  <c r="AS17" i="274"/>
  <c r="AS10" i="274"/>
  <c r="AS18" i="274"/>
  <c r="AJ10" i="274"/>
  <c r="AS19" i="274"/>
  <c r="N10" i="274"/>
  <c r="AS20" i="274"/>
  <c r="AS21" i="274"/>
  <c r="AS13" i="274"/>
  <c r="AS12" i="274"/>
  <c r="AS21" i="293"/>
  <c r="AS23" i="293"/>
  <c r="AS22" i="293"/>
  <c r="AS20" i="293"/>
  <c r="AS13" i="293"/>
  <c r="AS12" i="293"/>
  <c r="AS14" i="293"/>
  <c r="AJ11" i="293"/>
  <c r="AS15" i="293"/>
  <c r="N11" i="293"/>
  <c r="AS16" i="293"/>
  <c r="AS10" i="293"/>
  <c r="AS17" i="293"/>
  <c r="AJ10" i="293"/>
  <c r="AS18" i="293"/>
  <c r="N10" i="293"/>
  <c r="AS19" i="293"/>
  <c r="AS15" i="282"/>
  <c r="AS10" i="282"/>
  <c r="AS16" i="282"/>
  <c r="AJ10" i="282"/>
  <c r="AS17" i="282"/>
  <c r="N10" i="282"/>
  <c r="AS20" i="282"/>
  <c r="AS19" i="282"/>
  <c r="AS18" i="282"/>
  <c r="AS12" i="282"/>
  <c r="AS13" i="282"/>
  <c r="AJ11" i="282"/>
  <c r="N11" i="282"/>
  <c r="AS14" i="282"/>
  <c r="AS17" i="290"/>
  <c r="N10" i="290"/>
  <c r="AS18" i="290"/>
  <c r="AS19" i="290"/>
  <c r="AS20" i="290"/>
  <c r="AS12" i="290"/>
  <c r="AS21" i="290"/>
  <c r="AS13" i="290"/>
  <c r="AJ11" i="290"/>
  <c r="AS22" i="290"/>
  <c r="AS14" i="290"/>
  <c r="N11" i="290"/>
  <c r="AS23" i="290"/>
  <c r="AS15" i="290"/>
  <c r="AS10" i="290"/>
  <c r="AS16" i="290"/>
  <c r="AJ10" i="290"/>
  <c r="AS15" i="299"/>
  <c r="AS10" i="299"/>
  <c r="AS16" i="299"/>
  <c r="AJ10" i="299"/>
  <c r="AS17" i="299"/>
  <c r="N10" i="299"/>
  <c r="AS18" i="299"/>
  <c r="AS19" i="299"/>
  <c r="AS12" i="299"/>
  <c r="AS13" i="299"/>
  <c r="AJ11" i="299"/>
  <c r="N11" i="299"/>
  <c r="AS14" i="299"/>
  <c r="AS16" i="255"/>
  <c r="N11" i="255"/>
  <c r="AS17" i="255"/>
  <c r="AS10" i="255"/>
  <c r="AS19" i="255"/>
  <c r="AS18" i="255"/>
  <c r="AJ10" i="255"/>
  <c r="AS20" i="255"/>
  <c r="N10" i="255"/>
  <c r="AS21" i="255"/>
  <c r="AS22" i="255"/>
  <c r="AS23" i="255"/>
  <c r="AS13" i="255"/>
  <c r="AS12" i="255"/>
  <c r="AS15" i="255"/>
  <c r="AS14" i="255"/>
  <c r="AJ11" i="255"/>
  <c r="AS25" i="276"/>
  <c r="AS26" i="276"/>
  <c r="AS21" i="276"/>
  <c r="AS22" i="276"/>
  <c r="AS23" i="276"/>
  <c r="AS27" i="276"/>
  <c r="AS19" i="276"/>
  <c r="AS18" i="276"/>
  <c r="AS12" i="276"/>
  <c r="AS13" i="276"/>
  <c r="AJ11" i="276"/>
  <c r="AS28" i="276"/>
  <c r="AS14" i="276"/>
  <c r="N11" i="276"/>
  <c r="AS15" i="276"/>
  <c r="AS10" i="276"/>
  <c r="AS20" i="276"/>
  <c r="AS16" i="276"/>
  <c r="AJ10" i="276"/>
  <c r="AS24" i="276"/>
  <c r="N10" i="276"/>
  <c r="AS17" i="276"/>
  <c r="AS24" i="302"/>
  <c r="AS14" i="302"/>
  <c r="AJ11" i="302"/>
  <c r="AS25" i="302"/>
  <c r="AS15" i="302"/>
  <c r="N11" i="302"/>
  <c r="AS26" i="302"/>
  <c r="AS16" i="302"/>
  <c r="AS10" i="302"/>
  <c r="AS29" i="302"/>
  <c r="AS28" i="302"/>
  <c r="AS27" i="302"/>
  <c r="AS17" i="302"/>
  <c r="AJ10" i="302"/>
  <c r="AS18" i="302"/>
  <c r="N10" i="302"/>
  <c r="AS21" i="302"/>
  <c r="AS20" i="302"/>
  <c r="AS19" i="302"/>
  <c r="AS22" i="302"/>
  <c r="AS13" i="302"/>
  <c r="AS12" i="302"/>
  <c r="AS23" i="302"/>
  <c r="AS31" i="186"/>
  <c r="AS23" i="186"/>
  <c r="AS21" i="186"/>
  <c r="AS16" i="186"/>
  <c r="AJ10" i="186"/>
  <c r="AS30" i="186"/>
  <c r="AS28" i="186"/>
  <c r="AS26" i="186"/>
  <c r="N10" i="186"/>
  <c r="AS18" i="186"/>
  <c r="AS29" i="186"/>
  <c r="AS19" i="186"/>
  <c r="AS14" i="186"/>
  <c r="AS20" i="186"/>
  <c r="AS25" i="186"/>
  <c r="AS24" i="186"/>
  <c r="AJ11" i="186"/>
  <c r="N11" i="186"/>
  <c r="AS27" i="186"/>
  <c r="AS22" i="186"/>
  <c r="AS17" i="186"/>
  <c r="AS12" i="186"/>
  <c r="AS15" i="186"/>
  <c r="AS13" i="186"/>
  <c r="AS10" i="186"/>
  <c r="AS19" i="222"/>
  <c r="AS20" i="222"/>
  <c r="AS12" i="222"/>
  <c r="AS21" i="222"/>
  <c r="AS13" i="222"/>
  <c r="AJ11" i="222"/>
  <c r="AS22" i="222"/>
  <c r="AS14" i="222"/>
  <c r="N11" i="222"/>
  <c r="AS23" i="222"/>
  <c r="AS15" i="222"/>
  <c r="AS10" i="222"/>
  <c r="AS16" i="222"/>
  <c r="AS17" i="222"/>
  <c r="AJ10" i="222"/>
  <c r="AS18" i="222"/>
  <c r="N10" i="222"/>
  <c r="AS21" i="305"/>
  <c r="AS13" i="305"/>
  <c r="AJ11" i="305"/>
  <c r="AS22" i="305"/>
  <c r="AS14" i="305"/>
  <c r="N11" i="305"/>
  <c r="AS23" i="305"/>
  <c r="AS15" i="305"/>
  <c r="AS10" i="305"/>
  <c r="AS24" i="305"/>
  <c r="AS16" i="305"/>
  <c r="AJ10" i="305"/>
  <c r="AS31" i="305"/>
  <c r="AS30" i="305"/>
  <c r="AS29" i="305"/>
  <c r="AS28" i="305"/>
  <c r="AS25" i="305"/>
  <c r="AS17" i="305"/>
  <c r="N10" i="305"/>
  <c r="AS27" i="305"/>
  <c r="AS26" i="305"/>
  <c r="AS18" i="305"/>
  <c r="AS32" i="305"/>
  <c r="AS20" i="305"/>
  <c r="AS19" i="305"/>
  <c r="AS33" i="305"/>
  <c r="AS12" i="305"/>
  <c r="AS25" i="203"/>
  <c r="AS24" i="203"/>
  <c r="AS23" i="203"/>
  <c r="AS13" i="203"/>
  <c r="AJ11" i="203"/>
  <c r="AS14" i="203"/>
  <c r="N11" i="203"/>
  <c r="AS17" i="203"/>
  <c r="AS16" i="203"/>
  <c r="AS15" i="203"/>
  <c r="AS10" i="203"/>
  <c r="AS19" i="203"/>
  <c r="AS18" i="203"/>
  <c r="AJ10" i="203"/>
  <c r="N10" i="203"/>
  <c r="AS20" i="203"/>
  <c r="AS21" i="203"/>
  <c r="AS12" i="203"/>
  <c r="AS22" i="203"/>
  <c r="AS24" i="225"/>
  <c r="AS23" i="225"/>
  <c r="AS22" i="225"/>
  <c r="AS15" i="225"/>
  <c r="AS10" i="225"/>
  <c r="AS25" i="225"/>
  <c r="AS16" i="225"/>
  <c r="AJ10" i="225"/>
  <c r="N10" i="225"/>
  <c r="AS17" i="225"/>
  <c r="AS18" i="225"/>
  <c r="AS13" i="225"/>
  <c r="AJ11" i="225"/>
  <c r="AS14" i="225"/>
  <c r="N11" i="225"/>
  <c r="AS19" i="225"/>
  <c r="AS20" i="225"/>
  <c r="AS21" i="225"/>
  <c r="AS12" i="225"/>
  <c r="AJ10" i="251"/>
  <c r="AS12" i="251"/>
  <c r="AS13" i="251"/>
  <c r="AJ11" i="251"/>
  <c r="AS14" i="251"/>
  <c r="N11" i="251"/>
  <c r="AS15" i="251"/>
  <c r="AS10" i="251"/>
  <c r="AS16" i="251"/>
  <c r="N10" i="251"/>
  <c r="AS36" i="238"/>
  <c r="AS28" i="238"/>
  <c r="AS20" i="238"/>
  <c r="AS52" i="238"/>
  <c r="AS43" i="238"/>
  <c r="AS51" i="238"/>
  <c r="AS37" i="238"/>
  <c r="AS29" i="238"/>
  <c r="AS21" i="238"/>
  <c r="AS53" i="238"/>
  <c r="AS44" i="238"/>
  <c r="AS12" i="238"/>
  <c r="AS32" i="238"/>
  <c r="AS10" i="238"/>
  <c r="AS18" i="238"/>
  <c r="AS41" i="238"/>
  <c r="AS42" i="238"/>
  <c r="AS38" i="238"/>
  <c r="AS30" i="238"/>
  <c r="AS22" i="238"/>
  <c r="AS55" i="238"/>
  <c r="AS54" i="238"/>
  <c r="AS45" i="238"/>
  <c r="AS13" i="238"/>
  <c r="AJ11" i="238"/>
  <c r="AS57" i="238"/>
  <c r="AS47" i="238"/>
  <c r="AS17" i="238"/>
  <c r="AS35" i="238"/>
  <c r="AS39" i="238"/>
  <c r="AS31" i="238"/>
  <c r="AS23" i="238"/>
  <c r="AS56" i="238"/>
  <c r="AS46" i="238"/>
  <c r="AS14" i="238"/>
  <c r="N11" i="238"/>
  <c r="AS34" i="238"/>
  <c r="AS26" i="238"/>
  <c r="AS59" i="238"/>
  <c r="AS40" i="238"/>
  <c r="AS24" i="238"/>
  <c r="AS15" i="238"/>
  <c r="AS50" i="238"/>
  <c r="AS27" i="238"/>
  <c r="AS19" i="238"/>
  <c r="AS33" i="238"/>
  <c r="AS25" i="238"/>
  <c r="AS58" i="238"/>
  <c r="AS49" i="238"/>
  <c r="AS48" i="238"/>
  <c r="AS16" i="238"/>
  <c r="AJ10" i="238"/>
  <c r="N10" i="238"/>
  <c r="AS16" i="288"/>
  <c r="AJ11" i="288"/>
  <c r="AS17" i="288"/>
  <c r="N11" i="288"/>
  <c r="AS18" i="288"/>
  <c r="AS10" i="288"/>
  <c r="AS19" i="288"/>
  <c r="AJ10" i="288"/>
  <c r="AS23" i="288"/>
  <c r="AS22" i="288"/>
  <c r="AS21" i="288"/>
  <c r="AS24" i="288"/>
  <c r="N10" i="288"/>
  <c r="AS20" i="288"/>
  <c r="AS25" i="288"/>
  <c r="AS15" i="288"/>
  <c r="AS14" i="288"/>
  <c r="AS13" i="288"/>
  <c r="AS12" i="288"/>
  <c r="AS14" i="304"/>
  <c r="N11" i="304"/>
  <c r="AS15" i="304"/>
  <c r="AS10" i="304"/>
  <c r="AS16" i="304"/>
  <c r="AJ10" i="304"/>
  <c r="AS17" i="304"/>
  <c r="N10" i="304"/>
  <c r="AS19" i="304"/>
  <c r="AS18" i="304"/>
  <c r="AS20" i="304"/>
  <c r="AS12" i="304"/>
  <c r="AJ11" i="304"/>
  <c r="AS13" i="304"/>
  <c r="AS25" i="226"/>
  <c r="AS17" i="226"/>
  <c r="N10" i="226"/>
  <c r="AS26" i="226"/>
  <c r="AS18" i="226"/>
  <c r="AS27" i="226"/>
  <c r="AS19" i="226"/>
  <c r="AS28" i="226"/>
  <c r="AS20" i="226"/>
  <c r="AS12" i="226"/>
  <c r="AS29" i="226"/>
  <c r="AS21" i="226"/>
  <c r="AS13" i="226"/>
  <c r="AJ11" i="226"/>
  <c r="AS22" i="226"/>
  <c r="N11" i="226"/>
  <c r="AS23" i="226"/>
  <c r="AS10" i="226"/>
  <c r="AS24" i="226"/>
  <c r="AJ10" i="226"/>
  <c r="AS14" i="226"/>
  <c r="AS16" i="226"/>
  <c r="AS15" i="226"/>
  <c r="AS31" i="195"/>
  <c r="AS28" i="195"/>
  <c r="AS20" i="195"/>
  <c r="AS12" i="195"/>
  <c r="AS25" i="195"/>
  <c r="AS26" i="195"/>
  <c r="AS18" i="195"/>
  <c r="AS19" i="195"/>
  <c r="AS29" i="195"/>
  <c r="AS21" i="195"/>
  <c r="AS13" i="195"/>
  <c r="AJ11" i="195"/>
  <c r="AS17" i="195"/>
  <c r="N10" i="195"/>
  <c r="AS30" i="195"/>
  <c r="AS22" i="195"/>
  <c r="AS14" i="195"/>
  <c r="N11" i="195"/>
  <c r="AS27" i="195"/>
  <c r="AS23" i="195"/>
  <c r="AS15" i="195"/>
  <c r="AS10" i="195"/>
  <c r="AS24" i="195"/>
  <c r="AS16" i="195"/>
  <c r="AJ10" i="195"/>
  <c r="AS12" i="189"/>
  <c r="AJ11" i="189"/>
  <c r="N11" i="189"/>
  <c r="AS15" i="189"/>
  <c r="AS10" i="189"/>
  <c r="AJ10" i="189"/>
  <c r="N10" i="189"/>
  <c r="AS16" i="189"/>
  <c r="AS13" i="190"/>
  <c r="AS10" i="190"/>
  <c r="AS16" i="190"/>
  <c r="AJ10" i="190"/>
  <c r="N10" i="190"/>
  <c r="AJ11" i="190"/>
  <c r="AS15" i="190"/>
  <c r="AS12" i="190"/>
  <c r="N11" i="190"/>
  <c r="AS15" i="191"/>
  <c r="AJ11" i="191"/>
  <c r="AS12" i="191"/>
  <c r="AS18" i="191"/>
  <c r="N11" i="191"/>
  <c r="AS17" i="191"/>
  <c r="AS13" i="191"/>
  <c r="AS10" i="191"/>
  <c r="AS20" i="191"/>
  <c r="AS16" i="191"/>
  <c r="AJ10" i="191"/>
  <c r="AS19" i="191"/>
  <c r="N10" i="191"/>
  <c r="AS14" i="191"/>
  <c r="AS17" i="217"/>
  <c r="N11" i="217"/>
  <c r="AS18" i="217"/>
  <c r="AS10" i="217"/>
  <c r="AS19" i="217"/>
  <c r="AJ10" i="217"/>
  <c r="AS20" i="217"/>
  <c r="N10" i="217"/>
  <c r="AS21" i="217"/>
  <c r="AS24" i="217"/>
  <c r="AS23" i="217"/>
  <c r="AS22" i="217"/>
  <c r="AS14" i="217"/>
  <c r="AJ11" i="217"/>
  <c r="AS16" i="217"/>
  <c r="AS15" i="217"/>
  <c r="AS12" i="217"/>
  <c r="AS13" i="217"/>
  <c r="AS48" i="208"/>
  <c r="AS40" i="208"/>
  <c r="AS32" i="208"/>
  <c r="AS24" i="208"/>
  <c r="AS49" i="208"/>
  <c r="AS41" i="208"/>
  <c r="AS33" i="208"/>
  <c r="AS25" i="208"/>
  <c r="AS18" i="208"/>
  <c r="AS50" i="208"/>
  <c r="AS42" i="208"/>
  <c r="AS34" i="208"/>
  <c r="AS26" i="208"/>
  <c r="AS19" i="208"/>
  <c r="AS12" i="208"/>
  <c r="AS43" i="208"/>
  <c r="AS35" i="208"/>
  <c r="AS27" i="208"/>
  <c r="AS13" i="208"/>
  <c r="AJ11" i="208"/>
  <c r="AS44" i="208"/>
  <c r="AS36" i="208"/>
  <c r="AS28" i="208"/>
  <c r="AS20" i="208"/>
  <c r="AS14" i="208"/>
  <c r="N11" i="208"/>
  <c r="AS30" i="208"/>
  <c r="AS16" i="208"/>
  <c r="AS45" i="208"/>
  <c r="AS31" i="208"/>
  <c r="AS17" i="208"/>
  <c r="AS46" i="208"/>
  <c r="AS21" i="208"/>
  <c r="AS10" i="208"/>
  <c r="AS47" i="208"/>
  <c r="AS22" i="208"/>
  <c r="AJ10" i="208"/>
  <c r="AS37" i="208"/>
  <c r="AS23" i="208"/>
  <c r="N10" i="208"/>
  <c r="AS38" i="208"/>
  <c r="AS29" i="208"/>
  <c r="AS39" i="208"/>
  <c r="AS15" i="208"/>
  <c r="AS36" i="229"/>
  <c r="AS28" i="229"/>
  <c r="AS12" i="229"/>
  <c r="AS20" i="229"/>
  <c r="AS33" i="229"/>
  <c r="AS24" i="229"/>
  <c r="AS26" i="229"/>
  <c r="AS37" i="229"/>
  <c r="AS29" i="229"/>
  <c r="AS13" i="229"/>
  <c r="AJ11" i="229"/>
  <c r="AS23" i="229"/>
  <c r="N10" i="229"/>
  <c r="AS35" i="229"/>
  <c r="AS38" i="229"/>
  <c r="AS30" i="229"/>
  <c r="AS15" i="229"/>
  <c r="AS14" i="229"/>
  <c r="N11" i="229"/>
  <c r="AS18" i="229"/>
  <c r="AS34" i="229"/>
  <c r="AS25" i="229"/>
  <c r="AS16" i="229"/>
  <c r="AS31" i="229"/>
  <c r="AS21" i="229"/>
  <c r="AS10" i="229"/>
  <c r="AS17" i="229"/>
  <c r="AS32" i="229"/>
  <c r="AS22" i="229"/>
  <c r="AJ10" i="229"/>
  <c r="AS19" i="229"/>
  <c r="AS27" i="229"/>
  <c r="AS70" i="206"/>
  <c r="AS59" i="206"/>
  <c r="AS51" i="206"/>
  <c r="AS39" i="206"/>
  <c r="AS30" i="206"/>
  <c r="AS29" i="206"/>
  <c r="AS20" i="206"/>
  <c r="AS71" i="206"/>
  <c r="AS62" i="206"/>
  <c r="AS61" i="206"/>
  <c r="AS60" i="206"/>
  <c r="AS52" i="206"/>
  <c r="AS41" i="206"/>
  <c r="AS40" i="206"/>
  <c r="AS31" i="206"/>
  <c r="AS21" i="206"/>
  <c r="AS12" i="206"/>
  <c r="AS73" i="206"/>
  <c r="AS74" i="206"/>
  <c r="AS64" i="206"/>
  <c r="AS54" i="206"/>
  <c r="AS43" i="206"/>
  <c r="AS34" i="206"/>
  <c r="AS33" i="206"/>
  <c r="AS23" i="206"/>
  <c r="AS14" i="206"/>
  <c r="N11" i="206"/>
  <c r="AS66" i="206"/>
  <c r="AS65" i="206"/>
  <c r="AS55" i="206"/>
  <c r="AS44" i="206"/>
  <c r="AS35" i="206"/>
  <c r="AS25" i="206"/>
  <c r="AS24" i="206"/>
  <c r="AS75" i="206"/>
  <c r="AS10" i="206"/>
  <c r="AS72" i="206"/>
  <c r="AS50" i="206"/>
  <c r="AS49" i="206"/>
  <c r="AS48" i="206"/>
  <c r="AS19" i="206"/>
  <c r="AJ11" i="206"/>
  <c r="AS67" i="206"/>
  <c r="AS42" i="206"/>
  <c r="AS36" i="206"/>
  <c r="AS13" i="206"/>
  <c r="AJ10" i="206"/>
  <c r="AS68" i="206"/>
  <c r="AS56" i="206"/>
  <c r="AS37" i="206"/>
  <c r="N10" i="206"/>
  <c r="AS69" i="206"/>
  <c r="AS63" i="206"/>
  <c r="AS57" i="206"/>
  <c r="AS38" i="206"/>
  <c r="AS32" i="206"/>
  <c r="AS26" i="206"/>
  <c r="AS58" i="206"/>
  <c r="AS27" i="206"/>
  <c r="AS53" i="206"/>
  <c r="AS28" i="206"/>
  <c r="AS22" i="206"/>
  <c r="AS46" i="206"/>
  <c r="AS45" i="206"/>
  <c r="AS16" i="206"/>
  <c r="AS47" i="206"/>
  <c r="AS18" i="206"/>
  <c r="AS17" i="206"/>
  <c r="AS15" i="206"/>
  <c r="AS23" i="235"/>
  <c r="AS26" i="235"/>
  <c r="AS25" i="235"/>
  <c r="AS24" i="235"/>
  <c r="AS16" i="235"/>
  <c r="AS10" i="235"/>
  <c r="AJ10" i="235"/>
  <c r="AJ11" i="235"/>
  <c r="AS15" i="235"/>
  <c r="AS17" i="235"/>
  <c r="N10" i="235"/>
  <c r="AS21" i="235"/>
  <c r="N11" i="235"/>
  <c r="AS18" i="235"/>
  <c r="AS22" i="235"/>
  <c r="AS19" i="235"/>
  <c r="AS20" i="235"/>
  <c r="AS13" i="235"/>
  <c r="AS12" i="235"/>
  <c r="AS14" i="235"/>
  <c r="AS46" i="209"/>
  <c r="AS36" i="209"/>
  <c r="AS26" i="209"/>
  <c r="AS25" i="209"/>
  <c r="AS24" i="209"/>
  <c r="AS17" i="209"/>
  <c r="AS16" i="209"/>
  <c r="AJ10" i="209"/>
  <c r="AS47" i="209"/>
  <c r="AS37" i="209"/>
  <c r="AS27" i="209"/>
  <c r="AS18" i="209"/>
  <c r="N10" i="209"/>
  <c r="AS50" i="209"/>
  <c r="AS49" i="209"/>
  <c r="AS48" i="209"/>
  <c r="AS38" i="209"/>
  <c r="AS28" i="209"/>
  <c r="AS19" i="209"/>
  <c r="AS39" i="209"/>
  <c r="AS29" i="209"/>
  <c r="AS42" i="209"/>
  <c r="AS41" i="209"/>
  <c r="AS40" i="209"/>
  <c r="AS30" i="209"/>
  <c r="AS20" i="209"/>
  <c r="AS12" i="209"/>
  <c r="AS14" i="209"/>
  <c r="AS10" i="209"/>
  <c r="AS15" i="209"/>
  <c r="AS43" i="209"/>
  <c r="AS44" i="209"/>
  <c r="AS31" i="209"/>
  <c r="AS45" i="209"/>
  <c r="AS34" i="209"/>
  <c r="AS33" i="209"/>
  <c r="AS32" i="209"/>
  <c r="AS21" i="209"/>
  <c r="AS35" i="209"/>
  <c r="AS22" i="209"/>
  <c r="AS23" i="209"/>
  <c r="AS13" i="209"/>
  <c r="AJ11" i="209"/>
  <c r="N11" i="209"/>
  <c r="AS25" i="237"/>
  <c r="AS35" i="237"/>
  <c r="AS18" i="237"/>
  <c r="AS26" i="237"/>
  <c r="AS12" i="237"/>
  <c r="AS30" i="237"/>
  <c r="AS20" i="237"/>
  <c r="AS27" i="237"/>
  <c r="AS16" i="237"/>
  <c r="AS15" i="237"/>
  <c r="AS14" i="237"/>
  <c r="AS13" i="237"/>
  <c r="AJ11" i="237"/>
  <c r="AS10" i="237"/>
  <c r="AS34" i="237"/>
  <c r="AS28" i="237"/>
  <c r="AS17" i="237"/>
  <c r="N11" i="237"/>
  <c r="AS29" i="237"/>
  <c r="AS23" i="237"/>
  <c r="N10" i="237"/>
  <c r="AS32" i="237"/>
  <c r="AS21" i="237"/>
  <c r="AS36" i="237"/>
  <c r="AS19" i="237"/>
  <c r="AJ10" i="237"/>
  <c r="AS22" i="237"/>
  <c r="AS31" i="237"/>
  <c r="AS33" i="237"/>
  <c r="AS24" i="237"/>
  <c r="AS15" i="244"/>
  <c r="AS10" i="244"/>
  <c r="AJ11" i="244"/>
  <c r="AS16" i="244"/>
  <c r="AJ10" i="244"/>
  <c r="AS13" i="244"/>
  <c r="AS14" i="244"/>
  <c r="AS19" i="244"/>
  <c r="AS18" i="244"/>
  <c r="AS17" i="244"/>
  <c r="N10" i="244"/>
  <c r="N11" i="244"/>
  <c r="AS12" i="244"/>
  <c r="AS17" i="243"/>
  <c r="AS16" i="243"/>
  <c r="AS15" i="243"/>
  <c r="AS14" i="243"/>
  <c r="AS13" i="243"/>
  <c r="AS18" i="243"/>
  <c r="AS12" i="243"/>
  <c r="AS19" i="243"/>
  <c r="AJ11" i="243"/>
  <c r="N11" i="243"/>
  <c r="AS10" i="243"/>
  <c r="AJ10" i="243"/>
  <c r="N10" i="243"/>
  <c r="N10" i="260"/>
  <c r="AS12" i="260"/>
  <c r="AS13" i="260"/>
  <c r="AJ11" i="260"/>
  <c r="AS16" i="260"/>
  <c r="AS15" i="260"/>
  <c r="AS19" i="260"/>
  <c r="AS18" i="260"/>
  <c r="AS14" i="260"/>
  <c r="N11" i="260"/>
  <c r="AS10" i="260"/>
  <c r="AS17" i="260"/>
  <c r="AJ10" i="260"/>
  <c r="AS37" i="271"/>
  <c r="AS24" i="271"/>
  <c r="AS19" i="271"/>
  <c r="AS15" i="271"/>
  <c r="AS10" i="271"/>
  <c r="AS32" i="271"/>
  <c r="AJ10" i="271"/>
  <c r="AS28" i="271"/>
  <c r="AS38" i="271"/>
  <c r="AS25" i="271"/>
  <c r="AS20" i="271"/>
  <c r="AS16" i="271"/>
  <c r="N10" i="271"/>
  <c r="AS33" i="271"/>
  <c r="AS29" i="271"/>
  <c r="AS34" i="271"/>
  <c r="AS26" i="271"/>
  <c r="AS21" i="271"/>
  <c r="AS17" i="271"/>
  <c r="AS30" i="271"/>
  <c r="AS12" i="271"/>
  <c r="AS31" i="271"/>
  <c r="AS23" i="271"/>
  <c r="AJ11" i="271"/>
  <c r="AS14" i="271"/>
  <c r="AS13" i="271"/>
  <c r="N11" i="271"/>
  <c r="AS35" i="271"/>
  <c r="AS27" i="271"/>
  <c r="AS36" i="271"/>
  <c r="AS18" i="271"/>
  <c r="AS22" i="271"/>
  <c r="AS13" i="275"/>
  <c r="AS12" i="275"/>
  <c r="AS17" i="275"/>
  <c r="AS14" i="275"/>
  <c r="AJ11" i="275"/>
  <c r="AS18" i="275"/>
  <c r="AS16" i="275"/>
  <c r="AS15" i="275"/>
  <c r="N11" i="275"/>
  <c r="AS19" i="275"/>
  <c r="AS10" i="275"/>
  <c r="AS20" i="275"/>
  <c r="AJ10" i="275"/>
  <c r="N10" i="275"/>
  <c r="AS21" i="275"/>
  <c r="AS19" i="289"/>
  <c r="AS16" i="289"/>
  <c r="AS15" i="289"/>
  <c r="AS14" i="289"/>
  <c r="N11" i="289"/>
  <c r="AS22" i="289"/>
  <c r="AS21" i="289"/>
  <c r="AS20" i="289"/>
  <c r="AS17" i="289"/>
  <c r="AS10" i="289"/>
  <c r="AS18" i="289"/>
  <c r="AJ10" i="289"/>
  <c r="AS23" i="289"/>
  <c r="N10" i="289"/>
  <c r="AS24" i="289"/>
  <c r="AS25" i="289"/>
  <c r="AS28" i="289"/>
  <c r="AS27" i="289"/>
  <c r="AS26" i="289"/>
  <c r="AS12" i="289"/>
  <c r="AS29" i="289"/>
  <c r="AJ11" i="289"/>
  <c r="AS13" i="289"/>
  <c r="AS21" i="306"/>
  <c r="AS20" i="306"/>
  <c r="AS19" i="306"/>
  <c r="AS16" i="306"/>
  <c r="AS15" i="306"/>
  <c r="N11" i="306"/>
  <c r="AS18" i="306"/>
  <c r="AS17" i="306"/>
  <c r="AS10" i="306"/>
  <c r="AJ10" i="306"/>
  <c r="N10" i="306"/>
  <c r="AS13" i="306"/>
  <c r="AS12" i="306"/>
  <c r="AJ11" i="306"/>
  <c r="AS14" i="306"/>
  <c r="AJ11" i="172"/>
  <c r="AS43" i="172"/>
  <c r="AS39" i="172"/>
  <c r="AS35" i="172"/>
  <c r="AS31" i="172"/>
  <c r="AS27" i="172"/>
  <c r="AS40" i="172"/>
  <c r="AS36" i="172"/>
  <c r="AS32" i="172"/>
  <c r="AS28" i="172"/>
  <c r="AS24" i="172"/>
  <c r="AS45" i="172"/>
  <c r="AS37" i="172"/>
  <c r="AS33" i="172"/>
  <c r="AS29" i="172"/>
  <c r="AS25" i="172"/>
  <c r="AS42" i="172"/>
  <c r="AS38" i="172"/>
  <c r="AS30" i="172"/>
  <c r="AS44" i="172"/>
  <c r="AS26" i="172"/>
  <c r="AS41" i="172"/>
  <c r="AS34" i="172"/>
  <c r="N10" i="172"/>
  <c r="N11" i="172"/>
  <c r="AS12" i="172"/>
  <c r="AS17" i="172"/>
  <c r="AS46" i="172"/>
  <c r="AS16" i="172"/>
  <c r="AS23" i="172"/>
  <c r="AS15" i="172"/>
  <c r="AS22" i="172"/>
  <c r="AS14" i="172"/>
  <c r="AS21" i="172"/>
  <c r="AS13" i="172"/>
  <c r="AS19" i="172"/>
  <c r="AS18" i="172"/>
  <c r="AS20" i="172"/>
  <c r="AJ10" i="172"/>
  <c r="AE207" i="25"/>
  <c r="AE211" i="25"/>
  <c r="AS17" i="388" l="1"/>
  <c r="AS16" i="388"/>
  <c r="AS15" i="388"/>
  <c r="AS14" i="388"/>
  <c r="AS10" i="388"/>
  <c r="AS13" i="388"/>
  <c r="AS14" i="392"/>
  <c r="N10" i="392"/>
  <c r="AS16" i="392"/>
  <c r="AS12" i="388"/>
  <c r="N11" i="392"/>
  <c r="AJ10" i="392"/>
  <c r="AJ11" i="392"/>
  <c r="AS17" i="392"/>
  <c r="AS12" i="392"/>
  <c r="AS10" i="392"/>
  <c r="AS13" i="392"/>
  <c r="AS18" i="392"/>
  <c r="AJ10" i="388"/>
  <c r="AJ11" i="388"/>
  <c r="N11" i="388"/>
  <c r="N10" i="388"/>
  <c r="T46" i="172"/>
  <c r="S46" i="172"/>
  <c r="R46" i="172"/>
  <c r="P46" i="172"/>
  <c r="T23" i="172"/>
  <c r="S23" i="172"/>
  <c r="R23" i="172"/>
  <c r="Q23" i="172"/>
  <c r="P23" i="172"/>
  <c r="T22" i="172"/>
  <c r="S22" i="172"/>
  <c r="R22" i="172"/>
  <c r="Q22" i="172"/>
  <c r="P22" i="172"/>
  <c r="T21" i="172"/>
  <c r="S21" i="172"/>
  <c r="R21" i="172"/>
  <c r="Q21" i="172"/>
  <c r="P21" i="172"/>
  <c r="T20" i="172"/>
  <c r="S20" i="172"/>
  <c r="R20" i="172"/>
  <c r="P20" i="172"/>
  <c r="T19" i="172"/>
  <c r="S19" i="172"/>
  <c r="R19" i="172"/>
  <c r="Q19" i="172"/>
  <c r="P19" i="172"/>
  <c r="T18" i="172"/>
  <c r="S18" i="172"/>
  <c r="R18" i="172"/>
  <c r="Q18" i="172"/>
  <c r="P18" i="172"/>
  <c r="T17" i="172"/>
  <c r="S17" i="172"/>
  <c r="R17" i="172"/>
  <c r="P17" i="172"/>
  <c r="T16" i="172"/>
  <c r="S16" i="172"/>
  <c r="R16" i="172"/>
  <c r="P16" i="172"/>
  <c r="T15" i="172"/>
  <c r="S15" i="172"/>
  <c r="R15" i="172"/>
  <c r="Q15" i="172"/>
  <c r="P15" i="172"/>
  <c r="T14" i="172"/>
  <c r="S14" i="172"/>
  <c r="R14" i="172"/>
  <c r="Q14" i="172"/>
  <c r="P14" i="172"/>
  <c r="T13" i="172"/>
  <c r="R13" i="172"/>
  <c r="Q13" i="172"/>
  <c r="Q46" i="172" l="1"/>
  <c r="Q16" i="172"/>
  <c r="Q17" i="172"/>
  <c r="Q20" i="172"/>
  <c r="AE108" i="25"/>
  <c r="AE109" i="25"/>
  <c r="AE110" i="25"/>
  <c r="AS47" i="179" l="1"/>
  <c r="AS39" i="179"/>
  <c r="AS31" i="179"/>
  <c r="AS23" i="179"/>
  <c r="AS15" i="179"/>
  <c r="AS10" i="179"/>
  <c r="AS32" i="179"/>
  <c r="AS24" i="179"/>
  <c r="AS16" i="179"/>
  <c r="AJ10" i="179"/>
  <c r="AS41" i="179"/>
  <c r="AS33" i="179"/>
  <c r="AS25" i="179"/>
  <c r="AS17" i="179"/>
  <c r="N10" i="179"/>
  <c r="AS42" i="179"/>
  <c r="AS34" i="179"/>
  <c r="AS18" i="179"/>
  <c r="AS43" i="179"/>
  <c r="AS27" i="179"/>
  <c r="AS19" i="179"/>
  <c r="AS44" i="179"/>
  <c r="AS12" i="179"/>
  <c r="AS29" i="179"/>
  <c r="AS21" i="179"/>
  <c r="AS38" i="179"/>
  <c r="AS40" i="179"/>
  <c r="AS35" i="179"/>
  <c r="AS28" i="179"/>
  <c r="AS37" i="179"/>
  <c r="N11" i="179"/>
  <c r="AS26" i="179"/>
  <c r="AS36" i="179"/>
  <c r="AS20" i="179"/>
  <c r="AS45" i="179"/>
  <c r="AS46" i="179"/>
  <c r="AS30" i="179"/>
  <c r="AS14" i="179"/>
  <c r="AS13" i="179"/>
  <c r="AJ11" i="179"/>
  <c r="AS22" i="179"/>
  <c r="AS149" i="182"/>
  <c r="AS141" i="182"/>
  <c r="AS133" i="182"/>
  <c r="AS125" i="182"/>
  <c r="AS117" i="182"/>
  <c r="AS109" i="182"/>
  <c r="AS101" i="182"/>
  <c r="AS93" i="182"/>
  <c r="AS85" i="182"/>
  <c r="AS77" i="182"/>
  <c r="AS69" i="182"/>
  <c r="AS61" i="182"/>
  <c r="AS53" i="182"/>
  <c r="AS45" i="182"/>
  <c r="AS37" i="182"/>
  <c r="AS29" i="182"/>
  <c r="AS21" i="182"/>
  <c r="AS13" i="182"/>
  <c r="AJ11" i="182"/>
  <c r="AS106" i="182"/>
  <c r="AS58" i="182"/>
  <c r="AS18" i="182"/>
  <c r="AS107" i="182"/>
  <c r="AS83" i="182"/>
  <c r="AS67" i="182"/>
  <c r="AS43" i="182"/>
  <c r="AS140" i="182"/>
  <c r="AS108" i="182"/>
  <c r="AS92" i="182"/>
  <c r="AS84" i="182"/>
  <c r="AS60" i="182"/>
  <c r="AS52" i="182"/>
  <c r="AS28" i="182"/>
  <c r="AS150" i="182"/>
  <c r="AS142" i="182"/>
  <c r="AS134" i="182"/>
  <c r="AS126" i="182"/>
  <c r="AS118" i="182"/>
  <c r="AS110" i="182"/>
  <c r="AS102" i="182"/>
  <c r="AS94" i="182"/>
  <c r="AS86" i="182"/>
  <c r="AS78" i="182"/>
  <c r="AS70" i="182"/>
  <c r="AS62" i="182"/>
  <c r="AS54" i="182"/>
  <c r="AS46" i="182"/>
  <c r="AS38" i="182"/>
  <c r="AS30" i="182"/>
  <c r="AS22" i="182"/>
  <c r="AS14" i="182"/>
  <c r="N11" i="182"/>
  <c r="AS122" i="182"/>
  <c r="AS98" i="182"/>
  <c r="AS66" i="182"/>
  <c r="AS148" i="182"/>
  <c r="AS116" i="182"/>
  <c r="AS100" i="182"/>
  <c r="AS151" i="182"/>
  <c r="AS143" i="182"/>
  <c r="AS135" i="182"/>
  <c r="AS127" i="182"/>
  <c r="AS119" i="182"/>
  <c r="AS111" i="182"/>
  <c r="AS103" i="182"/>
  <c r="AS95" i="182"/>
  <c r="AS87" i="182"/>
  <c r="AS79" i="182"/>
  <c r="AS71" i="182"/>
  <c r="AS63" i="182"/>
  <c r="AS55" i="182"/>
  <c r="AS47" i="182"/>
  <c r="AS39" i="182"/>
  <c r="AS31" i="182"/>
  <c r="AS23" i="182"/>
  <c r="AS15" i="182"/>
  <c r="AS10" i="182"/>
  <c r="AS138" i="182"/>
  <c r="AS114" i="182"/>
  <c r="AS90" i="182"/>
  <c r="AS82" i="182"/>
  <c r="AS42" i="182"/>
  <c r="AS123" i="182"/>
  <c r="AS91" i="182"/>
  <c r="AS35" i="182"/>
  <c r="AS27" i="182"/>
  <c r="AS124" i="182"/>
  <c r="AS36" i="182"/>
  <c r="AS20" i="182"/>
  <c r="AS12" i="182"/>
  <c r="AS152" i="182"/>
  <c r="AS144" i="182"/>
  <c r="AS136" i="182"/>
  <c r="AS128" i="182"/>
  <c r="AS120" i="182"/>
  <c r="AS112" i="182"/>
  <c r="AS104" i="182"/>
  <c r="AS96" i="182"/>
  <c r="AS88" i="182"/>
  <c r="AS80" i="182"/>
  <c r="AS72" i="182"/>
  <c r="AS64" i="182"/>
  <c r="AS56" i="182"/>
  <c r="AS48" i="182"/>
  <c r="AS40" i="182"/>
  <c r="AS32" i="182"/>
  <c r="AS24" i="182"/>
  <c r="AS16" i="182"/>
  <c r="AJ10" i="182"/>
  <c r="AS146" i="182"/>
  <c r="AS147" i="182"/>
  <c r="AS99" i="182"/>
  <c r="AS75" i="182"/>
  <c r="AS51" i="182"/>
  <c r="AS44" i="182"/>
  <c r="AS153" i="182"/>
  <c r="AS145" i="182"/>
  <c r="AS137" i="182"/>
  <c r="AS129" i="182"/>
  <c r="AS121" i="182"/>
  <c r="AS113" i="182"/>
  <c r="AS105" i="182"/>
  <c r="AS97" i="182"/>
  <c r="AS89" i="182"/>
  <c r="AS81" i="182"/>
  <c r="AS73" i="182"/>
  <c r="AS65" i="182"/>
  <c r="AS57" i="182"/>
  <c r="AS49" i="182"/>
  <c r="AS41" i="182"/>
  <c r="AS33" i="182"/>
  <c r="AS25" i="182"/>
  <c r="AS17" i="182"/>
  <c r="N10" i="182"/>
  <c r="AS130" i="182"/>
  <c r="AS74" i="182"/>
  <c r="AS50" i="182"/>
  <c r="AS34" i="182"/>
  <c r="AS26" i="182"/>
  <c r="AS139" i="182"/>
  <c r="AS131" i="182"/>
  <c r="AS115" i="182"/>
  <c r="AS59" i="182"/>
  <c r="AS19" i="182"/>
  <c r="AS132" i="182"/>
  <c r="AS76" i="182"/>
  <c r="AS68" i="182"/>
  <c r="AS43" i="181"/>
  <c r="AS35" i="181"/>
  <c r="AS27" i="181"/>
  <c r="AS19" i="181"/>
  <c r="AS32" i="181"/>
  <c r="AS25" i="181"/>
  <c r="AS44" i="181"/>
  <c r="AS36" i="181"/>
  <c r="AS28" i="181"/>
  <c r="AS20" i="181"/>
  <c r="AS12" i="181"/>
  <c r="AS24" i="181"/>
  <c r="AS45" i="181"/>
  <c r="AS37" i="181"/>
  <c r="AS29" i="181"/>
  <c r="AS21" i="181"/>
  <c r="AS13" i="181"/>
  <c r="AJ11" i="181"/>
  <c r="AJ10" i="181"/>
  <c r="AS33" i="181"/>
  <c r="N10" i="181"/>
  <c r="AS46" i="181"/>
  <c r="AS38" i="181"/>
  <c r="AS30" i="181"/>
  <c r="AS22" i="181"/>
  <c r="AS14" i="181"/>
  <c r="N11" i="181"/>
  <c r="AS16" i="181"/>
  <c r="AS41" i="181"/>
  <c r="AS17" i="181"/>
  <c r="AS47" i="181"/>
  <c r="AS39" i="181"/>
  <c r="AS31" i="181"/>
  <c r="AS23" i="181"/>
  <c r="AS15" i="181"/>
  <c r="AS10" i="181"/>
  <c r="AS40" i="181"/>
  <c r="AS26" i="181"/>
  <c r="AS34" i="181"/>
  <c r="AS18" i="181"/>
  <c r="AS42" i="181"/>
</calcChain>
</file>

<file path=xl/sharedStrings.xml><?xml version="1.0" encoding="utf-8"?>
<sst xmlns="http://schemas.openxmlformats.org/spreadsheetml/2006/main" count="25899" uniqueCount="4531">
  <si>
    <t>名称</t>
  </si>
  <si>
    <t>別名</t>
  </si>
  <si>
    <t>説明</t>
  </si>
  <si>
    <t>bigint</t>
  </si>
  <si>
    <t>8バイト符号付き整数</t>
  </si>
  <si>
    <t>bigserial</t>
  </si>
  <si>
    <t>自動増分8バイト整数</t>
  </si>
  <si>
    <r>
      <t>bit [ (</t>
    </r>
    <r>
      <rPr>
        <i/>
        <sz val="10"/>
        <color rgb="FF000000"/>
        <rFont val="Arial Unicode MS"/>
        <family val="3"/>
        <charset val="128"/>
      </rPr>
      <t>n</t>
    </r>
    <r>
      <rPr>
        <sz val="10"/>
        <color rgb="FF000000"/>
        <rFont val="Arial Unicode MS"/>
        <family val="3"/>
        <charset val="128"/>
      </rPr>
      <t>) ]</t>
    </r>
  </si>
  <si>
    <t>固定長ビット列</t>
  </si>
  <si>
    <r>
      <t>bit varying [ (</t>
    </r>
    <r>
      <rPr>
        <i/>
        <sz val="10"/>
        <color rgb="FF000000"/>
        <rFont val="Arial Unicode MS"/>
        <family val="3"/>
        <charset val="128"/>
      </rPr>
      <t>n</t>
    </r>
    <r>
      <rPr>
        <sz val="10"/>
        <color rgb="FF000000"/>
        <rFont val="Arial Unicode MS"/>
        <family val="3"/>
        <charset val="128"/>
      </rPr>
      <t>) ]</t>
    </r>
  </si>
  <si>
    <t>可変長ビット列</t>
  </si>
  <si>
    <t>boolean</t>
  </si>
  <si>
    <t>論理値（真/偽）</t>
  </si>
  <si>
    <t>box</t>
  </si>
  <si>
    <t>平面上の矩形</t>
  </si>
  <si>
    <t>bytea</t>
  </si>
  <si>
    <t>バイナリデータ（"バイトの配列（byte array）"）</t>
  </si>
  <si>
    <r>
      <t>character varying [ (</t>
    </r>
    <r>
      <rPr>
        <i/>
        <sz val="10"/>
        <color rgb="FF000000"/>
        <rFont val="Arial Unicode MS"/>
        <family val="3"/>
        <charset val="128"/>
      </rPr>
      <t>n</t>
    </r>
    <r>
      <rPr>
        <sz val="10"/>
        <color rgb="FF000000"/>
        <rFont val="Arial Unicode MS"/>
        <family val="3"/>
        <charset val="128"/>
      </rPr>
      <t>) ]</t>
    </r>
  </si>
  <si>
    <t>可変長文字列</t>
  </si>
  <si>
    <r>
      <t>character [ (</t>
    </r>
    <r>
      <rPr>
        <i/>
        <sz val="10"/>
        <color rgb="FF000000"/>
        <rFont val="Arial Unicode MS"/>
        <family val="3"/>
        <charset val="128"/>
      </rPr>
      <t>n</t>
    </r>
    <r>
      <rPr>
        <sz val="10"/>
        <color rgb="FF000000"/>
        <rFont val="Arial Unicode MS"/>
        <family val="3"/>
        <charset val="128"/>
      </rPr>
      <t>) ]</t>
    </r>
  </si>
  <si>
    <t>固定長文字列</t>
  </si>
  <si>
    <t>cidr</t>
  </si>
  <si>
    <t>IPv4もしくはIPv6ネットワークアドレス</t>
  </si>
  <si>
    <t>circle</t>
  </si>
  <si>
    <t>平面上の円</t>
  </si>
  <si>
    <t>date</t>
  </si>
  <si>
    <t>暦の日付（年月日）</t>
  </si>
  <si>
    <t>double precision</t>
  </si>
  <si>
    <t>倍精度浮動小数点（8バイト）</t>
  </si>
  <si>
    <t>inet</t>
  </si>
  <si>
    <t>IPv4もしくはIPv6ホストアドレス</t>
  </si>
  <si>
    <t>integer</t>
  </si>
  <si>
    <t>4バイト符号付き整数</t>
  </si>
  <si>
    <r>
      <t xml:space="preserve">interval [ </t>
    </r>
    <r>
      <rPr>
        <i/>
        <sz val="10"/>
        <color rgb="FF000000"/>
        <rFont val="Arial Unicode MS"/>
        <family val="3"/>
        <charset val="128"/>
      </rPr>
      <t>fields</t>
    </r>
    <r>
      <rPr>
        <sz val="10"/>
        <color rgb="FF000000"/>
        <rFont val="Arial Unicode MS"/>
        <family val="3"/>
        <charset val="128"/>
      </rPr>
      <t xml:space="preserve"> ] [ (</t>
    </r>
    <r>
      <rPr>
        <i/>
        <sz val="10"/>
        <color rgb="FF000000"/>
        <rFont val="Arial Unicode MS"/>
        <family val="3"/>
        <charset val="128"/>
      </rPr>
      <t>p</t>
    </r>
    <r>
      <rPr>
        <sz val="10"/>
        <color rgb="FF000000"/>
        <rFont val="Arial Unicode MS"/>
        <family val="3"/>
        <charset val="128"/>
      </rPr>
      <t>) ]</t>
    </r>
  </si>
  <si>
    <t>時間間隔</t>
  </si>
  <si>
    <t>line</t>
  </si>
  <si>
    <t>平面上の無限直線</t>
  </si>
  <si>
    <t>lseg</t>
  </si>
  <si>
    <t>平面上の線分</t>
  </si>
  <si>
    <t>macaddr</t>
  </si>
  <si>
    <t>MAC（メディアアクセスコントロール）アドレス</t>
  </si>
  <si>
    <t>money</t>
  </si>
  <si>
    <t>貨幣金額</t>
  </si>
  <si>
    <r>
      <t>numeric [ (</t>
    </r>
    <r>
      <rPr>
        <i/>
        <sz val="10"/>
        <color rgb="FF000000"/>
        <rFont val="Arial Unicode MS"/>
        <family val="3"/>
        <charset val="128"/>
      </rPr>
      <t>p</t>
    </r>
    <r>
      <rPr>
        <sz val="10"/>
        <color rgb="FF000000"/>
        <rFont val="Arial Unicode MS"/>
        <family val="3"/>
        <charset val="128"/>
      </rPr>
      <t xml:space="preserve">, </t>
    </r>
    <r>
      <rPr>
        <i/>
        <sz val="10"/>
        <color rgb="FF000000"/>
        <rFont val="Arial Unicode MS"/>
        <family val="3"/>
        <charset val="128"/>
      </rPr>
      <t>s</t>
    </r>
    <r>
      <rPr>
        <sz val="10"/>
        <color rgb="FF000000"/>
        <rFont val="Arial Unicode MS"/>
        <family val="3"/>
        <charset val="128"/>
      </rPr>
      <t>) ]</t>
    </r>
  </si>
  <si>
    <t>精度の選択可能な高精度数値</t>
  </si>
  <si>
    <t>path</t>
  </si>
  <si>
    <t>平面上の幾何学的経路</t>
  </si>
  <si>
    <t>point</t>
  </si>
  <si>
    <t>平面上の幾何学的点</t>
  </si>
  <si>
    <t>polygon</t>
  </si>
  <si>
    <t>平面上の閉じた幾何学的経路</t>
  </si>
  <si>
    <t>real</t>
  </si>
  <si>
    <t>単精度浮動小数点（4バイト）</t>
  </si>
  <si>
    <t>smallint</t>
  </si>
  <si>
    <t>2バイト符号付き整数</t>
  </si>
  <si>
    <t>serial</t>
  </si>
  <si>
    <t>自動増分4バイト整数</t>
  </si>
  <si>
    <t>text</t>
  </si>
  <si>
    <r>
      <t>time [ (</t>
    </r>
    <r>
      <rPr>
        <i/>
        <sz val="10"/>
        <color rgb="FF000000"/>
        <rFont val="Arial Unicode MS"/>
        <family val="3"/>
        <charset val="128"/>
      </rPr>
      <t>p</t>
    </r>
    <r>
      <rPr>
        <sz val="10"/>
        <color rgb="FF000000"/>
        <rFont val="Arial Unicode MS"/>
        <family val="3"/>
        <charset val="128"/>
      </rPr>
      <t>) ] [ without time zone ]</t>
    </r>
  </si>
  <si>
    <t>時刻（時間帯なし）</t>
  </si>
  <si>
    <r>
      <t>time [ (</t>
    </r>
    <r>
      <rPr>
        <i/>
        <sz val="10"/>
        <color rgb="FF000000"/>
        <rFont val="Arial Unicode MS"/>
        <family val="3"/>
        <charset val="128"/>
      </rPr>
      <t>p</t>
    </r>
    <r>
      <rPr>
        <sz val="10"/>
        <color rgb="FF000000"/>
        <rFont val="Arial Unicode MS"/>
        <family val="3"/>
        <charset val="128"/>
      </rPr>
      <t>) ] with time zone</t>
    </r>
  </si>
  <si>
    <t>時間帯付き時刻</t>
  </si>
  <si>
    <r>
      <t>timestamp [ (</t>
    </r>
    <r>
      <rPr>
        <i/>
        <sz val="10"/>
        <color rgb="FF000000"/>
        <rFont val="Arial Unicode MS"/>
        <family val="3"/>
        <charset val="128"/>
      </rPr>
      <t>p</t>
    </r>
    <r>
      <rPr>
        <sz val="10"/>
        <color rgb="FF000000"/>
        <rFont val="Arial Unicode MS"/>
        <family val="3"/>
        <charset val="128"/>
      </rPr>
      <t>) ] [ without time zone ]</t>
    </r>
  </si>
  <si>
    <t>日付と時刻（時間帯なし）</t>
  </si>
  <si>
    <r>
      <t>timestamp [ (</t>
    </r>
    <r>
      <rPr>
        <i/>
        <sz val="10"/>
        <color rgb="FF000000"/>
        <rFont val="Arial Unicode MS"/>
        <family val="3"/>
        <charset val="128"/>
      </rPr>
      <t>p</t>
    </r>
    <r>
      <rPr>
        <sz val="10"/>
        <color rgb="FF000000"/>
        <rFont val="Arial Unicode MS"/>
        <family val="3"/>
        <charset val="128"/>
      </rPr>
      <t>) ] with time zone</t>
    </r>
  </si>
  <si>
    <t>時間帯付き日付と時刻</t>
  </si>
  <si>
    <t>tsquery</t>
  </si>
  <si>
    <t>テキスト検索問い合わせ</t>
  </si>
  <si>
    <t>tsvector</t>
  </si>
  <si>
    <t>テキスト検索文書</t>
  </si>
  <si>
    <t>txid_snapshot</t>
  </si>
  <si>
    <t>ユーザレベルのトランザクションIDスナップショット</t>
  </si>
  <si>
    <t>uuid</t>
  </si>
  <si>
    <t>汎用一意識別子</t>
  </si>
  <si>
    <t>xml</t>
  </si>
  <si>
    <t>XMLデータ</t>
  </si>
  <si>
    <t>int8</t>
    <phoneticPr fontId="9"/>
  </si>
  <si>
    <t>serial8</t>
    <phoneticPr fontId="9"/>
  </si>
  <si>
    <t>varbit</t>
    <phoneticPr fontId="9"/>
  </si>
  <si>
    <t>bool</t>
    <phoneticPr fontId="9"/>
  </si>
  <si>
    <r>
      <t>varchar [ (</t>
    </r>
    <r>
      <rPr>
        <i/>
        <sz val="10"/>
        <color rgb="FF000000"/>
        <rFont val="Arial Unicode MS"/>
        <family val="3"/>
        <charset val="128"/>
      </rPr>
      <t>n</t>
    </r>
    <r>
      <rPr>
        <sz val="10"/>
        <color rgb="FF000000"/>
        <rFont val="Arial Unicode MS"/>
        <family val="3"/>
        <charset val="128"/>
      </rPr>
      <t>) ]</t>
    </r>
    <phoneticPr fontId="9"/>
  </si>
  <si>
    <r>
      <t>char [ (</t>
    </r>
    <r>
      <rPr>
        <i/>
        <sz val="10"/>
        <color rgb="FF000000"/>
        <rFont val="Arial Unicode MS"/>
        <family val="3"/>
        <charset val="128"/>
      </rPr>
      <t>n</t>
    </r>
    <r>
      <rPr>
        <sz val="10"/>
        <color rgb="FF000000"/>
        <rFont val="Arial Unicode MS"/>
        <family val="3"/>
        <charset val="128"/>
      </rPr>
      <t>) ]</t>
    </r>
    <phoneticPr fontId="9"/>
  </si>
  <si>
    <t>float8</t>
    <phoneticPr fontId="9"/>
  </si>
  <si>
    <r>
      <t>int</t>
    </r>
    <r>
      <rPr>
        <sz val="11"/>
        <color rgb="FF000000"/>
        <rFont val="Verdana"/>
        <family val="2"/>
      </rPr>
      <t xml:space="preserve">, </t>
    </r>
    <r>
      <rPr>
        <sz val="10"/>
        <color rgb="FF000000"/>
        <rFont val="Arial Unicode MS"/>
        <family val="3"/>
        <charset val="128"/>
      </rPr>
      <t>int4</t>
    </r>
    <phoneticPr fontId="9"/>
  </si>
  <si>
    <r>
      <t>decimal [ (</t>
    </r>
    <r>
      <rPr>
        <i/>
        <sz val="10"/>
        <color rgb="FF000000"/>
        <rFont val="Arial Unicode MS"/>
        <family val="3"/>
        <charset val="128"/>
      </rPr>
      <t>p</t>
    </r>
    <r>
      <rPr>
        <sz val="10"/>
        <color rgb="FF000000"/>
        <rFont val="Arial Unicode MS"/>
        <family val="3"/>
        <charset val="128"/>
      </rPr>
      <t xml:space="preserve">, </t>
    </r>
    <r>
      <rPr>
        <i/>
        <sz val="10"/>
        <color rgb="FF000000"/>
        <rFont val="Arial Unicode MS"/>
        <family val="3"/>
        <charset val="128"/>
      </rPr>
      <t>s</t>
    </r>
    <r>
      <rPr>
        <sz val="10"/>
        <color rgb="FF000000"/>
        <rFont val="Arial Unicode MS"/>
        <family val="3"/>
        <charset val="128"/>
      </rPr>
      <t>) ]</t>
    </r>
    <phoneticPr fontId="9"/>
  </si>
  <si>
    <t>float4</t>
    <phoneticPr fontId="9"/>
  </si>
  <si>
    <t>int2</t>
    <phoneticPr fontId="9"/>
  </si>
  <si>
    <t>serial4</t>
    <phoneticPr fontId="9"/>
  </si>
  <si>
    <t>timetz</t>
    <phoneticPr fontId="9"/>
  </si>
  <si>
    <t>timestamptz</t>
    <phoneticPr fontId="9"/>
  </si>
  <si>
    <t>character</t>
  </si>
  <si>
    <t>varchar</t>
  </si>
  <si>
    <t>decimal</t>
  </si>
  <si>
    <t>bigint</t>
    <phoneticPr fontId="9"/>
  </si>
  <si>
    <t>bit</t>
    <phoneticPr fontId="9"/>
  </si>
  <si>
    <t>bit varying</t>
    <phoneticPr fontId="9"/>
  </si>
  <si>
    <t>boolean</t>
    <phoneticPr fontId="9"/>
  </si>
  <si>
    <t>char</t>
    <phoneticPr fontId="9"/>
  </si>
  <si>
    <t>character varying</t>
    <phoneticPr fontId="9"/>
  </si>
  <si>
    <t>date</t>
    <phoneticPr fontId="9"/>
  </si>
  <si>
    <t>interval</t>
    <phoneticPr fontId="9"/>
  </si>
  <si>
    <t>numeric</t>
    <phoneticPr fontId="9"/>
  </si>
  <si>
    <t>smallint</t>
    <phoneticPr fontId="9"/>
  </si>
  <si>
    <t>time（時間帯付き、なしの両方）</t>
    <phoneticPr fontId="9"/>
  </si>
  <si>
    <t>timestamp（時間帯付き、なしの両方）</t>
    <phoneticPr fontId="9"/>
  </si>
  <si>
    <t>互換性: 次に挙げるデータ型（あるいはその綴り方）はSQLで規定されています。</t>
    <phoneticPr fontId="9"/>
  </si>
  <si>
    <t>整数の場合、基本的にこれを使用。例外的にbigint</t>
    <rPh sb="0" eb="2">
      <t>セイスウ</t>
    </rPh>
    <rPh sb="3" eb="5">
      <t>バアイ</t>
    </rPh>
    <rPh sb="6" eb="9">
      <t>キホンテキ</t>
    </rPh>
    <rPh sb="13" eb="15">
      <t>シヨウ</t>
    </rPh>
    <rPh sb="16" eb="18">
      <t>レイガイ</t>
    </rPh>
    <rPh sb="18" eb="19">
      <t>テキ</t>
    </rPh>
    <phoneticPr fontId="9"/>
  </si>
  <si>
    <t>integer</t>
    <phoneticPr fontId="9"/>
  </si>
  <si>
    <r>
      <t>整数の場合、基本的に</t>
    </r>
    <r>
      <rPr>
        <sz val="11"/>
        <color theme="1"/>
        <rFont val="ＭＳ Ｐゴシック"/>
        <family val="3"/>
        <charset val="128"/>
      </rPr>
      <t>integer</t>
    </r>
    <r>
      <rPr>
        <sz val="11"/>
        <color theme="1"/>
        <rFont val="ＭＳ Ｐゴシック"/>
        <family val="2"/>
        <charset val="128"/>
      </rPr>
      <t>を使用。例外的にこれを使用。</t>
    </r>
    <rPh sb="0" eb="2">
      <t>セイスウ</t>
    </rPh>
    <rPh sb="3" eb="5">
      <t>バアイ</t>
    </rPh>
    <rPh sb="6" eb="9">
      <t>キホンテキ</t>
    </rPh>
    <rPh sb="18" eb="20">
      <t>シヨウ</t>
    </rPh>
    <rPh sb="21" eb="23">
      <t>レイガイ</t>
    </rPh>
    <rPh sb="23" eb="24">
      <t>テキ</t>
    </rPh>
    <phoneticPr fontId="9"/>
  </si>
  <si>
    <t>varcharと同一。基本的にこれを使用。</t>
    <rPh sb="8" eb="10">
      <t>ドウイツ</t>
    </rPh>
    <rPh sb="11" eb="14">
      <t>キホンテキ</t>
    </rPh>
    <rPh sb="18" eb="20">
      <t>シヨウ</t>
    </rPh>
    <phoneticPr fontId="9"/>
  </si>
  <si>
    <t>データモデル定義
テーブル定義書</t>
    <rPh sb="6" eb="8">
      <t>テイギ</t>
    </rPh>
    <rPh sb="13" eb="16">
      <t>テイギショ</t>
    </rPh>
    <phoneticPr fontId="12"/>
  </si>
  <si>
    <t>システム名</t>
    <rPh sb="4" eb="5">
      <t>メイ</t>
    </rPh>
    <phoneticPr fontId="12"/>
  </si>
  <si>
    <t>作成日（作成者）</t>
    <phoneticPr fontId="12"/>
  </si>
  <si>
    <t>更新日（更新者）</t>
    <phoneticPr fontId="12"/>
  </si>
  <si>
    <t>千年カルテ</t>
    <rPh sb="0" eb="2">
      <t>センネン</t>
    </rPh>
    <phoneticPr fontId="12"/>
  </si>
  <si>
    <t>エンティティ名</t>
    <rPh sb="6" eb="7">
      <t>メイ</t>
    </rPh>
    <phoneticPr fontId="12"/>
  </si>
  <si>
    <t>テーブル名</t>
  </si>
  <si>
    <t>説明</t>
    <rPh sb="0" eb="2">
      <t>セツメイ</t>
    </rPh>
    <phoneticPr fontId="12"/>
  </si>
  <si>
    <t>【テーブル定義】</t>
    <rPh sb="5" eb="7">
      <t>テイギ</t>
    </rPh>
    <phoneticPr fontId="12"/>
  </si>
  <si>
    <t>項番</t>
    <rPh sb="0" eb="2">
      <t>コウバン</t>
    </rPh>
    <phoneticPr fontId="12"/>
  </si>
  <si>
    <t>属性名</t>
    <phoneticPr fontId="16"/>
  </si>
  <si>
    <t>カラム名</t>
    <phoneticPr fontId="16"/>
  </si>
  <si>
    <t>論理データ型</t>
    <rPh sb="0" eb="2">
      <t>ロンリ</t>
    </rPh>
    <rPh sb="5" eb="6">
      <t>カタ</t>
    </rPh>
    <phoneticPr fontId="12"/>
  </si>
  <si>
    <t>物理データ型</t>
    <rPh sb="0" eb="2">
      <t>ブツリ</t>
    </rPh>
    <rPh sb="5" eb="6">
      <t>カタ</t>
    </rPh>
    <phoneticPr fontId="12"/>
  </si>
  <si>
    <t>デフォルト値</t>
    <rPh sb="5" eb="6">
      <t>チ</t>
    </rPh>
    <phoneticPr fontId="12"/>
  </si>
  <si>
    <t>非ヌル制約</t>
    <rPh sb="0" eb="1">
      <t>ヒ</t>
    </rPh>
    <rPh sb="3" eb="5">
      <t>セイヤク</t>
    </rPh>
    <phoneticPr fontId="12"/>
  </si>
  <si>
    <t>説明</t>
    <phoneticPr fontId="12"/>
  </si>
  <si>
    <t>○</t>
  </si>
  <si>
    <t>facility_id</t>
  </si>
  <si>
    <t>shiyoryo</t>
  </si>
  <si>
    <t>meisai_tensu</t>
  </si>
  <si>
    <t>ten_kubun</t>
  </si>
  <si>
    <t>koi_meisai_kubun</t>
  </si>
  <si>
    <t>koi_times</t>
  </si>
  <si>
    <t>診療科区分</t>
  </si>
  <si>
    <t>department_kubun</t>
  </si>
  <si>
    <t>テーブル名</t>
    <rPh sb="4" eb="5">
      <t>メイ</t>
    </rPh>
    <phoneticPr fontId="12"/>
  </si>
  <si>
    <t>施設ID</t>
  </si>
  <si>
    <t>データモデル定義
エンティティ一覧</t>
    <rPh sb="6" eb="8">
      <t>テイギ</t>
    </rPh>
    <rPh sb="15" eb="17">
      <t>イチラン</t>
    </rPh>
    <phoneticPr fontId="12"/>
  </si>
  <si>
    <t>エンティティ名</t>
    <phoneticPr fontId="12"/>
  </si>
  <si>
    <t>エンティティ一覧</t>
  </si>
  <si>
    <t>(</t>
    <phoneticPr fontId="9"/>
  </si>
  <si>
    <t>);</t>
    <phoneticPr fontId="9"/>
  </si>
  <si>
    <t>入院年月日</t>
  </si>
  <si>
    <t>YYYYMMDD</t>
  </si>
  <si>
    <t>レセプト電算処理システム用コード</t>
  </si>
  <si>
    <t>sinryo_meisai_name</t>
  </si>
  <si>
    <t>診療明細の名称（最大漢字 127 文字）</t>
  </si>
  <si>
    <t>行為回数</t>
  </si>
  <si>
    <t>実施年月日</t>
  </si>
  <si>
    <t>基準単位に合わせた使用量を小数点以上 7 桁、小数点以下 3 桁にて設定する</t>
  </si>
  <si>
    <t>円・点区分</t>
  </si>
  <si>
    <t>1:円単位 0:点単位</t>
  </si>
  <si>
    <t>koi_meisai_no</t>
  </si>
  <si>
    <t>receipt_densan_code</t>
  </si>
  <si>
    <t>jisshi_ymd</t>
  </si>
  <si>
    <t>nyuin_ymd</t>
  </si>
  <si>
    <t>スキーマ名</t>
    <rPh sb="4" eb="5">
      <t>メイ</t>
    </rPh>
    <phoneticPr fontId="12"/>
  </si>
  <si>
    <t>SQL名</t>
    <rPh sb="3" eb="4">
      <t>メイ</t>
    </rPh>
    <phoneticPr fontId="9"/>
  </si>
  <si>
    <t>処理内容</t>
    <rPh sb="0" eb="4">
      <t>ショリナイヨウ</t>
    </rPh>
    <phoneticPr fontId="9"/>
  </si>
  <si>
    <t>エンティティ
ID</t>
    <phoneticPr fontId="16"/>
  </si>
  <si>
    <t>主キー</t>
    <rPh sb="0" eb="1">
      <t>シュ</t>
    </rPh>
    <phoneticPr fontId="12"/>
  </si>
  <si>
    <t>milscm4</t>
    <phoneticPr fontId="12"/>
  </si>
  <si>
    <t>SQL_ID</t>
    <phoneticPr fontId="9"/>
  </si>
  <si>
    <t>作業フェーズ名</t>
    <rPh sb="0" eb="2">
      <t>サギョウ</t>
    </rPh>
    <rPh sb="6" eb="7">
      <t>メイ</t>
    </rPh>
    <phoneticPr fontId="16"/>
  </si>
  <si>
    <t>作業フェーズID</t>
    <rPh sb="0" eb="2">
      <t>サギョウ</t>
    </rPh>
    <phoneticPr fontId="16"/>
  </si>
  <si>
    <t>DPC調査データ_Dファイル_結合</t>
    <rPh sb="3" eb="5">
      <t>チョウサ</t>
    </rPh>
    <rPh sb="15" eb="17">
      <t>ケツゴウ</t>
    </rPh>
    <phoneticPr fontId="12"/>
  </si>
  <si>
    <t>DPC調査データ_入院EF統合ファイル_結合</t>
    <rPh sb="3" eb="5">
      <t>チョウサ</t>
    </rPh>
    <rPh sb="9" eb="11">
      <t>ニュウイン</t>
    </rPh>
    <rPh sb="13" eb="15">
      <t>トウゴウ</t>
    </rPh>
    <rPh sb="20" eb="22">
      <t>ケツゴウ</t>
    </rPh>
    <phoneticPr fontId="12"/>
  </si>
  <si>
    <t>DPC調査データ_外来EF統合ファイル_結合</t>
    <rPh sb="3" eb="5">
      <t>チョウサ</t>
    </rPh>
    <rPh sb="9" eb="11">
      <t>ガイライ</t>
    </rPh>
    <rPh sb="13" eb="15">
      <t>トウゴウ</t>
    </rPh>
    <rPh sb="20" eb="22">
      <t>ケツゴウ</t>
    </rPh>
    <phoneticPr fontId="12"/>
  </si>
  <si>
    <t>DPC調査データ_Hファイル_結合</t>
    <phoneticPr fontId="12"/>
  </si>
  <si>
    <t>DPC調査データ_様式1_結合</t>
    <rPh sb="3" eb="5">
      <t>チョウサ</t>
    </rPh>
    <rPh sb="9" eb="11">
      <t>ヨウシキ</t>
    </rPh>
    <rPh sb="13" eb="15">
      <t>ケツゴウ</t>
    </rPh>
    <phoneticPr fontId="12"/>
  </si>
  <si>
    <t>DPC調査データ_様式1_診断情報_併存症_結合</t>
    <phoneticPr fontId="12"/>
  </si>
  <si>
    <t>DPC調査データ_様式1_診断情報_続発症_結合</t>
    <rPh sb="3" eb="5">
      <t>チョウサ</t>
    </rPh>
    <rPh sb="9" eb="11">
      <t>ヨウシキ</t>
    </rPh>
    <rPh sb="13" eb="15">
      <t>シンダン</t>
    </rPh>
    <rPh sb="15" eb="17">
      <t>ジョウホウ</t>
    </rPh>
    <rPh sb="18" eb="20">
      <t>ゾクハツ</t>
    </rPh>
    <rPh sb="20" eb="21">
      <t>ショウ</t>
    </rPh>
    <rPh sb="22" eb="24">
      <t>ケツゴウ</t>
    </rPh>
    <phoneticPr fontId="12"/>
  </si>
  <si>
    <t>11_01</t>
    <phoneticPr fontId="9"/>
  </si>
  <si>
    <t>組入れ_対象患者</t>
    <rPh sb="4" eb="8">
      <t>タイショウカンジャ</t>
    </rPh>
    <phoneticPr fontId="9"/>
  </si>
  <si>
    <t>21_01</t>
    <phoneticPr fontId="9"/>
  </si>
  <si>
    <t>ファイル</t>
    <phoneticPr fontId="12"/>
  </si>
  <si>
    <t>疾患マスタ</t>
    <rPh sb="0" eb="2">
      <t>シッカン</t>
    </rPh>
    <phoneticPr fontId="9"/>
  </si>
  <si>
    <t>21_02</t>
    <phoneticPr fontId="9"/>
  </si>
  <si>
    <t>バックアップ_DPC調査データ_外来EF統合ファイル</t>
    <phoneticPr fontId="9"/>
  </si>
  <si>
    <t>バックアップ_DPC調査データ_様式1</t>
    <phoneticPr fontId="9"/>
  </si>
  <si>
    <t>バックアップ_DPC調査データ_入院EF統合ファイル</t>
  </si>
  <si>
    <t>バックアップ_DPC調査データ_外来EF統合ファイル</t>
  </si>
  <si>
    <t>バックアップ_DPC調査データ_様式1</t>
  </si>
  <si>
    <t>バックアップ_DPC調査データ_様式1_診断情報_併存症</t>
  </si>
  <si>
    <t>バックアップ_DPC調査データ_様式1_診断情報_続発症</t>
  </si>
  <si>
    <t>患者マスタ</t>
    <rPh sb="0" eb="2">
      <t>カンジャ</t>
    </rPh>
    <phoneticPr fontId="9"/>
  </si>
  <si>
    <t>組入れ_対象患者</t>
    <rPh sb="4" eb="6">
      <t>タイショウ</t>
    </rPh>
    <rPh sb="6" eb="8">
      <t>カンジャ</t>
    </rPh>
    <phoneticPr fontId="9"/>
  </si>
  <si>
    <t>施設別対象患者数</t>
    <rPh sb="0" eb="3">
      <t>シセツベツ</t>
    </rPh>
    <rPh sb="3" eb="5">
      <t>タイショウ</t>
    </rPh>
    <rPh sb="5" eb="7">
      <t>カンジャ</t>
    </rPh>
    <rPh sb="7" eb="8">
      <t>スウ</t>
    </rPh>
    <phoneticPr fontId="9"/>
  </si>
  <si>
    <t>11_02</t>
    <phoneticPr fontId="9"/>
  </si>
  <si>
    <t>バックアップ_DPC調査データ_Dファイル</t>
    <phoneticPr fontId="9"/>
  </si>
  <si>
    <t>バックアップ_DPC調査データ_入院EF統合ファイル</t>
    <phoneticPr fontId="9"/>
  </si>
  <si>
    <t>バックアップ_DPC調査データ_外来EF統合ファイル</t>
    <phoneticPr fontId="9"/>
  </si>
  <si>
    <t>バックアップ_DPC調査データ_Hファイル</t>
    <phoneticPr fontId="9"/>
  </si>
  <si>
    <t>バックアップ_DPC調査データ_様式1</t>
    <phoneticPr fontId="9"/>
  </si>
  <si>
    <t>backup</t>
    <phoneticPr fontId="9"/>
  </si>
  <si>
    <t>enroll</t>
    <phoneticPr fontId="9"/>
  </si>
  <si>
    <t>バックアップ_DPC調査データ_Dファイル</t>
    <phoneticPr fontId="9"/>
  </si>
  <si>
    <t>取込年月</t>
    <rPh sb="0" eb="2">
      <t>トリコミ</t>
    </rPh>
    <rPh sb="2" eb="4">
      <t>ネンゲツ</t>
    </rPh>
    <phoneticPr fontId="4"/>
  </si>
  <si>
    <t>torikomi_ym</t>
  </si>
  <si>
    <t>文字列</t>
    <rPh sb="0" eb="3">
      <t>モジレツ</t>
    </rPh>
    <phoneticPr fontId="4"/>
  </si>
  <si>
    <t>千年カルテID</t>
  </si>
  <si>
    <t>mil_karute_id</t>
  </si>
  <si>
    <t>整数</t>
  </si>
  <si>
    <t>診療年月</t>
    <rPh sb="0" eb="2">
      <t>シンリョウ</t>
    </rPh>
    <rPh sb="2" eb="4">
      <t>ネンゲツ</t>
    </rPh>
    <phoneticPr fontId="4"/>
  </si>
  <si>
    <t>shinryo_ym</t>
  </si>
  <si>
    <t>データ種別</t>
    <rPh sb="3" eb="5">
      <t>シュベツ</t>
    </rPh>
    <phoneticPr fontId="15"/>
  </si>
  <si>
    <t>data_type</t>
  </si>
  <si>
    <t>データ識別番号</t>
    <rPh sb="3" eb="5">
      <t>シキベツ</t>
    </rPh>
    <rPh sb="5" eb="7">
      <t>バンゴウ</t>
    </rPh>
    <phoneticPr fontId="4"/>
  </si>
  <si>
    <t>shikibetsu_no</t>
  </si>
  <si>
    <t>退院年月日</t>
  </si>
  <si>
    <t>taiin_ymd</t>
  </si>
  <si>
    <t>データ区分</t>
  </si>
  <si>
    <t>data_kubun</t>
  </si>
  <si>
    <t>順序番号</t>
  </si>
  <si>
    <t>junjo_no</t>
  </si>
  <si>
    <t>病院点数マスタコード</t>
  </si>
  <si>
    <t>tensu_master_code</t>
  </si>
  <si>
    <t>解釈番号</t>
  </si>
  <si>
    <t>kaishaku_no</t>
  </si>
  <si>
    <t>診療行為名称</t>
  </si>
  <si>
    <t>shinryo_koi_name</t>
  </si>
  <si>
    <t>行為点数</t>
  </si>
  <si>
    <t>koi_tensu</t>
  </si>
  <si>
    <t>実数</t>
    <rPh sb="0" eb="2">
      <t>ジッスウ</t>
    </rPh>
    <phoneticPr fontId="4"/>
  </si>
  <si>
    <t>行為薬剤料</t>
  </si>
  <si>
    <t>koi_yakuzai</t>
  </si>
  <si>
    <t>行為材料料</t>
  </si>
  <si>
    <t>koi_zairyo</t>
  </si>
  <si>
    <t>保険者番号</t>
  </si>
  <si>
    <t>hoken_no</t>
  </si>
  <si>
    <t>レセプト種別コード</t>
  </si>
  <si>
    <t>receipt_type_code</t>
  </si>
  <si>
    <t>レセプト科区分</t>
  </si>
  <si>
    <t>receipt_ka_kubun</t>
  </si>
  <si>
    <t>医師コード</t>
  </si>
  <si>
    <t>doctor_code</t>
  </si>
  <si>
    <t>病棟コード</t>
  </si>
  <si>
    <t>ward_code</t>
  </si>
  <si>
    <t>病棟区分</t>
  </si>
  <si>
    <t>ward_kubun</t>
  </si>
  <si>
    <t>入外区分</t>
  </si>
  <si>
    <t>nyugai_kubun</t>
  </si>
  <si>
    <t>施設タイプ</t>
  </si>
  <si>
    <t>facility_type</t>
  </si>
  <si>
    <t>算定開始日</t>
  </si>
  <si>
    <t>santei_start_ymd</t>
  </si>
  <si>
    <t>算定終了日</t>
  </si>
  <si>
    <t>santei_end_ymd</t>
  </si>
  <si>
    <t>算定起算日</t>
  </si>
  <si>
    <t>santei_kisan_ymd</t>
  </si>
  <si>
    <t>分類番号</t>
  </si>
  <si>
    <t>bunrui_no</t>
  </si>
  <si>
    <t>医療機関係数</t>
  </si>
  <si>
    <t>hospital_keisu</t>
  </si>
  <si>
    <t>システムへ取り込む年月（YYYYMM）</t>
    <rPh sb="5" eb="6">
      <t>ト</t>
    </rPh>
    <rPh sb="7" eb="8">
      <t>コ</t>
    </rPh>
    <rPh sb="9" eb="11">
      <t>ネンゲツ</t>
    </rPh>
    <phoneticPr fontId="4"/>
  </si>
  <si>
    <t>システムにて通番付与</t>
  </si>
  <si>
    <t>ファイル名の「施設コード」から施設マスタの施設IDを設定</t>
    <rPh sb="4" eb="5">
      <t>メイ</t>
    </rPh>
    <rPh sb="7" eb="9">
      <t>シセツ</t>
    </rPh>
    <phoneticPr fontId="4"/>
  </si>
  <si>
    <t>DPC</t>
  </si>
  <si>
    <t>”DPC”固定</t>
    <rPh sb="5" eb="7">
      <t>コテイ</t>
    </rPh>
    <phoneticPr fontId="4"/>
  </si>
  <si>
    <t>YYYYMMDD
未確定時は 00000000 とする</t>
  </si>
  <si>
    <t>1:一般以外 0:一般 2:入院中の外来診療</t>
  </si>
  <si>
    <t>1:外来 0:入院</t>
  </si>
  <si>
    <t>診療年月に対応する医療機関調整係数 
例）1.1234（小数点も 1 桁として設定）</t>
  </si>
  <si>
    <t>データ種別</t>
    <rPh sb="3" eb="5">
      <t>シュベツ</t>
    </rPh>
    <phoneticPr fontId="16"/>
  </si>
  <si>
    <t>退院年月日</t>
    <rPh sb="0" eb="2">
      <t>タイイン</t>
    </rPh>
    <rPh sb="2" eb="5">
      <t>ネンガッピ</t>
    </rPh>
    <phoneticPr fontId="4"/>
  </si>
  <si>
    <t>入院年月日</t>
    <rPh sb="0" eb="2">
      <t>ニュウイン</t>
    </rPh>
    <rPh sb="2" eb="5">
      <t>ネンガッピ</t>
    </rPh>
    <phoneticPr fontId="4"/>
  </si>
  <si>
    <t>データ区分</t>
    <rPh sb="3" eb="5">
      <t>クブン</t>
    </rPh>
    <phoneticPr fontId="4"/>
  </si>
  <si>
    <t>順序番号</t>
    <rPh sb="0" eb="2">
      <t>ジュンジョ</t>
    </rPh>
    <rPh sb="2" eb="4">
      <t>バンゴウ</t>
    </rPh>
    <phoneticPr fontId="4"/>
  </si>
  <si>
    <t>行為明細番号</t>
    <rPh sb="0" eb="2">
      <t>コウイ</t>
    </rPh>
    <rPh sb="2" eb="4">
      <t>メイサイ</t>
    </rPh>
    <rPh sb="4" eb="6">
      <t>バンゴウ</t>
    </rPh>
    <phoneticPr fontId="4"/>
  </si>
  <si>
    <t>病院点数マスタコード</t>
    <rPh sb="0" eb="2">
      <t>ビョウイン</t>
    </rPh>
    <rPh sb="2" eb="4">
      <t>テンスウ</t>
    </rPh>
    <phoneticPr fontId="4"/>
  </si>
  <si>
    <t>解釈番号</t>
    <rPh sb="0" eb="2">
      <t>カイシャク</t>
    </rPh>
    <rPh sb="2" eb="4">
      <t>バンゴウ</t>
    </rPh>
    <phoneticPr fontId="4"/>
  </si>
  <si>
    <t>診療明細名称</t>
    <rPh sb="0" eb="2">
      <t>シンリョウ</t>
    </rPh>
    <rPh sb="2" eb="4">
      <t>メイサイ</t>
    </rPh>
    <rPh sb="4" eb="6">
      <t>メイショウ</t>
    </rPh>
    <phoneticPr fontId="4"/>
  </si>
  <si>
    <t>使用量</t>
    <rPh sb="0" eb="2">
      <t>シヨウ</t>
    </rPh>
    <rPh sb="2" eb="3">
      <t>リョウ</t>
    </rPh>
    <phoneticPr fontId="4"/>
  </si>
  <si>
    <t>基準単位</t>
    <rPh sb="0" eb="2">
      <t>キジュン</t>
    </rPh>
    <rPh sb="2" eb="4">
      <t>タンイ</t>
    </rPh>
    <phoneticPr fontId="4"/>
  </si>
  <si>
    <t>unit</t>
  </si>
  <si>
    <t>明細点数・金額</t>
    <rPh sb="0" eb="2">
      <t>メイサイ</t>
    </rPh>
    <rPh sb="2" eb="4">
      <t>テンスウ</t>
    </rPh>
    <rPh sb="5" eb="7">
      <t>キンガク</t>
    </rPh>
    <phoneticPr fontId="4"/>
  </si>
  <si>
    <t>円・点区分</t>
    <rPh sb="0" eb="1">
      <t>エン</t>
    </rPh>
    <rPh sb="2" eb="3">
      <t>テン</t>
    </rPh>
    <rPh sb="3" eb="5">
      <t>クブン</t>
    </rPh>
    <phoneticPr fontId="4"/>
  </si>
  <si>
    <t>出来高実績点数</t>
    <rPh sb="0" eb="2">
      <t>デキ</t>
    </rPh>
    <rPh sb="2" eb="3">
      <t>ダカ</t>
    </rPh>
    <rPh sb="3" eb="5">
      <t>ジッセキ</t>
    </rPh>
    <rPh sb="5" eb="7">
      <t>テンスウ</t>
    </rPh>
    <phoneticPr fontId="4"/>
  </si>
  <si>
    <t>dekidaka_tensu</t>
  </si>
  <si>
    <t>行為明細区分情報</t>
    <rPh sb="0" eb="2">
      <t>コウイ</t>
    </rPh>
    <rPh sb="2" eb="4">
      <t>メイサイ</t>
    </rPh>
    <rPh sb="4" eb="6">
      <t>クブン</t>
    </rPh>
    <rPh sb="6" eb="8">
      <t>ジョウホウ</t>
    </rPh>
    <phoneticPr fontId="4"/>
  </si>
  <si>
    <t>行為点数</t>
    <rPh sb="0" eb="2">
      <t>コウイ</t>
    </rPh>
    <rPh sb="2" eb="4">
      <t>テンスウ</t>
    </rPh>
    <phoneticPr fontId="4"/>
  </si>
  <si>
    <t>行為薬剤料</t>
    <rPh sb="0" eb="2">
      <t>コウイ</t>
    </rPh>
    <rPh sb="2" eb="4">
      <t>ヤクザイ</t>
    </rPh>
    <rPh sb="4" eb="5">
      <t>リョウ</t>
    </rPh>
    <phoneticPr fontId="4"/>
  </si>
  <si>
    <t>行為材料料</t>
    <rPh sb="0" eb="2">
      <t>コウイ</t>
    </rPh>
    <rPh sb="2" eb="4">
      <t>ザイリョウ</t>
    </rPh>
    <rPh sb="4" eb="5">
      <t>リョウ</t>
    </rPh>
    <phoneticPr fontId="4"/>
  </si>
  <si>
    <t>行為回数</t>
    <rPh sb="0" eb="2">
      <t>コウイ</t>
    </rPh>
    <rPh sb="2" eb="4">
      <t>カイスウ</t>
    </rPh>
    <phoneticPr fontId="4"/>
  </si>
  <si>
    <t>保険者番号</t>
    <rPh sb="0" eb="3">
      <t>ホケンシャ</t>
    </rPh>
    <rPh sb="3" eb="5">
      <t>バンゴウ</t>
    </rPh>
    <phoneticPr fontId="4"/>
  </si>
  <si>
    <t>レセプト種別コード</t>
    <rPh sb="4" eb="6">
      <t>シュベツ</t>
    </rPh>
    <phoneticPr fontId="4"/>
  </si>
  <si>
    <t>実施年月日</t>
    <rPh sb="0" eb="2">
      <t>ジッシ</t>
    </rPh>
    <rPh sb="2" eb="5">
      <t>ネンガッピ</t>
    </rPh>
    <phoneticPr fontId="4"/>
  </si>
  <si>
    <t>レセプト科区分</t>
    <rPh sb="4" eb="5">
      <t>カ</t>
    </rPh>
    <rPh sb="5" eb="7">
      <t>クブン</t>
    </rPh>
    <phoneticPr fontId="4"/>
  </si>
  <si>
    <t>医師コード</t>
    <rPh sb="0" eb="2">
      <t>イシ</t>
    </rPh>
    <phoneticPr fontId="4"/>
  </si>
  <si>
    <t>病棟コード</t>
    <rPh sb="0" eb="2">
      <t>ビョウトウ</t>
    </rPh>
    <phoneticPr fontId="4"/>
  </si>
  <si>
    <t>病棟区分</t>
    <rPh sb="0" eb="2">
      <t>ビョウトウ</t>
    </rPh>
    <rPh sb="2" eb="4">
      <t>クブン</t>
    </rPh>
    <phoneticPr fontId="4"/>
  </si>
  <si>
    <t>入外区分</t>
    <rPh sb="0" eb="1">
      <t>ニュウ</t>
    </rPh>
    <rPh sb="1" eb="2">
      <t>ガイ</t>
    </rPh>
    <rPh sb="2" eb="4">
      <t>クブン</t>
    </rPh>
    <phoneticPr fontId="4"/>
  </si>
  <si>
    <t>施設タイプ</t>
    <rPh sb="0" eb="2">
      <t>シセツ</t>
    </rPh>
    <phoneticPr fontId="4"/>
  </si>
  <si>
    <t>YYYYMMDD
傷病に関するレコードにおいては、受診年月＋“00“を設定する</t>
  </si>
  <si>
    <t xml:space="preserve">診療明細情報の順序番号に対応する行為明細を、1 から付番する。001～999 </t>
  </si>
  <si>
    <t>傷病に関するレコードについては、傷病名コード（7桁）になる</t>
  </si>
  <si>
    <t>院外処方区分、一般名処方区分、性別、転帰区分及び主傷病を上5桁に設定し、残りの7桁に0を設定する</t>
  </si>
  <si>
    <t>診療行為（剤単位）での点数計
手技料＋行為薬剤料＋行為材料料
傷病名コードは"0"</t>
  </si>
  <si>
    <t>傷病名コードは"0"</t>
  </si>
  <si>
    <t>傷病名コードは"1"</t>
  </si>
  <si>
    <t>"9"固定</t>
    <rPh sb="3" eb="5">
      <t>コテイ</t>
    </rPh>
    <phoneticPr fontId="4"/>
  </si>
  <si>
    <t>1:外来</t>
  </si>
  <si>
    <t>組入れ_対象患者</t>
    <phoneticPr fontId="9"/>
  </si>
  <si>
    <t>mt</t>
    <phoneticPr fontId="9"/>
  </si>
  <si>
    <t>患者マスタ</t>
    <phoneticPr fontId="9"/>
  </si>
  <si>
    <t>疾患マスタ</t>
    <phoneticPr fontId="9"/>
  </si>
  <si>
    <t>base</t>
    <phoneticPr fontId="9"/>
  </si>
  <si>
    <t>ベース_DPC調査データ_入院EF統合ファイル</t>
    <phoneticPr fontId="9"/>
  </si>
  <si>
    <t>ベース_DPC調査データ_外来EF統合ファイル</t>
    <phoneticPr fontId="9"/>
  </si>
  <si>
    <t>ベース_DPC調査データ_様式1</t>
    <phoneticPr fontId="9"/>
  </si>
  <si>
    <t>ベース_DPC調査データ_様式1_診断情報_併存症</t>
    <phoneticPr fontId="9"/>
  </si>
  <si>
    <t>ベース_DPC調査データ_様式1_診断情報_続発症</t>
    <phoneticPr fontId="9"/>
  </si>
  <si>
    <t>バックアップ_DPC調査データ_様式1_診断情報_併存症</t>
    <phoneticPr fontId="9"/>
  </si>
  <si>
    <t>バックアップ_DPC調査データ_様式1_診断情報_続発症</t>
    <phoneticPr fontId="9"/>
  </si>
  <si>
    <t>取込年月</t>
    <rPh sb="0" eb="2">
      <t>トリコミ</t>
    </rPh>
    <rPh sb="2" eb="4">
      <t>ネンゲツ</t>
    </rPh>
    <phoneticPr fontId="3"/>
  </si>
  <si>
    <t>文字列</t>
    <rPh sb="0" eb="3">
      <t>モジレツ</t>
    </rPh>
    <phoneticPr fontId="3"/>
  </si>
  <si>
    <t>診療年月</t>
    <rPh sb="0" eb="2">
      <t>シンリョウ</t>
    </rPh>
    <rPh sb="2" eb="4">
      <t>ネンゲツ</t>
    </rPh>
    <phoneticPr fontId="3"/>
  </si>
  <si>
    <t>データ種別</t>
    <rPh sb="3" eb="5">
      <t>シュベツ</t>
    </rPh>
    <phoneticPr fontId="14"/>
  </si>
  <si>
    <t>データ識別番号</t>
    <rPh sb="3" eb="5">
      <t>シキベツ</t>
    </rPh>
    <rPh sb="5" eb="7">
      <t>バンゴウ</t>
    </rPh>
    <phoneticPr fontId="3"/>
  </si>
  <si>
    <t>生年月日</t>
    <rPh sb="0" eb="2">
      <t>セイネン</t>
    </rPh>
    <rPh sb="2" eb="4">
      <t>ガッピ</t>
    </rPh>
    <phoneticPr fontId="3"/>
  </si>
  <si>
    <t>birthday</t>
  </si>
  <si>
    <t>外来受診年月日</t>
    <rPh sb="0" eb="2">
      <t>ガイライ</t>
    </rPh>
    <rPh sb="2" eb="4">
      <t>ジュシン</t>
    </rPh>
    <rPh sb="4" eb="7">
      <t>ネンガッピ</t>
    </rPh>
    <phoneticPr fontId="3"/>
  </si>
  <si>
    <t>gairai_ymd</t>
    <phoneticPr fontId="3"/>
  </si>
  <si>
    <t>データ区分</t>
    <rPh sb="3" eb="5">
      <t>クブン</t>
    </rPh>
    <phoneticPr fontId="3"/>
  </si>
  <si>
    <t>順序番号</t>
    <rPh sb="0" eb="2">
      <t>ジュンジョ</t>
    </rPh>
    <rPh sb="2" eb="4">
      <t>バンゴウ</t>
    </rPh>
    <phoneticPr fontId="3"/>
  </si>
  <si>
    <t>行為明細番号</t>
    <rPh sb="0" eb="2">
      <t>コウイ</t>
    </rPh>
    <rPh sb="2" eb="4">
      <t>メイサイ</t>
    </rPh>
    <rPh sb="4" eb="6">
      <t>バンゴウ</t>
    </rPh>
    <phoneticPr fontId="3"/>
  </si>
  <si>
    <t>病院点数マスタコード</t>
    <rPh sb="0" eb="2">
      <t>ビョウイン</t>
    </rPh>
    <rPh sb="2" eb="4">
      <t>テンスウ</t>
    </rPh>
    <phoneticPr fontId="3"/>
  </si>
  <si>
    <t>解釈番号</t>
    <rPh sb="0" eb="2">
      <t>カイシャク</t>
    </rPh>
    <rPh sb="2" eb="4">
      <t>バンゴウ</t>
    </rPh>
    <phoneticPr fontId="3"/>
  </si>
  <si>
    <t>診療明細名称</t>
    <rPh sb="0" eb="2">
      <t>シンリョウ</t>
    </rPh>
    <rPh sb="2" eb="4">
      <t>メイサイ</t>
    </rPh>
    <rPh sb="4" eb="6">
      <t>メイショウ</t>
    </rPh>
    <phoneticPr fontId="3"/>
  </si>
  <si>
    <t>使用量</t>
    <rPh sb="0" eb="2">
      <t>シヨウ</t>
    </rPh>
    <rPh sb="2" eb="3">
      <t>リョウ</t>
    </rPh>
    <phoneticPr fontId="3"/>
  </si>
  <si>
    <t>実数</t>
    <rPh sb="0" eb="2">
      <t>ジッスウ</t>
    </rPh>
    <phoneticPr fontId="3"/>
  </si>
  <si>
    <t>基準単位</t>
    <rPh sb="0" eb="2">
      <t>キジュン</t>
    </rPh>
    <rPh sb="2" eb="4">
      <t>タンイ</t>
    </rPh>
    <phoneticPr fontId="3"/>
  </si>
  <si>
    <t>明細点数・金額</t>
    <rPh sb="0" eb="2">
      <t>メイサイ</t>
    </rPh>
    <rPh sb="2" eb="4">
      <t>テンスウ</t>
    </rPh>
    <rPh sb="5" eb="7">
      <t>キンガク</t>
    </rPh>
    <phoneticPr fontId="3"/>
  </si>
  <si>
    <t>円・点区分</t>
    <rPh sb="0" eb="1">
      <t>エン</t>
    </rPh>
    <rPh sb="2" eb="3">
      <t>テン</t>
    </rPh>
    <rPh sb="3" eb="5">
      <t>クブン</t>
    </rPh>
    <phoneticPr fontId="3"/>
  </si>
  <si>
    <t>出来高実績点数</t>
    <rPh sb="0" eb="2">
      <t>デキ</t>
    </rPh>
    <rPh sb="2" eb="3">
      <t>ダカ</t>
    </rPh>
    <rPh sb="3" eb="5">
      <t>ジッセキ</t>
    </rPh>
    <rPh sb="5" eb="7">
      <t>テンスウ</t>
    </rPh>
    <phoneticPr fontId="3"/>
  </si>
  <si>
    <t>dekidaka_tensu</t>
    <phoneticPr fontId="3"/>
  </si>
  <si>
    <t>行為明細区分情報</t>
    <rPh sb="0" eb="2">
      <t>コウイ</t>
    </rPh>
    <rPh sb="2" eb="4">
      <t>メイサイ</t>
    </rPh>
    <rPh sb="4" eb="6">
      <t>クブン</t>
    </rPh>
    <rPh sb="6" eb="8">
      <t>ジョウホウ</t>
    </rPh>
    <phoneticPr fontId="3"/>
  </si>
  <si>
    <t>行為点数</t>
    <rPh sb="0" eb="2">
      <t>コウイ</t>
    </rPh>
    <rPh sb="2" eb="4">
      <t>テンスウ</t>
    </rPh>
    <phoneticPr fontId="3"/>
  </si>
  <si>
    <t>koi_tensu</t>
    <phoneticPr fontId="3"/>
  </si>
  <si>
    <t>行為薬剤料</t>
    <rPh sb="0" eb="2">
      <t>コウイ</t>
    </rPh>
    <rPh sb="2" eb="4">
      <t>ヤクザイ</t>
    </rPh>
    <rPh sb="4" eb="5">
      <t>リョウ</t>
    </rPh>
    <phoneticPr fontId="3"/>
  </si>
  <si>
    <t>行為材料料</t>
    <rPh sb="0" eb="2">
      <t>コウイ</t>
    </rPh>
    <rPh sb="2" eb="4">
      <t>ザイリョウ</t>
    </rPh>
    <rPh sb="4" eb="5">
      <t>リョウ</t>
    </rPh>
    <phoneticPr fontId="3"/>
  </si>
  <si>
    <t>行為回数</t>
    <rPh sb="0" eb="2">
      <t>コウイ</t>
    </rPh>
    <rPh sb="2" eb="4">
      <t>カイスウ</t>
    </rPh>
    <phoneticPr fontId="3"/>
  </si>
  <si>
    <t>保険者番号</t>
    <rPh sb="0" eb="3">
      <t>ホケンシャ</t>
    </rPh>
    <rPh sb="3" eb="5">
      <t>バンゴウ</t>
    </rPh>
    <phoneticPr fontId="3"/>
  </si>
  <si>
    <t>レセプト種別コード</t>
    <rPh sb="4" eb="6">
      <t>シュベツ</t>
    </rPh>
    <phoneticPr fontId="3"/>
  </si>
  <si>
    <t>実施年月日・診療開始日</t>
    <rPh sb="0" eb="2">
      <t>ジッシ</t>
    </rPh>
    <rPh sb="2" eb="5">
      <t>ネンガッピ</t>
    </rPh>
    <phoneticPr fontId="3"/>
  </si>
  <si>
    <t>レセプト科区分</t>
    <rPh sb="4" eb="5">
      <t>カ</t>
    </rPh>
    <rPh sb="5" eb="7">
      <t>クブン</t>
    </rPh>
    <phoneticPr fontId="3"/>
  </si>
  <si>
    <t>医師コード</t>
    <rPh sb="0" eb="2">
      <t>イシ</t>
    </rPh>
    <phoneticPr fontId="3"/>
  </si>
  <si>
    <t>病棟コード</t>
    <rPh sb="0" eb="2">
      <t>ビョウトウ</t>
    </rPh>
    <phoneticPr fontId="3"/>
  </si>
  <si>
    <t>病棟区分</t>
    <rPh sb="0" eb="2">
      <t>ビョウトウ</t>
    </rPh>
    <rPh sb="2" eb="4">
      <t>クブン</t>
    </rPh>
    <phoneticPr fontId="3"/>
  </si>
  <si>
    <t>入外区分</t>
    <rPh sb="0" eb="1">
      <t>ニュウ</t>
    </rPh>
    <rPh sb="1" eb="2">
      <t>ガイ</t>
    </rPh>
    <rPh sb="2" eb="4">
      <t>クブン</t>
    </rPh>
    <phoneticPr fontId="3"/>
  </si>
  <si>
    <t>施設タイプ</t>
    <rPh sb="0" eb="2">
      <t>シセツ</t>
    </rPh>
    <phoneticPr fontId="3"/>
  </si>
  <si>
    <t>システムへ取り込む年月（YYYYMM）</t>
    <rPh sb="5" eb="6">
      <t>ト</t>
    </rPh>
    <rPh sb="7" eb="8">
      <t>コ</t>
    </rPh>
    <rPh sb="9" eb="11">
      <t>ネンゲツ</t>
    </rPh>
    <phoneticPr fontId="3"/>
  </si>
  <si>
    <t>ファイル名の「施設コード」から施設マスタの施設IDを設定</t>
    <rPh sb="4" eb="5">
      <t>メイ</t>
    </rPh>
    <rPh sb="7" eb="9">
      <t>シセツ</t>
    </rPh>
    <phoneticPr fontId="3"/>
  </si>
  <si>
    <t>”DPC”固定</t>
    <rPh sb="5" eb="7">
      <t>コテイ</t>
    </rPh>
    <phoneticPr fontId="3"/>
  </si>
  <si>
    <t>"9"固定</t>
    <rPh sb="3" eb="5">
      <t>コテイ</t>
    </rPh>
    <phoneticPr fontId="3"/>
  </si>
  <si>
    <t>バックアップ_DPC調査データ_Hファイル</t>
    <phoneticPr fontId="9"/>
  </si>
  <si>
    <t>コード</t>
  </si>
  <si>
    <t>code</t>
  </si>
  <si>
    <t>バージョン</t>
  </si>
  <si>
    <t>version</t>
  </si>
  <si>
    <t>連番</t>
    <rPh sb="0" eb="2">
      <t>レンバン</t>
    </rPh>
    <phoneticPr fontId="3"/>
  </si>
  <si>
    <t>number</t>
  </si>
  <si>
    <t>創傷処置</t>
  </si>
  <si>
    <t>ass0010_sosho_shochi</t>
  </si>
  <si>
    <t>呼吸ケア</t>
  </si>
  <si>
    <t>ass0010_kokyu_care</t>
  </si>
  <si>
    <t>点滴ライン同時3本以上の管理</t>
  </si>
  <si>
    <t>ass0010_tenteki_kanri</t>
  </si>
  <si>
    <t>心電図モニターの管理</t>
  </si>
  <si>
    <t>ass0010_shindenzu_kanri</t>
  </si>
  <si>
    <t>シリンジポンプの管理</t>
  </si>
  <si>
    <t>ass0010_syringe_pump_kanri</t>
  </si>
  <si>
    <t>輸血や血液製剤の管理</t>
  </si>
  <si>
    <t>ass0010_blood_products_kanri</t>
  </si>
  <si>
    <t>専門的な治療・処置</t>
  </si>
  <si>
    <t>ass0010_expert_chiryo</t>
  </si>
  <si>
    <t>救急搬送後の入院</t>
  </si>
  <si>
    <t>ass0010_hanso_nyuin_flag</t>
  </si>
  <si>
    <t>ass0011_sosho_shochi</t>
  </si>
  <si>
    <t>ass0011_kokyu_care</t>
  </si>
  <si>
    <t>ass0011_tenteki_kanri</t>
  </si>
  <si>
    <t>ass0011_shindenzu_kanri</t>
  </si>
  <si>
    <t>ass0011_syringe_pump_kanri</t>
  </si>
  <si>
    <t>ass0011_blood_products_kanri</t>
  </si>
  <si>
    <t>専門的な治療・処置（3項目）</t>
    <rPh sb="11" eb="13">
      <t>コウモク</t>
    </rPh>
    <phoneticPr fontId="3"/>
  </si>
  <si>
    <t>ass0011_expert_chiryo_sankoumoku</t>
  </si>
  <si>
    <t>ass0011_hanso_nyuin_flag</t>
  </si>
  <si>
    <t>ass0012_sosho_shochi</t>
  </si>
  <si>
    <t>呼吸ケア（喀痰吸引のみの場合を除く）</t>
  </si>
  <si>
    <t>ass0012_kokyu_care_kakutan_trim</t>
  </si>
  <si>
    <t>注射薬剤３種類以上の管理</t>
  </si>
  <si>
    <t>ass0012_chusya_kanri</t>
  </si>
  <si>
    <t>ass0012_syringe_pump_kanri</t>
  </si>
  <si>
    <t>ass0012_blood_products_kanri</t>
  </si>
  <si>
    <t>ass0012_expert_chiryo</t>
  </si>
  <si>
    <t>ass0012_hanso_nyuin_flag</t>
  </si>
  <si>
    <t>寝返り</t>
  </si>
  <si>
    <t>ass0020_negaeri</t>
  </si>
  <si>
    <t>移乗</t>
  </si>
  <si>
    <t>ass0020_ijo</t>
  </si>
  <si>
    <t>口腔清潔</t>
  </si>
  <si>
    <t>ass0020_koku_seiketsu</t>
  </si>
  <si>
    <t>食事摂取</t>
  </si>
  <si>
    <t>ass0020_shokuji_sesshu</t>
  </si>
  <si>
    <t>衣服の着脱</t>
  </si>
  <si>
    <t>ass0020_ifuku_chakudatsu</t>
  </si>
  <si>
    <t>診療・療養上の指示が通じる</t>
  </si>
  <si>
    <t>ass0020_shinryo_shiji</t>
  </si>
  <si>
    <t>危険行動</t>
  </si>
  <si>
    <t>ass0020_kiken_kodo</t>
  </si>
  <si>
    <t>ass0021_negaeri</t>
  </si>
  <si>
    <t>移乗（患者の状態）</t>
  </si>
  <si>
    <t>ass0021_ijo_kanja</t>
  </si>
  <si>
    <t>口腔清潔（患者の状態）</t>
  </si>
  <si>
    <t>ass0021_koku_seiketsu_kanja</t>
  </si>
  <si>
    <t>食事摂取（患者の状態）</t>
  </si>
  <si>
    <t>ass0021_shokuji_sesshu_kanja</t>
  </si>
  <si>
    <t>衣服の着脱（患者の状態）</t>
  </si>
  <si>
    <t>ass0021_ifuku_chakudatsu_kanja</t>
  </si>
  <si>
    <t>ass0021_shinryo_shiji</t>
  </si>
  <si>
    <t>ass0021_kiken_kodo</t>
  </si>
  <si>
    <t>移乗（介助の状態）</t>
  </si>
  <si>
    <t>ass0021_ijo_kaijo</t>
  </si>
  <si>
    <t>口腔清潔（介助の状態）</t>
  </si>
  <si>
    <t>ass0021_koku_seiketsu_kaijo</t>
  </si>
  <si>
    <t>食事摂取（介助の状態）</t>
  </si>
  <si>
    <t>ass0021_shokuji_sesshu_kaijo</t>
  </si>
  <si>
    <t>衣服の着脱（介助の状態）</t>
  </si>
  <si>
    <t>ass0021_ifuku_chakudatsu_kaijo</t>
  </si>
  <si>
    <t>開頭手術（7日間）</t>
  </si>
  <si>
    <t>ass0030_kaito_shujutsu_7days</t>
  </si>
  <si>
    <t>開胸手術（7日間）</t>
  </si>
  <si>
    <t>ass0030_kaikyo_shujutsu_7days</t>
  </si>
  <si>
    <t>開腹手術（4日間）</t>
  </si>
  <si>
    <t>ass0030_kaifuku_shujutsu_4days</t>
  </si>
  <si>
    <t>骨の手術（5日間）</t>
  </si>
  <si>
    <t>ass0030_hone_shujutsu_5days</t>
  </si>
  <si>
    <t>胸腔鏡・腹腔鏡手術（3日間）</t>
  </si>
  <si>
    <t>ass0030_kokyo_shujutsu_3days</t>
  </si>
  <si>
    <t>全身麻酔・脊椎麻酔の手術（2日間）</t>
  </si>
  <si>
    <t>ass0030_masui_shujutsu_2days</t>
  </si>
  <si>
    <t>救命等に係る内科的治療（2日間）</t>
  </si>
  <si>
    <t>ass0030_naika_chiryo_2days</t>
  </si>
  <si>
    <t>ass0040_shindenzu_kanri</t>
  </si>
  <si>
    <t>輸液ポンプの管理</t>
  </si>
  <si>
    <t>ass0040_yueki_pump_kanri</t>
  </si>
  <si>
    <t>動脈圧測定（動脈ライン）</t>
  </si>
  <si>
    <t>ass0040_domyaku_sokutei</t>
  </si>
  <si>
    <t>ass0040_syringe_pump_kanri</t>
  </si>
  <si>
    <t>中心静脈圧測定（中心静脈ライン）</t>
  </si>
  <si>
    <t>ass0040_jomyaku_sokutei</t>
  </si>
  <si>
    <t>人工呼吸器の管理</t>
    <rPh sb="6" eb="8">
      <t>カンリ</t>
    </rPh>
    <phoneticPr fontId="3"/>
  </si>
  <si>
    <t>ass0040_jinko_kokyuki_kanri</t>
  </si>
  <si>
    <t>ass0040_blood_products_kanri</t>
  </si>
  <si>
    <t>肺動脈圧測定（スワンガンツカテーテル）</t>
    <phoneticPr fontId="3"/>
  </si>
  <si>
    <t>ass0040_hai_domyaku_sokutei</t>
  </si>
  <si>
    <t>特殊な治療法等</t>
  </si>
  <si>
    <t>ass0040_special_chiryo</t>
  </si>
  <si>
    <t>ass0041_yueki_pump_kanri</t>
  </si>
  <si>
    <t>動脈圧測定</t>
  </si>
  <si>
    <t>ass0041_domyakuatsu_sokute</t>
  </si>
  <si>
    <t>ass0041_syringe_pump_kanri</t>
  </si>
  <si>
    <t>ass0041_jomyaku_sokutei</t>
  </si>
  <si>
    <t>人工呼吸器の管理</t>
  </si>
  <si>
    <t>ass0041_jinko_kokyuki_kanri</t>
  </si>
  <si>
    <t>ass0041_blood_products_kanri</t>
  </si>
  <si>
    <t>肺動脈圧測定（スワンガンツカテーテル）</t>
  </si>
  <si>
    <t>ass0041_hai_domyaku_sokutei</t>
  </si>
  <si>
    <t>ass0041_special_chiryo</t>
  </si>
  <si>
    <t>ass0050_negaeri</t>
  </si>
  <si>
    <t>ass0050_ijo</t>
  </si>
  <si>
    <t>ass0050_koku_seiketsu</t>
  </si>
  <si>
    <t>ass0050_shokuji_sesshu</t>
  </si>
  <si>
    <t>ass0050_ifuku_chakudatsu</t>
  </si>
  <si>
    <t>ass0050_shinryo_shiji</t>
  </si>
  <si>
    <t>ass0050_kiken_kodo</t>
  </si>
  <si>
    <t>ass0051_negaeri</t>
  </si>
  <si>
    <t>ass0051_ijo_kanja</t>
  </si>
  <si>
    <t>ass0051_koku_seiketsu_kanja</t>
  </si>
  <si>
    <t>ass0051_shokuji_sesshu_kanja</t>
  </si>
  <si>
    <t>ass0051_ifuku_chakudatsu_kanja</t>
  </si>
  <si>
    <t>ass0051_shinryo_shiji</t>
  </si>
  <si>
    <t>ass0051_kiken_kodo</t>
  </si>
  <si>
    <t>ass0051_ijo_kaijo</t>
  </si>
  <si>
    <t>ass0051_koku_seiketsu_kaijo</t>
  </si>
  <si>
    <t>ass0051_shokuji_sesshu_kaijo</t>
  </si>
  <si>
    <t>ass0051_ifuku_chakudatsu_kaijo</t>
  </si>
  <si>
    <t>ass0060_sosho_shochi</t>
  </si>
  <si>
    <t>蘇生術の施行</t>
  </si>
  <si>
    <t>ass0060_sosei</t>
  </si>
  <si>
    <t>ass0060_kokyu_care</t>
  </si>
  <si>
    <t>ass0060_tenteki_kanri</t>
  </si>
  <si>
    <t>ass0060_shindenzu_kanri</t>
  </si>
  <si>
    <t>ass0060_yueki_pump_kanri</t>
  </si>
  <si>
    <t>ass0060_domyaku_sokutei</t>
  </si>
  <si>
    <t>ass0060_syringe_pump_kanri</t>
  </si>
  <si>
    <t>ass0060_jomyaku_sokutei</t>
  </si>
  <si>
    <t>ass0060_jinko_kokyuki_kanri</t>
  </si>
  <si>
    <t>ass0060_blood_products_kanri</t>
  </si>
  <si>
    <t>ass0060_hai_domyaku_sokutei</t>
  </si>
  <si>
    <t>ass0060_special_chiryo</t>
  </si>
  <si>
    <t>ass0061_sosho_shochi</t>
  </si>
  <si>
    <t>ass0061_sosei</t>
  </si>
  <si>
    <t>呼吸ケア（喀痰吸引のみの場合及び人工呼吸器の装着の場合を除く）</t>
  </si>
  <si>
    <t>ass0061_kokyu_care_respirator_trim</t>
  </si>
  <si>
    <t>点滴ライン同時３本以上の管理</t>
  </si>
  <si>
    <t>ass0061_tenteki_kanri</t>
  </si>
  <si>
    <t>ass0061_shindenzu_kanri</t>
  </si>
  <si>
    <t>ass0061_yueki_pump_kanri</t>
  </si>
  <si>
    <t>ass0061_domyaku_sokutei</t>
  </si>
  <si>
    <t>ass0061_syringe_pump_kanri</t>
  </si>
  <si>
    <t>ass0061_jomyaku_sokutei</t>
  </si>
  <si>
    <t>ass0061_jinko_kokyuki_kanri</t>
  </si>
  <si>
    <t>ass0061_blood_products_kanri</t>
  </si>
  <si>
    <t>ass0061_hai_domyaku_sokutei</t>
  </si>
  <si>
    <t>ass0061_special_chiryo</t>
  </si>
  <si>
    <t>ass0070_negaeri</t>
  </si>
  <si>
    <t>ass0070_ijo</t>
  </si>
  <si>
    <t>ass0070_koku_seiketsu</t>
  </si>
  <si>
    <t>ass0070_shokuji_sesshu</t>
  </si>
  <si>
    <t>ass0070_ifuku_chakudatsu</t>
  </si>
  <si>
    <t>ass0070_shinryo_shiji</t>
  </si>
  <si>
    <t>危険行動</t>
    <rPh sb="2" eb="4">
      <t>コウドウ</t>
    </rPh>
    <phoneticPr fontId="3"/>
  </si>
  <si>
    <t>ass0070_kiken_kodo</t>
  </si>
  <si>
    <t>ass0071_negaeri</t>
  </si>
  <si>
    <t>ass0071_ijo_kanja</t>
  </si>
  <si>
    <t>ass0071_koku_seiketsu_kanja</t>
  </si>
  <si>
    <t>ass0071_shokuji_sesshu_kanja</t>
  </si>
  <si>
    <t>ass0071_ifuku_chakudatsu_kanja</t>
  </si>
  <si>
    <t>ass0071_shinryo_shiji</t>
  </si>
  <si>
    <t>ass0071_kiken_kodo</t>
  </si>
  <si>
    <t>ass0071_ijo_kaijo</t>
  </si>
  <si>
    <t>ass0071_koku_seiketsu_kaijo</t>
  </si>
  <si>
    <t>ass0071_shokuji_sesshu_kaijo</t>
  </si>
  <si>
    <t>ass0071_ifuku_chakudatsu_kaijo</t>
  </si>
  <si>
    <t>看護必要度判定対象</t>
  </si>
  <si>
    <t>tar0010_kango_hantei</t>
  </si>
  <si>
    <t>ASS0010</t>
  </si>
  <si>
    <t>”ASS0010”固定</t>
    <rPh sb="9" eb="11">
      <t>コテイ</t>
    </rPh>
    <phoneticPr fontId="3"/>
  </si>
  <si>
    <t>20160401</t>
  </si>
  <si>
    <t>”20160401”固定</t>
    <rPh sb="10" eb="12">
      <t>コテイ</t>
    </rPh>
    <phoneticPr fontId="3"/>
  </si>
  <si>
    <t>①創傷の処置（褥瘡の処置を除く）、②褥瘡の処置）
①～②に関して
0: なし
1: あり
の2 桁の数字
例
①創傷の処置（褥瘡の処置を除く）のみ該当した場合→10</t>
  </si>
  <si>
    <t>0: なし 1: あり</t>
  </si>
  <si>
    <t>① 抗悪性腫瘍剤の使用（注射剤のみ）、② 抗悪性腫瘍剤の内服の管理、③ 麻薬の使用（注射剤のみ）、④ 麻薬の内服、貼付、坐剤の管理、⑤ 放射線治療、⑥免疫抑制剤の管理、⑦ 昇圧剤の使用（注射剤のみ）、⑧ 抗不整脈剤の使用（注射剤のみ）、⑨ 抗血栓塞栓薬の持続点滴の使用、⑩ ドレナージの管理、⑪無菌治療室での治療）
①～⑪に関して
0: なし
1: あり
の11 桁の数字
例
① 抗悪性腫瘍剤の使用（注射剤のみ）のみ該当した場合→10000000000</t>
  </si>
  <si>
    <t>⑤ 放射線治療、⑩ ドレナージの管理、⑪ 無菌治療室での治療
⑤⑩⑪に関して
0: なし
1: あり
の3 桁の数字
例
⑤放射線治療のみ該当した場合→100</t>
  </si>
  <si>
    <t>0: できる 1: 何かにつかまればできる 2: できない</t>
  </si>
  <si>
    <t>0: 介助なし 1: 一部介助 2: 全介助</t>
  </si>
  <si>
    <t>0: 介助なし 1: 介助あり</t>
  </si>
  <si>
    <t>0：はい 1：いいえ</t>
  </si>
  <si>
    <t>0：ない 1：ある</t>
  </si>
  <si>
    <t>0:自立 1:一部介助 2:全介助</t>
  </si>
  <si>
    <t>0:自立 1:要介助</t>
  </si>
  <si>
    <t>0：実施なし 1:実施あり</t>
  </si>
  <si>
    <t>①経皮的血管内治療、②経皮的心筋焼灼等の治療、③侵襲的な消化器治療
①～③に関して
0: なし
1: あり
の3 桁の数字
例
①経皮的血管内治療のみ該当した場合→100</t>
  </si>
  <si>
    <t>①創傷の処置（褥瘡の処置を除く）、②褥瘡の処置）
①～②に関して
0: なし
1: あり
の2 桁の数字
例
①創傷の処置（褥瘡の処置を除く）のみ該当した場合→10</t>
    <phoneticPr fontId="3"/>
  </si>
  <si>
    <t>0: 重症度、医療・看護必要度判定対象
1: 短期滞在手術等基本料算定症例
2: 年齢が 15 歳未満
3: 産科の患者
4: 外泊日（0 時から 24時の間の外泊）
5: 退院日（入院した日に退院した場合は除く）</t>
    <phoneticPr fontId="3"/>
  </si>
  <si>
    <t>処理名</t>
    <rPh sb="0" eb="2">
      <t>ショリ</t>
    </rPh>
    <rPh sb="2" eb="3">
      <t>メイ</t>
    </rPh>
    <phoneticPr fontId="9"/>
  </si>
  <si>
    <t>work</t>
    <phoneticPr fontId="9"/>
  </si>
  <si>
    <t>select</t>
    <phoneticPr fontId="9"/>
  </si>
  <si>
    <t>入院年月日</t>
    <rPh sb="0" eb="2">
      <t>ニュウイン</t>
    </rPh>
    <rPh sb="2" eb="5">
      <t>ネンガッピ</t>
    </rPh>
    <phoneticPr fontId="3"/>
  </si>
  <si>
    <t>回数管理番号</t>
    <rPh sb="0" eb="2">
      <t>カイスウ</t>
    </rPh>
    <rPh sb="2" eb="4">
      <t>カンリ</t>
    </rPh>
    <rPh sb="4" eb="6">
      <t>バンゴウ</t>
    </rPh>
    <phoneticPr fontId="3"/>
  </si>
  <si>
    <t>times_no</t>
  </si>
  <si>
    <t>統括診療情報番号</t>
  </si>
  <si>
    <t>sokatsu_shinryo_no</t>
  </si>
  <si>
    <t>生年月日</t>
  </si>
  <si>
    <t>a000010_birthday</t>
  </si>
  <si>
    <t>性別</t>
  </si>
  <si>
    <t>a000010_sex</t>
  </si>
  <si>
    <t>患者住所地域の郵便番号</t>
  </si>
  <si>
    <t>a000010_postal_code</t>
  </si>
  <si>
    <t>a000020_nyuin_ymd</t>
  </si>
  <si>
    <t>入院経路</t>
  </si>
  <si>
    <t>a000020_nyuin_route</t>
  </si>
  <si>
    <t>他院よりの紹介の有無</t>
  </si>
  <si>
    <t>a000020_shokai_flag</t>
  </si>
  <si>
    <t>自院の外来からの入院</t>
  </si>
  <si>
    <t>a000020_gairai_nyuin_flag</t>
  </si>
  <si>
    <t>予定・救急医療入院</t>
  </si>
  <si>
    <t>a000020_yotei_nyuin</t>
  </si>
  <si>
    <t>救急車による搬送の有無</t>
  </si>
  <si>
    <t>a000020_hanso_flag</t>
  </si>
  <si>
    <t>入院前の在宅医療の有無</t>
  </si>
  <si>
    <t>a000020_nyuin_homecare_flag</t>
  </si>
  <si>
    <t>自傷行為・自殺企図の有無</t>
  </si>
  <si>
    <t>a000020_jisho_flag</t>
  </si>
  <si>
    <t>過去の自傷行為・自殺企図の有無</t>
  </si>
  <si>
    <t>a000020_kako_jisho_flag</t>
  </si>
  <si>
    <t>a000030_taiin_ymd</t>
  </si>
  <si>
    <t>退院先</t>
  </si>
  <si>
    <t>a000030_taiin_saki</t>
  </si>
  <si>
    <t>退院時転帰</t>
  </si>
  <si>
    <t>a000030_taiin_tenki</t>
  </si>
  <si>
    <t>24時間以内の死亡の有無</t>
  </si>
  <si>
    <t>a000030_death24_flag</t>
  </si>
  <si>
    <t>退院後の在宅医療の有無</t>
  </si>
  <si>
    <t>a000030_taiin_homecare_flag</t>
  </si>
  <si>
    <t>様式1開始日</t>
  </si>
  <si>
    <t>a000031_ff1_start_ymd</t>
  </si>
  <si>
    <t>様式1終了日</t>
  </si>
  <si>
    <t>a000031_ff1_end_ymd</t>
  </si>
  <si>
    <t>診療科コード</t>
  </si>
  <si>
    <t>a000040_department_code</t>
  </si>
  <si>
    <t>転科の有無</t>
  </si>
  <si>
    <t>a000040_tenka_flag</t>
  </si>
  <si>
    <t>調査対象となる一般病棟への入院の有無</t>
  </si>
  <si>
    <t>a000050_ippan_ward_flag</t>
  </si>
  <si>
    <t>調査対象となる精神病棟への入院の有無</t>
  </si>
  <si>
    <t>a000050_seishin_ward_flag</t>
  </si>
  <si>
    <t>調査対象となるその他の病棟への入院の有無</t>
  </si>
  <si>
    <t>a000050_other_ward_flag</t>
  </si>
  <si>
    <t>入院中の主な診療目的</t>
  </si>
  <si>
    <t>a000060_shinryo_purpose</t>
  </si>
  <si>
    <t>治験実施の有無</t>
  </si>
  <si>
    <t>a000060_trial_flag</t>
  </si>
  <si>
    <t>前回退院年月日</t>
  </si>
  <si>
    <t>a000070_zentaiin_ymd</t>
  </si>
  <si>
    <t>前回同一傷病で自院入院の有無</t>
  </si>
  <si>
    <t>a000070_same_jiin_nyuin_flag</t>
  </si>
  <si>
    <t>再入院種別</t>
  </si>
  <si>
    <t>a000080_sai_nyuin_type</t>
  </si>
  <si>
    <t>理由の種別</t>
  </si>
  <si>
    <t>a000080_riyu_type</t>
  </si>
  <si>
    <t>自由記載欄</t>
    <rPh sb="0" eb="2">
      <t>ジユウ</t>
    </rPh>
    <rPh sb="2" eb="4">
      <t>キサイ</t>
    </rPh>
    <rPh sb="4" eb="5">
      <t>ラン</t>
    </rPh>
    <phoneticPr fontId="3"/>
  </si>
  <si>
    <t>a000080_free_entry</t>
  </si>
  <si>
    <t>再転棟種別</t>
  </si>
  <si>
    <t>a000090_sai_tento_type</t>
  </si>
  <si>
    <t>a000090_riyu_type</t>
  </si>
  <si>
    <t>a000090_free_entry</t>
  </si>
  <si>
    <t>身長</t>
  </si>
  <si>
    <t>a001010_height</t>
  </si>
  <si>
    <t>体重</t>
  </si>
  <si>
    <t>a001010_weight</t>
  </si>
  <si>
    <t>喫煙指数</t>
  </si>
  <si>
    <t>a001020_smoking</t>
  </si>
  <si>
    <t>現在の妊娠の有無</t>
  </si>
  <si>
    <t>a002010_ninshin_flag</t>
  </si>
  <si>
    <t>入院時の妊娠週数</t>
  </si>
  <si>
    <t>a002010_nyuin_ninshin</t>
  </si>
  <si>
    <t>出生時体重</t>
  </si>
  <si>
    <t>a003010_birth_weight</t>
  </si>
  <si>
    <t>出生時妊娠週数</t>
  </si>
  <si>
    <t>a003010_birth_ninshin</t>
  </si>
  <si>
    <t>認知症高齢者の日常生活自立度判定基準</t>
  </si>
  <si>
    <t>a004010_aged_jiritsu_kijun</t>
  </si>
  <si>
    <t>要介護度</t>
  </si>
  <si>
    <t>a004020_care</t>
  </si>
  <si>
    <t>a004030_santei_start_ymd</t>
  </si>
  <si>
    <t>a004030_santei_end_ymd</t>
  </si>
  <si>
    <t>低栄養の有無（算定開始時）</t>
  </si>
  <si>
    <t>a004030_teieiyo_start_flag</t>
  </si>
  <si>
    <t>摂食・嚥下機能障害の有無（算定開始時）</t>
  </si>
  <si>
    <t>a004030_sesshoku_shogai_start_flag</t>
  </si>
  <si>
    <t>低栄養の有無（算定終了時）</t>
  </si>
  <si>
    <t>a004030_teieiyo_end_flag</t>
  </si>
  <si>
    <t>摂食・嚥下機能障害の有無（算定終了時）</t>
  </si>
  <si>
    <t>a004030_sesshoku_shogai_end_flag</t>
  </si>
  <si>
    <t>経管・経静脈栄養の状況（様式1 開始日時点）</t>
  </si>
  <si>
    <t>a004030_keikan_eiyou_start</t>
  </si>
  <si>
    <t>経管・経静脈栄養の状況（様式1 終了日時点）</t>
  </si>
  <si>
    <t>a004030_keikan_eiyou_end</t>
  </si>
  <si>
    <t>ICD10コード</t>
  </si>
  <si>
    <t>a006010_icd10_code</t>
  </si>
  <si>
    <t>傷病名コード</t>
  </si>
  <si>
    <t>a006010_shobyo_code</t>
  </si>
  <si>
    <t>修飾語コード1</t>
  </si>
  <si>
    <t>a006010_shushoku_code1</t>
  </si>
  <si>
    <t>修飾語コード2</t>
  </si>
  <si>
    <t>a006010_shushoku_code2</t>
  </si>
  <si>
    <t>修飾語コード3</t>
  </si>
  <si>
    <t>a006010_shushoku_code3</t>
  </si>
  <si>
    <t>修飾語コード4</t>
  </si>
  <si>
    <t>a006010_shushoku_code4</t>
  </si>
  <si>
    <t>主傷病名</t>
  </si>
  <si>
    <t>a006010_main_shobyo_name</t>
  </si>
  <si>
    <t>a006020_icd10_code</t>
  </si>
  <si>
    <t>a006020_shobyo_code</t>
  </si>
  <si>
    <t>a006020_shushoku_code1</t>
  </si>
  <si>
    <t>a006020_shushoku_code2</t>
  </si>
  <si>
    <t>a006020_shushoku_code3</t>
  </si>
  <si>
    <t>a006020_shushoku_code4</t>
  </si>
  <si>
    <t>入院の契機となった傷病名</t>
  </si>
  <si>
    <t>a006020_nyuin_shobyo_name</t>
  </si>
  <si>
    <t>a006030_icd10_code</t>
  </si>
  <si>
    <t>病名付加コード</t>
  </si>
  <si>
    <t>a006030_byomei_fuka_code</t>
  </si>
  <si>
    <t>a006030_shobyo_code</t>
  </si>
  <si>
    <t>a006030_shushoku_code1</t>
  </si>
  <si>
    <t>a006030_shushoku_code2</t>
  </si>
  <si>
    <t>a006030_shushoku_code3</t>
  </si>
  <si>
    <t>a006030_shushoku_code4</t>
  </si>
  <si>
    <t>医療資源を最も投入した傷病名</t>
  </si>
  <si>
    <t>a006030_iryo1_shobyo_name</t>
  </si>
  <si>
    <t>a006031_icd10_code</t>
  </si>
  <si>
    <t>a006031_shobyo_code</t>
  </si>
  <si>
    <t>a006031_shushoku_code1</t>
  </si>
  <si>
    <t>a006031_shushoku_code2</t>
  </si>
  <si>
    <t>a006031_shushoku_code3</t>
  </si>
  <si>
    <t>a006031_shushoku_code4</t>
  </si>
  <si>
    <t>医療資源を2番目に投入した傷病名</t>
  </si>
  <si>
    <t>a006031_iryo2_shobyo_name</t>
  </si>
  <si>
    <t>難病の告示番号1</t>
  </si>
  <si>
    <t>a006060_nanbyo_kokuji_no1</t>
  </si>
  <si>
    <t>医療費助成の有無1</t>
  </si>
  <si>
    <t>a006060_iryohi_josei_flag1</t>
  </si>
  <si>
    <t>難病の告示番号2</t>
  </si>
  <si>
    <t>a006060_nanbyo_kokuji_no2</t>
  </si>
  <si>
    <t>医療費助成の有無2</t>
  </si>
  <si>
    <t>a006060_iryohi_josei_flag2</t>
  </si>
  <si>
    <t>入院時のADLスコア</t>
  </si>
  <si>
    <t>adl0010_nyuin_adl</t>
  </si>
  <si>
    <t>退院時のADLスコア</t>
  </si>
  <si>
    <t>adl0020_taiin_adl</t>
  </si>
  <si>
    <t>入棟・入室時のADLスコア</t>
  </si>
  <si>
    <t>adl0030_nyutou_adl</t>
  </si>
  <si>
    <t>退棟・退室時のADLスコア</t>
  </si>
  <si>
    <t>adl0040_taitou_adl</t>
  </si>
  <si>
    <t>がんの初発、再発</t>
  </si>
  <si>
    <t>can0010_gan_shohatsu</t>
  </si>
  <si>
    <t>UICC病期分類（T）</t>
  </si>
  <si>
    <t>can0020_uicc_t</t>
  </si>
  <si>
    <t>UICC病期分類（N）</t>
  </si>
  <si>
    <t>can0020_uicc_n</t>
  </si>
  <si>
    <t>UICC病期分類（M）</t>
  </si>
  <si>
    <t>can0020_uicc_m</t>
  </si>
  <si>
    <t>UICC病期分類（版）</t>
  </si>
  <si>
    <t>can0020_uicc_han</t>
  </si>
  <si>
    <t>癌取扱い規約に基づくがんのStage分類</t>
  </si>
  <si>
    <t>can0030_gan_stage</t>
  </si>
  <si>
    <t>化学療法の有無</t>
  </si>
  <si>
    <t>can0040_kagaku_ryoho_flag</t>
  </si>
  <si>
    <t>入院時意識障害がある場合のJCS</t>
  </si>
  <si>
    <t>jcs0010_nyuin_jcs</t>
  </si>
  <si>
    <t>救急受診時意識障害がある場合のJCS</t>
  </si>
  <si>
    <t>jcs0010_emergency_jcs</t>
  </si>
  <si>
    <t>文字列</t>
  </si>
  <si>
    <t>治療室又は病棟入室時意識障害がある場合のJCS</t>
  </si>
  <si>
    <t>jcs0010_nyusitsu_jcs</t>
  </si>
  <si>
    <t>退院時意識障害がある場合のJCS</t>
  </si>
  <si>
    <t>jcs0020_taiin_jcs</t>
  </si>
  <si>
    <t>発症前RankinScale</t>
  </si>
  <si>
    <t>m010010_before_rankin_scale</t>
  </si>
  <si>
    <t>脳卒中の発症時期</t>
  </si>
  <si>
    <t>m010010_stroke</t>
  </si>
  <si>
    <t>退院時modifiedRankin</t>
  </si>
  <si>
    <t>m010020_taiin_modified_rankin</t>
  </si>
  <si>
    <t>テモゾロミド（初回治療）の有無</t>
  </si>
  <si>
    <t>m010030_temozolomide_flag</t>
  </si>
  <si>
    <t>Hugh-Jones分類</t>
  </si>
  <si>
    <t>m040010_hugh_jones</t>
  </si>
  <si>
    <t>肺炎の重症度分類</t>
  </si>
  <si>
    <t>m040020_haien_jushodo</t>
  </si>
  <si>
    <t>医療介護関連肺炎に該当の有無</t>
  </si>
  <si>
    <t>m040020_kanren_haien_flag</t>
  </si>
  <si>
    <t>救急受診時のP/F比</t>
  </si>
  <si>
    <t>m040030_emergency_pf</t>
  </si>
  <si>
    <t>救急受診時の呼吸補助</t>
  </si>
  <si>
    <t>m040030_emergency_kokyu</t>
  </si>
  <si>
    <t>治療室又は病棟入室時のP/F比</t>
  </si>
  <si>
    <t>m040030_nyusitsu_pf</t>
  </si>
  <si>
    <t>治療室又は病棟入室時の呼吸補助</t>
  </si>
  <si>
    <t>m040030_nyusitsu_kokyu</t>
  </si>
  <si>
    <t>NYHA心機能分類</t>
  </si>
  <si>
    <t>m050010_nyha</t>
  </si>
  <si>
    <t>救急受診時のNYHA心機能分類</t>
  </si>
  <si>
    <t>m050010_emergency_nyha</t>
  </si>
  <si>
    <t>治療室又は病棟入室時のNYHA 心機能分類</t>
  </si>
  <si>
    <t>m050010_nyusitsu_nyha</t>
  </si>
  <si>
    <t>CCS分類</t>
  </si>
  <si>
    <t>m050020_ccs</t>
  </si>
  <si>
    <t>Killip分類</t>
  </si>
  <si>
    <t>m050030_killip</t>
  </si>
  <si>
    <t>収縮期血圧</t>
  </si>
  <si>
    <t>m050040_ketsuatsu</t>
  </si>
  <si>
    <t>急性心筋梗塞の発症時期</t>
  </si>
  <si>
    <t>m050050_acuteMI</t>
  </si>
  <si>
    <t>入院時左室駆出率</t>
  </si>
  <si>
    <t>m050060_nyuin_kusyutsuritsu</t>
  </si>
  <si>
    <t>Stanford A/B型</t>
  </si>
  <si>
    <t>m050070_stanford_ab</t>
  </si>
  <si>
    <t>肝硬変のChild-Pugh分類</t>
  </si>
  <si>
    <t>m060010_kankohen_child_pugh</t>
  </si>
  <si>
    <t>急性膵炎の重症度分類</t>
  </si>
  <si>
    <t>m060020_kyuseisuien_jushodo</t>
  </si>
  <si>
    <t>抗リウマチ分子標的薬の初回導入治療の有無</t>
  </si>
  <si>
    <t>m070010_riumachi_flag</t>
  </si>
  <si>
    <t>入院周辺の分娩の有無</t>
  </si>
  <si>
    <t>m120010_nyuin_bunben_flag</t>
  </si>
  <si>
    <t>分娩時出血量</t>
  </si>
  <si>
    <t>m120010_bunben_shukketsuryo</t>
  </si>
  <si>
    <t>BurnIndex</t>
  </si>
  <si>
    <t>m160010_burnindex</t>
  </si>
  <si>
    <t>入院時GAF尺度</t>
  </si>
  <si>
    <t>m170010_nyuin_gaf</t>
  </si>
  <si>
    <t>精神保健福祉法における入院形態</t>
  </si>
  <si>
    <t>m170020_mental_nyuin_keitai</t>
  </si>
  <si>
    <t>精神保健福祉法に基づく隔離日数</t>
  </si>
  <si>
    <t>m170020_mental_kakuri_days</t>
  </si>
  <si>
    <t>精神保健福祉法に基づく身体拘束日数</t>
  </si>
  <si>
    <t>m170020_mental_kosoku_days</t>
  </si>
  <si>
    <t>その他の重症度分類・分類番号または記号</t>
  </si>
  <si>
    <t>mzz0010_other_jusho_no</t>
  </si>
  <si>
    <t>その他の重症度分類・名称</t>
  </si>
  <si>
    <t>mzz0010_other_jusho_name</t>
  </si>
  <si>
    <t>システムへ取り込む年月（YYYYMM）</t>
    <rPh sb="5" eb="6">
      <t>ト</t>
    </rPh>
    <rPh sb="7" eb="8">
      <t>コ</t>
    </rPh>
    <rPh sb="9" eb="11">
      <t>ネンゲツ</t>
    </rPh>
    <phoneticPr fontId="2"/>
  </si>
  <si>
    <t>ファイル名の「施設コード」から施設マスタの施設IDを設定</t>
    <rPh sb="4" eb="5">
      <t>メイ</t>
    </rPh>
    <rPh sb="7" eb="9">
      <t>シセツ</t>
    </rPh>
    <phoneticPr fontId="2"/>
  </si>
  <si>
    <t>”DPC”固定</t>
    <rPh sb="5" eb="7">
      <t>コテイ</t>
    </rPh>
    <phoneticPr fontId="2"/>
  </si>
  <si>
    <t>A000010</t>
  </si>
  <si>
    <t>”A000010”固定</t>
    <rPh sb="9" eb="11">
      <t>コテイ</t>
    </rPh>
    <phoneticPr fontId="2"/>
  </si>
  <si>
    <t>”20140401”固定</t>
    <rPh sb="10" eb="12">
      <t>コテイ</t>
    </rPh>
    <phoneticPr fontId="2"/>
  </si>
  <si>
    <t>1.男 2.女</t>
    <phoneticPr fontId="2"/>
  </si>
  <si>
    <t>0.無 1.有</t>
  </si>
  <si>
    <t>1.縊頚・自絞
2.飛び降り・飛び込み
3.服毒（消毒薬・洗剤・針等の異物を含む）
4.過量服薬
5.刃物等による体幹の切創・刺創
6.四肢の切創・刺創（手首自傷を含む）
7.一酸化炭素中毒・焼身
8.入水
9.上記の複合的併用
10.その他
99.無</t>
  </si>
  <si>
    <t>0.確認できない
1.確認できる
9.不明</t>
  </si>
  <si>
    <t>0.入院後24 時間以内の死亡無し
1.入院後24 時間以内の死亡有り
2.救急患者として搬送され、入院前に処置室、手術室等で死亡有り</t>
  </si>
  <si>
    <t>0.無 1.当院が提供 2.他施設が提供 9.不明</t>
  </si>
  <si>
    <t>1.診断・検査のみ 2.教育入院 3.計画された短期入院の繰り返し（化学療法、放射線療法、抜釘） 4.その他の加療</t>
  </si>
  <si>
    <t>1．計画的再入院 2．計画外の再入院</t>
  </si>
  <si>
    <t>全角100文字以内で内容を入力</t>
  </si>
  <si>
    <t>1．計画的再転棟 2．計画外の再転棟</t>
  </si>
  <si>
    <t>センチメートル単位入力  例  156</t>
  </si>
  <si>
    <t xml:space="preserve">キログラム単位入力（小数点第一位まで） 
例  52.5、 53.0 </t>
  </si>
  <si>
    <t>1日の喫煙本数×喫煙年数</t>
  </si>
  <si>
    <t>0.無  1.有  2.不明</t>
  </si>
  <si>
    <t>2桁の数字</t>
    <rPh sb="1" eb="2">
      <t>ケタ</t>
    </rPh>
    <rPh sb="3" eb="5">
      <t>スウジ</t>
    </rPh>
    <phoneticPr fontId="2"/>
  </si>
  <si>
    <t>グラム単位入力  例  3000</t>
  </si>
  <si>
    <t>0.無し  1.Ⅰ  2.Ⅱ  3.Ⅲ  4.Ⅳ  5.Ｍ</t>
  </si>
  <si>
    <t>0.無  1.要支援 1  2.要支援 2  3.要介護 1  4.要介護 2  5．要介護 3  6．要介護 4  7．要介護 5  8．申請中  9．不明</t>
  </si>
  <si>
    <t>0.無  1.有  9. 当該判断を行っていない場合</t>
  </si>
  <si>
    <t>1桁目：経鼻胃管 2桁目：胃瘻・腸瘻 3桁目：末梢静脈栄養 4桁目：中心静脈栄養
0:実施、１：未実施</t>
    <rPh sb="43" eb="45">
      <t>ジッシ</t>
    </rPh>
    <rPh sb="48" eb="51">
      <t>ミジッシ</t>
    </rPh>
    <phoneticPr fontId="2"/>
  </si>
  <si>
    <t>主傷病に対する ICD10</t>
  </si>
  <si>
    <t>退院時サマリの主傷病欄に記入された傷病名</t>
  </si>
  <si>
    <t>入院の契機となった傷病名に対するICD10</t>
  </si>
  <si>
    <t>医療資源を最も投入した傷病名に対する ICD10</t>
  </si>
  <si>
    <t>医療資源を最も投入した傷病名でレセプトと請求した手術等の診療行為と一致する傷病名</t>
  </si>
  <si>
    <t xml:space="preserve">医療資源を 2 番目に投入した傷病名に対する ICD10 </t>
  </si>
  <si>
    <t>医療資源を 2 番目に投入した傷病名</t>
  </si>
  <si>
    <t>0.無  1.有</t>
  </si>
  <si>
    <t>10項目の評価視点について数字10桁で記入</t>
    <rPh sb="2" eb="4">
      <t>コウモク</t>
    </rPh>
    <rPh sb="5" eb="7">
      <t>ヒョウカ</t>
    </rPh>
    <rPh sb="7" eb="9">
      <t>シテン</t>
    </rPh>
    <rPh sb="13" eb="15">
      <t>スウジ</t>
    </rPh>
    <rPh sb="17" eb="18">
      <t>ケタ</t>
    </rPh>
    <rPh sb="19" eb="21">
      <t>キニュウ</t>
    </rPh>
    <phoneticPr fontId="2"/>
  </si>
  <si>
    <t>0.初発  1.再発</t>
    <rPh sb="2" eb="4">
      <t>ショハツ</t>
    </rPh>
    <rPh sb="8" eb="10">
      <t>サイハツ</t>
    </rPh>
    <phoneticPr fontId="2"/>
  </si>
  <si>
    <t>6.第 6 版  7.第 7 版  8.第 8 版</t>
    <rPh sb="2" eb="3">
      <t>ダイ</t>
    </rPh>
    <rPh sb="6" eb="7">
      <t>ハン</t>
    </rPh>
    <rPh sb="11" eb="12">
      <t>ダイ</t>
    </rPh>
    <rPh sb="15" eb="16">
      <t>ハン</t>
    </rPh>
    <rPh sb="20" eb="21">
      <t>ダイ</t>
    </rPh>
    <rPh sb="24" eb="25">
      <t>ハン</t>
    </rPh>
    <phoneticPr fontId="2"/>
  </si>
  <si>
    <t>0.無 1.有（経口） 2.有（皮下） 3.有（経静脈又は経動脈） 4.有（その他）</t>
    <rPh sb="2" eb="3">
      <t>ム</t>
    </rPh>
    <rPh sb="6" eb="7">
      <t>ユウ</t>
    </rPh>
    <rPh sb="8" eb="10">
      <t>ケイコウ</t>
    </rPh>
    <rPh sb="14" eb="15">
      <t>ユウ</t>
    </rPh>
    <rPh sb="16" eb="18">
      <t>ヒカ</t>
    </rPh>
    <rPh sb="22" eb="23">
      <t>ユウ</t>
    </rPh>
    <rPh sb="24" eb="25">
      <t>キョウ</t>
    </rPh>
    <rPh sb="25" eb="27">
      <t>ジョウミャク</t>
    </rPh>
    <rPh sb="27" eb="28">
      <t>マタ</t>
    </rPh>
    <rPh sb="29" eb="30">
      <t>キョウ</t>
    </rPh>
    <rPh sb="30" eb="32">
      <t>ドウミャク</t>
    </rPh>
    <rPh sb="36" eb="37">
      <t>ユウ</t>
    </rPh>
    <rPh sb="40" eb="41">
      <t>タ</t>
    </rPh>
    <phoneticPr fontId="2"/>
  </si>
  <si>
    <t>0.無  1.有（1～300）R.不穏  I.糞尿失禁  A.自発性喪失 
  例  意識レベル 3 で自発性喪失の場合は｢3A｣と記録</t>
  </si>
  <si>
    <t>0.無  1～300.意識レベル記入
999.不明</t>
    <rPh sb="11" eb="13">
      <t>イシキ</t>
    </rPh>
    <rPh sb="16" eb="18">
      <t>キニュウ</t>
    </rPh>
    <rPh sb="23" eb="25">
      <t>フメイ</t>
    </rPh>
    <phoneticPr fontId="2"/>
  </si>
  <si>
    <t>0.無  1～300.意識レベル記入
999.治療室又は病棟に入室していない</t>
    <rPh sb="23" eb="26">
      <t>チリョウシツ</t>
    </rPh>
    <rPh sb="26" eb="27">
      <t>マタ</t>
    </rPh>
    <phoneticPr fontId="2"/>
  </si>
  <si>
    <t>0.無 1.有</t>
    <rPh sb="2" eb="3">
      <t>ム</t>
    </rPh>
    <rPh sb="6" eb="7">
      <t>ユウ</t>
    </rPh>
    <phoneticPr fontId="2"/>
  </si>
  <si>
    <t>100～700:mmHg 999:不明</t>
  </si>
  <si>
    <t>0:無 1:有 9:不明</t>
  </si>
  <si>
    <t>0.分類不能
1.レベルⅠ
2.レベルⅡ
3.レベルⅢ
4.レベルⅣ</t>
    <rPh sb="2" eb="6">
      <t>ブンルイフノウ</t>
    </rPh>
    <phoneticPr fontId="2"/>
  </si>
  <si>
    <t>0.分類不能＆不明
1.レベルⅠ
2.レベルⅡ
3.レベルⅢ
4.レベルⅣ</t>
    <rPh sb="2" eb="6">
      <t>ブンルイフノウ</t>
    </rPh>
    <rPh sb="7" eb="9">
      <t>フメイ</t>
    </rPh>
    <phoneticPr fontId="2"/>
  </si>
  <si>
    <t>0.分類不能＆対象外
1.レベルⅠ
2.レベルⅡ
3.レベルⅢ
4.レベルⅣ</t>
    <rPh sb="7" eb="10">
      <t>タイショウガイ</t>
    </rPh>
    <phoneticPr fontId="2"/>
  </si>
  <si>
    <t xml:space="preserve">1.100mmHg 未満  2.100mmHg 以上、140mmHg 以下  3.140mmHg 超 </t>
  </si>
  <si>
    <t>1:急性（1週未満）
2:亜急性（1週以上4週未満）
3:慢性（4週以上）
4:無症候性（発症日なし）</t>
  </si>
  <si>
    <t>0:分類不能＆不明
1:LVEF40%未満
2:LVEF40%以上、LVEF50%未満
3:LVEF50%以上</t>
    <rPh sb="2" eb="6">
      <t>ブンルイフノウ</t>
    </rPh>
    <rPh sb="7" eb="9">
      <t>フメイ</t>
    </rPh>
    <phoneticPr fontId="2"/>
  </si>
  <si>
    <t>0:分類不能
1:Stanford A型
2:Stanford B型</t>
  </si>
  <si>
    <t>Bil＝1、Alb=2、腹水＝1、脳症＝3、PT=2 の場合は”12132”と記入</t>
  </si>
  <si>
    <t>1．入院前1週間以内に分娩あり 2．入院中に分娩あり 3．その他</t>
  </si>
  <si>
    <t>分娩時出血量をミリリットル単位で記入</t>
  </si>
  <si>
    <t>0～100 の数字</t>
  </si>
  <si>
    <t>1. 任意入院  2. 医療保護入院 3. 措置入院  4. 応急入院</t>
  </si>
  <si>
    <t>日数を記入（単位 日）</t>
  </si>
  <si>
    <t>空欄</t>
    <rPh sb="0" eb="2">
      <t>クウラン</t>
    </rPh>
    <phoneticPr fontId="2"/>
  </si>
  <si>
    <t>取込年月</t>
    <rPh sb="0" eb="2">
      <t>トリコミ</t>
    </rPh>
    <rPh sb="2" eb="4">
      <t>ネンゲツ</t>
    </rPh>
    <phoneticPr fontId="2"/>
  </si>
  <si>
    <t>文字列</t>
    <rPh sb="0" eb="3">
      <t>モジレツ</t>
    </rPh>
    <phoneticPr fontId="2"/>
  </si>
  <si>
    <t>診療年月</t>
    <rPh sb="0" eb="2">
      <t>シンリョウ</t>
    </rPh>
    <rPh sb="2" eb="4">
      <t>ネンゲツ</t>
    </rPh>
    <phoneticPr fontId="2"/>
  </si>
  <si>
    <t>データ識別番号</t>
    <rPh sb="3" eb="5">
      <t>シキベツ</t>
    </rPh>
    <rPh sb="5" eb="7">
      <t>バンゴウ</t>
    </rPh>
    <phoneticPr fontId="2"/>
  </si>
  <si>
    <t>入院年月日</t>
    <rPh sb="0" eb="2">
      <t>ニュウイン</t>
    </rPh>
    <rPh sb="2" eb="5">
      <t>ネンガッピ</t>
    </rPh>
    <phoneticPr fontId="2"/>
  </si>
  <si>
    <t>回数管理番号</t>
    <rPh sb="0" eb="2">
      <t>カイスウ</t>
    </rPh>
    <rPh sb="2" eb="4">
      <t>カンリ</t>
    </rPh>
    <rPh sb="4" eb="6">
      <t>バンゴウ</t>
    </rPh>
    <phoneticPr fontId="2"/>
  </si>
  <si>
    <t>連番</t>
    <rPh sb="0" eb="2">
      <t>レンバン</t>
    </rPh>
    <phoneticPr fontId="2"/>
  </si>
  <si>
    <t>icd10_code</t>
  </si>
  <si>
    <t>shobyo_code</t>
  </si>
  <si>
    <t>shushoku_code1</t>
  </si>
  <si>
    <t>shushoku_code2</t>
  </si>
  <si>
    <t>shushoku_code3</t>
  </si>
  <si>
    <t>shushoku_code4</t>
  </si>
  <si>
    <t>入院時併存症名</t>
  </si>
  <si>
    <t>nyuin_heizonsho_name</t>
  </si>
  <si>
    <t>A006040</t>
  </si>
  <si>
    <t>”A006040”固定</t>
    <rPh sb="9" eb="11">
      <t>コテイ</t>
    </rPh>
    <phoneticPr fontId="2"/>
  </si>
  <si>
    <t>入院時併存症名に対する ICD10</t>
  </si>
  <si>
    <t>入院時点で既に存在していた傷病名</t>
  </si>
  <si>
    <t>facility_id</t>
    <phoneticPr fontId="9"/>
  </si>
  <si>
    <t>shinryo_ym</t>
    <phoneticPr fontId="9"/>
  </si>
  <si>
    <t>shikibetsu_no</t>
    <phoneticPr fontId="9"/>
  </si>
  <si>
    <t>nyuin_ymd</t>
    <phoneticPr fontId="9"/>
  </si>
  <si>
    <t>sokatsu_shinryo_no</t>
    <phoneticPr fontId="9"/>
  </si>
  <si>
    <t>入院後発症疾患名</t>
  </si>
  <si>
    <t>nyuin_shikkan_name</t>
  </si>
  <si>
    <t>A006050</t>
  </si>
  <si>
    <t>”A006050”固定</t>
    <rPh sb="9" eb="11">
      <t>コテイ</t>
    </rPh>
    <phoneticPr fontId="2"/>
  </si>
  <si>
    <t>入院後発症疾患名に対する ICD10</t>
  </si>
  <si>
    <t>入院中に発生した傷病名</t>
  </si>
  <si>
    <t>外来EF統合ファイルと様式1から組入れ条件の患者一覧を登録するテーブル</t>
    <rPh sb="27" eb="29">
      <t>トウロク</t>
    </rPh>
    <phoneticPr fontId="9"/>
  </si>
  <si>
    <t>icd10_s_cd</t>
  </si>
  <si>
    <t>icd10_s_name</t>
  </si>
  <si>
    <t>shobyo_name_cd</t>
    <phoneticPr fontId="9"/>
  </si>
  <si>
    <t xml:space="preserve">ファイル名から取得し、年月が4桁（YYMM)の場合はYYYYMM形式に変換する
（例）EFn_010314119_1706
 　 →201706
</t>
    <rPh sb="4" eb="5">
      <t>メイ</t>
    </rPh>
    <rPh sb="7" eb="9">
      <t>シュトク</t>
    </rPh>
    <rPh sb="11" eb="13">
      <t>ネンゲツ</t>
    </rPh>
    <rPh sb="15" eb="16">
      <t>ケタ</t>
    </rPh>
    <rPh sb="23" eb="25">
      <t>バアイ</t>
    </rPh>
    <rPh sb="32" eb="34">
      <t>ケイシキ</t>
    </rPh>
    <rPh sb="35" eb="37">
      <t>ヘンカン</t>
    </rPh>
    <rPh sb="41" eb="42">
      <t>レイ</t>
    </rPh>
    <phoneticPr fontId="4"/>
  </si>
  <si>
    <t>院外処方区分、一般名処方区分、性別、転帰区分及び主傷病を上5桁に設定し、残りの7桁に0を設定する</t>
    <phoneticPr fontId="9"/>
  </si>
  <si>
    <t>処理ID</t>
    <rPh sb="0" eb="2">
      <t>ショリ</t>
    </rPh>
    <phoneticPr fontId="9"/>
  </si>
  <si>
    <t>21_03</t>
    <phoneticPr fontId="9"/>
  </si>
  <si>
    <t>組入れ_施設別患者数_取得</t>
    <rPh sb="4" eb="10">
      <t>シセツベツカンジャスウ</t>
    </rPh>
    <phoneticPr fontId="9"/>
  </si>
  <si>
    <t>バックアップ_医科レセプト_医療機関情報レコード</t>
    <phoneticPr fontId="9"/>
  </si>
  <si>
    <t>請求年月</t>
    <rPh sb="0" eb="2">
      <t>セイキュウ</t>
    </rPh>
    <rPh sb="2" eb="4">
      <t>ネンゲツ</t>
    </rPh>
    <phoneticPr fontId="7"/>
  </si>
  <si>
    <t>seikyu_ym</t>
  </si>
  <si>
    <t>審査支払機関</t>
  </si>
  <si>
    <t>shinsa_kikan</t>
  </si>
  <si>
    <t>レコード識別情報</t>
  </si>
  <si>
    <t>record_shikibetsu</t>
  </si>
  <si>
    <t>レセプト番号</t>
    <rPh sb="4" eb="6">
      <t>バンゴウ</t>
    </rPh>
    <phoneticPr fontId="2"/>
  </si>
  <si>
    <t>receipt_no</t>
  </si>
  <si>
    <t>行番号</t>
    <rPh sb="0" eb="3">
      <t>ギョウバンゴウ</t>
    </rPh>
    <phoneticPr fontId="2"/>
  </si>
  <si>
    <t>gyo_no</t>
  </si>
  <si>
    <t>カルテ番号等</t>
    <rPh sb="3" eb="5">
      <t>バンゴウ</t>
    </rPh>
    <rPh sb="5" eb="6">
      <t>トウ</t>
    </rPh>
    <phoneticPr fontId="2"/>
  </si>
  <si>
    <t>karute_no</t>
  </si>
  <si>
    <t>都道府県</t>
  </si>
  <si>
    <t>prefecture</t>
  </si>
  <si>
    <t>点数表</t>
  </si>
  <si>
    <t>tensuhyo</t>
  </si>
  <si>
    <t>医療機関コード</t>
  </si>
  <si>
    <t>hospital_code</t>
  </si>
  <si>
    <t>予備1</t>
    <rPh sb="0" eb="2">
      <t>ヨビ</t>
    </rPh>
    <phoneticPr fontId="2"/>
  </si>
  <si>
    <t>reserve1</t>
  </si>
  <si>
    <t>医療機関名称</t>
  </si>
  <si>
    <t>hospital_name</t>
  </si>
  <si>
    <t>マルチボリューム識別情報</t>
  </si>
  <si>
    <t>multi_volume_shikibetsu</t>
  </si>
  <si>
    <t>電話番号</t>
    <rPh sb="0" eb="2">
      <t>デンワ</t>
    </rPh>
    <rPh sb="2" eb="4">
      <t>バンゴウ</t>
    </rPh>
    <phoneticPr fontId="7"/>
  </si>
  <si>
    <t>phone_no</t>
  </si>
  <si>
    <t>IRレコードの「都道府県、医療機関コード」から施設マスタの施設IDを設定</t>
  </si>
  <si>
    <t>GYYMM形式を、YYYYMM形式に変換する
※G:1（明治）,2（大正）,3（昭和）,4（平成）</t>
  </si>
  <si>
    <t>RCP</t>
  </si>
  <si>
    <t>”RCP”固定</t>
    <rPh sb="5" eb="7">
      <t>コテイ</t>
    </rPh>
    <phoneticPr fontId="2"/>
  </si>
  <si>
    <t>IR</t>
  </si>
  <si>
    <t>”IR”固定</t>
    <rPh sb="4" eb="6">
      <t>コテイ</t>
    </rPh>
    <phoneticPr fontId="2"/>
  </si>
  <si>
    <t>0固定</t>
    <rPh sb="1" eb="3">
      <t>コテイ</t>
    </rPh>
    <phoneticPr fontId="2"/>
  </si>
  <si>
    <t>IRレコードの「請求年月」- 1ヶ月
→GYYMM形式を、YYYYMM形式に変換する
※G:1（明治）,2（大正）,3（昭和）,4（平成）</t>
    <rPh sb="8" eb="10">
      <t>セイキュウ</t>
    </rPh>
    <rPh sb="10" eb="12">
      <t>ネンゲツ</t>
    </rPh>
    <rPh sb="17" eb="18">
      <t>ゲツ</t>
    </rPh>
    <rPh sb="25" eb="27">
      <t>ケイシキ</t>
    </rPh>
    <rPh sb="35" eb="37">
      <t>ケイシキ</t>
    </rPh>
    <rPh sb="38" eb="40">
      <t>ヘンカン</t>
    </rPh>
    <rPh sb="48" eb="50">
      <t>メイジ</t>
    </rPh>
    <rPh sb="54" eb="56">
      <t>タイショウ</t>
    </rPh>
    <rPh sb="60" eb="62">
      <t>ショウワ</t>
    </rPh>
    <rPh sb="66" eb="68">
      <t>ヘイセイ</t>
    </rPh>
    <phoneticPr fontId="2"/>
  </si>
  <si>
    <t>バックアップ_医科レセプト_レセプト共通レコード</t>
    <phoneticPr fontId="9"/>
  </si>
  <si>
    <t>バックアップ_医科レセプト_レセプト共通レコード</t>
    <phoneticPr fontId="9"/>
  </si>
  <si>
    <t>レセプト種別</t>
    <rPh sb="4" eb="6">
      <t>シュベツ</t>
    </rPh>
    <phoneticPr fontId="2"/>
  </si>
  <si>
    <t>receipt_type</t>
  </si>
  <si>
    <t>氏名</t>
    <rPh sb="0" eb="2">
      <t>シメイ</t>
    </rPh>
    <phoneticPr fontId="2"/>
  </si>
  <si>
    <t>name</t>
  </si>
  <si>
    <t>男女区分</t>
    <rPh sb="0" eb="2">
      <t>ダンジョ</t>
    </rPh>
    <rPh sb="2" eb="4">
      <t>クブン</t>
    </rPh>
    <phoneticPr fontId="2"/>
  </si>
  <si>
    <t>sex_kubun</t>
  </si>
  <si>
    <t>生年月日</t>
    <rPh sb="0" eb="2">
      <t>セイネン</t>
    </rPh>
    <rPh sb="2" eb="4">
      <t>ガッピ</t>
    </rPh>
    <phoneticPr fontId="2"/>
  </si>
  <si>
    <t>給付割合</t>
    <rPh sb="0" eb="2">
      <t>キュウフ</t>
    </rPh>
    <rPh sb="2" eb="4">
      <t>ワリアイ</t>
    </rPh>
    <phoneticPr fontId="2"/>
  </si>
  <si>
    <t>kyufu_wariai</t>
  </si>
  <si>
    <t>病棟区分1</t>
    <rPh sb="0" eb="2">
      <t>ビョウトウ</t>
    </rPh>
    <rPh sb="2" eb="4">
      <t>クブン</t>
    </rPh>
    <phoneticPr fontId="2"/>
  </si>
  <si>
    <t>ward_kubun1</t>
  </si>
  <si>
    <t>病棟区分2</t>
    <rPh sb="0" eb="2">
      <t>ビョウトウ</t>
    </rPh>
    <rPh sb="2" eb="4">
      <t>クブン</t>
    </rPh>
    <phoneticPr fontId="2"/>
  </si>
  <si>
    <t>ward_kubun2</t>
  </si>
  <si>
    <t>病棟区分3</t>
    <rPh sb="0" eb="2">
      <t>ビョウトウ</t>
    </rPh>
    <rPh sb="2" eb="4">
      <t>クブン</t>
    </rPh>
    <phoneticPr fontId="2"/>
  </si>
  <si>
    <t>ward_kubun3</t>
  </si>
  <si>
    <t>病棟区分4</t>
    <rPh sb="0" eb="2">
      <t>ビョウトウ</t>
    </rPh>
    <rPh sb="2" eb="4">
      <t>クブン</t>
    </rPh>
    <phoneticPr fontId="2"/>
  </si>
  <si>
    <t>ward_kubun4</t>
  </si>
  <si>
    <t>一部負担金・食事療養費・生活療養費標準負担額区分</t>
    <rPh sb="12" eb="14">
      <t>セイカツ</t>
    </rPh>
    <rPh sb="14" eb="17">
      <t>リョウヨウヒ</t>
    </rPh>
    <rPh sb="17" eb="19">
      <t>ヒョウジュン</t>
    </rPh>
    <rPh sb="19" eb="21">
      <t>フタン</t>
    </rPh>
    <rPh sb="21" eb="22">
      <t>ガク</t>
    </rPh>
    <rPh sb="22" eb="24">
      <t>クブン</t>
    </rPh>
    <phoneticPr fontId="2"/>
  </si>
  <si>
    <t>ichibu_futankin_kubun</t>
  </si>
  <si>
    <t>レセプト特記事項1</t>
    <rPh sb="4" eb="6">
      <t>トッキ</t>
    </rPh>
    <rPh sb="6" eb="8">
      <t>ジコウ</t>
    </rPh>
    <phoneticPr fontId="2"/>
  </si>
  <si>
    <t>receipt_tokki_code1</t>
  </si>
  <si>
    <t>レセプト特記事項2</t>
    <rPh sb="4" eb="6">
      <t>トッキ</t>
    </rPh>
    <rPh sb="6" eb="8">
      <t>ジコウ</t>
    </rPh>
    <phoneticPr fontId="2"/>
  </si>
  <si>
    <t>receipt_tokki_code2</t>
  </si>
  <si>
    <t>レセプト特記事項3</t>
    <rPh sb="4" eb="6">
      <t>トッキ</t>
    </rPh>
    <rPh sb="6" eb="8">
      <t>ジコウ</t>
    </rPh>
    <phoneticPr fontId="2"/>
  </si>
  <si>
    <t>receipt_tokki_code3</t>
  </si>
  <si>
    <t>レセプト特記事項4</t>
    <rPh sb="4" eb="6">
      <t>トッキ</t>
    </rPh>
    <rPh sb="6" eb="8">
      <t>ジコウ</t>
    </rPh>
    <phoneticPr fontId="2"/>
  </si>
  <si>
    <t>receipt_tokki_code4</t>
  </si>
  <si>
    <t>レセプト特記事項5</t>
    <rPh sb="4" eb="6">
      <t>トッキ</t>
    </rPh>
    <rPh sb="6" eb="8">
      <t>ジコウ</t>
    </rPh>
    <phoneticPr fontId="2"/>
  </si>
  <si>
    <t>receipt_tokki_code5</t>
  </si>
  <si>
    <t>病床数</t>
    <rPh sb="0" eb="3">
      <t>ビョウショウスウ</t>
    </rPh>
    <phoneticPr fontId="2"/>
  </si>
  <si>
    <t>bed_su</t>
  </si>
  <si>
    <t>割引点数単価</t>
    <rPh sb="0" eb="2">
      <t>ワリビキ</t>
    </rPh>
    <rPh sb="2" eb="4">
      <t>テンスウ</t>
    </rPh>
    <rPh sb="4" eb="6">
      <t>タンカ</t>
    </rPh>
    <phoneticPr fontId="2"/>
  </si>
  <si>
    <t>waribiki_tensu</t>
  </si>
  <si>
    <t>予備2</t>
    <rPh sb="0" eb="2">
      <t>ヨビ</t>
    </rPh>
    <phoneticPr fontId="2"/>
  </si>
  <si>
    <t>reserve2</t>
  </si>
  <si>
    <t>予備3</t>
    <rPh sb="0" eb="2">
      <t>ヨビ</t>
    </rPh>
    <phoneticPr fontId="2"/>
  </si>
  <si>
    <t>reserve3</t>
  </si>
  <si>
    <t>検索番号</t>
    <rPh sb="0" eb="2">
      <t>ケンサク</t>
    </rPh>
    <rPh sb="2" eb="4">
      <t>バンゴウ</t>
    </rPh>
    <phoneticPr fontId="2"/>
  </si>
  <si>
    <t>kensaku_no</t>
  </si>
  <si>
    <t>記録条件仕様年月情報</t>
    <rPh sb="0" eb="2">
      <t>キロク</t>
    </rPh>
    <rPh sb="2" eb="4">
      <t>ジョウケン</t>
    </rPh>
    <rPh sb="4" eb="6">
      <t>シヨウ</t>
    </rPh>
    <rPh sb="6" eb="8">
      <t>ネンゲツ</t>
    </rPh>
    <rPh sb="8" eb="10">
      <t>ジョウホウ</t>
    </rPh>
    <phoneticPr fontId="2"/>
  </si>
  <si>
    <t>kiroku_ym</t>
  </si>
  <si>
    <t>請求情報</t>
    <rPh sb="0" eb="2">
      <t>セイキュウ</t>
    </rPh>
    <rPh sb="2" eb="4">
      <t>ジョウホウ</t>
    </rPh>
    <phoneticPr fontId="2"/>
  </si>
  <si>
    <t>seikyu_info</t>
  </si>
  <si>
    <t>診療科1診療科名</t>
  </si>
  <si>
    <t>department1_name</t>
  </si>
  <si>
    <t>診療科1人体の部位等</t>
  </si>
  <si>
    <t>department1_jintai</t>
  </si>
  <si>
    <t>診療科1性別等</t>
  </si>
  <si>
    <t>department1_sex</t>
  </si>
  <si>
    <t>診療科1医学的処置</t>
  </si>
  <si>
    <t>department1_igaku</t>
  </si>
  <si>
    <t>診療科1特定疾病</t>
  </si>
  <si>
    <t>department1_shippei</t>
  </si>
  <si>
    <t>診療科2診療科名</t>
  </si>
  <si>
    <t>department2_name</t>
  </si>
  <si>
    <t>診療科2人体の部位等</t>
  </si>
  <si>
    <t>department2_jintai</t>
  </si>
  <si>
    <t>診療科2性別等</t>
  </si>
  <si>
    <t>department2_sex</t>
  </si>
  <si>
    <t>診療科2医学的処置</t>
  </si>
  <si>
    <t>department2_igaku</t>
  </si>
  <si>
    <t>診療科2特定疾病</t>
  </si>
  <si>
    <t>department2_shippei</t>
  </si>
  <si>
    <t>診療科3診療科名</t>
  </si>
  <si>
    <t>department3_name</t>
  </si>
  <si>
    <t>診療科3人体の部位等</t>
  </si>
  <si>
    <t>department3_jintai</t>
  </si>
  <si>
    <t>診療科3性別等</t>
  </si>
  <si>
    <t>department3_sex</t>
  </si>
  <si>
    <t>診療科3医学的処置</t>
  </si>
  <si>
    <t>department3_igaku</t>
  </si>
  <si>
    <t>診療科3特定疾病</t>
  </si>
  <si>
    <t>department3_shippei</t>
  </si>
  <si>
    <t>カタカナ（氏名）</t>
  </si>
  <si>
    <t>kana_name</t>
  </si>
  <si>
    <t>患者の状態1</t>
  </si>
  <si>
    <t>patient_state1</t>
  </si>
  <si>
    <t>患者の状態2</t>
  </si>
  <si>
    <t>patient_state2</t>
  </si>
  <si>
    <t>患者の状態3</t>
  </si>
  <si>
    <t>patient_state3</t>
  </si>
  <si>
    <t>患者の状態4</t>
  </si>
  <si>
    <t>patient_state4</t>
  </si>
  <si>
    <t>患者の状態5</t>
  </si>
  <si>
    <t>patient_state5</t>
  </si>
  <si>
    <t>患者の状態6</t>
  </si>
  <si>
    <t>patient_state6</t>
  </si>
  <si>
    <t>患者の状態7</t>
  </si>
  <si>
    <t>patient_state7</t>
  </si>
  <si>
    <t>患者の状態8</t>
  </si>
  <si>
    <t>patient_state8</t>
  </si>
  <si>
    <t>患者の状態9</t>
  </si>
  <si>
    <t>patient_state9</t>
  </si>
  <si>
    <t>患者の状態10</t>
  </si>
  <si>
    <t>patient_state10</t>
  </si>
  <si>
    <t>患者の状態11</t>
  </si>
  <si>
    <t>patient_state11</t>
  </si>
  <si>
    <t>患者の状態12</t>
  </si>
  <si>
    <t>patient_state12</t>
  </si>
  <si>
    <t>患者の状態13</t>
  </si>
  <si>
    <t>patient_state13</t>
  </si>
  <si>
    <t>患者の状態14</t>
  </si>
  <si>
    <t>patient_state14</t>
  </si>
  <si>
    <t>患者の状態15</t>
  </si>
  <si>
    <t>patient_state15</t>
  </si>
  <si>
    <t>患者の状態16</t>
  </si>
  <si>
    <t>patient_state16</t>
  </si>
  <si>
    <t>患者の状態17</t>
  </si>
  <si>
    <t>patient_state17</t>
  </si>
  <si>
    <t>患者の状態18</t>
  </si>
  <si>
    <t>patient_state18</t>
  </si>
  <si>
    <t>患者の状態19</t>
  </si>
  <si>
    <t>patient_state19</t>
  </si>
  <si>
    <t>患者の状態20</t>
  </si>
  <si>
    <t>patient_state20</t>
  </si>
  <si>
    <t>IRレコードの「請求年月」より取得</t>
    <rPh sb="8" eb="10">
      <t>セイキュウ</t>
    </rPh>
    <rPh sb="10" eb="12">
      <t>ネンゲツ</t>
    </rPh>
    <rPh sb="15" eb="17">
      <t>シュトク</t>
    </rPh>
    <phoneticPr fontId="2"/>
  </si>
  <si>
    <t>REレコードの「診療年月」より取得
→GYYMM形式を、YYYYMM形式に変換する
※G:1（明治）,2（大正）,3（昭和）,4（平成）</t>
    <rPh sb="8" eb="10">
      <t>シンリョウ</t>
    </rPh>
    <rPh sb="10" eb="12">
      <t>ネンゲツ</t>
    </rPh>
    <rPh sb="15" eb="17">
      <t>シュトク</t>
    </rPh>
    <rPh sb="24" eb="26">
      <t>ケイシキ</t>
    </rPh>
    <rPh sb="34" eb="36">
      <t>ケイシキ</t>
    </rPh>
    <rPh sb="37" eb="39">
      <t>ヘンカン</t>
    </rPh>
    <rPh sb="47" eb="49">
      <t>メイジ</t>
    </rPh>
    <rPh sb="53" eb="55">
      <t>タイショウ</t>
    </rPh>
    <rPh sb="59" eb="61">
      <t>ショウワ</t>
    </rPh>
    <rPh sb="65" eb="67">
      <t>ヘイセイ</t>
    </rPh>
    <phoneticPr fontId="2"/>
  </si>
  <si>
    <t>IRレコードの「審査支払機関」より取得</t>
  </si>
  <si>
    <t>RE</t>
  </si>
  <si>
    <t>”RE”固定</t>
    <rPh sb="4" eb="6">
      <t>コテイ</t>
    </rPh>
    <phoneticPr fontId="2"/>
  </si>
  <si>
    <t>REレコードの「レセプト番号」より取得</t>
    <rPh sb="17" eb="19">
      <t>シュトク</t>
    </rPh>
    <phoneticPr fontId="2"/>
  </si>
  <si>
    <t>”RE”を１行目とした際のレセプト単位の通番</t>
    <rPh sb="6" eb="8">
      <t>ギョウメ</t>
    </rPh>
    <rPh sb="11" eb="12">
      <t>サイ</t>
    </rPh>
    <phoneticPr fontId="2"/>
  </si>
  <si>
    <t>REレコードの「カルテ番号等」より取得</t>
    <rPh sb="11" eb="13">
      <t>バンゴウ</t>
    </rPh>
    <rPh sb="13" eb="14">
      <t>トウ</t>
    </rPh>
    <rPh sb="17" eb="19">
      <t>シュトク</t>
    </rPh>
    <phoneticPr fontId="2"/>
  </si>
  <si>
    <t>≪匿名化対象≫</t>
  </si>
  <si>
    <t>1.男 2.女</t>
  </si>
  <si>
    <t>GYYMMDD形式を、YYYYMMDD形式に変換する
※G:1（明治）,2（大正）,3（昭和）,4（平成）
≪匿名化対象：YYYYMM（日のみ削除）≫</t>
    <rPh sb="68" eb="69">
      <t>ニチ</t>
    </rPh>
    <rPh sb="71" eb="73">
      <t>サクジョ</t>
    </rPh>
    <phoneticPr fontId="2"/>
  </si>
  <si>
    <t>GYYMMDD形式を、YYYYMMDD形式に変換する
※G:1（明治）,2（大正）,3（昭和）,4（平成）</t>
  </si>
  <si>
    <t>「病棟区分」を2桁区切りで分割</t>
    <rPh sb="1" eb="3">
      <t>ビョウトウ</t>
    </rPh>
    <rPh sb="3" eb="5">
      <t>クブン</t>
    </rPh>
    <rPh sb="8" eb="9">
      <t>ケタ</t>
    </rPh>
    <rPh sb="9" eb="11">
      <t>クギ</t>
    </rPh>
    <rPh sb="13" eb="15">
      <t>ブンカツ</t>
    </rPh>
    <phoneticPr fontId="2"/>
  </si>
  <si>
    <t>「特記事項」を2桁区切りで分割</t>
    <rPh sb="1" eb="3">
      <t>トッキ</t>
    </rPh>
    <rPh sb="3" eb="5">
      <t>ジコウ</t>
    </rPh>
    <rPh sb="8" eb="9">
      <t>ケタ</t>
    </rPh>
    <rPh sb="9" eb="11">
      <t>クギ</t>
    </rPh>
    <rPh sb="13" eb="15">
      <t>ブンカツ</t>
    </rPh>
    <phoneticPr fontId="2"/>
  </si>
  <si>
    <t>「患者の状態」を3桁区切りで分割</t>
    <rPh sb="9" eb="10">
      <t>ケタ</t>
    </rPh>
    <phoneticPr fontId="2"/>
  </si>
  <si>
    <t>バックアップ_医科レセプト_傷病名レコード</t>
    <phoneticPr fontId="9"/>
  </si>
  <si>
    <t>バックアップ_医科レセプト_傷病名レコード</t>
    <phoneticPr fontId="9"/>
  </si>
  <si>
    <t>診療開始日</t>
  </si>
  <si>
    <t>shinryo_start_date</t>
  </si>
  <si>
    <t>転帰区分</t>
  </si>
  <si>
    <t>tenki_kubun</t>
  </si>
  <si>
    <t>修飾語コード5</t>
  </si>
  <si>
    <t>shushoku_code5</t>
  </si>
  <si>
    <t>修飾語コード6</t>
  </si>
  <si>
    <t>shushoku_code6</t>
  </si>
  <si>
    <t>修飾語コード7</t>
  </si>
  <si>
    <t>shushoku_code7</t>
  </si>
  <si>
    <t>修飾語コード8</t>
  </si>
  <si>
    <t>shushoku_code8</t>
  </si>
  <si>
    <t>修飾語コード9</t>
  </si>
  <si>
    <t>shushoku_code9</t>
  </si>
  <si>
    <t>修飾語コード10</t>
  </si>
  <si>
    <t>shushoku_code10</t>
  </si>
  <si>
    <t>修飾語コード11</t>
  </si>
  <si>
    <t>shushoku_code11</t>
  </si>
  <si>
    <t>修飾語コード12</t>
  </si>
  <si>
    <t>shushoku_code12</t>
  </si>
  <si>
    <t>修飾語コード13</t>
  </si>
  <si>
    <t>shushoku_code13</t>
  </si>
  <si>
    <t>修飾語コード14</t>
  </si>
  <si>
    <t>shushoku_code14</t>
  </si>
  <si>
    <t>修飾語コード15</t>
  </si>
  <si>
    <t>shushoku_code15</t>
  </si>
  <si>
    <t>修飾語コード16</t>
  </si>
  <si>
    <t>shushoku_code16</t>
  </si>
  <si>
    <t>修飾語コード17</t>
  </si>
  <si>
    <t>shushoku_code17</t>
  </si>
  <si>
    <t>修飾語コード18</t>
  </si>
  <si>
    <t>shushoku_code18</t>
  </si>
  <si>
    <t>修飾語コード19</t>
  </si>
  <si>
    <t>shushoku_code19</t>
  </si>
  <si>
    <t>修飾語コード20</t>
  </si>
  <si>
    <t>shushoku_code20</t>
  </si>
  <si>
    <t>傷病名称</t>
  </si>
  <si>
    <t>shobyo_name</t>
  </si>
  <si>
    <t>主傷病</t>
  </si>
  <si>
    <t>main_shobyo_code</t>
  </si>
  <si>
    <t>補足コメント</t>
  </si>
  <si>
    <t>hosoku_comment</t>
  </si>
  <si>
    <t>REレコードの「診療年月」より取得</t>
    <rPh sb="8" eb="10">
      <t>シンリョウ</t>
    </rPh>
    <rPh sb="10" eb="12">
      <t>ネンゲツ</t>
    </rPh>
    <rPh sb="15" eb="17">
      <t>シュトク</t>
    </rPh>
    <phoneticPr fontId="2"/>
  </si>
  <si>
    <t>SY</t>
  </si>
  <si>
    <t>”SY”固定</t>
    <rPh sb="4" eb="6">
      <t>コテイ</t>
    </rPh>
    <phoneticPr fontId="2"/>
  </si>
  <si>
    <t>”RE”を１行目とした際のレセプト内の行番号</t>
    <rPh sb="6" eb="8">
      <t>ギョウメ</t>
    </rPh>
    <rPh sb="11" eb="12">
      <t>サイ</t>
    </rPh>
    <rPh sb="17" eb="18">
      <t>ナイ</t>
    </rPh>
    <rPh sb="19" eb="22">
      <t>ギョウバンゴウ</t>
    </rPh>
    <phoneticPr fontId="2"/>
  </si>
  <si>
    <t>「修飾語コード」を4桁区切りで分割</t>
    <rPh sb="1" eb="4">
      <t>シュウショクゴ</t>
    </rPh>
    <rPh sb="10" eb="11">
      <t>ケタ</t>
    </rPh>
    <rPh sb="11" eb="13">
      <t>クギ</t>
    </rPh>
    <rPh sb="15" eb="17">
      <t>ブンカツ</t>
    </rPh>
    <phoneticPr fontId="2"/>
  </si>
  <si>
    <t>バックアップ_医科レセプト_診療行為レコード</t>
    <phoneticPr fontId="9"/>
  </si>
  <si>
    <t>バックアップ_医科レセプト_診療行為レコード</t>
    <phoneticPr fontId="9"/>
  </si>
  <si>
    <t>診療識別</t>
    <rPh sb="0" eb="2">
      <t>シンリョウ</t>
    </rPh>
    <rPh sb="2" eb="4">
      <t>シキベツ</t>
    </rPh>
    <phoneticPr fontId="2"/>
  </si>
  <si>
    <t>shinryo_shikibetsu</t>
  </si>
  <si>
    <t>負担区分</t>
  </si>
  <si>
    <t>futan_kubun</t>
  </si>
  <si>
    <t>診療行為コード</t>
  </si>
  <si>
    <t>shinryo_koi_code</t>
  </si>
  <si>
    <t>数量データ</t>
  </si>
  <si>
    <t>suryo_data</t>
  </si>
  <si>
    <t>点数</t>
  </si>
  <si>
    <t>tensu</t>
  </si>
  <si>
    <t>回数</t>
  </si>
  <si>
    <t>times</t>
  </si>
  <si>
    <t>コメントコード1</t>
  </si>
  <si>
    <t>comment_code1</t>
  </si>
  <si>
    <t>文字データ1</t>
  </si>
  <si>
    <t>comment_data1</t>
  </si>
  <si>
    <t>コメントコード2</t>
  </si>
  <si>
    <t>comment_code2</t>
  </si>
  <si>
    <t>文字データ2</t>
  </si>
  <si>
    <t>comment_data2</t>
  </si>
  <si>
    <t>コメントコード3</t>
  </si>
  <si>
    <t>comment_code3</t>
  </si>
  <si>
    <t>文字データ3</t>
  </si>
  <si>
    <t>comment_data3</t>
  </si>
  <si>
    <t>SI</t>
  </si>
  <si>
    <t>”SI”固定</t>
    <rPh sb="4" eb="6">
      <t>コテイ</t>
    </rPh>
    <phoneticPr fontId="2"/>
  </si>
  <si>
    <t>バックアップ_医科レセプト_診療行為レコード_算定日情報</t>
    <phoneticPr fontId="9"/>
  </si>
  <si>
    <t>バックアップ_医科レセプト_診療行為レコード_算定日情報</t>
    <phoneticPr fontId="9"/>
  </si>
  <si>
    <t>算定日</t>
    <rPh sb="0" eb="2">
      <t>サンテイ</t>
    </rPh>
    <rPh sb="2" eb="3">
      <t>ビ</t>
    </rPh>
    <phoneticPr fontId="2"/>
  </si>
  <si>
    <t>santei_ymd</t>
  </si>
  <si>
    <t>回数</t>
    <rPh sb="0" eb="2">
      <t>カイスウ</t>
    </rPh>
    <phoneticPr fontId="2"/>
  </si>
  <si>
    <t>算定日（YYYYMMDD）</t>
    <rPh sb="0" eb="2">
      <t>サンテイ</t>
    </rPh>
    <rPh sb="2" eb="3">
      <t>ビ</t>
    </rPh>
    <phoneticPr fontId="2"/>
  </si>
  <si>
    <t>バックアップ_医科レセプト_医薬品レコード</t>
    <phoneticPr fontId="9"/>
  </si>
  <si>
    <t>バックアップ_医科レセプト_医薬品レコード_算定日情報</t>
    <phoneticPr fontId="9"/>
  </si>
  <si>
    <t>バックアップ_医科レセプト_臓器提供者レセプト情報レコード</t>
    <phoneticPr fontId="9"/>
  </si>
  <si>
    <t>バックアップ_医科レセプト_医薬品レコード</t>
    <phoneticPr fontId="9"/>
  </si>
  <si>
    <t>医薬品コード</t>
  </si>
  <si>
    <t>iyakuhin_code</t>
  </si>
  <si>
    <t>使用量</t>
  </si>
  <si>
    <t>実数</t>
    <rPh sb="0" eb="2">
      <t>ジッスウ</t>
    </rPh>
    <phoneticPr fontId="2"/>
  </si>
  <si>
    <t>IY</t>
  </si>
  <si>
    <t>”IY”固定</t>
    <rPh sb="4" eb="6">
      <t>コテイ</t>
    </rPh>
    <phoneticPr fontId="2"/>
  </si>
  <si>
    <t>整数部５桁、小数部５桁として、整数部と小数部は小数点で区切り記録する</t>
  </si>
  <si>
    <t>バックアップ_医科レセプト_医薬品レコード_算定日情報</t>
    <phoneticPr fontId="9"/>
  </si>
  <si>
    <t>バックアップ_医科レセプト_臓器提供者レセプト情報レコード</t>
    <phoneticPr fontId="9"/>
  </si>
  <si>
    <t>レセプト番号（臓器提供者レセプト情報）</t>
  </si>
  <si>
    <t>receipt_no_tr</t>
  </si>
  <si>
    <t>臓器提供者レセプト種別</t>
  </si>
  <si>
    <t>zoki_receipt_type</t>
  </si>
  <si>
    <t>診療年月（臓器提供者レセプト情報）</t>
  </si>
  <si>
    <t>shinryo_ym_tr</t>
  </si>
  <si>
    <t>男女区分</t>
  </si>
  <si>
    <t>病棟区分1</t>
  </si>
  <si>
    <t>病棟区分2</t>
  </si>
  <si>
    <t>病棟区分3</t>
  </si>
  <si>
    <t>病棟区分4</t>
  </si>
  <si>
    <t>レセプト特記事項1</t>
  </si>
  <si>
    <t>レセプト特記事項2</t>
  </si>
  <si>
    <t>レセプト特記事項3</t>
  </si>
  <si>
    <t>レセプト特記事項4</t>
  </si>
  <si>
    <t>レセプト特記事項5</t>
  </si>
  <si>
    <t>予備4</t>
    <rPh sb="0" eb="2">
      <t>ヨビ</t>
    </rPh>
    <phoneticPr fontId="2"/>
  </si>
  <si>
    <t>reserve4</t>
  </si>
  <si>
    <t>カルテ番号等（臓器提供者レセプト情報）</t>
  </si>
  <si>
    <t>karute_no_tr</t>
  </si>
  <si>
    <t>割引点数単価</t>
  </si>
  <si>
    <t>予備5</t>
    <rPh sb="0" eb="2">
      <t>ヨビ</t>
    </rPh>
    <phoneticPr fontId="2"/>
  </si>
  <si>
    <t>reserve5</t>
  </si>
  <si>
    <t>予備6</t>
    <rPh sb="0" eb="2">
      <t>ヨビ</t>
    </rPh>
    <phoneticPr fontId="2"/>
  </si>
  <si>
    <t>reserve6</t>
  </si>
  <si>
    <t>予備7</t>
    <rPh sb="0" eb="2">
      <t>ヨビ</t>
    </rPh>
    <phoneticPr fontId="2"/>
  </si>
  <si>
    <t>reserve7</t>
  </si>
  <si>
    <t>TR</t>
  </si>
  <si>
    <t>”TR”固定</t>
    <rPh sb="4" eb="6">
      <t>コテイ</t>
    </rPh>
    <phoneticPr fontId="2"/>
  </si>
  <si>
    <t>GYYMMDD形式を、YYYYMMDD形式に変換する
※G:1（明治）,2（大正）,3（昭和）,4（平成）
≪匿名化対象：YYYYMM（日のみ削除）≫</t>
  </si>
  <si>
    <t>バックアップ_DPCレセプト_医療機関情報レコード</t>
    <phoneticPr fontId="9"/>
  </si>
  <si>
    <t>バックアップ_DPCレセプト_医療機関情報レコード</t>
    <phoneticPr fontId="9"/>
  </si>
  <si>
    <t>レセプト総括区分</t>
    <rPh sb="4" eb="6">
      <t>ソウカツ</t>
    </rPh>
    <rPh sb="6" eb="8">
      <t>クブン</t>
    </rPh>
    <phoneticPr fontId="2"/>
  </si>
  <si>
    <t>receipt_sokatsu_kubun</t>
  </si>
  <si>
    <t>IRレコードの「都道府県、医療機関コード」から施設マスタの施設IDを設定</t>
    <rPh sb="8" eb="12">
      <t>トドウフケン</t>
    </rPh>
    <rPh sb="13" eb="15">
      <t>イリョウ</t>
    </rPh>
    <rPh sb="15" eb="17">
      <t>キカン</t>
    </rPh>
    <rPh sb="23" eb="25">
      <t>シセツ</t>
    </rPh>
    <rPh sb="29" eb="31">
      <t>シセツ</t>
    </rPh>
    <rPh sb="34" eb="36">
      <t>セッテイ</t>
    </rPh>
    <phoneticPr fontId="2"/>
  </si>
  <si>
    <t>バックアップ_DPCレセプト_レセプト共通レコード</t>
    <phoneticPr fontId="9"/>
  </si>
  <si>
    <t>バックアップ_DPCレセプト_レセプト共通レコード</t>
    <phoneticPr fontId="9"/>
  </si>
  <si>
    <t>明細情報数</t>
    <rPh sb="0" eb="2">
      <t>メイサイ</t>
    </rPh>
    <rPh sb="2" eb="4">
      <t>ジョウホウ</t>
    </rPh>
    <rPh sb="4" eb="5">
      <t>スウ</t>
    </rPh>
    <phoneticPr fontId="2"/>
  </si>
  <si>
    <t>meisai_su</t>
  </si>
  <si>
    <t>レセプト番号ごとに通番を付与</t>
    <rPh sb="4" eb="6">
      <t>バンゴウ</t>
    </rPh>
    <rPh sb="9" eb="10">
      <t>ツウ</t>
    </rPh>
    <rPh sb="10" eb="11">
      <t>バン</t>
    </rPh>
    <rPh sb="12" eb="14">
      <t>フヨ</t>
    </rPh>
    <phoneticPr fontId="2"/>
  </si>
  <si>
    <t>バックアップ_DPCレセプト_診断群分類レコード</t>
    <phoneticPr fontId="9"/>
  </si>
  <si>
    <t>バックアップ_DPCレセプト_診断群分類レコード</t>
    <phoneticPr fontId="9"/>
  </si>
  <si>
    <t>診断群分類番号</t>
  </si>
  <si>
    <t>shindangun_no</t>
  </si>
  <si>
    <t xml:space="preserve">今回入院年月日 </t>
  </si>
  <si>
    <t>konnyuin_ymd</t>
  </si>
  <si>
    <t>今回退院年月日</t>
  </si>
  <si>
    <t>kontaiin_ymd</t>
  </si>
  <si>
    <t>DPC転帰区分</t>
  </si>
  <si>
    <t>dpc_tenki_code</t>
  </si>
  <si>
    <t>死因</t>
  </si>
  <si>
    <t>death_cause</t>
  </si>
  <si>
    <t>BU</t>
  </si>
  <si>
    <t>”BU”固定</t>
    <rPh sb="4" eb="6">
      <t>コテイ</t>
    </rPh>
    <phoneticPr fontId="2"/>
  </si>
  <si>
    <t>REレコードの「レセプト総括区分」より取得</t>
    <rPh sb="19" eb="21">
      <t>シュトク</t>
    </rPh>
    <phoneticPr fontId="2"/>
  </si>
  <si>
    <t>バックアップ_DPCレセプト_傷病レコード</t>
    <phoneticPr fontId="9"/>
  </si>
  <si>
    <t>バックアップ_DPCレセプト_傷病レコード</t>
    <phoneticPr fontId="9"/>
  </si>
  <si>
    <t>傷病名区分</t>
  </si>
  <si>
    <t>shobyo_kubun</t>
  </si>
  <si>
    <t>SB</t>
  </si>
  <si>
    <t>”SB”固定</t>
    <rPh sb="4" eb="6">
      <t>コテイ</t>
    </rPh>
    <phoneticPr fontId="2"/>
  </si>
  <si>
    <t>バックアップ_DPCレセプト_傷病名レコード</t>
    <phoneticPr fontId="9"/>
  </si>
  <si>
    <t>バックアップ_DPCレセプト_傷病名レコード</t>
    <phoneticPr fontId="9"/>
  </si>
  <si>
    <t>バックアップ_DPCレセプト_診療行為レコード</t>
    <phoneticPr fontId="9"/>
  </si>
  <si>
    <t>バックアップ_DPCレセプト_診療行為レコード</t>
    <phoneticPr fontId="9"/>
  </si>
  <si>
    <t>バックアップ_DPCレセプト_診療行為レコード_算定日情報</t>
    <phoneticPr fontId="9"/>
  </si>
  <si>
    <t>バックアップ_DPCレセプト_診療行為レコード_算定日情報</t>
    <phoneticPr fontId="9"/>
  </si>
  <si>
    <t>REレコードの「レセプト総括区分」より取得</t>
    <rPh sb="19" eb="21">
      <t>シュトク</t>
    </rPh>
    <phoneticPr fontId="12"/>
  </si>
  <si>
    <t>バックアップ_DPCレセプト_医薬品レコード</t>
    <phoneticPr fontId="9"/>
  </si>
  <si>
    <t>バックアップ_DPCレセプト_医薬品レコード</t>
    <phoneticPr fontId="9"/>
  </si>
  <si>
    <t>バックアップ_DPCレセプト_医薬品レコード_算定日情報</t>
    <phoneticPr fontId="9"/>
  </si>
  <si>
    <t>バックアップ_DPCレセプト_医薬品レコード_算定日情報</t>
    <phoneticPr fontId="9"/>
  </si>
  <si>
    <t>バックアップ_DPCレセプト_臓器提供者レセプト情報レコード</t>
    <phoneticPr fontId="9"/>
  </si>
  <si>
    <t>バックアップ_DPCレセプト_臓器提供者レセプト情報レコード</t>
    <phoneticPr fontId="9"/>
  </si>
  <si>
    <t>バックアップ_患者情報モジュール_患者情報</t>
    <phoneticPr fontId="9"/>
  </si>
  <si>
    <t>バックアップ_患者情報モジュール_患者情報</t>
    <phoneticPr fontId="9"/>
  </si>
  <si>
    <t>診療年月日</t>
    <rPh sb="0" eb="2">
      <t>シンリョウ</t>
    </rPh>
    <rPh sb="2" eb="4">
      <t>ネンゲツ</t>
    </rPh>
    <rPh sb="4" eb="5">
      <t>ニチ</t>
    </rPh>
    <phoneticPr fontId="2"/>
  </si>
  <si>
    <t>shinryo_ymd</t>
  </si>
  <si>
    <t>データ種別</t>
    <rPh sb="3" eb="5">
      <t>シュベツ</t>
    </rPh>
    <phoneticPr fontId="2"/>
  </si>
  <si>
    <t>患者ID</t>
    <rPh sb="0" eb="2">
      <t>カンジャ</t>
    </rPh>
    <phoneticPr fontId="13"/>
  </si>
  <si>
    <t>master_id</t>
  </si>
  <si>
    <t>文書ユニークID</t>
  </si>
  <si>
    <t>uid</t>
  </si>
  <si>
    <t>患者情報SEQ</t>
    <rPh sb="0" eb="2">
      <t>カンジャ</t>
    </rPh>
    <rPh sb="2" eb="4">
      <t>ジョウホウ</t>
    </rPh>
    <phoneticPr fontId="2"/>
  </si>
  <si>
    <t>patient_seq</t>
  </si>
  <si>
    <t>主ID</t>
  </si>
  <si>
    <t>main_id</t>
  </si>
  <si>
    <t>主IDの種類コード</t>
    <rPh sb="0" eb="1">
      <t>シュ</t>
    </rPh>
    <phoneticPr fontId="2"/>
  </si>
  <si>
    <t>main_id_type_code</t>
  </si>
  <si>
    <t>主IDテーブル名</t>
  </si>
  <si>
    <t>main_id_name</t>
  </si>
  <si>
    <t>主IDチェックディジット</t>
  </si>
  <si>
    <t>main_id_check_digit</t>
  </si>
  <si>
    <t>主IDチェックディジット方式</t>
  </si>
  <si>
    <t>main_id_check_digit_system</t>
  </si>
  <si>
    <t>sex</t>
  </si>
  <si>
    <t>国籍コード</t>
  </si>
  <si>
    <t>nationality_code</t>
  </si>
  <si>
    <t>第2国籍コード</t>
  </si>
  <si>
    <t>subtype_code</t>
  </si>
  <si>
    <t>人種、民族</t>
  </si>
  <si>
    <t>race</t>
  </si>
  <si>
    <t>人種、民族コード</t>
  </si>
  <si>
    <t>race_code</t>
  </si>
  <si>
    <t>人種、民族使用テーブル</t>
  </si>
  <si>
    <t>race_code_id</t>
  </si>
  <si>
    <t>婚姻状態</t>
  </si>
  <si>
    <t>marital</t>
  </si>
  <si>
    <t>会計番号</t>
  </si>
  <si>
    <t>account_number</t>
  </si>
  <si>
    <t>社会番号</t>
  </si>
  <si>
    <t>socialIdentification</t>
  </si>
  <si>
    <t>死亡フラグ</t>
  </si>
  <si>
    <t>death_flag</t>
  </si>
  <si>
    <t>死亡日時</t>
  </si>
  <si>
    <t>death_date</t>
  </si>
  <si>
    <t>紐付けにて通番付与</t>
  </si>
  <si>
    <t>MML headerブロックの「施設コード」から施設マスタの施設IDを設定
/MmlHeader/mmlCi:CreatorInfo/mmlPsi:PersonalizedInfo/mmlFc:Facility/mmlCm:Id</t>
  </si>
  <si>
    <t>MML headerブロックの「カルテ電子保存の確定日時」（YYYYMMDD）を設定
/MmlHeader/MmlBody/MmlModuleItem/docInfo/confirmDate</t>
  </si>
  <si>
    <t>MML</t>
  </si>
  <si>
    <t>”MML”固定</t>
    <rPh sb="5" eb="7">
      <t>コテイ</t>
    </rPh>
    <phoneticPr fontId="2"/>
  </si>
  <si>
    <t>MML headerブロックの「患者ID」を設定
/MmlHeader/masterId/mmlCm:Id</t>
    <rPh sb="16" eb="18">
      <t>カンジャ</t>
    </rPh>
    <rPh sb="22" eb="24">
      <t>セッテイ</t>
    </rPh>
    <phoneticPr fontId="2"/>
  </si>
  <si>
    <t>/MmlBody/MmlModuleItem/docInfo/docId/uidの値を設定</t>
    <rPh sb="41" eb="42">
      <t>アタイ</t>
    </rPh>
    <rPh sb="43" eb="45">
      <t>セッテイ</t>
    </rPh>
    <phoneticPr fontId="2"/>
  </si>
  <si>
    <t>mmlPi:PatientModule単位に通番付与</t>
  </si>
  <si>
    <t>MML0001　Check digit schema (チェックディジット方式，HL7-0061準拠)
M10、M11</t>
  </si>
  <si>
    <t>YYYYMMDD
≪匿名化対象：YYYYMM（日のみ削除）≫</t>
  </si>
  <si>
    <t>MML0010　Sex (性別)
female、male、other、unknown</t>
  </si>
  <si>
    <t>1.男 2.女 3.その他 4.不明</t>
    <rPh sb="12" eb="13">
      <t>タ</t>
    </rPh>
    <rPh sb="16" eb="18">
      <t>フメイ</t>
    </rPh>
    <phoneticPr fontId="2"/>
  </si>
  <si>
    <t>ISO 3166 A3 コード使用
例.日本:JPN</t>
    <rPh sb="18" eb="19">
      <t>レイ</t>
    </rPh>
    <rPh sb="20" eb="22">
      <t>ニホン</t>
    </rPh>
    <phoneticPr fontId="2"/>
  </si>
  <si>
    <t>MML0011　Marital Status (婚姻状態，HL7table0002準拠)</t>
  </si>
  <si>
    <t>true:死亡，false:生存</t>
    <rPh sb="5" eb="7">
      <t>シボウ</t>
    </rPh>
    <rPh sb="14" eb="16">
      <t>セイゾン</t>
    </rPh>
    <phoneticPr fontId="2"/>
  </si>
  <si>
    <t>YYYYMMDDHHMM</t>
  </si>
  <si>
    <t>バックアップ_診断履歴情報モジュール_診断履歴情報レコード</t>
    <phoneticPr fontId="9"/>
  </si>
  <si>
    <t>バックアップ_診断履歴情報モジュール_診断履歴情報レコード</t>
    <phoneticPr fontId="9"/>
  </si>
  <si>
    <t>データ種別</t>
    <rPh sb="3" eb="5">
      <t>シュベツ</t>
    </rPh>
    <phoneticPr fontId="13"/>
  </si>
  <si>
    <t>診断SEQ</t>
    <rPh sb="0" eb="2">
      <t>シンダン</t>
    </rPh>
    <phoneticPr fontId="2"/>
  </si>
  <si>
    <t>shindan_seq</t>
  </si>
  <si>
    <t>疾患開始日</t>
  </si>
  <si>
    <t>shikkan_start_ymd</t>
  </si>
  <si>
    <t>疾患終了日</t>
  </si>
  <si>
    <t>shikkan_end_ymd</t>
  </si>
  <si>
    <t>転帰</t>
  </si>
  <si>
    <t>tenki</t>
  </si>
  <si>
    <t>疾患の初診日</t>
  </si>
  <si>
    <t>shikkan_first_ymd</t>
  </si>
  <si>
    <t>MML headerブロックの「カルテ電子保存の確定日時」（YYYYMMDD）を設定
/MmlBody/MmlModuleItem/docInfo/confirmDate</t>
  </si>
  <si>
    <t>mmlRd:RegisteredDiagnosisModule単位に通番付与</t>
    <rPh sb="31" eb="33">
      <t>タンイ</t>
    </rPh>
    <rPh sb="34" eb="36">
      <t>ツウバン</t>
    </rPh>
    <rPh sb="36" eb="38">
      <t>フヨ</t>
    </rPh>
    <phoneticPr fontId="2"/>
  </si>
  <si>
    <t>mmlRd:startDate:YYYYMMDD</t>
  </si>
  <si>
    <t>mmlRd:endDate:YYYYMMDD</t>
  </si>
  <si>
    <t>MML0016　Outcome (転帰)</t>
  </si>
  <si>
    <t>mmlRd:firstEncounterDate:YYYYMMDD</t>
  </si>
  <si>
    <t>バックアップ_診断履歴情報モジュール_診断病名レコード</t>
    <phoneticPr fontId="9"/>
  </si>
  <si>
    <t>バックアップ_診断履歴情報モジュール_診断病名レコード</t>
    <phoneticPr fontId="9"/>
  </si>
  <si>
    <t>病名SEQ</t>
  </si>
  <si>
    <t>byomei_seq</t>
  </si>
  <si>
    <t>病名</t>
  </si>
  <si>
    <t>byomei</t>
  </si>
  <si>
    <t>病名コード値</t>
    <rPh sb="0" eb="2">
      <t>ビョウメイ</t>
    </rPh>
    <phoneticPr fontId="2"/>
  </si>
  <si>
    <t>byomei_code</t>
  </si>
  <si>
    <t>病名コード体系名</t>
    <rPh sb="0" eb="2">
      <t>ビョウメイ</t>
    </rPh>
    <phoneticPr fontId="2"/>
  </si>
  <si>
    <t>byomei_code_id</t>
  </si>
  <si>
    <t>mmlRd:dxItem単位に通番付与</t>
    <rPh sb="12" eb="14">
      <t>タンイ</t>
    </rPh>
    <rPh sb="15" eb="17">
      <t>ツウバン</t>
    </rPh>
    <rPh sb="17" eb="19">
      <t>フヨ</t>
    </rPh>
    <phoneticPr fontId="2"/>
  </si>
  <si>
    <t>diagnosisまたはdiagnosisContents</t>
  </si>
  <si>
    <t>mmlRd:code</t>
  </si>
  <si>
    <t>mmlRd:system</t>
  </si>
  <si>
    <t>バックアップ_診断履歴情報モジュール_診断分類レコード</t>
    <phoneticPr fontId="9"/>
  </si>
  <si>
    <t>バックアップ_診断履歴情報モジュール_診断分類レコード</t>
    <phoneticPr fontId="9"/>
  </si>
  <si>
    <t>分類SEQ</t>
    <rPh sb="0" eb="2">
      <t>ブンルイ</t>
    </rPh>
    <phoneticPr fontId="2"/>
  </si>
  <si>
    <t>bunrui_seq</t>
  </si>
  <si>
    <t>分類名</t>
  </si>
  <si>
    <t>bunrui_name</t>
  </si>
  <si>
    <t>分類コード</t>
  </si>
  <si>
    <t>bunrui_code</t>
  </si>
  <si>
    <t>mmlRd:categories単位に通番付与</t>
    <rPh sb="16" eb="18">
      <t>タンイ</t>
    </rPh>
    <rPh sb="19" eb="21">
      <t>ツウバン</t>
    </rPh>
    <rPh sb="21" eb="23">
      <t>フヨ</t>
    </rPh>
    <phoneticPr fontId="2"/>
  </si>
  <si>
    <t>mmlRd:category</t>
  </si>
  <si>
    <t>mmlRd:tableId=
MML0012　mainDiagnosis
MML0013　academicDiagnosis
MML0014　pathologicalDiagnosis
MML0015　confirmedDiagnosis</t>
  </si>
  <si>
    <t>バックアップ_経過記録情報モジュール_経過記録情報レコード</t>
    <phoneticPr fontId="9"/>
  </si>
  <si>
    <t>バックアップ_経過記録情報モジュール_経過記録情報レコード</t>
    <phoneticPr fontId="9"/>
  </si>
  <si>
    <t>経過記録SEQ</t>
  </si>
  <si>
    <t>keika_seq</t>
  </si>
  <si>
    <t>自由記載</t>
    <rPh sb="0" eb="2">
      <t>ジユウ</t>
    </rPh>
    <rPh sb="2" eb="4">
      <t>キサイ</t>
    </rPh>
    <phoneticPr fontId="2"/>
  </si>
  <si>
    <t>free_expression</t>
  </si>
  <si>
    <t>mmlPc:ProgressCourseModule単位に通番付与</t>
    <rPh sb="26" eb="28">
      <t>タンイ</t>
    </rPh>
    <rPh sb="29" eb="31">
      <t>ツウバン</t>
    </rPh>
    <rPh sb="31" eb="33">
      <t>フヨ</t>
    </rPh>
    <phoneticPr fontId="2"/>
  </si>
  <si>
    <t>mmlPc:FreeExpression
XHTML使用可</t>
    <rPh sb="26" eb="29">
      <t>シヨウカ</t>
    </rPh>
    <phoneticPr fontId="2"/>
  </si>
  <si>
    <t>バックアップ_経過記録情報モジュール_プロブレムレコード</t>
    <phoneticPr fontId="9"/>
  </si>
  <si>
    <t>バックアップ_経過記録情報モジュール_プロブレムレコード</t>
    <phoneticPr fontId="9"/>
  </si>
  <si>
    <t>プロブレムSEQ</t>
  </si>
  <si>
    <t>problem_seq</t>
  </si>
  <si>
    <t>プロブレム名（疾病名）</t>
  </si>
  <si>
    <t>problem_shippei_name</t>
  </si>
  <si>
    <t>診断名のuid</t>
  </si>
  <si>
    <t>shindan_name_uid</t>
  </si>
  <si>
    <t>自由文章表現</t>
    <rPh sb="0" eb="2">
      <t>ジユウ</t>
    </rPh>
    <rPh sb="2" eb="4">
      <t>ブンショウ</t>
    </rPh>
    <rPh sb="4" eb="6">
      <t>ヒョウゲン</t>
    </rPh>
    <phoneticPr fontId="2"/>
  </si>
  <si>
    <t>free_note</t>
  </si>
  <si>
    <t>客観的自由記載</t>
    <rPh sb="0" eb="3">
      <t>キャッカンテキ</t>
    </rPh>
    <rPh sb="3" eb="5">
      <t>ジユウ</t>
    </rPh>
    <rPh sb="5" eb="7">
      <t>キサイ</t>
    </rPh>
    <phoneticPr fontId="2"/>
  </si>
  <si>
    <t>free_expression_objective</t>
  </si>
  <si>
    <t>検査結果</t>
    <rPh sb="0" eb="2">
      <t>ケンサ</t>
    </rPh>
    <rPh sb="2" eb="4">
      <t>ケッカ</t>
    </rPh>
    <phoneticPr fontId="2"/>
  </si>
  <si>
    <t>test_result</t>
  </si>
  <si>
    <t>処方実施記録</t>
    <rPh sb="0" eb="2">
      <t>ショホウ</t>
    </rPh>
    <rPh sb="2" eb="4">
      <t>ジッシ</t>
    </rPh>
    <rPh sb="4" eb="6">
      <t>キロク</t>
    </rPh>
    <phoneticPr fontId="2"/>
  </si>
  <si>
    <t>shohou_jisshi_kiroku</t>
  </si>
  <si>
    <t>処置実施記録</t>
  </si>
  <si>
    <t>shochi_jisshi_kiroku</t>
  </si>
  <si>
    <t>検査オーダー</t>
  </si>
  <si>
    <t>kensa_order</t>
  </si>
  <si>
    <t>処方オーダー</t>
    <rPh sb="0" eb="2">
      <t>ショホウ</t>
    </rPh>
    <phoneticPr fontId="2"/>
  </si>
  <si>
    <t>shohou_order</t>
  </si>
  <si>
    <t>治療処置オーダー</t>
  </si>
  <si>
    <t>chiryo_order</t>
  </si>
  <si>
    <t>方針自由記載</t>
    <rPh sb="0" eb="2">
      <t>ホウシン</t>
    </rPh>
    <rPh sb="2" eb="4">
      <t>ジユウ</t>
    </rPh>
    <rPh sb="4" eb="6">
      <t>キサイ</t>
    </rPh>
    <phoneticPr fontId="2"/>
  </si>
  <si>
    <t>free_expression_plan</t>
  </si>
  <si>
    <t>mmlPc:problemItem単位に通番付与</t>
    <rPh sb="17" eb="19">
      <t>タンイ</t>
    </rPh>
    <rPh sb="20" eb="22">
      <t>ツウバン</t>
    </rPh>
    <rPh sb="22" eb="24">
      <t>フヨ</t>
    </rPh>
    <phoneticPr fontId="2"/>
  </si>
  <si>
    <t>mmlPc:problem
XHTML可</t>
    <rPh sb="19" eb="20">
      <t>カ</t>
    </rPh>
    <phoneticPr fontId="2"/>
  </si>
  <si>
    <t>mmlPc:problem@mmlPC:dxUid
関連するmmlRd:RegisteredDiagnosisModuleのuidを記載する．</t>
  </si>
  <si>
    <t>mmlPc:freeNotes
XHTML使用可</t>
    <rPh sb="21" eb="24">
      <t>シヨウカ</t>
    </rPh>
    <phoneticPr fontId="2"/>
  </si>
  <si>
    <t>mmlPc:objectiveNotes
XHTML使用可</t>
    <rPh sb="26" eb="29">
      <t>シヨウカ</t>
    </rPh>
    <phoneticPr fontId="2"/>
  </si>
  <si>
    <t>mmlPc:testResult
XHTML使用可</t>
    <rPh sb="22" eb="25">
      <t>シヨウカ</t>
    </rPh>
    <phoneticPr fontId="2"/>
  </si>
  <si>
    <t>mmlPc:rxRecord
XHTML使用可</t>
    <rPh sb="20" eb="23">
      <t>シヨウカ</t>
    </rPh>
    <phoneticPr fontId="2"/>
  </si>
  <si>
    <t>mmlPc:txRecord
XHTML使用可</t>
  </si>
  <si>
    <t>mmlPc:testOrder
XHTML使用可</t>
  </si>
  <si>
    <t>mmlPc:rxOrder
XHTML使用可</t>
  </si>
  <si>
    <t>mmlPc:txOrder
XHTML使用可</t>
    <rPh sb="19" eb="22">
      <t>シヨウカ</t>
    </rPh>
    <phoneticPr fontId="2"/>
  </si>
  <si>
    <t>mmlPc:planNotes
XHTML使用可</t>
    <rPh sb="21" eb="24">
      <t>シヨウカ</t>
    </rPh>
    <phoneticPr fontId="2"/>
  </si>
  <si>
    <t>バックアップ_経過記録情報モジュール_身体所見レコード</t>
    <phoneticPr fontId="9"/>
  </si>
  <si>
    <t>バックアップ_経過記録情報モジュール_身体所見レコード</t>
    <phoneticPr fontId="9"/>
  </si>
  <si>
    <t>身体所見SEQ</t>
  </si>
  <si>
    <t>syoken_seq</t>
  </si>
  <si>
    <t>所見項目名</t>
  </si>
  <si>
    <t>syoken_item_name</t>
  </si>
  <si>
    <t>身体所見結果</t>
  </si>
  <si>
    <t>syoken_value</t>
  </si>
  <si>
    <t>身体所見結果解釈</t>
  </si>
  <si>
    <t>syoken_value_kaishaku</t>
  </si>
  <si>
    <t>mmlPc:physicalExamItem単位に通番付与</t>
    <rPh sb="22" eb="24">
      <t>タンイ</t>
    </rPh>
    <rPh sb="25" eb="27">
      <t>ツウバン</t>
    </rPh>
    <rPh sb="27" eb="29">
      <t>フヨ</t>
    </rPh>
    <phoneticPr fontId="2"/>
  </si>
  <si>
    <t>mmlPc:title</t>
  </si>
  <si>
    <t>mmlPc:result</t>
  </si>
  <si>
    <t>mmlPc:interpretation
XHTML可</t>
    <rPh sb="26" eb="27">
      <t>カ</t>
    </rPh>
    <phoneticPr fontId="2"/>
  </si>
  <si>
    <t>バックアップ_経過記録情報モジュール_アセスメントレコード</t>
    <phoneticPr fontId="9"/>
  </si>
  <si>
    <t>バックアップ_経過記録情報モジュール_アセスメントレコード</t>
    <phoneticPr fontId="9"/>
  </si>
  <si>
    <t>アセスメントSEQ</t>
  </si>
  <si>
    <t>assessment_item_seq</t>
  </si>
  <si>
    <t>アセスメント</t>
  </si>
  <si>
    <t>assessment_item</t>
  </si>
  <si>
    <t>mmlPc:assessmentItem単位に通番付与</t>
    <rPh sb="20" eb="22">
      <t>タンイ</t>
    </rPh>
    <rPh sb="23" eb="25">
      <t>ツウバン</t>
    </rPh>
    <rPh sb="25" eb="27">
      <t>フヨ</t>
    </rPh>
    <phoneticPr fontId="2"/>
  </si>
  <si>
    <t>mmlPc:assessmentItem
XHTML可</t>
    <rPh sb="26" eb="27">
      <t>カ</t>
    </rPh>
    <phoneticPr fontId="2"/>
  </si>
  <si>
    <t>バックアップ_経過記録情報モジュール_外部参照レコード</t>
    <phoneticPr fontId="9"/>
  </si>
  <si>
    <t>バックアップ_経過記録情報モジュール_外部参照レコード</t>
    <phoneticPr fontId="9"/>
  </si>
  <si>
    <t>外部参照元</t>
    <rPh sb="0" eb="2">
      <t>ガイブ</t>
    </rPh>
    <rPh sb="2" eb="4">
      <t>サンショウ</t>
    </rPh>
    <rPh sb="4" eb="5">
      <t>モト</t>
    </rPh>
    <phoneticPr fontId="2"/>
  </si>
  <si>
    <t>gaibu_sansyo_moto</t>
  </si>
  <si>
    <t>外部参照SEQ</t>
    <rPh sb="0" eb="2">
      <t>ガイブ</t>
    </rPh>
    <rPh sb="2" eb="4">
      <t>サンショウ</t>
    </rPh>
    <phoneticPr fontId="2"/>
  </si>
  <si>
    <t>gaibu_sansyo_seq</t>
  </si>
  <si>
    <t>コンテンツ種別</t>
    <rPh sb="5" eb="7">
      <t>シュベツ</t>
    </rPh>
    <phoneticPr fontId="2"/>
  </si>
  <si>
    <t>content_type</t>
  </si>
  <si>
    <t>医学的役割</t>
    <rPh sb="0" eb="3">
      <t>イガクテキ</t>
    </rPh>
    <rPh sb="3" eb="5">
      <t>ヤクワリ</t>
    </rPh>
    <phoneticPr fontId="2"/>
  </si>
  <si>
    <t>igaku_role</t>
  </si>
  <si>
    <t>外部参照ファイル名</t>
    <rPh sb="0" eb="2">
      <t>ガイブ</t>
    </rPh>
    <rPh sb="2" eb="4">
      <t>サンショウ</t>
    </rPh>
    <rPh sb="8" eb="9">
      <t>メイ</t>
    </rPh>
    <phoneticPr fontId="2"/>
  </si>
  <si>
    <t>gaibu_sansyo_file_name</t>
  </si>
  <si>
    <t>外部参照先</t>
    <rPh sb="0" eb="2">
      <t>ガイブ</t>
    </rPh>
    <rPh sb="2" eb="4">
      <t>サンショウ</t>
    </rPh>
    <rPh sb="4" eb="5">
      <t>サキ</t>
    </rPh>
    <phoneticPr fontId="2"/>
  </si>
  <si>
    <t>gaibu_sansyo_saki</t>
  </si>
  <si>
    <t>外部参照内容</t>
    <rPh sb="0" eb="2">
      <t>ガイブ</t>
    </rPh>
    <rPh sb="2" eb="4">
      <t>サンショウ</t>
    </rPh>
    <rPh sb="4" eb="6">
      <t>ナイヨウ</t>
    </rPh>
    <phoneticPr fontId="2"/>
  </si>
  <si>
    <t>gaibu_sansyo_naiyo</t>
  </si>
  <si>
    <t>mmlCm:extRefの親タグ名を格納
親タグは以下のみ
FreeExpression
referenceInfo
testResult
rxRecord
txRecord
testOrder
rxOrder
txOrder</t>
    <rPh sb="13" eb="14">
      <t>オヤ</t>
    </rPh>
    <rPh sb="16" eb="17">
      <t>メイ</t>
    </rPh>
    <rPh sb="18" eb="20">
      <t>カクノウ</t>
    </rPh>
    <rPh sb="21" eb="22">
      <t>オヤ</t>
    </rPh>
    <rPh sb="25" eb="27">
      <t>イカ</t>
    </rPh>
    <phoneticPr fontId="2"/>
  </si>
  <si>
    <t>mmlCm:extRef単位に通番付与</t>
    <rPh sb="12" eb="14">
      <t>タンイ</t>
    </rPh>
    <rPh sb="15" eb="17">
      <t>ツウバン</t>
    </rPh>
    <rPh sb="17" eb="19">
      <t>フヨ</t>
    </rPh>
    <phoneticPr fontId="2"/>
  </si>
  <si>
    <t>mmlCm:extRef@mmlCm:contentType</t>
  </si>
  <si>
    <t>mmlCm:extRef@mmlCm:medicalRole
MML0033 Medical Role</t>
  </si>
  <si>
    <t>mmlCm:extRef@mmlCm:title</t>
  </si>
  <si>
    <t>mmlCm:extRef@mmlCm:href</t>
  </si>
  <si>
    <t>mmlCm:hrefの参照ファイル</t>
    <rPh sb="11" eb="13">
      <t>サンショウ</t>
    </rPh>
    <phoneticPr fontId="2"/>
  </si>
  <si>
    <t>バックアップ_臨床サマリーモジュール_臨床サマリー情報レコード</t>
    <phoneticPr fontId="9"/>
  </si>
  <si>
    <t>バックアップ_臨床サマリーモジュール_臨床サマリー情報レコード</t>
    <phoneticPr fontId="9"/>
  </si>
  <si>
    <t>臨床サマリーSEQ</t>
    <rPh sb="0" eb="2">
      <t>リンショウ</t>
    </rPh>
    <phoneticPr fontId="13"/>
  </si>
  <si>
    <t>summary_seq</t>
  </si>
  <si>
    <t>サマリー対象期間の開始日</t>
  </si>
  <si>
    <t>history_start_ymd</t>
  </si>
  <si>
    <t>サマリー対象期間の終了日</t>
    <rPh sb="9" eb="11">
      <t>シュウリョウ</t>
    </rPh>
    <phoneticPr fontId="6"/>
  </si>
  <si>
    <t>history_end_ymd</t>
  </si>
  <si>
    <t>死亡関連情報</t>
  </si>
  <si>
    <t>death_info</t>
  </si>
  <si>
    <t>剖検の有無</t>
  </si>
  <si>
    <t>death_autopsy_flag</t>
  </si>
  <si>
    <t>主訴</t>
  </si>
  <si>
    <t>chief_complaints</t>
  </si>
  <si>
    <t>患者プロフィール</t>
  </si>
  <si>
    <t>patient_profile</t>
  </si>
  <si>
    <t>入院までの経過</t>
  </si>
  <si>
    <t>nyuin_history</t>
  </si>
  <si>
    <t>入院時理学所見</t>
  </si>
  <si>
    <t>nyuin_physical_exam</t>
  </si>
  <si>
    <t>退院時所見</t>
  </si>
  <si>
    <t>taiin_findings</t>
  </si>
  <si>
    <t>退院時処方</t>
  </si>
  <si>
    <t>taiin_medication</t>
  </si>
  <si>
    <t>退院後治療方針</t>
  </si>
  <si>
    <t>taiin_chiryo_plan</t>
  </si>
  <si>
    <t>患者に関する留意事項</t>
  </si>
  <si>
    <t>patient_ryui_code</t>
  </si>
  <si>
    <t>mmlSm:SummaryModule単位に通番付与</t>
    <rPh sb="19" eb="21">
      <t>タンイ</t>
    </rPh>
    <rPh sb="22" eb="24">
      <t>ツウバン</t>
    </rPh>
    <rPh sb="24" eb="26">
      <t>フヨ</t>
    </rPh>
    <phoneticPr fontId="2"/>
  </si>
  <si>
    <t>mmlSm:serviceHistory/@mmlSm:start
YYYYMMDD</t>
  </si>
  <si>
    <t>mmlSm:serviceHistory/@mmlSm:end
YYYYMMDD</t>
  </si>
  <si>
    <t>mmlSm:deathInfo</t>
  </si>
  <si>
    <t>mmlSm:deathInfo@mmlSm:date
YYYYMMDDHHMM</t>
  </si>
  <si>
    <t>mmlSm:deathInfo@mmlSm:autopsy
false：剖検なし true：剖検あり</t>
    <rPh sb="36" eb="38">
      <t>ボウケン</t>
    </rPh>
    <rPh sb="46" eb="48">
      <t>ボウケン</t>
    </rPh>
    <phoneticPr fontId="2"/>
  </si>
  <si>
    <t>mmlSm:chiefComplaints
XHTML使用可</t>
    <rPh sb="27" eb="30">
      <t>シヨウカ</t>
    </rPh>
    <phoneticPr fontId="2"/>
  </si>
  <si>
    <t>mmlSm:patientProfile
XHTML使用可</t>
  </si>
  <si>
    <t>mmlSm:history
XHTML使用可</t>
  </si>
  <si>
    <t>mmlSm:physicalExam
XHTML使用可</t>
  </si>
  <si>
    <t>mmlSm:dischargeFindings
XHTML使用可</t>
  </si>
  <si>
    <t>mmlSm:medication
XHTML使用可</t>
  </si>
  <si>
    <t>mmlSm:plan
XHTML使用可</t>
  </si>
  <si>
    <t>mmlSm:remarks
XHTML使用可</t>
  </si>
  <si>
    <t>バックアップ_臨床サマリーモジュール_外来受診レコード</t>
    <phoneticPr fontId="9"/>
  </si>
  <si>
    <t>バックアップ_臨床サマリーモジュール_外来受診レコード</t>
    <phoneticPr fontId="9"/>
  </si>
  <si>
    <t>個々の外来受診歴SEQ</t>
  </si>
  <si>
    <t>gairai_seq</t>
  </si>
  <si>
    <t>外来受診年月日</t>
    <rPh sb="4" eb="7">
      <t>ネンガッピ</t>
    </rPh>
    <phoneticPr fontId="2"/>
  </si>
  <si>
    <t>gairai_ymd</t>
  </si>
  <si>
    <t>外来受診状態</t>
  </si>
  <si>
    <t>gairai_state</t>
  </si>
  <si>
    <t>初診フラグ</t>
  </si>
  <si>
    <t>first_flag</t>
  </si>
  <si>
    <t>救急受診フラグ</t>
  </si>
  <si>
    <t>emergency_flag</t>
  </si>
  <si>
    <t>mmlSm:outPatientItem単位に通番付与</t>
    <rPh sb="20" eb="22">
      <t>タンイ</t>
    </rPh>
    <rPh sb="23" eb="25">
      <t>ツウバン</t>
    </rPh>
    <rPh sb="25" eb="27">
      <t>フヨ</t>
    </rPh>
    <phoneticPr fontId="2"/>
  </si>
  <si>
    <t>mmlSm:date
YYYYMMDD</t>
  </si>
  <si>
    <t>mmlSm:outPatientCondition</t>
  </si>
  <si>
    <t>mmlSm:outPatientCondition@mmlSm:first
false：再診 true：初診</t>
    <rPh sb="44" eb="46">
      <t>サイシン</t>
    </rPh>
    <rPh sb="52" eb="54">
      <t>ショシン</t>
    </rPh>
    <phoneticPr fontId="2"/>
  </si>
  <si>
    <t>mmlSm:outPatientCondition@mmlSm:emergency
false：通常 true：救急</t>
    <rPh sb="48" eb="50">
      <t>ツウジョウ</t>
    </rPh>
    <rPh sb="56" eb="58">
      <t>キュウキュウ</t>
    </rPh>
    <phoneticPr fontId="2"/>
  </si>
  <si>
    <t>バックアップ_臨床サマリーモジュール_入院レコード</t>
    <phoneticPr fontId="9"/>
  </si>
  <si>
    <t>バックアップ_臨床サマリーモジュール_入院レコード</t>
    <phoneticPr fontId="9"/>
  </si>
  <si>
    <t>個々の入院歴SEQ</t>
    <rPh sb="0" eb="2">
      <t>ココ</t>
    </rPh>
    <rPh sb="3" eb="5">
      <t>ニュウイン</t>
    </rPh>
    <rPh sb="5" eb="6">
      <t>レキ</t>
    </rPh>
    <phoneticPr fontId="2"/>
  </si>
  <si>
    <t>nyuin_seq</t>
  </si>
  <si>
    <t>入院（転入）日</t>
  </si>
  <si>
    <t>入院時状態</t>
  </si>
  <si>
    <t>nyuin_state</t>
  </si>
  <si>
    <t>緊急入院フラグ</t>
  </si>
  <si>
    <t>emergency_nyuin_flag</t>
  </si>
  <si>
    <t>紹介元施設</t>
    <rPh sb="3" eb="5">
      <t>シセツ</t>
    </rPh>
    <phoneticPr fontId="6"/>
  </si>
  <si>
    <t>shokai_moto_facility</t>
  </si>
  <si>
    <t>退院（転出）日</t>
  </si>
  <si>
    <t>退院時状態</t>
  </si>
  <si>
    <t>taiin_state</t>
  </si>
  <si>
    <t>taiin_tenki</t>
  </si>
  <si>
    <t>紹介先施設</t>
  </si>
  <si>
    <t>shokai_saki_facility</t>
  </si>
  <si>
    <t>mmlSm:inPatientItem単位に通番付与</t>
    <rPh sb="19" eb="21">
      <t>タンイ</t>
    </rPh>
    <rPh sb="22" eb="24">
      <t>ツウバン</t>
    </rPh>
    <rPh sb="24" eb="26">
      <t>フヨ</t>
    </rPh>
    <phoneticPr fontId="2"/>
  </si>
  <si>
    <t>mmlSm:admission/mmlSm:date
YYYYMMDD</t>
  </si>
  <si>
    <t>mmlSm:admission/mmlSm:admissionCondition</t>
  </si>
  <si>
    <t>mmlSm:admission/mmlSm:admissionCondition@mmlSm:emergency
false：通常 true：緊急</t>
    <rPh sb="63" eb="65">
      <t>ツウジョウ</t>
    </rPh>
    <rPh sb="71" eb="73">
      <t>キンキュウ</t>
    </rPh>
    <phoneticPr fontId="2"/>
  </si>
  <si>
    <t>mmlSm:discharge/mmlSm:date
YYYYMMDD</t>
  </si>
  <si>
    <t>mmlSm:discharge/mmlSm:dischargeCondition</t>
  </si>
  <si>
    <t>mmlSm:discharge/mmlSm:dischargeCondition@outcome
MML0016　Outcome (転帰)</t>
  </si>
  <si>
    <t>mmlSm:discharge/mmlSm:referTo/mmlPsi:PersonalizedInfo/mmlFc:Facility/mmlFc:name
リスト配列として下記形式で格納
[A施設:B施設:C施設]</t>
  </si>
  <si>
    <t>mmlSm:admission/mmlSm:referFrom/mmlPsi:PersonalizedInfo/mmlFc:Facility/mmlFc:name
リスト配列として下記形式で格納
[A施設:B施設:C施設]</t>
    <rPh sb="85" eb="87">
      <t>ハイレツ</t>
    </rPh>
    <rPh sb="90" eb="92">
      <t>カキ</t>
    </rPh>
    <rPh sb="92" eb="94">
      <t>ケイシキ</t>
    </rPh>
    <rPh sb="95" eb="97">
      <t>カクノウ</t>
    </rPh>
    <rPh sb="100" eb="102">
      <t>シセツ</t>
    </rPh>
    <rPh sb="104" eb="106">
      <t>シセツ</t>
    </rPh>
    <rPh sb="108" eb="110">
      <t>シセツ</t>
    </rPh>
    <phoneticPr fontId="2"/>
  </si>
  <si>
    <t>バックアップ_臨床サマリーモジュール_経過記録レコード</t>
    <phoneticPr fontId="9"/>
  </si>
  <si>
    <t>バックアップ_臨床サマリーモジュール_経過記録レコード</t>
    <phoneticPr fontId="9"/>
  </si>
  <si>
    <t>経過記録</t>
  </si>
  <si>
    <t>keika_kiroku</t>
  </si>
  <si>
    <t>イベント発生日時</t>
  </si>
  <si>
    <t>event_date</t>
  </si>
  <si>
    <t>関連文書のuid</t>
    <rPh sb="0" eb="2">
      <t>カンレン</t>
    </rPh>
    <rPh sb="2" eb="4">
      <t>ブンショ</t>
    </rPh>
    <phoneticPr fontId="6"/>
  </si>
  <si>
    <t>kanren_doc_uid</t>
  </si>
  <si>
    <t>関連文書_関連の種別</t>
    <rPh sb="0" eb="2">
      <t>カンレン</t>
    </rPh>
    <rPh sb="2" eb="4">
      <t>ブンショ</t>
    </rPh>
    <phoneticPr fontId="6"/>
  </si>
  <si>
    <t>kanren_doc_type</t>
  </si>
  <si>
    <t>mmlSm:clinicalRecord単位で通番付与</t>
    <rPh sb="20" eb="22">
      <t>タンイ</t>
    </rPh>
    <rPh sb="23" eb="25">
      <t>ツウバン</t>
    </rPh>
    <rPh sb="25" eb="27">
      <t>フヨ</t>
    </rPh>
    <phoneticPr fontId="2"/>
  </si>
  <si>
    <t>mmlSm:clinicalRecord
XHTML使用可</t>
  </si>
  <si>
    <t>mmlSm:clinicalRecord@mmlSm:date
YYYYMMDDHHMM</t>
  </si>
  <si>
    <t>mmlSm:clinicalRecord/mmlSm:relatedDoc
関連文書のuid</t>
    <rPh sb="38" eb="40">
      <t>カンレン</t>
    </rPh>
    <rPh sb="40" eb="42">
      <t>ブンショ</t>
    </rPh>
    <phoneticPr fontId="2"/>
  </si>
  <si>
    <t xml:space="preserve">mmlSm:clinicalRecord/mmlSm:relatedDoc@relation
MML0008　Document relation (関連文書との関係) </t>
  </si>
  <si>
    <t>バックアップ_臨床サマリーモジュール_検査結果レコード</t>
    <phoneticPr fontId="9"/>
  </si>
  <si>
    <t>バックアップ_臨床サマリーモジュール_検査結果レコード</t>
    <phoneticPr fontId="9"/>
  </si>
  <si>
    <t>臨床サマリーSEQ</t>
    <rPh sb="0" eb="2">
      <t>リンショウ</t>
    </rPh>
    <phoneticPr fontId="14"/>
  </si>
  <si>
    <t>個々の検査結果SEQ</t>
    <rPh sb="0" eb="2">
      <t>ココ</t>
    </rPh>
    <rPh sb="3" eb="5">
      <t>ケンサ</t>
    </rPh>
    <rPh sb="5" eb="7">
      <t>ケッカ</t>
    </rPh>
    <phoneticPr fontId="14"/>
  </si>
  <si>
    <t>kensa_seq</t>
  </si>
  <si>
    <t>個々の検査結果</t>
  </si>
  <si>
    <t>kensa_result_value</t>
  </si>
  <si>
    <t>mmlSm:testResult単位に通番付与</t>
    <rPh sb="16" eb="18">
      <t>タンイ</t>
    </rPh>
    <rPh sb="19" eb="21">
      <t>ツウバン</t>
    </rPh>
    <rPh sb="21" eb="23">
      <t>フヨ</t>
    </rPh>
    <phoneticPr fontId="2"/>
  </si>
  <si>
    <t>mmlSm:testResult
XHTML使用可</t>
    <rPh sb="22" eb="25">
      <t>シヨウカ</t>
    </rPh>
    <phoneticPr fontId="2"/>
  </si>
  <si>
    <t>mmlSm:testResult@mmlSm:date
YYYYMMDDHHMM</t>
  </si>
  <si>
    <t>バックアップ_検歴情報モジュール_検歴情報</t>
    <phoneticPr fontId="9"/>
  </si>
  <si>
    <t>検歴SEQ</t>
  </si>
  <si>
    <t>kenreki_seq</t>
  </si>
  <si>
    <t>依頼ID</t>
  </si>
  <si>
    <t>irai_id</t>
  </si>
  <si>
    <t>採取日時</t>
  </si>
  <si>
    <t>sample_time</t>
  </si>
  <si>
    <t>受付日時</t>
  </si>
  <si>
    <t>uketsuke_time</t>
  </si>
  <si>
    <t>報告日時</t>
  </si>
  <si>
    <t>report_time</t>
  </si>
  <si>
    <t>報告状態</t>
  </si>
  <si>
    <t>status</t>
  </si>
  <si>
    <t>報告状態コード</t>
  </si>
  <si>
    <t>status_code</t>
  </si>
  <si>
    <t>セット名</t>
  </si>
  <si>
    <t>set_name</t>
  </si>
  <si>
    <t>セット名コード</t>
  </si>
  <si>
    <t>set_name_code</t>
  </si>
  <si>
    <t>セット名コードID</t>
  </si>
  <si>
    <t>set_name_code_id</t>
  </si>
  <si>
    <t>依頼施設</t>
    <rPh sb="0" eb="2">
      <t>イライ</t>
    </rPh>
    <rPh sb="2" eb="4">
      <t>シセツ</t>
    </rPh>
    <phoneticPr fontId="2"/>
  </si>
  <si>
    <t>irai_facility</t>
  </si>
  <si>
    <t>依頼施設コード</t>
  </si>
  <si>
    <t>irai_facility_code</t>
  </si>
  <si>
    <t>依頼施設コードID</t>
  </si>
  <si>
    <t>irai_facility_code_id</t>
  </si>
  <si>
    <t>依頼診療科</t>
  </si>
  <si>
    <t>irai_department</t>
  </si>
  <si>
    <t>依頼診療科コード</t>
  </si>
  <si>
    <t>irai_department_code</t>
  </si>
  <si>
    <t>依頼病棟</t>
  </si>
  <si>
    <t>irai_ward</t>
  </si>
  <si>
    <t>依頼病棟コード</t>
  </si>
  <si>
    <t>irai_ward_code</t>
  </si>
  <si>
    <t>依頼病棟コードID</t>
  </si>
  <si>
    <t>irai_ward_code_id</t>
  </si>
  <si>
    <t>報告フリーコメント</t>
  </si>
  <si>
    <t>report_free_comment</t>
  </si>
  <si>
    <t>mmlLb:TestModule単位に通番付与</t>
  </si>
  <si>
    <t>mmlLb:information@mmlLb:registId</t>
  </si>
  <si>
    <t>mmlLb:information@mmlLb:sampleTime
YYYYMMDDHHMM</t>
  </si>
  <si>
    <t>mmlLb:information@mmlLb:registTime
YYYYMMDDHHMM</t>
  </si>
  <si>
    <t>mmlLb:information@mmlLb:reportTime
YYYYMMDDHHMM</t>
  </si>
  <si>
    <t>mmlLb:reportStatus</t>
  </si>
  <si>
    <t>mmlLb:reportStatus@mmlLb:statusCode
mid：検査中、final：最終報告
mmlLb0001</t>
  </si>
  <si>
    <t>mmlLb:set</t>
  </si>
  <si>
    <t>mmlLb:set@mmlLb:setCode
ユーザー指定</t>
    <rPh sb="28" eb="30">
      <t>シテイ</t>
    </rPh>
    <phoneticPr fontId="2"/>
  </si>
  <si>
    <t>mmlLb:set@mmlLb:setCodeId
使用したテーブル名</t>
    <rPh sb="26" eb="28">
      <t>シヨウ</t>
    </rPh>
    <rPh sb="34" eb="35">
      <t>メイ</t>
    </rPh>
    <phoneticPr fontId="2"/>
  </si>
  <si>
    <t>mmlLb:facility</t>
  </si>
  <si>
    <t>mmlLb:facility@mmlLb:facilityCode</t>
  </si>
  <si>
    <t>mmlLb:facility@mmlLb:facilityCodeId
MML0027</t>
  </si>
  <si>
    <t>mmlLb:department</t>
  </si>
  <si>
    <t>mmlLb:department@mmlLb:depCode
MML0028</t>
  </si>
  <si>
    <t>mmlLb:ward</t>
  </si>
  <si>
    <t>mmlLb:ward@mmlLb:wardCode
ユーザー指定</t>
    <rPh sb="30" eb="32">
      <t>シテイ</t>
    </rPh>
    <phoneticPr fontId="2"/>
  </si>
  <si>
    <t>mmlLb:ward@mmlLb:wardCodeId
使用したテーブル名</t>
    <rPh sb="28" eb="30">
      <t>シヨウ</t>
    </rPh>
    <rPh sb="36" eb="37">
      <t>メイ</t>
    </rPh>
    <phoneticPr fontId="2"/>
  </si>
  <si>
    <t>mmlLb:repMemoF</t>
  </si>
  <si>
    <t>バックアップ_検歴情報モジュール_検歴検体材料</t>
    <phoneticPr fontId="9"/>
  </si>
  <si>
    <t>検体結果情報SEQ</t>
  </si>
  <si>
    <t>labo_test_seq</t>
  </si>
  <si>
    <t>検体材料SEQ</t>
  </si>
  <si>
    <t>specimen_seq</t>
  </si>
  <si>
    <t>検体材料</t>
  </si>
  <si>
    <t>specimen_name</t>
  </si>
  <si>
    <t>検体材料コード</t>
  </si>
  <si>
    <t>sp_code</t>
  </si>
  <si>
    <t>検体材料コードのテーブル名</t>
  </si>
  <si>
    <t>sp_code_id</t>
  </si>
  <si>
    <t>検体フリーコメント</t>
  </si>
  <si>
    <t>specimen_free_comment</t>
  </si>
  <si>
    <t>mmlLb:LaboTest単位に通番付与</t>
    <rPh sb="14" eb="16">
      <t>タンイ</t>
    </rPh>
    <rPh sb="17" eb="21">
      <t>ツウバンフヨ</t>
    </rPh>
    <phoneticPr fontId="2"/>
  </si>
  <si>
    <t>検体材料（mmlLb:specimenName）の1要素に検体材料がカンマ区切りで複数記録されている場合、1から昇順に通番付与(通常は1要素1つ）</t>
  </si>
  <si>
    <t>mmlLb:specimenName</t>
  </si>
  <si>
    <t>mmlLb:specimenName@mmlLb:spCode
ユーザー指定</t>
    <rPh sb="36" eb="38">
      <t>シテイ</t>
    </rPh>
    <phoneticPr fontId="2"/>
  </si>
  <si>
    <t>mmlLb:specimenName@mmlLb:spCodeId
使用したテーブル名</t>
    <rPh sb="34" eb="36">
      <t>シヨウ</t>
    </rPh>
    <rPh sb="42" eb="43">
      <t>メイ</t>
    </rPh>
    <phoneticPr fontId="2"/>
  </si>
  <si>
    <t>mmlLb:spcMemoF</t>
  </si>
  <si>
    <t>バックアップ_検歴情報モジュール_検歴項目情報</t>
    <phoneticPr fontId="9"/>
  </si>
  <si>
    <t>項目情報SEQ</t>
  </si>
  <si>
    <t>item_info_seq</t>
  </si>
  <si>
    <t>項目名</t>
  </si>
  <si>
    <t>item_name</t>
  </si>
  <si>
    <t>施設固有コード</t>
  </si>
  <si>
    <t>facility_it_code</t>
  </si>
  <si>
    <t>施設固有コード体系名</t>
  </si>
  <si>
    <t>facility_it_code_id</t>
  </si>
  <si>
    <t>JLAC10の分析物コード</t>
  </si>
  <si>
    <t>jlac10_a_code</t>
  </si>
  <si>
    <t>JLAC10の識別コード</t>
  </si>
  <si>
    <t>jlac10_i_code</t>
  </si>
  <si>
    <t>JLAC10の材料コード</t>
  </si>
  <si>
    <t>jlac10_s_code</t>
  </si>
  <si>
    <t>JLAC10の測定法コード</t>
  </si>
  <si>
    <t>jlac10_m_code</t>
  </si>
  <si>
    <t>JLAC10の結果識別コード</t>
  </si>
  <si>
    <t>jlac10_r_code</t>
  </si>
  <si>
    <t>検査結果値</t>
  </si>
  <si>
    <t>value</t>
  </si>
  <si>
    <t>数値結果</t>
    <rPh sb="0" eb="2">
      <t>スウチ</t>
    </rPh>
    <phoneticPr fontId="2"/>
  </si>
  <si>
    <t>num_value</t>
  </si>
  <si>
    <t>上限値</t>
  </si>
  <si>
    <t>up_value</t>
  </si>
  <si>
    <t>下限値</t>
  </si>
  <si>
    <t>low_value</t>
  </si>
  <si>
    <t>文字列で示す基準値</t>
  </si>
  <si>
    <t>normal_value</t>
  </si>
  <si>
    <t>異常値フラグ</t>
  </si>
  <si>
    <t>out_flag</t>
  </si>
  <si>
    <t>単位</t>
  </si>
  <si>
    <t>単位コード</t>
  </si>
  <si>
    <t>unit_code</t>
  </si>
  <si>
    <t>単位コードID</t>
  </si>
  <si>
    <t>unit_code_id</t>
  </si>
  <si>
    <t>項目フリーコメント</t>
  </si>
  <si>
    <t>item_free_comment</t>
  </si>
  <si>
    <t>mmlLb:LaboTest単位に通番付与</t>
    <rPh sb="14" eb="16">
      <t>タンイ</t>
    </rPh>
    <rPh sb="17" eb="19">
      <t>ツウバン</t>
    </rPh>
    <rPh sb="19" eb="21">
      <t>フヨ</t>
    </rPh>
    <phoneticPr fontId="2"/>
  </si>
  <si>
    <t>mmlLb:item単位に通番付与</t>
    <rPh sb="10" eb="12">
      <t>タンイ</t>
    </rPh>
    <rPh sb="13" eb="17">
      <t>ツウバンフヨ</t>
    </rPh>
    <phoneticPr fontId="2"/>
  </si>
  <si>
    <t>mmlLb:itemName</t>
  </si>
  <si>
    <t>mmlLb:itemName@mmlLb:itCode</t>
  </si>
  <si>
    <t>mmlLb:itemName@mmlLb:itCodeId</t>
  </si>
  <si>
    <t>mmlLb:itemName@mmlLb:Acode</t>
  </si>
  <si>
    <t>mmlLb:itemName@mmlLb:Icode</t>
  </si>
  <si>
    <t>mmlLb:itemName@mmlLb:Scode</t>
  </si>
  <si>
    <t>mmlLb:itemName@mmlLb:Mcode</t>
  </si>
  <si>
    <t>mmlLb:itemName@mmlLb:Rcode</t>
  </si>
  <si>
    <t>mmlLb:value</t>
  </si>
  <si>
    <t>mmlLb:numValue</t>
  </si>
  <si>
    <t>mmlLb:value@mmlLb:up</t>
  </si>
  <si>
    <t>mmlLb:value@mmlLb:low</t>
  </si>
  <si>
    <t>mmlLb:value@mmlLb:normal</t>
  </si>
  <si>
    <t>mmlLb:value@mmlLb:out
H:上限値越え N:基準値範囲内 L:下限値未満 A:異常</t>
  </si>
  <si>
    <t>mmlLb:unit</t>
  </si>
  <si>
    <t>mmlLb:unit@mmlLb:uCode
ユーザー指定</t>
    <rPh sb="27" eb="29">
      <t>シテイ</t>
    </rPh>
    <phoneticPr fontId="2"/>
  </si>
  <si>
    <t>mmlLb:unit@mmlLb:uCodeId
使用したテーブル名</t>
    <rPh sb="25" eb="27">
      <t>シヨウ</t>
    </rPh>
    <rPh sb="33" eb="34">
      <t>メイ</t>
    </rPh>
    <phoneticPr fontId="2"/>
  </si>
  <si>
    <t>mmlLb:itemMemoF</t>
  </si>
  <si>
    <t>バックアップ_バイタルサインモジュール_バイタルサイン</t>
    <phoneticPr fontId="9"/>
  </si>
  <si>
    <t>バイタルSEQ</t>
  </si>
  <si>
    <t>vital_seq</t>
  </si>
  <si>
    <t>診療科名</t>
    <rPh sb="3" eb="4">
      <t>メイ</t>
    </rPh>
    <phoneticPr fontId="6"/>
  </si>
  <si>
    <t>department_name</t>
  </si>
  <si>
    <t>department_code</t>
  </si>
  <si>
    <t>病棟</t>
  </si>
  <si>
    <t>ward</t>
  </si>
  <si>
    <t>病棟コードID</t>
  </si>
  <si>
    <t>ward_code_id</t>
  </si>
  <si>
    <t>バイタルサインの計測時間</t>
  </si>
  <si>
    <t>vital_sign_time</t>
  </si>
  <si>
    <t>計測手順</t>
    <rPh sb="2" eb="4">
      <t>テジュン</t>
    </rPh>
    <phoneticPr fontId="6"/>
  </si>
  <si>
    <t>keisoku_tejun</t>
  </si>
  <si>
    <t>計測器具</t>
    <rPh sb="2" eb="4">
      <t>キグ</t>
    </rPh>
    <phoneticPr fontId="6"/>
  </si>
  <si>
    <t>keisoku_device</t>
  </si>
  <si>
    <t>計測部位</t>
    <rPh sb="2" eb="4">
      <t>ブイ</t>
    </rPh>
    <phoneticPr fontId="6"/>
  </si>
  <si>
    <t>keisoku_bui</t>
  </si>
  <si>
    <t>計測時体位</t>
    <rPh sb="2" eb="3">
      <t>ジ</t>
    </rPh>
    <rPh sb="3" eb="5">
      <t>タイイ</t>
    </rPh>
    <phoneticPr fontId="6"/>
  </si>
  <si>
    <t>keisoku_position</t>
  </si>
  <si>
    <t>計測方法コメント</t>
    <rPh sb="0" eb="2">
      <t>ケイソク</t>
    </rPh>
    <rPh sb="2" eb="4">
      <t>ホウホウ</t>
    </rPh>
    <phoneticPr fontId="6"/>
  </si>
  <si>
    <t>keisoku_method_comment</t>
  </si>
  <si>
    <t>記録コメント</t>
    <rPh sb="0" eb="2">
      <t>キロク</t>
    </rPh>
    <phoneticPr fontId="6"/>
  </si>
  <si>
    <t>kiroku_comment</t>
  </si>
  <si>
    <t>mmlVs:VitalSignModule単位に通番付与</t>
  </si>
  <si>
    <t>mmlVs:department</t>
  </si>
  <si>
    <t>mmlVs:department@mmlVs:depCode
MML0028</t>
  </si>
  <si>
    <t>mmlVs:ward</t>
  </si>
  <si>
    <t>mmlVs:ward@mmlVs:wardCode
ユーザ指定</t>
    <rPh sb="29" eb="31">
      <t>シテイ</t>
    </rPh>
    <phoneticPr fontId="2"/>
  </si>
  <si>
    <t>mmlVs:ward@mmlVs:wardCodeId
使用したテーブル名</t>
    <rPh sb="28" eb="30">
      <t>シヨウ</t>
    </rPh>
    <rPh sb="36" eb="37">
      <t>メイ</t>
    </rPh>
    <phoneticPr fontId="2"/>
  </si>
  <si>
    <t>mmlVs:observedTime
YYYYMMDDHHMM</t>
  </si>
  <si>
    <t>mmlVs:procedure</t>
  </si>
  <si>
    <t>mmlVs:device</t>
  </si>
  <si>
    <t>mmlVs:bodyLocation</t>
  </si>
  <si>
    <t>mmlVs:position</t>
  </si>
  <si>
    <t>mmlVs:protMemo</t>
  </si>
  <si>
    <t>mmlVs:vsMemo</t>
  </si>
  <si>
    <t>バックアップ_バイタルサインモジュール_記録項目</t>
    <phoneticPr fontId="9"/>
  </si>
  <si>
    <t>項目SEQ</t>
    <rPh sb="0" eb="1">
      <t>コウ</t>
    </rPh>
    <rPh sb="1" eb="2">
      <t>メ</t>
    </rPh>
    <phoneticPr fontId="13"/>
  </si>
  <si>
    <t>item_seq</t>
  </si>
  <si>
    <t>文字列で表記されるバイタルサインの値</t>
  </si>
  <si>
    <t>vital_sign_value</t>
  </si>
  <si>
    <t>数値で表記されるバイタルサインの値</t>
  </si>
  <si>
    <t>vital_sign_num_value</t>
  </si>
  <si>
    <t>バイタルサインの単位</t>
  </si>
  <si>
    <t>vital_sign_unit</t>
  </si>
  <si>
    <t>mmlVs:item単位に通番付与</t>
  </si>
  <si>
    <t>mmlVs:itemName
mmlVs01</t>
  </si>
  <si>
    <t>mmlVs:value</t>
  </si>
  <si>
    <t>mmlVs:numValue</t>
  </si>
  <si>
    <t>mmlVs:unit
mmlVs02</t>
  </si>
  <si>
    <t>バックアップ_体温表モジュール_バイタルサイン</t>
    <phoneticPr fontId="9"/>
  </si>
  <si>
    <t>体温表SEQ</t>
    <rPh sb="0" eb="2">
      <t>タイオン</t>
    </rPh>
    <rPh sb="2" eb="3">
      <t>ヒョウ</t>
    </rPh>
    <phoneticPr fontId="13"/>
  </si>
  <si>
    <t>taionhyo_seq</t>
  </si>
  <si>
    <t>mmlFs:FlowSheetModule単位に通番付与</t>
  </si>
  <si>
    <t>バックアップ_体温表モジュール_記録項目</t>
    <phoneticPr fontId="9"/>
  </si>
  <si>
    <t>項目SEQ</t>
    <rPh sb="0" eb="2">
      <t>コウモク</t>
    </rPh>
    <phoneticPr fontId="13"/>
  </si>
  <si>
    <t>バックアップ_処方データ</t>
    <phoneticPr fontId="9"/>
  </si>
  <si>
    <t>データ識別番号</t>
  </si>
  <si>
    <t>文字列</t>
    <rPh sb="0" eb="3">
      <t>モジレツ</t>
    </rPh>
    <phoneticPr fontId="14"/>
  </si>
  <si>
    <t>診療年月</t>
    <rPh sb="0" eb="2">
      <t>シンリョウ</t>
    </rPh>
    <rPh sb="2" eb="4">
      <t>ネンゲツ</t>
    </rPh>
    <phoneticPr fontId="14"/>
  </si>
  <si>
    <t>データ区分</t>
    <rPh sb="3" eb="5">
      <t>クブン</t>
    </rPh>
    <phoneticPr fontId="14"/>
  </si>
  <si>
    <t>順序番号</t>
    <rPh sb="0" eb="2">
      <t>ジュンジョ</t>
    </rPh>
    <rPh sb="2" eb="4">
      <t>バンゴウ</t>
    </rPh>
    <phoneticPr fontId="14"/>
  </si>
  <si>
    <t>行為明細番号</t>
    <rPh sb="0" eb="2">
      <t>コウイ</t>
    </rPh>
    <rPh sb="2" eb="4">
      <t>メイサイ</t>
    </rPh>
    <rPh sb="4" eb="6">
      <t>バンゴウ</t>
    </rPh>
    <phoneticPr fontId="14"/>
  </si>
  <si>
    <t>解釈番号</t>
    <rPh sb="0" eb="2">
      <t>カイシャク</t>
    </rPh>
    <rPh sb="2" eb="4">
      <t>バンゴウ</t>
    </rPh>
    <phoneticPr fontId="14"/>
  </si>
  <si>
    <t>使用量</t>
    <rPh sb="0" eb="2">
      <t>シヨウ</t>
    </rPh>
    <rPh sb="2" eb="3">
      <t>リョウ</t>
    </rPh>
    <phoneticPr fontId="14"/>
  </si>
  <si>
    <t>実数</t>
    <rPh sb="0" eb="2">
      <t>ジッスウ</t>
    </rPh>
    <phoneticPr fontId="14"/>
  </si>
  <si>
    <t>基準単位</t>
    <rPh sb="0" eb="2">
      <t>キジュン</t>
    </rPh>
    <rPh sb="2" eb="4">
      <t>タンイ</t>
    </rPh>
    <phoneticPr fontId="14"/>
  </si>
  <si>
    <t>明細点数・金額</t>
    <rPh sb="0" eb="2">
      <t>メイサイ</t>
    </rPh>
    <rPh sb="2" eb="4">
      <t>テンスウ</t>
    </rPh>
    <rPh sb="5" eb="7">
      <t>キンガク</t>
    </rPh>
    <phoneticPr fontId="14"/>
  </si>
  <si>
    <t>円・点区分</t>
    <rPh sb="0" eb="1">
      <t>エン</t>
    </rPh>
    <rPh sb="2" eb="3">
      <t>テン</t>
    </rPh>
    <rPh sb="3" eb="5">
      <t>クブン</t>
    </rPh>
    <phoneticPr fontId="14"/>
  </si>
  <si>
    <t>行為明細区分情報</t>
    <rPh sb="0" eb="2">
      <t>コウイ</t>
    </rPh>
    <rPh sb="2" eb="4">
      <t>メイサイ</t>
    </rPh>
    <rPh sb="4" eb="6">
      <t>クブン</t>
    </rPh>
    <rPh sb="6" eb="8">
      <t>ジョウホウ</t>
    </rPh>
    <phoneticPr fontId="14"/>
  </si>
  <si>
    <t>行為回数</t>
    <rPh sb="0" eb="2">
      <t>コウイ</t>
    </rPh>
    <rPh sb="2" eb="4">
      <t>カイスウ</t>
    </rPh>
    <phoneticPr fontId="14"/>
  </si>
  <si>
    <t>レセプト種別コード</t>
    <rPh sb="4" eb="6">
      <t>シュベツ</t>
    </rPh>
    <phoneticPr fontId="14"/>
  </si>
  <si>
    <t>実施年月日</t>
    <rPh sb="0" eb="2">
      <t>ジッシ</t>
    </rPh>
    <rPh sb="2" eb="5">
      <t>ネンガッピ</t>
    </rPh>
    <phoneticPr fontId="14"/>
  </si>
  <si>
    <t>レセプト科区分</t>
    <rPh sb="4" eb="5">
      <t>カ</t>
    </rPh>
    <rPh sb="5" eb="7">
      <t>クブン</t>
    </rPh>
    <phoneticPr fontId="14"/>
  </si>
  <si>
    <t>入外区分</t>
    <rPh sb="0" eb="1">
      <t>ニュウ</t>
    </rPh>
    <rPh sb="1" eb="2">
      <t>ガイ</t>
    </rPh>
    <rPh sb="2" eb="4">
      <t>クブン</t>
    </rPh>
    <phoneticPr fontId="14"/>
  </si>
  <si>
    <t>シーケンス番号</t>
  </si>
  <si>
    <t>seq_no</t>
  </si>
  <si>
    <t>入院EFファイル &amp;外来EFファイルより取得</t>
    <rPh sb="10" eb="12">
      <t>ガイライ</t>
    </rPh>
    <rPh sb="20" eb="22">
      <t>シュトク</t>
    </rPh>
    <phoneticPr fontId="14"/>
  </si>
  <si>
    <t>入院EFファイル &amp;外来EFファイルより取得
※EFファイルより行為明細番号000は除く</t>
    <rPh sb="10" eb="12">
      <t>ガイライ</t>
    </rPh>
    <rPh sb="20" eb="22">
      <t>シュトク</t>
    </rPh>
    <rPh sb="32" eb="34">
      <t>コウイ</t>
    </rPh>
    <rPh sb="34" eb="36">
      <t>メイサイ</t>
    </rPh>
    <rPh sb="36" eb="38">
      <t>バンゴウ</t>
    </rPh>
    <rPh sb="42" eb="43">
      <t>ノゾ</t>
    </rPh>
    <phoneticPr fontId="14"/>
  </si>
  <si>
    <t>入院EFファイル &amp;外来EFファイルより取得
9桁かつ、’6’始まり限定</t>
    <rPh sb="34" eb="36">
      <t>ゲンテイ</t>
    </rPh>
    <phoneticPr fontId="14"/>
  </si>
  <si>
    <t>入院EFファイル &amp;外来EFファイルより取得
1:円単位 0:点単位</t>
    <rPh sb="10" eb="12">
      <t>ガイライ</t>
    </rPh>
    <rPh sb="20" eb="22">
      <t>シュトク</t>
    </rPh>
    <phoneticPr fontId="14"/>
  </si>
  <si>
    <t>参照元のテーブルにより以下の通り設定
1:外来 0:入院</t>
    <rPh sb="0" eb="2">
      <t>サンショウ</t>
    </rPh>
    <rPh sb="2" eb="3">
      <t>モト</t>
    </rPh>
    <rPh sb="11" eb="13">
      <t>イカ</t>
    </rPh>
    <rPh sb="14" eb="15">
      <t>トオ</t>
    </rPh>
    <rPh sb="16" eb="18">
      <t>セッテイ</t>
    </rPh>
    <phoneticPr fontId="14"/>
  </si>
  <si>
    <t>レコード連番</t>
    <rPh sb="4" eb="6">
      <t>レンバン</t>
    </rPh>
    <phoneticPr fontId="14"/>
  </si>
  <si>
    <t>バックアップ_診療行為データ</t>
    <phoneticPr fontId="9"/>
  </si>
  <si>
    <t>出来高実績点数</t>
    <rPh sb="0" eb="2">
      <t>デキ</t>
    </rPh>
    <rPh sb="2" eb="3">
      <t>ダカ</t>
    </rPh>
    <rPh sb="3" eb="5">
      <t>ジッセキ</t>
    </rPh>
    <rPh sb="5" eb="7">
      <t>テンスウ</t>
    </rPh>
    <phoneticPr fontId="14"/>
  </si>
  <si>
    <t>行為点数</t>
    <rPh sb="0" eb="2">
      <t>コウイ</t>
    </rPh>
    <rPh sb="2" eb="4">
      <t>テンスウ</t>
    </rPh>
    <phoneticPr fontId="14"/>
  </si>
  <si>
    <t>行為薬剤料</t>
    <rPh sb="0" eb="2">
      <t>コウイ</t>
    </rPh>
    <rPh sb="2" eb="4">
      <t>ヤクザイ</t>
    </rPh>
    <rPh sb="4" eb="5">
      <t>リョウ</t>
    </rPh>
    <phoneticPr fontId="14"/>
  </si>
  <si>
    <t>行為材料料</t>
    <rPh sb="0" eb="2">
      <t>コウイ</t>
    </rPh>
    <rPh sb="2" eb="4">
      <t>ザイリョウ</t>
    </rPh>
    <rPh sb="4" eb="5">
      <t>リョウ</t>
    </rPh>
    <phoneticPr fontId="14"/>
  </si>
  <si>
    <t>入院EFファイル &amp;外来EFファイルより取得
9桁かつ、’1’始まり限定</t>
    <rPh sb="34" eb="36">
      <t>ゲンテイ</t>
    </rPh>
    <phoneticPr fontId="14"/>
  </si>
  <si>
    <t>入院EFファイル &amp;外来EFファイルより取得</t>
  </si>
  <si>
    <t>退院時処方区分、入院料包括項目区分、持参薬区分、持参薬処方区分及びDPC適用区分を上5桁に設定し、残りの7桁に0を設定する</t>
  </si>
  <si>
    <t>入院EFファイル &amp;外来EFファイルより取得
手技料＋行為薬剤料＋行為材料料</t>
  </si>
  <si>
    <t>バックアップ_疾患データ</t>
    <phoneticPr fontId="9"/>
  </si>
  <si>
    <t>取込年月</t>
    <rPh sb="0" eb="2">
      <t>トリコミ</t>
    </rPh>
    <rPh sb="2" eb="4">
      <t>ネンゲツ</t>
    </rPh>
    <phoneticPr fontId="14"/>
  </si>
  <si>
    <t>請求年月</t>
    <rPh sb="0" eb="2">
      <t>セイキュウ</t>
    </rPh>
    <rPh sb="2" eb="4">
      <t>ネンゲツ</t>
    </rPh>
    <phoneticPr fontId="27"/>
  </si>
  <si>
    <t>情報元区分</t>
    <rPh sb="0" eb="2">
      <t>ジョウホウ</t>
    </rPh>
    <rPh sb="2" eb="3">
      <t>モト</t>
    </rPh>
    <rPh sb="3" eb="5">
      <t>クブン</t>
    </rPh>
    <phoneticPr fontId="14"/>
  </si>
  <si>
    <t>jyouhoumoto_kubun</t>
  </si>
  <si>
    <t>レセプト番号</t>
    <rPh sb="4" eb="6">
      <t>バンゴウ</t>
    </rPh>
    <phoneticPr fontId="14"/>
  </si>
  <si>
    <t>行番号</t>
    <rPh sb="0" eb="3">
      <t>ギョウバンゴウ</t>
    </rPh>
    <phoneticPr fontId="14"/>
  </si>
  <si>
    <t>カルテ番号等</t>
  </si>
  <si>
    <t>レセプト総括区分</t>
    <rPh sb="4" eb="6">
      <t>ソウカツ</t>
    </rPh>
    <rPh sb="6" eb="8">
      <t>クブン</t>
    </rPh>
    <phoneticPr fontId="14"/>
  </si>
  <si>
    <t>文字列</t>
    <rPh sb="0" eb="3">
      <t>モジレツ</t>
    </rPh>
    <phoneticPr fontId="15"/>
  </si>
  <si>
    <t>レセプト種別</t>
  </si>
  <si>
    <t>疑いフラグ</t>
    <rPh sb="0" eb="1">
      <t>ウタガ</t>
    </rPh>
    <phoneticPr fontId="14"/>
  </si>
  <si>
    <t>utagai_f</t>
  </si>
  <si>
    <t>システムへ取り込む年月（YYYYMM）</t>
    <rPh sb="5" eb="6">
      <t>ト</t>
    </rPh>
    <rPh sb="7" eb="8">
      <t>コ</t>
    </rPh>
    <rPh sb="9" eb="11">
      <t>ネンゲツ</t>
    </rPh>
    <phoneticPr fontId="14"/>
  </si>
  <si>
    <t>REレコードより取得</t>
    <rPh sb="8" eb="10">
      <t>シュトク</t>
    </rPh>
    <phoneticPr fontId="14"/>
  </si>
  <si>
    <t>IRレコードの「請求年月」より取得</t>
    <rPh sb="8" eb="10">
      <t>セイキュウ</t>
    </rPh>
    <rPh sb="10" eb="12">
      <t>ネンゲツ</t>
    </rPh>
    <rPh sb="15" eb="17">
      <t>シュトク</t>
    </rPh>
    <phoneticPr fontId="14"/>
  </si>
  <si>
    <t>REレコードの「診療年月」より取得</t>
    <rPh sb="8" eb="10">
      <t>シンリョウ</t>
    </rPh>
    <rPh sb="10" eb="12">
      <t>ネンゲツ</t>
    </rPh>
    <rPh sb="15" eb="17">
      <t>シュトク</t>
    </rPh>
    <phoneticPr fontId="14"/>
  </si>
  <si>
    <t>”RCP”固定</t>
    <rPh sb="5" eb="7">
      <t>コテイ</t>
    </rPh>
    <phoneticPr fontId="14"/>
  </si>
  <si>
    <t>1:医科レセSY　2:DPCレセSY　3:DPCレセSB　4:臓器提供者医科レセSY　5:臓器提供者DPCレセSY</t>
  </si>
  <si>
    <t>REレコードの「レセプト番号」より取得</t>
    <rPh sb="17" eb="19">
      <t>シュトク</t>
    </rPh>
    <phoneticPr fontId="14"/>
  </si>
  <si>
    <t>レセプト番号ごとに通番を付与</t>
    <rPh sb="4" eb="6">
      <t>バンゴウ</t>
    </rPh>
    <rPh sb="9" eb="10">
      <t>ツウ</t>
    </rPh>
    <rPh sb="10" eb="11">
      <t>バン</t>
    </rPh>
    <rPh sb="12" eb="14">
      <t>フヨ</t>
    </rPh>
    <phoneticPr fontId="14"/>
  </si>
  <si>
    <t>REレコードの「カルテ番号等」より取得</t>
    <rPh sb="11" eb="13">
      <t>バンゴウ</t>
    </rPh>
    <rPh sb="13" eb="14">
      <t>トウ</t>
    </rPh>
    <rPh sb="17" eb="19">
      <t>シュトク</t>
    </rPh>
    <phoneticPr fontId="14"/>
  </si>
  <si>
    <t>REレコードの「レセプト総括区分」より取得</t>
    <rPh sb="19" eb="21">
      <t>シュトク</t>
    </rPh>
    <phoneticPr fontId="14"/>
  </si>
  <si>
    <t>YYYYMMDD形式</t>
  </si>
  <si>
    <t>「修飾語コード」を4桁区切りで分割</t>
    <rPh sb="1" eb="4">
      <t>シュウショクゴ</t>
    </rPh>
    <rPh sb="10" eb="11">
      <t>ケタ</t>
    </rPh>
    <rPh sb="11" eb="13">
      <t>クギ</t>
    </rPh>
    <rPh sb="15" eb="17">
      <t>ブンカツ</t>
    </rPh>
    <phoneticPr fontId="14"/>
  </si>
  <si>
    <t>0:入院 1:外来
レセプト種別（レセプト共通レコード）が奇数の場合0、偶数の場合1を設定</t>
    <rPh sb="32" eb="34">
      <t>バアイ</t>
    </rPh>
    <rPh sb="39" eb="41">
      <t>バアイ</t>
    </rPh>
    <rPh sb="43" eb="45">
      <t>セッテイ</t>
    </rPh>
    <phoneticPr fontId="14"/>
  </si>
  <si>
    <t>0:なし 1:あり
修飾語コード1～修飾語コード20のいずれかに8002 or 8008の入力があれば1なければ0を設定</t>
    <rPh sb="58" eb="60">
      <t>セッテイ</t>
    </rPh>
    <phoneticPr fontId="14"/>
  </si>
  <si>
    <t>バックアップ_疾患診療科データ</t>
    <phoneticPr fontId="9"/>
  </si>
  <si>
    <t>親シーケンス番号</t>
    <rPh sb="0" eb="1">
      <t>オヤ</t>
    </rPh>
    <rPh sb="6" eb="8">
      <t>バンゴウ</t>
    </rPh>
    <phoneticPr fontId="14"/>
  </si>
  <si>
    <t>parent_seq_no</t>
  </si>
  <si>
    <t>診療科名</t>
    <rPh sb="0" eb="2">
      <t>シンリョウ</t>
    </rPh>
    <rPh sb="2" eb="3">
      <t>カ</t>
    </rPh>
    <rPh sb="3" eb="4">
      <t>メイ</t>
    </rPh>
    <phoneticPr fontId="24"/>
  </si>
  <si>
    <t>診療科名区分</t>
    <rPh sb="0" eb="2">
      <t>シンリョウ</t>
    </rPh>
    <rPh sb="2" eb="3">
      <t>カ</t>
    </rPh>
    <rPh sb="3" eb="4">
      <t>メイ</t>
    </rPh>
    <rPh sb="4" eb="6">
      <t>クブン</t>
    </rPh>
    <phoneticPr fontId="24"/>
  </si>
  <si>
    <t>対応する疾病情報テーブルのシーケンス番号</t>
    <rPh sb="0" eb="2">
      <t>タイオウ</t>
    </rPh>
    <rPh sb="4" eb="6">
      <t>シッペイ</t>
    </rPh>
    <rPh sb="6" eb="8">
      <t>ジョウホウ</t>
    </rPh>
    <rPh sb="18" eb="20">
      <t>バンゴウ</t>
    </rPh>
    <phoneticPr fontId="14"/>
  </si>
  <si>
    <t>行番号毎に診療科を設定</t>
    <rPh sb="0" eb="3">
      <t>ギョウバンゴウ</t>
    </rPh>
    <rPh sb="3" eb="4">
      <t>マイ</t>
    </rPh>
    <rPh sb="5" eb="7">
      <t>シンリョウ</t>
    </rPh>
    <rPh sb="7" eb="8">
      <t>カ</t>
    </rPh>
    <rPh sb="9" eb="11">
      <t>セッテイ</t>
    </rPh>
    <phoneticPr fontId="14"/>
  </si>
  <si>
    <t>診療科の取得元を設定
1:診療科1診療科名　2:診療科2診療科名　3:診療科3診療科名　4:DPCレセ診療科1診療科名</t>
    <rPh sb="0" eb="2">
      <t>シンリョウ</t>
    </rPh>
    <rPh sb="2" eb="3">
      <t>カ</t>
    </rPh>
    <rPh sb="4" eb="6">
      <t>シュトク</t>
    </rPh>
    <rPh sb="6" eb="7">
      <t>モト</t>
    </rPh>
    <rPh sb="8" eb="10">
      <t>セッテイ</t>
    </rPh>
    <rPh sb="13" eb="16">
      <t>シンリョウカ</t>
    </rPh>
    <rPh sb="17" eb="19">
      <t>シンリョウ</t>
    </rPh>
    <rPh sb="19" eb="21">
      <t>カメイ</t>
    </rPh>
    <rPh sb="24" eb="27">
      <t>シンリョウカ</t>
    </rPh>
    <rPh sb="28" eb="30">
      <t>シンリョウ</t>
    </rPh>
    <rPh sb="30" eb="32">
      <t>カメイ</t>
    </rPh>
    <rPh sb="35" eb="38">
      <t>シンリョウカ</t>
    </rPh>
    <rPh sb="39" eb="41">
      <t>シンリョウ</t>
    </rPh>
    <rPh sb="41" eb="43">
      <t>カメイ</t>
    </rPh>
    <rPh sb="51" eb="54">
      <t>シンリョウカ</t>
    </rPh>
    <rPh sb="55" eb="57">
      <t>シンリョウ</t>
    </rPh>
    <rPh sb="57" eb="59">
      <t>カメイ</t>
    </rPh>
    <phoneticPr fontId="14"/>
  </si>
  <si>
    <t>バックアップ_入院退院データ</t>
    <phoneticPr fontId="9"/>
  </si>
  <si>
    <t>入院年月</t>
    <rPh sb="0" eb="2">
      <t>ニュウイン</t>
    </rPh>
    <rPh sb="2" eb="4">
      <t>ネンゲツ</t>
    </rPh>
    <phoneticPr fontId="14"/>
  </si>
  <si>
    <t>nyuin_ym</t>
  </si>
  <si>
    <t>退院年月</t>
    <rPh sb="0" eb="2">
      <t>タイイン</t>
    </rPh>
    <rPh sb="2" eb="4">
      <t>ネンゲツ</t>
    </rPh>
    <phoneticPr fontId="14"/>
  </si>
  <si>
    <t>taiin_ym</t>
  </si>
  <si>
    <t>入院年月日</t>
    <rPh sb="0" eb="2">
      <t>ニュウイン</t>
    </rPh>
    <rPh sb="2" eb="5">
      <t>ネンガッピ</t>
    </rPh>
    <phoneticPr fontId="14"/>
  </si>
  <si>
    <t>退院年月日</t>
    <rPh sb="0" eb="2">
      <t>タイイン</t>
    </rPh>
    <rPh sb="2" eb="5">
      <t>ネンガッピ</t>
    </rPh>
    <phoneticPr fontId="14"/>
  </si>
  <si>
    <t>入院中F</t>
    <rPh sb="0" eb="2">
      <t>ニュウイン</t>
    </rPh>
    <rPh sb="2" eb="3">
      <t>チュウ</t>
    </rPh>
    <phoneticPr fontId="14"/>
  </si>
  <si>
    <t>nyuinchu_flg</t>
  </si>
  <si>
    <t>入院EF及びDファイルよりデータ取得</t>
    <rPh sb="0" eb="2">
      <t>ニュウイン</t>
    </rPh>
    <rPh sb="4" eb="5">
      <t>オヨ</t>
    </rPh>
    <rPh sb="16" eb="18">
      <t>シュトク</t>
    </rPh>
    <phoneticPr fontId="14"/>
  </si>
  <si>
    <t>入院年月日の年月までを取得YYYYMM</t>
    <rPh sb="0" eb="2">
      <t>ニュウイン</t>
    </rPh>
    <rPh sb="2" eb="5">
      <t>ネンガッピ</t>
    </rPh>
    <rPh sb="6" eb="8">
      <t>ネンゲツ</t>
    </rPh>
    <rPh sb="11" eb="13">
      <t>シュトク</t>
    </rPh>
    <phoneticPr fontId="14"/>
  </si>
  <si>
    <t>退院年月日の年月までを取得YYYYMM</t>
    <rPh sb="0" eb="2">
      <t>タイイン</t>
    </rPh>
    <rPh sb="2" eb="5">
      <t>ネンガッピ</t>
    </rPh>
    <rPh sb="6" eb="8">
      <t>ネンゲツ</t>
    </rPh>
    <rPh sb="11" eb="13">
      <t>シュトク</t>
    </rPh>
    <phoneticPr fontId="14"/>
  </si>
  <si>
    <t>入院中の場合は1、退院日が入力されていれば０</t>
    <rPh sb="0" eb="2">
      <t>ニュウイン</t>
    </rPh>
    <rPh sb="2" eb="3">
      <t>チュウ</t>
    </rPh>
    <rPh sb="4" eb="6">
      <t>バアイ</t>
    </rPh>
    <rPh sb="9" eb="11">
      <t>タイイン</t>
    </rPh>
    <rPh sb="11" eb="12">
      <t>ビ</t>
    </rPh>
    <rPh sb="13" eb="15">
      <t>ニュウリョク</t>
    </rPh>
    <phoneticPr fontId="14"/>
  </si>
  <si>
    <t>バックアップ_二次利用DB登録患者データ</t>
    <phoneticPr fontId="9"/>
  </si>
  <si>
    <t>データ種別</t>
    <rPh sb="3" eb="5">
      <t>シュベツ</t>
    </rPh>
    <phoneticPr fontId="18"/>
  </si>
  <si>
    <t>文字列</t>
    <rPh sb="0" eb="3">
      <t>モジレツ</t>
    </rPh>
    <phoneticPr fontId="6"/>
  </si>
  <si>
    <t>患者ID</t>
    <rPh sb="0" eb="2">
      <t>カンジャ</t>
    </rPh>
    <phoneticPr fontId="11"/>
  </si>
  <si>
    <t>patient_id</t>
  </si>
  <si>
    <t>"DPC", "RCP", "MML"の何れかを設定</t>
    <rPh sb="19" eb="20">
      <t>イズ</t>
    </rPh>
    <rPh sb="23" eb="25">
      <t>セッテイ</t>
    </rPh>
    <phoneticPr fontId="14"/>
  </si>
  <si>
    <t>バックアップ_二次利用DB登録患者データ_DPC</t>
    <phoneticPr fontId="9"/>
  </si>
  <si>
    <t>診療年月_最小</t>
    <rPh sb="0" eb="2">
      <t>シンリョウ</t>
    </rPh>
    <rPh sb="2" eb="4">
      <t>ネンゲツ</t>
    </rPh>
    <rPh sb="5" eb="7">
      <t>サイショウ</t>
    </rPh>
    <phoneticPr fontId="29"/>
  </si>
  <si>
    <t>shinryo_ym_min</t>
  </si>
  <si>
    <t>文字列</t>
    <rPh sb="0" eb="3">
      <t>モジレツ</t>
    </rPh>
    <phoneticPr fontId="26"/>
  </si>
  <si>
    <t>診療年月_最大</t>
    <rPh sb="0" eb="2">
      <t>シンリョウ</t>
    </rPh>
    <rPh sb="2" eb="4">
      <t>ネンゲツ</t>
    </rPh>
    <rPh sb="5" eb="7">
      <t>サイダイ</t>
    </rPh>
    <phoneticPr fontId="29"/>
  </si>
  <si>
    <t>shinryo_ym_max</t>
  </si>
  <si>
    <t>男女区分</t>
    <rPh sb="0" eb="2">
      <t>ダンジョ</t>
    </rPh>
    <rPh sb="2" eb="4">
      <t>クブン</t>
    </rPh>
    <phoneticPr fontId="14"/>
  </si>
  <si>
    <t>生年月日</t>
    <rPh sb="0" eb="2">
      <t>セイネン</t>
    </rPh>
    <rPh sb="2" eb="4">
      <t>ガッピ</t>
    </rPh>
    <phoneticPr fontId="14"/>
  </si>
  <si>
    <t>1.男 2.女 8.Nullまたは空
※様式1のみ性別が設定されているため、それ以外の場合は「8」固定</t>
    <rPh sb="17" eb="18">
      <t>カラ</t>
    </rPh>
    <rPh sb="20" eb="22">
      <t>ヨウシキ</t>
    </rPh>
    <rPh sb="25" eb="27">
      <t>セイベツ</t>
    </rPh>
    <rPh sb="28" eb="30">
      <t>セッテイ</t>
    </rPh>
    <rPh sb="40" eb="42">
      <t>イガイ</t>
    </rPh>
    <rPh sb="43" eb="45">
      <t>バアイ</t>
    </rPh>
    <rPh sb="49" eb="51">
      <t>コテイ</t>
    </rPh>
    <phoneticPr fontId="14"/>
  </si>
  <si>
    <t>YYYYMM
Nullまたは空の場合、「99999999」を設定する。
※入院EFは生年月日が設定されていないため「99999999」固定</t>
    <rPh sb="16" eb="18">
      <t>バアイ</t>
    </rPh>
    <rPh sb="30" eb="32">
      <t>セッテイ</t>
    </rPh>
    <rPh sb="37" eb="39">
      <t>ニュウイン</t>
    </rPh>
    <rPh sb="42" eb="46">
      <t>セイネンガッピ</t>
    </rPh>
    <rPh sb="67" eb="69">
      <t>コテイ</t>
    </rPh>
    <phoneticPr fontId="14"/>
  </si>
  <si>
    <t>バックアップ_二次利用DB登録患者データ_レセプト</t>
    <phoneticPr fontId="9"/>
  </si>
  <si>
    <t>1.男 2.女 8.Nullまたは空</t>
    <rPh sb="17" eb="18">
      <t>カラ</t>
    </rPh>
    <phoneticPr fontId="14"/>
  </si>
  <si>
    <t>YYYYMM
Nullまたは空の場合、「99999999」を設定する。</t>
    <rPh sb="16" eb="18">
      <t>バアイ</t>
    </rPh>
    <rPh sb="30" eb="32">
      <t>セッテイ</t>
    </rPh>
    <phoneticPr fontId="14"/>
  </si>
  <si>
    <t>バックアップ_二次利用DB登録患者データ_MML</t>
    <phoneticPr fontId="9"/>
  </si>
  <si>
    <t>1.男 2.女 3.その他 8.「4」またはNullまたは空</t>
    <rPh sb="29" eb="30">
      <t>カラ</t>
    </rPh>
    <phoneticPr fontId="14"/>
  </si>
  <si>
    <t>true:死亡，false:生存
Nullまたは空の場合、「unknown」を設定する。</t>
    <rPh sb="5" eb="7">
      <t>シボウ</t>
    </rPh>
    <rPh sb="14" eb="16">
      <t>セイゾン</t>
    </rPh>
    <phoneticPr fontId="3"/>
  </si>
  <si>
    <t>YYYYMMDDHHMM
Nullまたは空の場合、「999999999999」を設定する。</t>
  </si>
  <si>
    <t>バックアップ_二次利用DB登録患者紐付けデータ</t>
    <phoneticPr fontId="9"/>
  </si>
  <si>
    <t>施設ID</t>
    <rPh sb="0" eb="2">
      <t>シセツ</t>
    </rPh>
    <phoneticPr fontId="29"/>
  </si>
  <si>
    <t>紐付けID</t>
    <rPh sb="0" eb="1">
      <t>ヒモ</t>
    </rPh>
    <rPh sb="1" eb="2">
      <t>ヅ</t>
    </rPh>
    <phoneticPr fontId="29"/>
  </si>
  <si>
    <t>himoduke_id</t>
  </si>
  <si>
    <t>紐付けロジックを考慮したユニーク患者ID</t>
    <rPh sb="0" eb="1">
      <t>ヒモ</t>
    </rPh>
    <rPh sb="1" eb="2">
      <t>ヅ</t>
    </rPh>
    <rPh sb="8" eb="10">
      <t>コウリョ</t>
    </rPh>
    <rPh sb="16" eb="18">
      <t>カンジャ</t>
    </rPh>
    <phoneticPr fontId="11"/>
  </si>
  <si>
    <t>整数</t>
    <rPh sb="0" eb="2">
      <t>セイスウ</t>
    </rPh>
    <phoneticPr fontId="14"/>
  </si>
  <si>
    <t>バックアップ_エラー患者データ</t>
    <phoneticPr fontId="9"/>
  </si>
  <si>
    <t>バックアップ_患者基本データ</t>
    <phoneticPr fontId="9"/>
  </si>
  <si>
    <t>データ種別"DPC", "RCP"の場合のみ設定</t>
    <rPh sb="18" eb="20">
      <t>バアイ</t>
    </rPh>
    <rPh sb="22" eb="24">
      <t>セッテイ</t>
    </rPh>
    <phoneticPr fontId="11"/>
  </si>
  <si>
    <t>1.男 2.女 3.その他 9.不明（男女混在の場合）</t>
    <rPh sb="19" eb="21">
      <t>ダンジョ</t>
    </rPh>
    <rPh sb="21" eb="23">
      <t>コンザイ</t>
    </rPh>
    <rPh sb="24" eb="26">
      <t>バアイ</t>
    </rPh>
    <phoneticPr fontId="14"/>
  </si>
  <si>
    <t>YYYYMM
不明時（複数生年月日が混在）は 99999999 とする</t>
    <rPh sb="7" eb="9">
      <t>フメイ</t>
    </rPh>
    <rPh sb="11" eb="13">
      <t>フクスウ</t>
    </rPh>
    <rPh sb="13" eb="15">
      <t>セイネン</t>
    </rPh>
    <rPh sb="15" eb="17">
      <t>ガッピ</t>
    </rPh>
    <rPh sb="18" eb="20">
      <t>コンザイ</t>
    </rPh>
    <phoneticPr fontId="14"/>
  </si>
  <si>
    <t>データ種別"MML"の場合のみ設定
true:死亡，false:生存
Nullまたは空の場合、「unknown」を設定する。</t>
    <rPh sb="23" eb="25">
      <t>シボウ</t>
    </rPh>
    <rPh sb="32" eb="34">
      <t>セイゾン</t>
    </rPh>
    <phoneticPr fontId="3"/>
  </si>
  <si>
    <t>データ種別"MML"の場合のみ設定
YYYYMMDDHHMM
Nullまたは空の場合、「999999999999」を設定する。</t>
  </si>
  <si>
    <t>バックアップ_施設属性マスタ取込用</t>
    <phoneticPr fontId="9"/>
  </si>
  <si>
    <t>一般病床</t>
  </si>
  <si>
    <t>ippan_bed</t>
  </si>
  <si>
    <t>精神病床</t>
  </si>
  <si>
    <t>seishin_bed</t>
  </si>
  <si>
    <t>感染症病床</t>
  </si>
  <si>
    <t>kansen_bed</t>
  </si>
  <si>
    <t>結核病床</t>
  </si>
  <si>
    <t>kekkaku_bed</t>
  </si>
  <si>
    <t>療養病床</t>
  </si>
  <si>
    <t>ryouyou_bed</t>
  </si>
  <si>
    <t>大学病院F</t>
  </si>
  <si>
    <t>univ_hp_f</t>
  </si>
  <si>
    <t>特定機能病院F</t>
  </si>
  <si>
    <t>tokutei_hp_f</t>
  </si>
  <si>
    <t>がん拠点病院F</t>
  </si>
  <si>
    <t>cancer_hp_f</t>
  </si>
  <si>
    <t>高度急性期病院F</t>
  </si>
  <si>
    <t>high_acute_care_hp_f</t>
  </si>
  <si>
    <t>急性期病院F</t>
  </si>
  <si>
    <t>acute_care_hp_f</t>
  </si>
  <si>
    <t>千年カルテ離脱施設フラグ</t>
    <rPh sb="7" eb="9">
      <t>シセツ</t>
    </rPh>
    <phoneticPr fontId="11"/>
  </si>
  <si>
    <t>mil_exit_f</t>
  </si>
  <si>
    <t>取込基準年月</t>
    <rPh sb="0" eb="2">
      <t>トリコミ</t>
    </rPh>
    <rPh sb="2" eb="4">
      <t>キジュン</t>
    </rPh>
    <rPh sb="4" eb="6">
      <t>ネンゲツ</t>
    </rPh>
    <phoneticPr fontId="11"/>
  </si>
  <si>
    <t>torikomi_kijun_ym</t>
  </si>
  <si>
    <t>データ登録年月日</t>
    <rPh sb="3" eb="5">
      <t>トウロク</t>
    </rPh>
    <rPh sb="5" eb="8">
      <t>ネンガッピ</t>
    </rPh>
    <phoneticPr fontId="9"/>
  </si>
  <si>
    <t>update_ymd</t>
  </si>
  <si>
    <t>施設マスタと同一IDを設定</t>
    <rPh sb="6" eb="8">
      <t>ドウイツ</t>
    </rPh>
    <rPh sb="11" eb="13">
      <t>セッテイ</t>
    </rPh>
    <phoneticPr fontId="14"/>
  </si>
  <si>
    <t>様式３より作成（毎月のデータ受領時に確認）</t>
    <rPh sb="8" eb="10">
      <t>マイツキ</t>
    </rPh>
    <rPh sb="14" eb="16">
      <t>ジュリョウ</t>
    </rPh>
    <rPh sb="16" eb="17">
      <t>ジ</t>
    </rPh>
    <rPh sb="18" eb="20">
      <t>カクニン</t>
    </rPh>
    <phoneticPr fontId="28"/>
  </si>
  <si>
    <t>外部情報から作成
医療機関名から１件ずつ検索　</t>
  </si>
  <si>
    <t>外部情報から作成
医療機関名から１件ずつ検索　「〇〇病院　特定機能病院」とか検索すると分かりやすい</t>
  </si>
  <si>
    <t>外部情報を元に下記を入れてください。
1　→・都道府県がん診療連携拠点病院
2　→・地域がん診療連携拠点病院（高度型）
3　→・地域がん診療連携拠点病院
上記３つ以外はその他
9　→・その他</t>
    <rPh sb="5" eb="6">
      <t>モト</t>
    </rPh>
    <rPh sb="7" eb="9">
      <t>カキ</t>
    </rPh>
    <rPh sb="10" eb="11">
      <t>イ</t>
    </rPh>
    <rPh sb="77" eb="79">
      <t>ジョウキ</t>
    </rPh>
    <rPh sb="81" eb="83">
      <t>イガイ</t>
    </rPh>
    <rPh sb="86" eb="87">
      <t>タ</t>
    </rPh>
    <phoneticPr fontId="28"/>
  </si>
  <si>
    <t>様式３（毎月のデータ受領時に確認）で
7対1入院基本料の届け出があること</t>
    <rPh sb="28" eb="29">
      <t>トド</t>
    </rPh>
    <rPh sb="30" eb="31">
      <t>デ</t>
    </rPh>
    <phoneticPr fontId="28"/>
  </si>
  <si>
    <t>様式３（毎月のデータ受領時に確認）で
10対1病棟入院基本料の届け出があること</t>
    <rPh sb="31" eb="32">
      <t>トド</t>
    </rPh>
    <rPh sb="33" eb="34">
      <t>デ</t>
    </rPh>
    <phoneticPr fontId="28"/>
  </si>
  <si>
    <t>1：千年カルテ離脱施設</t>
  </si>
  <si>
    <t>登録する施設属性の内容の基準となる年月
基本的に様式３の調査年月が設定される
YYYYMMDD形式</t>
    <rPh sb="0" eb="2">
      <t>トウロク</t>
    </rPh>
    <rPh sb="4" eb="6">
      <t>シセツ</t>
    </rPh>
    <rPh sb="6" eb="8">
      <t>ゾクセイ</t>
    </rPh>
    <rPh sb="9" eb="11">
      <t>ナイヨウ</t>
    </rPh>
    <rPh sb="12" eb="14">
      <t>キジュン</t>
    </rPh>
    <rPh sb="17" eb="19">
      <t>ネンゲツ</t>
    </rPh>
    <rPh sb="20" eb="23">
      <t>キホンテキ</t>
    </rPh>
    <rPh sb="24" eb="26">
      <t>ヨウシキ</t>
    </rPh>
    <rPh sb="28" eb="30">
      <t>チョウサ</t>
    </rPh>
    <rPh sb="30" eb="32">
      <t>ネンゲツ</t>
    </rPh>
    <rPh sb="33" eb="35">
      <t>セッテイ</t>
    </rPh>
    <phoneticPr fontId="11"/>
  </si>
  <si>
    <t>バックアップ_二次医療圏マスタ取込用</t>
    <phoneticPr fontId="9"/>
  </si>
  <si>
    <t>二次医療圏コード</t>
    <rPh sb="0" eb="2">
      <t>ニジ</t>
    </rPh>
    <rPh sb="2" eb="4">
      <t>イリョウ</t>
    </rPh>
    <rPh sb="4" eb="5">
      <t>ケン</t>
    </rPh>
    <phoneticPr fontId="9"/>
  </si>
  <si>
    <t>iryouken2_cd</t>
  </si>
  <si>
    <t>二次医療圏</t>
    <rPh sb="0" eb="2">
      <t>ニジ</t>
    </rPh>
    <rPh sb="2" eb="4">
      <t>イリョウ</t>
    </rPh>
    <rPh sb="4" eb="5">
      <t>ケン</t>
    </rPh>
    <phoneticPr fontId="9"/>
  </si>
  <si>
    <t>iryouken2</t>
  </si>
  <si>
    <t>都道府県コード</t>
  </si>
  <si>
    <t>prefecture_cd</t>
  </si>
  <si>
    <t>都道府県名</t>
    <rPh sb="0" eb="4">
      <t>トドウフケン</t>
    </rPh>
    <rPh sb="4" eb="5">
      <t>メイ</t>
    </rPh>
    <phoneticPr fontId="9"/>
  </si>
  <si>
    <t>市区町村コード</t>
  </si>
  <si>
    <t>city_code</t>
  </si>
  <si>
    <t>市区町村</t>
  </si>
  <si>
    <t>city</t>
  </si>
  <si>
    <t>削除フラグ</t>
    <rPh sb="0" eb="2">
      <t>サクジョ</t>
    </rPh>
    <phoneticPr fontId="9"/>
  </si>
  <si>
    <t>del_f</t>
  </si>
  <si>
    <t>変更年月日</t>
    <rPh sb="0" eb="2">
      <t>ヘンコウ</t>
    </rPh>
    <rPh sb="2" eb="5">
      <t>ネンガッピ</t>
    </rPh>
    <phoneticPr fontId="9"/>
  </si>
  <si>
    <t>henkou_ymd</t>
  </si>
  <si>
    <t>廃止年月日</t>
  </si>
  <si>
    <t>del_ymd</t>
  </si>
  <si>
    <t>DATA GO JP データカタログWebサイトより取得</t>
  </si>
  <si>
    <t>DATA GO JP データカタログWebサイトより取得
YYYYMMDD形式</t>
  </si>
  <si>
    <t>バックアップ_新旧医薬品コードマスタ取込用</t>
    <phoneticPr fontId="9"/>
  </si>
  <si>
    <t>エンティティ一覧</t>
    <phoneticPr fontId="9"/>
  </si>
  <si>
    <t>施行年月日</t>
  </si>
  <si>
    <t>siko_ymd</t>
  </si>
  <si>
    <t>旧医薬品コード</t>
  </si>
  <si>
    <t>old_iyakuhin_cd</t>
  </si>
  <si>
    <t>新医薬品コード</t>
  </si>
  <si>
    <t>new_iyakuhin_cd</t>
  </si>
  <si>
    <t>データ登録年月日</t>
    <rPh sb="3" eb="5">
      <t>トウロク</t>
    </rPh>
    <rPh sb="5" eb="8">
      <t>ネンガッピ</t>
    </rPh>
    <phoneticPr fontId="14"/>
  </si>
  <si>
    <t>99999999</t>
  </si>
  <si>
    <t>医薬品マスタより取得
YYYYMM形式</t>
  </si>
  <si>
    <t>医薬品マスタより取得
移行元医薬品コード</t>
  </si>
  <si>
    <t>医薬品マスタより取得
移行先医薬品コード</t>
  </si>
  <si>
    <t>医薬品マスタより取得
YYYYMMDD形式</t>
  </si>
  <si>
    <t>バックアップ_DPC6ICD10対応表マスタ取込用</t>
    <phoneticPr fontId="9"/>
  </si>
  <si>
    <t>変更区分</t>
    <rPh sb="0" eb="2">
      <t>ヘンコウ</t>
    </rPh>
    <rPh sb="2" eb="4">
      <t>クブン</t>
    </rPh>
    <phoneticPr fontId="14"/>
  </si>
  <si>
    <t>henkou_kubun</t>
  </si>
  <si>
    <t>DPCコード2桁</t>
  </si>
  <si>
    <t>dpc2_cd</t>
  </si>
  <si>
    <t>DPCコード6桁</t>
  </si>
  <si>
    <t>dpc6_cd</t>
  </si>
  <si>
    <t>icd10_cd</t>
  </si>
  <si>
    <t>ICD名</t>
    <rPh sb="3" eb="4">
      <t>メイ</t>
    </rPh>
    <phoneticPr fontId="11"/>
  </si>
  <si>
    <t>icd10_name</t>
  </si>
  <si>
    <t>有効期間_開始年月日</t>
  </si>
  <si>
    <t>start_ymd</t>
  </si>
  <si>
    <t>有効期間_終了年月日</t>
  </si>
  <si>
    <t>end_ymd</t>
  </si>
  <si>
    <t>診断群分類（DPC）電子点数表「４）ＩＣＤ」シートより取得
YYYYMMDD形式</t>
  </si>
  <si>
    <t>0：前バージョンの内容と同じであることを表す。→DB上には登録しない
1：抹消（削除するレコード）
2：復活（廃止レコードの復活）→特殊なコードであり，通常は「３」を使用する。
3：新規（追加レコード）
5：変更（項目内容が変更されたことを表す）
9：廃止（経過措置適用のレコード）</t>
    <rPh sb="26" eb="27">
      <t>ジョウ</t>
    </rPh>
    <rPh sb="29" eb="31">
      <t>トウロク</t>
    </rPh>
    <phoneticPr fontId="11"/>
  </si>
  <si>
    <t>診断群分類（DPC）電子点数表「４）ＩＣＤ」シートより取得</t>
  </si>
  <si>
    <t>00000000</t>
  </si>
  <si>
    <t>バックアップ_修飾語マスタ取込用</t>
    <phoneticPr fontId="9"/>
  </si>
  <si>
    <t>マスター種別</t>
  </si>
  <si>
    <t>master_type</t>
  </si>
  <si>
    <t>修飾語コード</t>
  </si>
  <si>
    <t>syusyokugo_cd</t>
  </si>
  <si>
    <t>予備1</t>
  </si>
  <si>
    <t>予備2</t>
  </si>
  <si>
    <t>修飾語名称桁数</t>
  </si>
  <si>
    <t>syusyokugo_name_ketasu</t>
  </si>
  <si>
    <t>整数</t>
    <rPh sb="0" eb="2">
      <t>セイスウ</t>
    </rPh>
    <phoneticPr fontId="11"/>
  </si>
  <si>
    <t>修飾語名称</t>
  </si>
  <si>
    <t>syusyokugo_name</t>
  </si>
  <si>
    <t>予備3</t>
  </si>
  <si>
    <t>修飾語カナ名称桁数</t>
  </si>
  <si>
    <t>syusyokugo_kana_name_ketasu</t>
  </si>
  <si>
    <t>修飾語カナ名称</t>
  </si>
  <si>
    <t>syusyokugo_kana_name</t>
  </si>
  <si>
    <t>予備4</t>
  </si>
  <si>
    <t>修飾語名称（変更情報）</t>
  </si>
  <si>
    <t>syusyokugo_name_henkou</t>
  </si>
  <si>
    <t>修飾語カナ名称（変更情報）</t>
  </si>
  <si>
    <t>syusyokugo_kana_name_henkou</t>
  </si>
  <si>
    <t>収載年月日</t>
  </si>
  <si>
    <t>syusai_ymd</t>
  </si>
  <si>
    <t>変更年月日</t>
  </si>
  <si>
    <t>henko_ymd</t>
  </si>
  <si>
    <t>haishi_ymd</t>
  </si>
  <si>
    <t>修飾語管理番号</t>
  </si>
  <si>
    <t>syusyokugo_kanri_no</t>
  </si>
  <si>
    <t>修飾語交換用コード</t>
  </si>
  <si>
    <t>syusyokugo_koukan_cd</t>
  </si>
  <si>
    <t>修飾語区分</t>
  </si>
  <si>
    <t>syusyokugo_kubun</t>
  </si>
  <si>
    <t>データ登録日</t>
    <rPh sb="3" eb="5">
      <t>トウロク</t>
    </rPh>
    <rPh sb="5" eb="6">
      <t>ビ</t>
    </rPh>
    <phoneticPr fontId="14"/>
  </si>
  <si>
    <t>1：抹消
3：新規
5：変更
9：廃止</t>
  </si>
  <si>
    <t>Z：固定</t>
  </si>
  <si>
    <t>未使用</t>
  </si>
  <si>
    <t>バックアップ_コメントマスタ取込用</t>
    <phoneticPr fontId="9"/>
  </si>
  <si>
    <t>コメントコード区分</t>
  </si>
  <si>
    <t>comment_cd</t>
  </si>
  <si>
    <t>コメントコードパターン</t>
  </si>
  <si>
    <t>comment_cd_pattern</t>
  </si>
  <si>
    <t>コメントコード一連番号</t>
  </si>
  <si>
    <t>comment_cd_seq</t>
  </si>
  <si>
    <t>文字列</t>
    <rPh sb="0" eb="3">
      <t>モジレツ</t>
    </rPh>
    <phoneticPr fontId="9"/>
  </si>
  <si>
    <t>コメント文漢字有効桁数</t>
  </si>
  <si>
    <t>comment_sentence_kanji_ketasu</t>
  </si>
  <si>
    <t>整数</t>
    <rPh sb="0" eb="2">
      <t>セイスウ</t>
    </rPh>
    <phoneticPr fontId="9"/>
  </si>
  <si>
    <t>コメント文漢字名称</t>
  </si>
  <si>
    <t>comment_sentence_kanji_name</t>
  </si>
  <si>
    <t>コメント文カナ有効桁数</t>
  </si>
  <si>
    <t>comment_sentence_kana_ketasu</t>
  </si>
  <si>
    <t>コメント文カナ名称</t>
  </si>
  <si>
    <t>comment_sentence_kana_name</t>
  </si>
  <si>
    <t>レセプト編集情報1カラム位置</t>
  </si>
  <si>
    <t>recept_hensyu_info1_column_position</t>
  </si>
  <si>
    <t>レセプト編集情報1桁数</t>
  </si>
  <si>
    <t>recept_hensyu_info1_ketasu</t>
  </si>
  <si>
    <t>レセプト編集情報2カラム位置</t>
  </si>
  <si>
    <t>recept_hensyu_info2_column_position</t>
  </si>
  <si>
    <t>レセプト編集情報2桁数</t>
  </si>
  <si>
    <t>recept_hensyu_info2_ketasu</t>
  </si>
  <si>
    <t>レセプト編集情報3カラム位置</t>
  </si>
  <si>
    <t>recept_hensyu_info3_column_position</t>
  </si>
  <si>
    <t>レセプト編集情報3桁数</t>
  </si>
  <si>
    <t>recept_hensyu_info3_ketasu</t>
  </si>
  <si>
    <t>レセプト編集情報4カラム位置</t>
  </si>
  <si>
    <t>recept_hensyu_info4_column_position</t>
  </si>
  <si>
    <t>レセプト編集情報4桁数</t>
  </si>
  <si>
    <t>recept_hensyu_info4_ketasu</t>
  </si>
  <si>
    <t>選択式コメント識別</t>
  </si>
  <si>
    <t>selective_comment_identification</t>
  </si>
  <si>
    <t>コメントコード</t>
  </si>
  <si>
    <t>comment_code</t>
  </si>
  <si>
    <t>公表順序番号</t>
  </si>
  <si>
    <t>kouhyoujunjo_no</t>
  </si>
  <si>
    <t>予備5</t>
  </si>
  <si>
    <t>予備6</t>
  </si>
  <si>
    <t>予備7</t>
  </si>
  <si>
    <t>予備8</t>
  </si>
  <si>
    <t>reserve8</t>
  </si>
  <si>
    <t>C：固定</t>
  </si>
  <si>
    <t>8：固定</t>
  </si>
  <si>
    <t>先頭「８」（固定）＋コメントコードパターン＋コメントコード一連番号（ゼロ埋めした６桁）の組合せで設定。</t>
    <rPh sb="36" eb="37">
      <t>ウ</t>
    </rPh>
    <phoneticPr fontId="11"/>
  </si>
  <si>
    <t>バックアップ_成分量マスタ取込用</t>
    <phoneticPr fontId="9"/>
  </si>
  <si>
    <t>ＹＪコード</t>
  </si>
  <si>
    <t>yj_code</t>
  </si>
  <si>
    <t>配合剤フラグ</t>
  </si>
  <si>
    <t>haigozai_f</t>
  </si>
  <si>
    <t>成分グループコード</t>
  </si>
  <si>
    <t>seibun_group_code</t>
  </si>
  <si>
    <t>成分コード</t>
  </si>
  <si>
    <t>seibun_code</t>
  </si>
  <si>
    <t>成分量</t>
  </si>
  <si>
    <t>seibunryo</t>
  </si>
  <si>
    <t>成分単位コード</t>
  </si>
  <si>
    <t>seibun_unit_code</t>
  </si>
  <si>
    <t>告示規格量</t>
  </si>
  <si>
    <t>kokuji_kikakuryo</t>
  </si>
  <si>
    <t>告示規格単位コード</t>
  </si>
  <si>
    <t>kokuji_kikaku_unit_code</t>
  </si>
  <si>
    <t>備考</t>
  </si>
  <si>
    <t>bikou</t>
  </si>
  <si>
    <t>更新区分</t>
  </si>
  <si>
    <t>koshin_kubun</t>
  </si>
  <si>
    <t>データ登録日</t>
    <rPh sb="3" eb="6">
      <t>トウロクビ</t>
    </rPh>
    <phoneticPr fontId="14"/>
  </si>
  <si>
    <t>0：単味剤
1：配合剤</t>
  </si>
  <si>
    <t>1：追加
2：更新
3：削除</t>
  </si>
  <si>
    <t>データ登録日（YYYYMMDD形式）</t>
    <rPh sb="15" eb="17">
      <t>ケイシキ</t>
    </rPh>
    <phoneticPr fontId="11"/>
  </si>
  <si>
    <t>バックアップ_成分名マスタ取込用</t>
    <phoneticPr fontId="9"/>
  </si>
  <si>
    <t>管理ID</t>
    <rPh sb="0" eb="2">
      <t>カンリ</t>
    </rPh>
    <phoneticPr fontId="14"/>
  </si>
  <si>
    <t>management_id</t>
  </si>
  <si>
    <t>成分親レベル</t>
  </si>
  <si>
    <t>seibun_oya_level</t>
  </si>
  <si>
    <t>成分親コード</t>
  </si>
  <si>
    <t>seibun_oya_code</t>
  </si>
  <si>
    <t>成分名</t>
  </si>
  <si>
    <t>seibun_name</t>
  </si>
  <si>
    <t>単味フラグ</t>
  </si>
  <si>
    <t>tanmi_f</t>
  </si>
  <si>
    <t>配合フラグ</t>
  </si>
  <si>
    <t>haigo_f</t>
  </si>
  <si>
    <t>タイムスタンプ</t>
  </si>
  <si>
    <t>time_stamp</t>
  </si>
  <si>
    <t>1のものは成分重複チェックに用いない</t>
  </si>
  <si>
    <t>成分の親コード</t>
  </si>
  <si>
    <t>1    ：単味剤の成分として使用されている
Null：使用されていない</t>
  </si>
  <si>
    <t>1    ：配合剤の成分として使用されている
Null：使用されていない</t>
  </si>
  <si>
    <t>YYYY/MM/DD形式</t>
    <rPh sb="10" eb="12">
      <t>ケイシキ</t>
    </rPh>
    <phoneticPr fontId="11"/>
  </si>
  <si>
    <t>データ登録日（YYYYMMDD形式）</t>
  </si>
  <si>
    <t>バックアップ_単位マスタ取込用</t>
    <phoneticPr fontId="9"/>
  </si>
  <si>
    <t>単位名称</t>
  </si>
  <si>
    <t>unit_name</t>
  </si>
  <si>
    <t>単位換算係数</t>
  </si>
  <si>
    <t>unit_kansan_keisu</t>
  </si>
  <si>
    <t>ｋg、㎡、mL　等</t>
  </si>
  <si>
    <t>基準単位に換算する為の係数</t>
  </si>
  <si>
    <t>バックアップ_適応病名レセ病名組み合わせ関係リンクマスタ取込用</t>
    <phoneticPr fontId="9"/>
  </si>
  <si>
    <t>適用病名組み合わせコード</t>
    <rPh sb="4" eb="5">
      <t>ク</t>
    </rPh>
    <rPh sb="6" eb="7">
      <t>ア</t>
    </rPh>
    <phoneticPr fontId="14"/>
  </si>
  <si>
    <t>tekiyou_byoumei_link_code</t>
  </si>
  <si>
    <t>適用病名コード</t>
  </si>
  <si>
    <t>tekiyou_byoumei_code</t>
  </si>
  <si>
    <t>疾患コード</t>
  </si>
  <si>
    <t>shikkan_code</t>
  </si>
  <si>
    <t>疾患名</t>
    <rPh sb="0" eb="2">
      <t>シッカン</t>
    </rPh>
    <phoneticPr fontId="0"/>
  </si>
  <si>
    <t>shikkan_name</t>
  </si>
  <si>
    <t xml:space="preserve">保険適用外フラグ </t>
  </si>
  <si>
    <t>hoken_tekiyougai_f</t>
  </si>
  <si>
    <t>ICD10</t>
  </si>
  <si>
    <t>組み合わせコード</t>
  </si>
  <si>
    <t>kumiawase_code</t>
  </si>
  <si>
    <t>関係性レベルコード</t>
  </si>
  <si>
    <t>kankeisei_code</t>
  </si>
  <si>
    <t>レセプト病名にリンクをしていない場合：ZZZZZZZ</t>
  </si>
  <si>
    <t>廃止年月日の設定が無いレセプト病名：99999999</t>
  </si>
  <si>
    <t>0：保険適用
1：保険適用外</t>
  </si>
  <si>
    <t>バックアップ_適応病名レセ病名組み合わせ関係リンク親子マスタ取込用</t>
    <phoneticPr fontId="9"/>
  </si>
  <si>
    <t>バックアップ_適用病名マスタ取込用</t>
    <phoneticPr fontId="9"/>
  </si>
  <si>
    <t>用語コード１</t>
  </si>
  <si>
    <t>yougo_code1</t>
  </si>
  <si>
    <t>用語コード２</t>
  </si>
  <si>
    <t>yougo_code2</t>
  </si>
  <si>
    <t>用語コード３</t>
  </si>
  <si>
    <t>yougo_code3</t>
  </si>
  <si>
    <t>適用病名</t>
    <rPh sb="0" eb="4">
      <t>テキヨウビョウメイ</t>
    </rPh>
    <phoneticPr fontId="14"/>
  </si>
  <si>
    <t>tekiyou_byoumei_name</t>
  </si>
  <si>
    <t>バックアップ_ＹＪコード医薬品コードリンクマスタ取込用</t>
    <phoneticPr fontId="9"/>
  </si>
  <si>
    <t>医薬品コード</t>
    <rPh sb="0" eb="3">
      <t>イヤクヒン</t>
    </rPh>
    <phoneticPr fontId="14"/>
  </si>
  <si>
    <t>医薬品一般名</t>
    <rPh sb="0" eb="3">
      <t>イヤクヒン</t>
    </rPh>
    <rPh sb="3" eb="5">
      <t>イッパン</t>
    </rPh>
    <rPh sb="5" eb="6">
      <t>メイ</t>
    </rPh>
    <phoneticPr fontId="14"/>
  </si>
  <si>
    <t>iyakuhin_ippan_name</t>
  </si>
  <si>
    <t>医薬品名</t>
    <rPh sb="0" eb="4">
      <t>イヤクヒンメイ</t>
    </rPh>
    <phoneticPr fontId="14"/>
  </si>
  <si>
    <t>iyakuhin_name</t>
  </si>
  <si>
    <t>規格内容</t>
    <rPh sb="2" eb="4">
      <t>ナイヨウ</t>
    </rPh>
    <phoneticPr fontId="14"/>
  </si>
  <si>
    <t>kikaku_naiyou</t>
  </si>
  <si>
    <t>個別医薬品コード（通称YJコード）</t>
  </si>
  <si>
    <t>データ無しの場合nullを設定</t>
  </si>
  <si>
    <t>バックアップ_診療行為付加情報マスタ取込用</t>
    <phoneticPr fontId="9"/>
  </si>
  <si>
    <t>更新区分</t>
    <rPh sb="0" eb="2">
      <t>コウシン</t>
    </rPh>
    <rPh sb="2" eb="4">
      <t>クブン</t>
    </rPh>
    <phoneticPr fontId="14"/>
  </si>
  <si>
    <t>診療行為省略漢字有効桁数</t>
  </si>
  <si>
    <t>shinryo_koi_kanji_name_ketasu</t>
  </si>
  <si>
    <t>診療行為省略漢字名称</t>
    <rPh sb="8" eb="10">
      <t>メイショウ</t>
    </rPh>
    <phoneticPr fontId="14"/>
  </si>
  <si>
    <t>shinryo_koi_kanji_name</t>
  </si>
  <si>
    <t>診療行為省略カナ有効桁数</t>
  </si>
  <si>
    <t>shinryo_koi_kana_name_ketasu</t>
  </si>
  <si>
    <t>診療行為省略カナ名称</t>
  </si>
  <si>
    <t>shinryo_koi_kana_name</t>
  </si>
  <si>
    <t>データ規格コード</t>
  </si>
  <si>
    <t>data_standard_code</t>
  </si>
  <si>
    <t>データ規格漢字有効桁数</t>
  </si>
  <si>
    <t>data_standard_ketasu</t>
  </si>
  <si>
    <t>データ規格漢字名称</t>
  </si>
  <si>
    <t>data_standard_name</t>
  </si>
  <si>
    <t>新又は現点数識別</t>
  </si>
  <si>
    <t>gen_tensu_shikibetsu</t>
  </si>
  <si>
    <t>新又は現点数</t>
  </si>
  <si>
    <t>gen_tensu</t>
  </si>
  <si>
    <t>入外適用区分</t>
  </si>
  <si>
    <t>nyugai_tekiyo_kubun</t>
  </si>
  <si>
    <t>後期高齢者医療適用区分</t>
  </si>
  <si>
    <t>aged_tekiyo_kubun</t>
  </si>
  <si>
    <t>点数欄集計先識別（入院外）</t>
  </si>
  <si>
    <t>tensuran_shikibetsu_nyuingai</t>
  </si>
  <si>
    <t>包括対象検査</t>
  </si>
  <si>
    <t>hokatsu_kensa</t>
  </si>
  <si>
    <t>DPC適用区分</t>
  </si>
  <si>
    <t>dpc_tekiyo_kubun</t>
  </si>
  <si>
    <t>病院・診療所区分</t>
  </si>
  <si>
    <t>clinic_kubun</t>
  </si>
  <si>
    <t>画像等手術支援加算区分</t>
  </si>
  <si>
    <t>shujutsu_kasan_kubun</t>
  </si>
  <si>
    <t>医療観察法対象区分</t>
  </si>
  <si>
    <t>iryo_kansatsu_kubun</t>
  </si>
  <si>
    <t>看護加算</t>
  </si>
  <si>
    <t>kango_kasan</t>
  </si>
  <si>
    <t>麻酔識別区分</t>
  </si>
  <si>
    <t>masui_shujutsu_kubun</t>
  </si>
  <si>
    <t>傷病名関連区分</t>
  </si>
  <si>
    <t>shobyo_kanren_kubun</t>
  </si>
  <si>
    <t>実日数</t>
  </si>
  <si>
    <t>jitsu_days</t>
  </si>
  <si>
    <t>日数・回数</t>
  </si>
  <si>
    <t>days_times</t>
  </si>
  <si>
    <t>医薬品関連区分</t>
  </si>
  <si>
    <t>iyakuhin_kanren_kubun</t>
  </si>
  <si>
    <t>きざみ値計算識別</t>
  </si>
  <si>
    <t>kizami_keisan_shikibetsu</t>
  </si>
  <si>
    <t>きざみ値下限値</t>
  </si>
  <si>
    <t>kizami_low</t>
  </si>
  <si>
    <t>きざみ値上限値</t>
  </si>
  <si>
    <t>kizami_up</t>
  </si>
  <si>
    <t>きざみ値</t>
  </si>
  <si>
    <t>kizami_value</t>
  </si>
  <si>
    <t>きざみ点数</t>
  </si>
  <si>
    <t>kizami_tensu</t>
  </si>
  <si>
    <t>上下限エラー処理</t>
  </si>
  <si>
    <t>up_low_error</t>
  </si>
  <si>
    <t>上限回数</t>
  </si>
  <si>
    <t>up_times</t>
  </si>
  <si>
    <t>上限回数エラー処理</t>
  </si>
  <si>
    <t>up_times_error</t>
  </si>
  <si>
    <t>注加算コード</t>
  </si>
  <si>
    <t>chu_kasan_code</t>
  </si>
  <si>
    <t>注加算通番</t>
  </si>
  <si>
    <t>chu_kasan_no</t>
  </si>
  <si>
    <t>通則年齢</t>
  </si>
  <si>
    <t>tsusoku_age</t>
  </si>
  <si>
    <t>下限年齢</t>
  </si>
  <si>
    <t>low_age</t>
  </si>
  <si>
    <t>上限年齢</t>
  </si>
  <si>
    <t>up_age</t>
  </si>
  <si>
    <t>時間加算区分</t>
  </si>
  <si>
    <t>time_kasan_kubun</t>
  </si>
  <si>
    <t>適合区分</t>
  </si>
  <si>
    <t>tekigo_kubun</t>
  </si>
  <si>
    <t>対象施設基準</t>
  </si>
  <si>
    <t>facility_kijun</t>
  </si>
  <si>
    <t>処置乳幼児加算区分</t>
  </si>
  <si>
    <t>nyuyoji_kasan_kubun</t>
  </si>
  <si>
    <t>極低出生体重児加算区分</t>
  </si>
  <si>
    <t>taijuji_kasan_kubun</t>
  </si>
  <si>
    <t>入院基本料等減算対象識別</t>
  </si>
  <si>
    <t>nyuin_kihon_gensan_shikibetsu</t>
  </si>
  <si>
    <t>ドナー分集計区分</t>
  </si>
  <si>
    <t>donor_kubun</t>
  </si>
  <si>
    <t>検査等実施判断区分</t>
  </si>
  <si>
    <t>kensa_handan_kubun</t>
  </si>
  <si>
    <t>検査等実施判断グループ区分</t>
  </si>
  <si>
    <t>kensa_handan_group_kubun</t>
  </si>
  <si>
    <t>逓減対象区分</t>
  </si>
  <si>
    <t>teigen_kubun</t>
  </si>
  <si>
    <t>脊髄誘発電位測定等加算区分</t>
  </si>
  <si>
    <t>sekizui_kasan_kubun</t>
  </si>
  <si>
    <t>頸部郭清術併施加算区分</t>
  </si>
  <si>
    <t>keibu_kasan_kubun</t>
  </si>
  <si>
    <t>自動縫合器加算区分</t>
  </si>
  <si>
    <t>hogoki_kasan_kubun</t>
  </si>
  <si>
    <t>外来管理加算区分</t>
  </si>
  <si>
    <t>gairai_kasan_kubun</t>
  </si>
  <si>
    <t>旧点数識別</t>
  </si>
  <si>
    <t>old_tensu_shikibetsu</t>
  </si>
  <si>
    <t>旧点数</t>
  </si>
  <si>
    <t>old_tensu</t>
  </si>
  <si>
    <t>漢字名称変更区分</t>
  </si>
  <si>
    <t>kanji_henko_kubun</t>
  </si>
  <si>
    <t>カナ名称変更区分</t>
  </si>
  <si>
    <t>kana_henko_kubun</t>
  </si>
  <si>
    <t>検体検査コメント</t>
  </si>
  <si>
    <t>kentai_comment</t>
  </si>
  <si>
    <t>通則加算所定点数対象区分</t>
  </si>
  <si>
    <t>tsusoku_kasan_tensu</t>
  </si>
  <si>
    <t>包括逓減区分</t>
  </si>
  <si>
    <t>hokatsu_teigen_kubun</t>
  </si>
  <si>
    <t>超音波内視鏡加算区分</t>
  </si>
  <si>
    <t>choonpa_naishikyo_kasan_kubun</t>
  </si>
  <si>
    <t>点数欄集計先識別（入院）</t>
  </si>
  <si>
    <t>tensuran_shikibetsu_nyuin</t>
  </si>
  <si>
    <t>自動吻合器加算区分</t>
  </si>
  <si>
    <t>fungoki_kasan_kubun</t>
  </si>
  <si>
    <t>告示等識別区分1</t>
  </si>
  <si>
    <t>kokuji_shikibetsu_kubun1</t>
  </si>
  <si>
    <t>告示等識別区分2</t>
  </si>
  <si>
    <t>kokuji_shikibetsu_kubun2</t>
  </si>
  <si>
    <t>地域加算</t>
  </si>
  <si>
    <t>chiiki_kasan</t>
  </si>
  <si>
    <t>病床数区分</t>
  </si>
  <si>
    <t>bed_su_kubun</t>
  </si>
  <si>
    <t>施設基準コード1</t>
  </si>
  <si>
    <t>facility_kijun_code1</t>
  </si>
  <si>
    <t>施設基準コード2</t>
  </si>
  <si>
    <t>facility_kijun_code2</t>
  </si>
  <si>
    <t>施設基準コード3</t>
  </si>
  <si>
    <t>facility_kijun_code3</t>
  </si>
  <si>
    <t>施設基準コード4</t>
  </si>
  <si>
    <t>facility_kijun_code4</t>
  </si>
  <si>
    <t>施設基準コード5</t>
  </si>
  <si>
    <t>facility_kijun_code5</t>
  </si>
  <si>
    <t>施設基準コード6</t>
  </si>
  <si>
    <t>facility_kijun_code6</t>
  </si>
  <si>
    <t>施設基準コード7</t>
  </si>
  <si>
    <t>facility_kijun_code7</t>
  </si>
  <si>
    <t>施設基準コード8</t>
  </si>
  <si>
    <t>facility_kijun_code8</t>
  </si>
  <si>
    <t>施設基準コード9</t>
  </si>
  <si>
    <t>facility_kijun_code9</t>
  </si>
  <si>
    <t>施設基準コード10</t>
  </si>
  <si>
    <t>facility_kijun_code10</t>
  </si>
  <si>
    <t>超音波凝固切開装置等加算区分</t>
  </si>
  <si>
    <t>choonpa_sekkai_kasan_kubun</t>
  </si>
  <si>
    <t>短期滞在手術</t>
  </si>
  <si>
    <t>tanki_shujutsu</t>
  </si>
  <si>
    <t>歯科適用区分</t>
  </si>
  <si>
    <t>shika_tekiyo_kubun</t>
  </si>
  <si>
    <t>コード表用番号（アルファベット部）</t>
  </si>
  <si>
    <t>code_table_alphabet</t>
  </si>
  <si>
    <t>告示・通知関連番号（アルファベット部）</t>
  </si>
  <si>
    <t>kokuji_kanren_no_alphabet</t>
  </si>
  <si>
    <t>kohyo_junjo_no</t>
  </si>
  <si>
    <t xml:space="preserve">コード表用番号_章 </t>
  </si>
  <si>
    <t>code_table_no_sho</t>
  </si>
  <si>
    <t>コード表用番号_部</t>
  </si>
  <si>
    <t>code_table_no_bu</t>
  </si>
  <si>
    <t>コード表用番号_区分番号</t>
  </si>
  <si>
    <t>code_table_no_kubun</t>
  </si>
  <si>
    <t>コード表用番号_枝番</t>
  </si>
  <si>
    <t>code_table_no_edaban</t>
  </si>
  <si>
    <t>コード表用番号_項番</t>
  </si>
  <si>
    <t>code_table_no_koban</t>
  </si>
  <si>
    <t xml:space="preserve">告示・通知関連番号_章 </t>
  </si>
  <si>
    <t>kokuji_kanren_no_sho</t>
  </si>
  <si>
    <t>告示・通知関連番号_部</t>
  </si>
  <si>
    <t>kokuji_kanren_no_bu</t>
  </si>
  <si>
    <t>告示・通知関連番号_区分番号</t>
  </si>
  <si>
    <t>kokuji_kanren_no_kubun</t>
  </si>
  <si>
    <t>告示・通知関連番号_枝番</t>
  </si>
  <si>
    <t>kokuji_kanren_no_edaban</t>
  </si>
  <si>
    <t>告示・通知関連番号_項番</t>
  </si>
  <si>
    <t>kokuji_kanren_no_koban</t>
  </si>
  <si>
    <t>年齢加算1下限年齢</t>
  </si>
  <si>
    <t>age1_kasan_low</t>
  </si>
  <si>
    <t>年齢加算1上限年齢</t>
  </si>
  <si>
    <t>age1_kasan_up</t>
  </si>
  <si>
    <t>年齢加算1注加算診療行為コード</t>
  </si>
  <si>
    <t>age1_kasan_koi_code</t>
  </si>
  <si>
    <t>年齢加算2下限年齢</t>
  </si>
  <si>
    <t>age2_kasan_low</t>
  </si>
  <si>
    <t>年齢加算2上限年齢</t>
  </si>
  <si>
    <t>age2_kasan_up</t>
  </si>
  <si>
    <t>年齢加算2注加算診療行為コード</t>
  </si>
  <si>
    <t>age2_kasan_koi_code</t>
  </si>
  <si>
    <t>年齢加算3下限年齢</t>
  </si>
  <si>
    <t>age3_kasan_low</t>
  </si>
  <si>
    <t>年齢加算3上限年齢</t>
  </si>
  <si>
    <t>age3_kasan_up</t>
  </si>
  <si>
    <t>年齢加算3注加算診療行為コード</t>
  </si>
  <si>
    <t>age3_kasan_koi_code</t>
  </si>
  <si>
    <t>年齢加算4下限年齢</t>
  </si>
  <si>
    <t>age4_kasan_low</t>
  </si>
  <si>
    <t>年齢加算4上限年齢</t>
  </si>
  <si>
    <t>age4_kasan_up</t>
  </si>
  <si>
    <t>年齢加算4注加算診療行為コード</t>
  </si>
  <si>
    <t>age4_kasan_koi_code</t>
  </si>
  <si>
    <t>異動関連</t>
  </si>
  <si>
    <t>ido_kanren</t>
  </si>
  <si>
    <t>基本漢字名称</t>
  </si>
  <si>
    <t>kihon_kanji_name</t>
  </si>
  <si>
    <t>副鼻腔手術用内視鏡加算</t>
  </si>
  <si>
    <t>fukubiko_naishikyo_kasan</t>
  </si>
  <si>
    <t>副鼻腔手術用骨軟部組織切除機器加算</t>
  </si>
  <si>
    <t>fukubiko_kotsunanbu_kasan</t>
  </si>
  <si>
    <t>長時間麻酔管理加算</t>
  </si>
  <si>
    <t>long_masui_kasan</t>
  </si>
  <si>
    <t>点数表区分番号</t>
  </si>
  <si>
    <t>tensu_kubun_no</t>
  </si>
  <si>
    <t>モニタリング加算</t>
  </si>
  <si>
    <t>monitoring_kasan</t>
  </si>
  <si>
    <t>凍結保存同種組織加算</t>
  </si>
  <si>
    <t>toketsu_hozon_kasan</t>
  </si>
  <si>
    <t>悪性腫瘍病理組織標本加算</t>
  </si>
  <si>
    <t>akusei_shuyo_kasan</t>
  </si>
  <si>
    <t>創外固定器加算</t>
  </si>
  <si>
    <t>sogai_kotei_kasan</t>
  </si>
  <si>
    <t>超音波切削機器加算</t>
  </si>
  <si>
    <t>chouonpa_sessaku_kasan</t>
  </si>
  <si>
    <t>左心耳閉鎖術併施加算</t>
  </si>
  <si>
    <t>sashin_jiheisa_kasan</t>
  </si>
  <si>
    <t>外来感染対策向上加算等</t>
  </si>
  <si>
    <t>gairai_kansen_taisaku_koujo_kubun</t>
  </si>
  <si>
    <t>耳鼻咽喉科乳幼児処置加算</t>
  </si>
  <si>
    <t>jibi_inko_nyuyoji_kasan</t>
  </si>
  <si>
    <t>耳鼻咽喉科小児抗菌薬適正使用支援加算</t>
  </si>
  <si>
    <t>jibi_inko_shoni_koukin_tekisei_shiyou_shien_kasan</t>
  </si>
  <si>
    <t>切開創局所陰圧閉鎖処置機器加算</t>
  </si>
  <si>
    <t>sekkaisou_kyokusho_inatsu_heisa_shochi_kasan</t>
  </si>
  <si>
    <t>予備9</t>
  </si>
  <si>
    <t>reserve9</t>
  </si>
  <si>
    <t>予備10</t>
  </si>
  <si>
    <t>reserve10</t>
  </si>
  <si>
    <t>予備11</t>
  </si>
  <si>
    <t>reserve11</t>
  </si>
  <si>
    <t>予備12</t>
  </si>
  <si>
    <t>reserve12</t>
  </si>
  <si>
    <t>予備13</t>
  </si>
  <si>
    <t>reserve13</t>
  </si>
  <si>
    <t>予備14</t>
  </si>
  <si>
    <t>reserve14</t>
  </si>
  <si>
    <t>予備15</t>
  </si>
  <si>
    <t>reserve15</t>
  </si>
  <si>
    <t>予備16</t>
  </si>
  <si>
    <t>reserve16</t>
  </si>
  <si>
    <t>予備17</t>
  </si>
  <si>
    <t>reserve17</t>
  </si>
  <si>
    <t>予備18</t>
  </si>
  <si>
    <t>reserve18</t>
  </si>
  <si>
    <t>予備19</t>
  </si>
  <si>
    <t>reserve19</t>
  </si>
  <si>
    <t>予備20</t>
  </si>
  <si>
    <t>reserve20</t>
  </si>
  <si>
    <t>予備21</t>
  </si>
  <si>
    <t>reserve21</t>
  </si>
  <si>
    <t>予備22</t>
  </si>
  <si>
    <t>reserve22</t>
  </si>
  <si>
    <t>予備23</t>
  </si>
  <si>
    <t>reserve23</t>
  </si>
  <si>
    <t>予備24</t>
  </si>
  <si>
    <t>reserve24</t>
  </si>
  <si>
    <t>予備25</t>
  </si>
  <si>
    <t>reserve25</t>
  </si>
  <si>
    <t>予備26</t>
  </si>
  <si>
    <t>reserve26</t>
  </si>
  <si>
    <t>予備27</t>
  </si>
  <si>
    <t>reserve27</t>
  </si>
  <si>
    <t>Ｓ:固定</t>
  </si>
  <si>
    <t>整数部「10桁」、小数点「1桁」及び小数部「2桁」の組合せで設定</t>
  </si>
  <si>
    <t>未使用</t>
    <rPh sb="0" eb="3">
      <t>ミシヨウ</t>
    </rPh>
    <phoneticPr fontId="14"/>
  </si>
  <si>
    <t>YYYYMMDD　省略時:99999999</t>
    <rPh sb="9" eb="11">
      <t>ショウリャク</t>
    </rPh>
    <rPh sb="11" eb="12">
      <t>ジ</t>
    </rPh>
    <phoneticPr fontId="14"/>
  </si>
  <si>
    <t>コード表用番号（アルファベット部）＋「-」＋コード表用番号_区分番号＋「-」＋コード表用番号_枝番を結合したものを設定</t>
  </si>
  <si>
    <t>データ登録日</t>
  </si>
  <si>
    <t>バックアップ_処理対象施設マスタ</t>
    <phoneticPr fontId="9"/>
  </si>
  <si>
    <t>施設ID</t>
    <rPh sb="0" eb="2">
      <t>シセツ</t>
    </rPh>
    <phoneticPr fontId="18"/>
  </si>
  <si>
    <t>施設ID（MML）</t>
  </si>
  <si>
    <t>facility_id_mml</t>
  </si>
  <si>
    <t>施設名</t>
    <rPh sb="0" eb="2">
      <t>シセツ</t>
    </rPh>
    <phoneticPr fontId="24"/>
  </si>
  <si>
    <t>facility_name</t>
  </si>
  <si>
    <t>オプトアウト通知開始年月日</t>
    <rPh sb="6" eb="8">
      <t>ツウチ</t>
    </rPh>
    <rPh sb="8" eb="10">
      <t>カイシ</t>
    </rPh>
    <rPh sb="10" eb="13">
      <t>ネンガッピ</t>
    </rPh>
    <phoneticPr fontId="14"/>
  </si>
  <si>
    <t>opt_out_ymd</t>
  </si>
  <si>
    <t>紐付けID編集区分</t>
    <rPh sb="0" eb="1">
      <t>ヒモ</t>
    </rPh>
    <rPh sb="1" eb="2">
      <t>ヅ</t>
    </rPh>
    <rPh sb="5" eb="7">
      <t>ヘンシュウ</t>
    </rPh>
    <rPh sb="7" eb="9">
      <t>クブン</t>
    </rPh>
    <phoneticPr fontId="14"/>
  </si>
  <si>
    <t>group_id_edit_kubun</t>
  </si>
  <si>
    <t>施設データ提供開始日</t>
    <rPh sb="0" eb="2">
      <t>シセツ</t>
    </rPh>
    <rPh sb="5" eb="7">
      <t>テイキョウ</t>
    </rPh>
    <rPh sb="7" eb="10">
      <t>カイシビ</t>
    </rPh>
    <phoneticPr fontId="11"/>
  </si>
  <si>
    <t>facility_contract_start</t>
  </si>
  <si>
    <t>施設データ提供終了日</t>
    <rPh sb="0" eb="2">
      <t>シセツ</t>
    </rPh>
    <rPh sb="5" eb="7">
      <t>テイキョウ</t>
    </rPh>
    <rPh sb="7" eb="10">
      <t>シュウリョウビ</t>
    </rPh>
    <phoneticPr fontId="11"/>
  </si>
  <si>
    <t>facility_contract_end</t>
  </si>
  <si>
    <t>施設規模</t>
    <rPh sb="2" eb="4">
      <t>キボ</t>
    </rPh>
    <phoneticPr fontId="14"/>
  </si>
  <si>
    <t>size</t>
  </si>
  <si>
    <t>データ取得対象フラグ</t>
    <rPh sb="3" eb="5">
      <t>シュトク</t>
    </rPh>
    <phoneticPr fontId="11"/>
  </si>
  <si>
    <t>shori_f</t>
  </si>
  <si>
    <t>フラグ</t>
  </si>
  <si>
    <t>フィジビリティ対象フラグ</t>
    <rPh sb="7" eb="9">
      <t>タイショウ</t>
    </rPh>
    <phoneticPr fontId="14"/>
  </si>
  <si>
    <t>feasibility_f</t>
  </si>
  <si>
    <t>施設OID</t>
    <rPh sb="0" eb="2">
      <t>シセツ</t>
    </rPh>
    <phoneticPr fontId="7"/>
  </si>
  <si>
    <t>YYYYMMDD
※DDは01固定（毎月1日）</t>
    <rPh sb="15" eb="17">
      <t>コテイ</t>
    </rPh>
    <rPh sb="18" eb="20">
      <t>マイツキ</t>
    </rPh>
    <rPh sb="21" eb="22">
      <t>ヒ</t>
    </rPh>
    <phoneticPr fontId="14"/>
  </si>
  <si>
    <t>施設のデータ提供契約開始日を格納
YYYYMMDD</t>
    <rPh sb="0" eb="2">
      <t>シセツ</t>
    </rPh>
    <rPh sb="6" eb="10">
      <t>テイキョウケイヤク</t>
    </rPh>
    <rPh sb="10" eb="13">
      <t>カイシビ</t>
    </rPh>
    <rPh sb="14" eb="16">
      <t>カクノウ</t>
    </rPh>
    <phoneticPr fontId="0"/>
  </si>
  <si>
    <t>施設のデータ提供契約終了日を格納
YYYYMMDD
データ提供契約が終了した場合のみ日付を格納</t>
    <rPh sb="0" eb="2">
      <t>シセツ</t>
    </rPh>
    <rPh sb="6" eb="10">
      <t>テイキョウケイヤク</t>
    </rPh>
    <rPh sb="10" eb="13">
      <t>シュウリョウビ</t>
    </rPh>
    <rPh sb="14" eb="16">
      <t>カクノウ</t>
    </rPh>
    <rPh sb="29" eb="31">
      <t>テイキョウ</t>
    </rPh>
    <rPh sb="31" eb="33">
      <t>ケイヤク</t>
    </rPh>
    <rPh sb="34" eb="36">
      <t>シュウリョウ</t>
    </rPh>
    <rPh sb="38" eb="40">
      <t>バアイ</t>
    </rPh>
    <rPh sb="42" eb="44">
      <t>ヒヅケ</t>
    </rPh>
    <rPh sb="45" eb="47">
      <t>カクノウ</t>
    </rPh>
    <phoneticPr fontId="0"/>
  </si>
  <si>
    <t>TRUE</t>
  </si>
  <si>
    <t>二次利用DBからデータ取得対象とする施設の場合はTRUE、それ以外はFALSEを設定する。</t>
  </si>
  <si>
    <t>FALSE</t>
  </si>
  <si>
    <t>フィジビリティ対象とする施設の場合はTRUE、それ以外はFALSEを設定する。</t>
    <rPh sb="7" eb="9">
      <t>タイショウ</t>
    </rPh>
    <rPh sb="12" eb="14">
      <t>シセツ</t>
    </rPh>
    <rPh sb="15" eb="17">
      <t>バアイ</t>
    </rPh>
    <rPh sb="25" eb="27">
      <t>イガイ</t>
    </rPh>
    <rPh sb="34" eb="36">
      <t>セッテイ</t>
    </rPh>
    <phoneticPr fontId="11"/>
  </si>
  <si>
    <t>バックアップ_処理対象施設マスタ管理</t>
    <phoneticPr fontId="9"/>
  </si>
  <si>
    <t>バックアップ_年度マスタ</t>
    <phoneticPr fontId="9"/>
  </si>
  <si>
    <t>項番</t>
  </si>
  <si>
    <t>num</t>
  </si>
  <si>
    <t>年月</t>
  </si>
  <si>
    <t>ym</t>
  </si>
  <si>
    <t>年度（1月始まり）</t>
  </si>
  <si>
    <t>nendo_1</t>
  </si>
  <si>
    <t>年度（4月始まり）</t>
  </si>
  <si>
    <t>nendo_4</t>
  </si>
  <si>
    <t>四半期（1月始まり）</t>
  </si>
  <si>
    <t>q1</t>
  </si>
  <si>
    <t>四半期（4月始まり）</t>
  </si>
  <si>
    <t>q4</t>
  </si>
  <si>
    <t>日数</t>
  </si>
  <si>
    <t>nissu</t>
  </si>
  <si>
    <t>通し番号</t>
  </si>
  <si>
    <t>999999</t>
  </si>
  <si>
    <t>9999</t>
  </si>
  <si>
    <t>1月始まりの年度</t>
  </si>
  <si>
    <t>4月始まりの年度</t>
  </si>
  <si>
    <t>9999-9Q</t>
  </si>
  <si>
    <t>1月始まりの四半期
9999-1Q、9999-2Q、9999-3Q、9999-4Q</t>
  </si>
  <si>
    <t>4月始まりの四半期
9999-1Q、9999-2Q、9999-3Q、9999-4Q</t>
  </si>
  <si>
    <t>月別日数</t>
  </si>
  <si>
    <t>バックアップ_都道府県地方コードマスタ</t>
    <phoneticPr fontId="9"/>
  </si>
  <si>
    <t>都道府県コード</t>
    <rPh sb="0" eb="4">
      <t>トドウフケン</t>
    </rPh>
    <phoneticPr fontId="28"/>
  </si>
  <si>
    <t>都道府県名</t>
  </si>
  <si>
    <t>地方コード</t>
    <rPh sb="0" eb="2">
      <t>チホウ</t>
    </rPh>
    <phoneticPr fontId="28"/>
  </si>
  <si>
    <t>region_cd</t>
  </si>
  <si>
    <t>地方名</t>
    <rPh sb="0" eb="2">
      <t>チホウ</t>
    </rPh>
    <phoneticPr fontId="11"/>
  </si>
  <si>
    <t>region</t>
  </si>
  <si>
    <t>■各項目補足説明</t>
    <rPh sb="1" eb="4">
      <t>カクコウモク</t>
    </rPh>
    <rPh sb="4" eb="6">
      <t>ホソク</t>
    </rPh>
    <rPh sb="6" eb="8">
      <t>セツメイ</t>
    </rPh>
    <phoneticPr fontId="32"/>
  </si>
  <si>
    <t>各項目の設定値は以下の通り。</t>
    <rPh sb="0" eb="3">
      <t>カクコウモク</t>
    </rPh>
    <rPh sb="4" eb="7">
      <t>セッテイチ</t>
    </rPh>
    <rPh sb="8" eb="10">
      <t>イカ</t>
    </rPh>
    <rPh sb="11" eb="12">
      <t>トオ</t>
    </rPh>
    <phoneticPr fontId="32"/>
  </si>
  <si>
    <t>地方コード</t>
    <rPh sb="0" eb="2">
      <t>チホウ</t>
    </rPh>
    <phoneticPr fontId="32"/>
  </si>
  <si>
    <t>地方名</t>
    <rPh sb="0" eb="2">
      <t>チホウ</t>
    </rPh>
    <rPh sb="2" eb="3">
      <t>メイ</t>
    </rPh>
    <phoneticPr fontId="32"/>
  </si>
  <si>
    <t>都道府県コード:都道府県名</t>
    <rPh sb="0" eb="4">
      <t>トドウフケン</t>
    </rPh>
    <rPh sb="8" eb="12">
      <t>トドウフケン</t>
    </rPh>
    <rPh sb="12" eb="13">
      <t>メイ</t>
    </rPh>
    <phoneticPr fontId="32"/>
  </si>
  <si>
    <t>01</t>
    <phoneticPr fontId="32"/>
  </si>
  <si>
    <t>北海道</t>
    <rPh sb="0" eb="3">
      <t>ホッカイドウ</t>
    </rPh>
    <phoneticPr fontId="32"/>
  </si>
  <si>
    <t>01：北海道</t>
    <phoneticPr fontId="32"/>
  </si>
  <si>
    <t>02</t>
    <phoneticPr fontId="32"/>
  </si>
  <si>
    <t>東北</t>
    <phoneticPr fontId="32"/>
  </si>
  <si>
    <t>02：青森県　03：岩手県　04：宮城県　05：秋田県　06：山形県　07：福島県</t>
    <phoneticPr fontId="32"/>
  </si>
  <si>
    <t>03</t>
    <phoneticPr fontId="32"/>
  </si>
  <si>
    <t>関東</t>
    <phoneticPr fontId="32"/>
  </si>
  <si>
    <t>08：茨城県　09：栃木県　10：群馬県　11：埼玉県　12：千葉県　13：東京都　14：神奈川県</t>
    <phoneticPr fontId="32"/>
  </si>
  <si>
    <t>04</t>
    <phoneticPr fontId="32"/>
  </si>
  <si>
    <t>中部</t>
    <phoneticPr fontId="32"/>
  </si>
  <si>
    <t>15：新潟県　16：富山県　17：石川県　18：福井県　19：山梨県　20：長野県　21：岐阜県　22：静岡県　23：愛知県　</t>
    <phoneticPr fontId="32"/>
  </si>
  <si>
    <t>05</t>
    <phoneticPr fontId="32"/>
  </si>
  <si>
    <t>近畿</t>
    <phoneticPr fontId="32"/>
  </si>
  <si>
    <t>24：三重県　25：滋賀県　26：京都府　27：大阪府　28：兵庫県　29：奈良県　30：和歌山県</t>
    <phoneticPr fontId="32"/>
  </si>
  <si>
    <t>06</t>
    <phoneticPr fontId="32"/>
  </si>
  <si>
    <t>中国</t>
    <phoneticPr fontId="32"/>
  </si>
  <si>
    <t>31：鳥取県　32：島根県　33：岡山県　34：広島県　35：山口県</t>
    <phoneticPr fontId="32"/>
  </si>
  <si>
    <t>07</t>
    <phoneticPr fontId="32"/>
  </si>
  <si>
    <t>四国</t>
    <phoneticPr fontId="32"/>
  </si>
  <si>
    <t>36：徳島県　37：香川県　38：愛媛県　39：高知県</t>
    <phoneticPr fontId="32"/>
  </si>
  <si>
    <t>08</t>
    <phoneticPr fontId="32"/>
  </si>
  <si>
    <t>九州</t>
    <phoneticPr fontId="32"/>
  </si>
  <si>
    <t>40：福岡県　41：佐賀県　42：長崎県　43：熊本県　44：大分県　45：宮崎県　46：鹿児島県　47：沖縄県</t>
    <phoneticPr fontId="32"/>
  </si>
  <si>
    <t>バックアップ_施設属性マスタ</t>
    <phoneticPr fontId="9"/>
  </si>
  <si>
    <t>基準年月</t>
    <rPh sb="0" eb="2">
      <t>キジュン</t>
    </rPh>
    <rPh sb="2" eb="4">
      <t>ネンゲツ</t>
    </rPh>
    <phoneticPr fontId="11"/>
  </si>
  <si>
    <t>kijun_ym</t>
  </si>
  <si>
    <t>施設名</t>
  </si>
  <si>
    <t>通知開始年月日</t>
    <rPh sb="6" eb="7">
      <t>ヒ</t>
    </rPh>
    <phoneticPr fontId="11"/>
  </si>
  <si>
    <t>都道府県名</t>
    <rPh sb="4" eb="5">
      <t>メイ</t>
    </rPh>
    <phoneticPr fontId="11"/>
  </si>
  <si>
    <t>地方コード</t>
  </si>
  <si>
    <t>地方名</t>
  </si>
  <si>
    <t>city_cd</t>
  </si>
  <si>
    <t>住所</t>
  </si>
  <si>
    <t>address</t>
  </si>
  <si>
    <t>二次医療圏コード</t>
  </si>
  <si>
    <t>二次医療圏</t>
  </si>
  <si>
    <t>総病床数</t>
  </si>
  <si>
    <t>all_bed</t>
  </si>
  <si>
    <t>high_Acute_care_hp_f</t>
  </si>
  <si>
    <t>Acute_care_hp_f</t>
  </si>
  <si>
    <t>最新フラグ</t>
    <rPh sb="0" eb="2">
      <t>サイシン</t>
    </rPh>
    <phoneticPr fontId="11"/>
  </si>
  <si>
    <t>new_f</t>
  </si>
  <si>
    <t>削除フラグ</t>
    <rPh sb="0" eb="2">
      <t>サクジョ</t>
    </rPh>
    <phoneticPr fontId="11"/>
  </si>
  <si>
    <t>施設マスタデータ登録日</t>
    <rPh sb="0" eb="2">
      <t>シセツ</t>
    </rPh>
    <rPh sb="8" eb="10">
      <t>トウロク</t>
    </rPh>
    <rPh sb="10" eb="11">
      <t>ビ</t>
    </rPh>
    <phoneticPr fontId="11"/>
  </si>
  <si>
    <t>shisetsu_update_ymd</t>
  </si>
  <si>
    <t>施設属性マスタ取込用データ登録日</t>
    <rPh sb="0" eb="2">
      <t>シセツ</t>
    </rPh>
    <rPh sb="2" eb="4">
      <t>ゾクセイ</t>
    </rPh>
    <rPh sb="7" eb="9">
      <t>トリコミ</t>
    </rPh>
    <rPh sb="9" eb="10">
      <t>ヨウ</t>
    </rPh>
    <rPh sb="13" eb="15">
      <t>トウロク</t>
    </rPh>
    <rPh sb="15" eb="16">
      <t>ビ</t>
    </rPh>
    <phoneticPr fontId="11"/>
  </si>
  <si>
    <t>zokusei_update_ymd</t>
  </si>
  <si>
    <t>施設属性マスタ取込用取込基準年月</t>
    <rPh sb="10" eb="12">
      <t>トリコミ</t>
    </rPh>
    <rPh sb="12" eb="14">
      <t>キジュン</t>
    </rPh>
    <rPh sb="14" eb="16">
      <t>ネンゲツ</t>
    </rPh>
    <phoneticPr fontId="11"/>
  </si>
  <si>
    <t>zokusei_torikomi_kijun_ym</t>
  </si>
  <si>
    <t>メンテナンスフラグ</t>
  </si>
  <si>
    <t>mainte_f</t>
  </si>
  <si>
    <t>施設属性マスタ取込用より取得</t>
    <rPh sb="2" eb="4">
      <t>ゾクセイ</t>
    </rPh>
    <rPh sb="7" eb="9">
      <t>トリコミ</t>
    </rPh>
    <rPh sb="9" eb="10">
      <t>ヨウ</t>
    </rPh>
    <phoneticPr fontId="11"/>
  </si>
  <si>
    <t>取得結果の基準となる年月
YYYYMM形式</t>
    <rPh sb="0" eb="2">
      <t>シュトク</t>
    </rPh>
    <rPh sb="2" eb="4">
      <t>ケッカ</t>
    </rPh>
    <rPh sb="5" eb="7">
      <t>キジュン</t>
    </rPh>
    <rPh sb="10" eb="12">
      <t>ネンゲツ</t>
    </rPh>
    <phoneticPr fontId="14"/>
  </si>
  <si>
    <t>施設マスタより取得</t>
  </si>
  <si>
    <t>郵便番号マスタより取得</t>
  </si>
  <si>
    <t>二次医療圏マスタより取得</t>
  </si>
  <si>
    <t>一般病床～療養病床を合計値</t>
    <rPh sb="0" eb="2">
      <t>イッパン</t>
    </rPh>
    <rPh sb="2" eb="4">
      <t>ビョウショウ</t>
    </rPh>
    <rPh sb="5" eb="7">
      <t>リョウヨウ</t>
    </rPh>
    <rPh sb="7" eb="9">
      <t>ビョウショウ</t>
    </rPh>
    <rPh sb="10" eb="12">
      <t>ゴウケイ</t>
    </rPh>
    <rPh sb="12" eb="13">
      <t>チ</t>
    </rPh>
    <phoneticPr fontId="28"/>
  </si>
  <si>
    <t>施設属性マスタ取込用より取得
1　→・都道府県がん診療連携拠点病院
2　→・地域がん診療連携拠点病院（高度型）
3　→・地域がん診療連携拠点病院
上記３つ以外はその他
9　→・その他</t>
    <rPh sb="73" eb="75">
      <t>ジョウキ</t>
    </rPh>
    <rPh sb="77" eb="79">
      <t>イガイ</t>
    </rPh>
    <rPh sb="82" eb="83">
      <t>タ</t>
    </rPh>
    <phoneticPr fontId="28"/>
  </si>
  <si>
    <t>施設属性マスタ上の施設ID単位で最新であるか</t>
    <rPh sb="0" eb="2">
      <t>シセツ</t>
    </rPh>
    <rPh sb="2" eb="4">
      <t>ゾクセイ</t>
    </rPh>
    <rPh sb="7" eb="8">
      <t>ジョウ</t>
    </rPh>
    <rPh sb="9" eb="11">
      <t>シセツ</t>
    </rPh>
    <rPh sb="13" eb="15">
      <t>タンイ</t>
    </rPh>
    <rPh sb="16" eb="18">
      <t>サイシン</t>
    </rPh>
    <phoneticPr fontId="11"/>
  </si>
  <si>
    <t>施設マスタ上の施設ID単位で削除済みであるか</t>
    <rPh sb="0" eb="2">
      <t>シセツ</t>
    </rPh>
    <rPh sb="5" eb="6">
      <t>ジョウ</t>
    </rPh>
    <rPh sb="7" eb="9">
      <t>シセツ</t>
    </rPh>
    <rPh sb="11" eb="13">
      <t>タンイ</t>
    </rPh>
    <rPh sb="14" eb="16">
      <t>サクジョ</t>
    </rPh>
    <rPh sb="16" eb="17">
      <t>ズ</t>
    </rPh>
    <phoneticPr fontId="11"/>
  </si>
  <si>
    <t>施設マスタ上の削除年月日
YYYYMMDD形式</t>
  </si>
  <si>
    <t>基準年月に対する直近の施設マスタ上のデータ登録日
YYYYMMDD形式</t>
    <rPh sb="21" eb="23">
      <t>トウロク</t>
    </rPh>
    <phoneticPr fontId="14"/>
  </si>
  <si>
    <t>施設属性マスタ取込用取込基準年月に対するデータ登録日
YYYYMMDD形式</t>
    <rPh sb="17" eb="18">
      <t>タイ</t>
    </rPh>
    <rPh sb="23" eb="25">
      <t>トウロク</t>
    </rPh>
    <phoneticPr fontId="14"/>
  </si>
  <si>
    <t>基準年月に対する直近の施設属性マスタ取込用上の取込基準年月
YYYYMM形式</t>
    <rPh sb="0" eb="2">
      <t>キジュン</t>
    </rPh>
    <rPh sb="2" eb="4">
      <t>ネンゲツ</t>
    </rPh>
    <rPh sb="5" eb="6">
      <t>タイ</t>
    </rPh>
    <phoneticPr fontId="14"/>
  </si>
  <si>
    <t>1：施設マスタの変更あり
※施設マスタのデータ登録日の年月が基準年月と一致
2：施設属性マスタ取込用の変更あり
※施設属性マスタ取込用のデータ登録日の年月が基準年月と一致
3：1と2の条件を両方満たす
※上記1から3の条件を満たさないレコードは作成されない</t>
    <rPh sb="27" eb="29">
      <t>ネンゲツ</t>
    </rPh>
    <rPh sb="30" eb="32">
      <t>キジュン</t>
    </rPh>
    <rPh sb="32" eb="34">
      <t>ネンゲツ</t>
    </rPh>
    <rPh sb="35" eb="37">
      <t>イッチ</t>
    </rPh>
    <rPh sb="40" eb="42">
      <t>シセツ</t>
    </rPh>
    <rPh sb="42" eb="44">
      <t>ゾクセイ</t>
    </rPh>
    <rPh sb="47" eb="49">
      <t>トリコミ</t>
    </rPh>
    <rPh sb="49" eb="50">
      <t>ヨウ</t>
    </rPh>
    <rPh sb="51" eb="53">
      <t>ヘンコウ</t>
    </rPh>
    <rPh sb="83" eb="85">
      <t>イッチ</t>
    </rPh>
    <rPh sb="92" eb="94">
      <t>ジョウケン</t>
    </rPh>
    <rPh sb="95" eb="97">
      <t>リョウホウ</t>
    </rPh>
    <rPh sb="97" eb="98">
      <t>ミ</t>
    </rPh>
    <rPh sb="102" eb="104">
      <t>ジョウキ</t>
    </rPh>
    <rPh sb="109" eb="111">
      <t>ジョウケン</t>
    </rPh>
    <rPh sb="112" eb="113">
      <t>ミ</t>
    </rPh>
    <rPh sb="122" eb="124">
      <t>サクセイ</t>
    </rPh>
    <phoneticPr fontId="14"/>
  </si>
  <si>
    <t>都道府県地方コード表マスタより取得</t>
    <rPh sb="4" eb="6">
      <t>チホウ</t>
    </rPh>
    <rPh sb="15" eb="17">
      <t>シュトク</t>
    </rPh>
    <phoneticPr fontId="14"/>
  </si>
  <si>
    <t>バックアップ_二次医療圏マスタ</t>
    <phoneticPr fontId="9"/>
  </si>
  <si>
    <t>削除フラグ</t>
  </si>
  <si>
    <t>外部情報から作成
⇒http://www.data.go.jp/?lang=japanese
データカタログサイト”二次医療圏”</t>
  </si>
  <si>
    <t>データ変更年月日
YYYYMMDD形式</t>
  </si>
  <si>
    <t>削除年月日
YYYYMMDD形式</t>
  </si>
  <si>
    <t>バックアップ_施設ID対応マスタ</t>
    <phoneticPr fontId="9"/>
  </si>
  <si>
    <t>旧施設ID</t>
  </si>
  <si>
    <t>old_facility_id</t>
  </si>
  <si>
    <t>新施設ID</t>
  </si>
  <si>
    <t>new_facility_id</t>
  </si>
  <si>
    <t>適用開始日</t>
    <rPh sb="0" eb="2">
      <t>テキヨウ</t>
    </rPh>
    <rPh sb="2" eb="4">
      <t>カイシ</t>
    </rPh>
    <phoneticPr fontId="11"/>
  </si>
  <si>
    <t>sgioy_202310_backup_mt_tekiyou_recept_combi_link_oyako</t>
    <phoneticPr fontId="9"/>
  </si>
  <si>
    <t>適応病名レセ病名組み合わせ関係リンク親子マスタ取込用テーブルから組入れ条件の第一条件で絞り込んだ結果を格納するバックアップテーブル</t>
    <phoneticPr fontId="9"/>
  </si>
  <si>
    <t>バックアップ_医薬品関連マスタ</t>
    <phoneticPr fontId="9"/>
  </si>
  <si>
    <t>iyakuhin_cd</t>
  </si>
  <si>
    <t>医薬品ブランドコード</t>
  </si>
  <si>
    <t>iyakuhin_brand_cd</t>
  </si>
  <si>
    <t>医薬品一般名コード</t>
  </si>
  <si>
    <t>iyakuhin_ippan_name_cd</t>
  </si>
  <si>
    <t>薬効分類1コード</t>
  </si>
  <si>
    <t>yakko_bunrui1_cd</t>
  </si>
  <si>
    <t>薬効分類2コード</t>
  </si>
  <si>
    <t>yakko_bunrui2_cd</t>
  </si>
  <si>
    <t>薬効分類3コード</t>
  </si>
  <si>
    <t>yakko_bunrui3_cd</t>
  </si>
  <si>
    <t>薬効分類4コード</t>
  </si>
  <si>
    <t>yakko_bunrui4_cd</t>
  </si>
  <si>
    <t>薬効分類5コード</t>
  </si>
  <si>
    <t>yakko_bunrui5_cd</t>
  </si>
  <si>
    <t>製造メーカコード</t>
  </si>
  <si>
    <t>seizo_maker_cd</t>
  </si>
  <si>
    <t>医薬品日本語名</t>
  </si>
  <si>
    <t>iyakuhin_jpn_name</t>
  </si>
  <si>
    <t>医薬品ブランド名</t>
  </si>
  <si>
    <t>iyakuhin_brand_jpn_name</t>
  </si>
  <si>
    <t>医薬品一般名</t>
  </si>
  <si>
    <t>医薬品一般名英名</t>
  </si>
  <si>
    <t>薬効分類1名</t>
  </si>
  <si>
    <t>yakko_bunrui1_jpn_name</t>
  </si>
  <si>
    <t>薬効分類2名</t>
  </si>
  <si>
    <t>yakko_bunrui2_jpn_name</t>
  </si>
  <si>
    <t>薬効分類3名</t>
  </si>
  <si>
    <t>yakko_bunrui3_jpn_name</t>
  </si>
  <si>
    <t>薬効分類4名</t>
  </si>
  <si>
    <t>yakko_bunrui4_jpn_name</t>
  </si>
  <si>
    <t>薬効分類5名</t>
  </si>
  <si>
    <t>yakko_bunrui5_jpn_name</t>
  </si>
  <si>
    <t>製造メーカ名</t>
  </si>
  <si>
    <t>seizo_maker_name</t>
  </si>
  <si>
    <t>後発品フラグ</t>
  </si>
  <si>
    <t>kohatsuhin_f</t>
  </si>
  <si>
    <t>投与経路区分</t>
  </si>
  <si>
    <t>toyo_keiro_kubun</t>
  </si>
  <si>
    <t>yakkasyusai_ymd</t>
  </si>
  <si>
    <t>医薬品マスタより取得</t>
    <rPh sb="8" eb="10">
      <t>シュトク</t>
    </rPh>
    <phoneticPr fontId="14"/>
  </si>
  <si>
    <t>医薬品マスタより取得</t>
  </si>
  <si>
    <t>医薬品ブランドマスタより取得</t>
  </si>
  <si>
    <t>医薬品一般名マスタより取得</t>
    <rPh sb="3" eb="5">
      <t>イッパン</t>
    </rPh>
    <rPh sb="5" eb="6">
      <t>メイ</t>
    </rPh>
    <phoneticPr fontId="14"/>
  </si>
  <si>
    <t>医薬品一般名マスタより取得</t>
    <rPh sb="3" eb="5">
      <t>イッパン</t>
    </rPh>
    <rPh sb="5" eb="6">
      <t>メイ</t>
    </rPh>
    <rPh sb="11" eb="13">
      <t>シュトク</t>
    </rPh>
    <phoneticPr fontId="14"/>
  </si>
  <si>
    <t>薬効ATC分類1マスタより取得</t>
    <rPh sb="13" eb="15">
      <t>シュトク</t>
    </rPh>
    <phoneticPr fontId="14"/>
  </si>
  <si>
    <t>薬効ATC分類2マスタより取得</t>
    <rPh sb="13" eb="15">
      <t>シュトク</t>
    </rPh>
    <phoneticPr fontId="14"/>
  </si>
  <si>
    <t>薬効ATC分類3マスタより取得</t>
    <rPh sb="13" eb="15">
      <t>シュトク</t>
    </rPh>
    <phoneticPr fontId="14"/>
  </si>
  <si>
    <t>薬効ATC分類4マスタより取得</t>
    <rPh sb="13" eb="15">
      <t>シュトク</t>
    </rPh>
    <phoneticPr fontId="14"/>
  </si>
  <si>
    <t>薬効ATC分類5マスタより取得</t>
    <rPh sb="13" eb="15">
      <t>シュトク</t>
    </rPh>
    <phoneticPr fontId="14"/>
  </si>
  <si>
    <t>メーカマスタより取得</t>
  </si>
  <si>
    <t>医薬品マスタより取得
YYYYMMDD形式（施行日/薬価収載年月日）</t>
    <rPh sb="22" eb="25">
      <t>シコウビ</t>
    </rPh>
    <rPh sb="26" eb="28">
      <t>ヤッカ</t>
    </rPh>
    <rPh sb="28" eb="30">
      <t>シュウサイ</t>
    </rPh>
    <rPh sb="30" eb="33">
      <t>ネンガッピ</t>
    </rPh>
    <phoneticPr fontId="14"/>
  </si>
  <si>
    <t>医薬品マスタより取得
更新区分＝３削除があるデータに1</t>
    <rPh sb="11" eb="13">
      <t>コウシン</t>
    </rPh>
    <rPh sb="13" eb="15">
      <t>クブン</t>
    </rPh>
    <rPh sb="17" eb="19">
      <t>サクジョ</t>
    </rPh>
    <phoneticPr fontId="14"/>
  </si>
  <si>
    <t>医薬品マスタより取得
YYYYMMDD形式（施行日/薬価収載年月日）</t>
  </si>
  <si>
    <t>医薬品マスタより取得
YYYYMMDD形式（施行日/薬価収載年月日）</t>
    <rPh sb="0" eb="3">
      <t>イヤクヒン</t>
    </rPh>
    <rPh sb="8" eb="10">
      <t>シュトク</t>
    </rPh>
    <phoneticPr fontId="14"/>
  </si>
  <si>
    <t>バックアップ_薬価関連マスタ</t>
    <phoneticPr fontId="9"/>
  </si>
  <si>
    <t>薬価</t>
  </si>
  <si>
    <t>price</t>
  </si>
  <si>
    <t>実数</t>
  </si>
  <si>
    <t>薬価マスタより取得</t>
  </si>
  <si>
    <t>薬価マスタより取得
YYYYMMDD形式（施行日/薬価収載年月日）</t>
  </si>
  <si>
    <t>薬価マスタより取得
YYYYMM形式</t>
  </si>
  <si>
    <t>バックアップ_診療行為関連マスタ</t>
    <phoneticPr fontId="9"/>
  </si>
  <si>
    <t>shinryo_koi_cd</t>
  </si>
  <si>
    <t>アルファベットコード</t>
  </si>
  <si>
    <t>cd_no</t>
  </si>
  <si>
    <t>区分番号</t>
  </si>
  <si>
    <t>cd_no_kubun</t>
  </si>
  <si>
    <t>枝番</t>
  </si>
  <si>
    <t>cd_no_eda</t>
  </si>
  <si>
    <t>cd_no_koh</t>
  </si>
  <si>
    <t>kubun_no</t>
  </si>
  <si>
    <t>診療行為省略名</t>
  </si>
  <si>
    <t>診療行為名</t>
  </si>
  <si>
    <t>shinryo_koi_kihonname</t>
  </si>
  <si>
    <t>データ登録日</t>
    <rPh sb="3" eb="6">
      <t>トウロクビ</t>
    </rPh>
    <phoneticPr fontId="11"/>
  </si>
  <si>
    <t>診療行為付加情報マスタ取込用より取得
整数部「10桁」、小数点「1桁」及び小数部「2桁」の組合せで設定</t>
  </si>
  <si>
    <t>診療行為付加情報マスタ取込用より取得</t>
  </si>
  <si>
    <t>診療行為付加情報マスタ取込用より取得
YYYYMMDD形式</t>
  </si>
  <si>
    <t>診療行為付加情報マスタ取込用より取得</t>
    <rPh sb="16" eb="18">
      <t>シュトク</t>
    </rPh>
    <phoneticPr fontId="14"/>
  </si>
  <si>
    <t>診療行為付加情報マスタ取込用より取得、更新区分3：削除があるデータに1</t>
    <rPh sb="19" eb="21">
      <t>コウシン</t>
    </rPh>
    <rPh sb="21" eb="23">
      <t>クブン</t>
    </rPh>
    <rPh sb="25" eb="27">
      <t>サクジョ</t>
    </rPh>
    <phoneticPr fontId="14"/>
  </si>
  <si>
    <t>診療行為付加情報マスタ取込用より取得
YYYYMMDD形式</t>
    <rPh sb="16" eb="18">
      <t>シュトク</t>
    </rPh>
    <phoneticPr fontId="14"/>
  </si>
  <si>
    <t>バックアップ_特定器材関連マスタ</t>
    <phoneticPr fontId="9"/>
  </si>
  <si>
    <t>特定器材コード</t>
  </si>
  <si>
    <t>tokutei_kizai_cd</t>
  </si>
  <si>
    <t>特定器材名・規格名</t>
  </si>
  <si>
    <t>tokutei_kizai_name</t>
  </si>
  <si>
    <t>tokutei_kizai_tani</t>
  </si>
  <si>
    <t>金額</t>
  </si>
  <si>
    <t>特定器材マスタより取得</t>
  </si>
  <si>
    <t>特定器材マスタより取得
整数部「10桁」、小数点「1桁」及び小数部「2桁」の組合せで設定</t>
  </si>
  <si>
    <t>特定器材マスタより取得、更新区分3：削除があるデータに1</t>
    <rPh sb="12" eb="14">
      <t>コウシン</t>
    </rPh>
    <rPh sb="14" eb="16">
      <t>クブン</t>
    </rPh>
    <rPh sb="18" eb="20">
      <t>サクジョ</t>
    </rPh>
    <phoneticPr fontId="14"/>
  </si>
  <si>
    <t>データ変更年月日
YYYYMMDD形式</t>
    <rPh sb="3" eb="5">
      <t>ヘンコウ</t>
    </rPh>
    <rPh sb="5" eb="8">
      <t>ネンガッピ</t>
    </rPh>
    <phoneticPr fontId="14"/>
  </si>
  <si>
    <t>特定器材マスタより更新区分：3の施行日取得
削除年月日
YYYYMMDD形式</t>
    <rPh sb="0" eb="4">
      <t>トクテイキザイ</t>
    </rPh>
    <rPh sb="9" eb="11">
      <t>コウシン</t>
    </rPh>
    <rPh sb="11" eb="13">
      <t>クブン</t>
    </rPh>
    <rPh sb="16" eb="19">
      <t>シコウビ</t>
    </rPh>
    <rPh sb="19" eb="21">
      <t>シュトク</t>
    </rPh>
    <rPh sb="22" eb="24">
      <t>サクジョ</t>
    </rPh>
    <rPh sb="24" eb="27">
      <t>ネンガッピ</t>
    </rPh>
    <phoneticPr fontId="14"/>
  </si>
  <si>
    <t>バックアップ_DPC関連マスタ</t>
    <phoneticPr fontId="9"/>
  </si>
  <si>
    <t>DPC2桁名</t>
  </si>
  <si>
    <t>dpc2_name</t>
  </si>
  <si>
    <t>DPC6桁名</t>
  </si>
  <si>
    <t>dpc6_name</t>
  </si>
  <si>
    <t>DPC（2桁）マスタより取得</t>
  </si>
  <si>
    <t>DPC（6桁）マスタよりdpc2_cd+dpc4_cd取得</t>
  </si>
  <si>
    <t>DPC（6桁）マスタより取得</t>
  </si>
  <si>
    <t>DPC（6桁）マスタより取得
YYYYMMDD形式</t>
  </si>
  <si>
    <t>バックアップ_疾患関連マスタ</t>
    <phoneticPr fontId="9"/>
  </si>
  <si>
    <t>疾患コード</t>
    <rPh sb="0" eb="2">
      <t>シッカン</t>
    </rPh>
    <phoneticPr fontId="0"/>
  </si>
  <si>
    <t>shikkan_cd</t>
  </si>
  <si>
    <t>ICD10大分類コード</t>
  </si>
  <si>
    <t>icd10_l_cd</t>
  </si>
  <si>
    <t>ICD10中分類コード</t>
  </si>
  <si>
    <t>icd10_m_cd</t>
  </si>
  <si>
    <t>ICD10小分類コード</t>
  </si>
  <si>
    <t>ICD10細分類コード</t>
  </si>
  <si>
    <t>icd10_ss_cd</t>
  </si>
  <si>
    <t>ICD10大分類名</t>
  </si>
  <si>
    <t>icd10_l_name</t>
  </si>
  <si>
    <t>ICD10中分類名</t>
  </si>
  <si>
    <t>icd10_m_name</t>
  </si>
  <si>
    <t>ICD10小分類名</t>
  </si>
  <si>
    <t>ICD10細分類名</t>
  </si>
  <si>
    <t>icd10_ss_name</t>
  </si>
  <si>
    <t>ICD10区分</t>
    <rPh sb="5" eb="7">
      <t>クブン</t>
    </rPh>
    <phoneticPr fontId="14"/>
  </si>
  <si>
    <t>icd10_kubun</t>
  </si>
  <si>
    <t>施行年月日</t>
    <rPh sb="0" eb="2">
      <t>シコウ</t>
    </rPh>
    <rPh sb="2" eb="5">
      <t>ネンガッピ</t>
    </rPh>
    <phoneticPr fontId="14"/>
  </si>
  <si>
    <t>変更年月日</t>
    <rPh sb="0" eb="2">
      <t>ヘンコウ</t>
    </rPh>
    <rPh sb="2" eb="5">
      <t>ネンガッピ</t>
    </rPh>
    <phoneticPr fontId="14"/>
  </si>
  <si>
    <t>疾病マスタより取得</t>
  </si>
  <si>
    <t>ICD10大分類マスタより取得</t>
  </si>
  <si>
    <t>ICD10中分類マスタより取得</t>
  </si>
  <si>
    <t>ICD10小分類マスタより取得</t>
  </si>
  <si>
    <t>ICD10細分類マスタより取得</t>
  </si>
  <si>
    <t>０：ICD10-1とICD10-2ともNull
１：ICD10-1
２：ICD10-2</t>
  </si>
  <si>
    <t>疾病マスタより取得
YYYYMMDD形式</t>
  </si>
  <si>
    <t>最新レコードにおいてICD10-1、ICD10-2ともに存在する場合、ICD10-1の方のみを"1"（最新）とする</t>
    <rPh sb="0" eb="2">
      <t>サイシン</t>
    </rPh>
    <rPh sb="43" eb="44">
      <t>ホウ</t>
    </rPh>
    <phoneticPr fontId="11"/>
  </si>
  <si>
    <t>バックアップ_医薬品成分関連マスタ</t>
    <phoneticPr fontId="9"/>
  </si>
  <si>
    <t>yj_cd</t>
  </si>
  <si>
    <t>seibun_group_cd</t>
  </si>
  <si>
    <t>seibun_cd</t>
  </si>
  <si>
    <t>seibun_unit_cd</t>
  </si>
  <si>
    <t>成分単位名称</t>
  </si>
  <si>
    <t>seibun_unit_name</t>
  </si>
  <si>
    <t>kokuji_kikaku_unit_cd</t>
  </si>
  <si>
    <t>告示規格単位名称</t>
  </si>
  <si>
    <t>kokuji_kikaku_unit_name</t>
  </si>
  <si>
    <t>成分量マスタ取込用より取得</t>
    <rPh sb="0" eb="2">
      <t>セイブン</t>
    </rPh>
    <rPh sb="2" eb="3">
      <t>リョウ</t>
    </rPh>
    <rPh sb="6" eb="8">
      <t>トリコミ</t>
    </rPh>
    <rPh sb="8" eb="9">
      <t>ヨウ</t>
    </rPh>
    <rPh sb="11" eb="13">
      <t>シュトク</t>
    </rPh>
    <phoneticPr fontId="14"/>
  </si>
  <si>
    <t>ＹＪコード医薬品コードリンクマスタ取込用より取得</t>
    <rPh sb="5" eb="8">
      <t>イヤクヒン</t>
    </rPh>
    <rPh sb="17" eb="19">
      <t>トリコミ</t>
    </rPh>
    <rPh sb="19" eb="20">
      <t>ヨウ</t>
    </rPh>
    <rPh sb="22" eb="24">
      <t>シュトク</t>
    </rPh>
    <phoneticPr fontId="14"/>
  </si>
  <si>
    <t>成分量マスタ取込用より取得
0：単味剤
1：配合剤</t>
    <rPh sb="11" eb="13">
      <t>シュトク</t>
    </rPh>
    <phoneticPr fontId="14"/>
  </si>
  <si>
    <t>成分量マスタ取込用より取得</t>
    <rPh sb="11" eb="13">
      <t>シュトク</t>
    </rPh>
    <phoneticPr fontId="14"/>
  </si>
  <si>
    <t>成分名マスタ取込用より取得</t>
    <rPh sb="11" eb="13">
      <t>シュトク</t>
    </rPh>
    <phoneticPr fontId="14"/>
  </si>
  <si>
    <t>単位マスタ取込用「単位名称」より取得</t>
    <rPh sb="16" eb="18">
      <t>シュトク</t>
    </rPh>
    <phoneticPr fontId="14"/>
  </si>
  <si>
    <t>成分量マスタ取込用より取得（YYYYMMDD形式）</t>
    <rPh sb="0" eb="2">
      <t>セイブン</t>
    </rPh>
    <rPh sb="2" eb="3">
      <t>リョウ</t>
    </rPh>
    <rPh sb="6" eb="8">
      <t>トリコミ</t>
    </rPh>
    <rPh sb="8" eb="9">
      <t>ヨウ</t>
    </rPh>
    <rPh sb="11" eb="13">
      <t>シュトク</t>
    </rPh>
    <phoneticPr fontId="14"/>
  </si>
  <si>
    <t>・データ登録日の最大値が設定されていた場合、1を設定
・上記以外の場合、0を設定</t>
    <rPh sb="24" eb="26">
      <t>セッテイ</t>
    </rPh>
    <rPh sb="28" eb="32">
      <t>ジョウキイガイ</t>
    </rPh>
    <rPh sb="33" eb="35">
      <t>バアイ</t>
    </rPh>
    <rPh sb="38" eb="40">
      <t>セッテイ</t>
    </rPh>
    <phoneticPr fontId="14"/>
  </si>
  <si>
    <t>成分量マスタ取込用より取得
・更新区分「３：削除」の場合、1を設定
・上記以外の場合、0を設定</t>
    <rPh sb="15" eb="17">
      <t>コウシン</t>
    </rPh>
    <rPh sb="17" eb="19">
      <t>クブン</t>
    </rPh>
    <rPh sb="22" eb="24">
      <t>サクジョ</t>
    </rPh>
    <rPh sb="26" eb="28">
      <t>バアイ</t>
    </rPh>
    <rPh sb="31" eb="33">
      <t>セッテイ</t>
    </rPh>
    <rPh sb="35" eb="39">
      <t>ジョウキイガイ</t>
    </rPh>
    <rPh sb="40" eb="42">
      <t>バアイ</t>
    </rPh>
    <rPh sb="45" eb="47">
      <t>セッテイ</t>
    </rPh>
    <phoneticPr fontId="14"/>
  </si>
  <si>
    <t>成分量マスタ取込用より取得
・更新区分「３：削除」でかつ、データ登録日の最大値が設定されていた場合、データ登録日の最大値をYYYYMMDD形式で設定
・更新区分「２：更新」の場合、データ登録日をYYYYMMDD形式で設定
・上記以外の場合、99999999を設定</t>
    <rPh sb="22" eb="24">
      <t>サクジョ</t>
    </rPh>
    <rPh sb="40" eb="42">
      <t>セッテイ</t>
    </rPh>
    <rPh sb="47" eb="49">
      <t>バアイ</t>
    </rPh>
    <rPh sb="53" eb="56">
      <t>トウロクビ</t>
    </rPh>
    <rPh sb="57" eb="60">
      <t>サイダイチ</t>
    </rPh>
    <rPh sb="69" eb="71">
      <t>ケイシキ</t>
    </rPh>
    <rPh sb="72" eb="74">
      <t>セッテイ</t>
    </rPh>
    <rPh sb="112" eb="116">
      <t>ジョウキイガイ</t>
    </rPh>
    <rPh sb="117" eb="119">
      <t>バアイ</t>
    </rPh>
    <rPh sb="129" eb="131">
      <t>セッテイ</t>
    </rPh>
    <phoneticPr fontId="14"/>
  </si>
  <si>
    <t>成分量マスタ取込用より取得
・更新区分「３：削除」の場合、データ登録日をYYYYMMDD形式で設定
・上記以外の場合、99999999を設定</t>
    <rPh sb="0" eb="2">
      <t>セイブン</t>
    </rPh>
    <rPh sb="2" eb="3">
      <t>リョウ</t>
    </rPh>
    <rPh sb="6" eb="8">
      <t>トリコミ</t>
    </rPh>
    <rPh sb="8" eb="9">
      <t>ヨウ</t>
    </rPh>
    <rPh sb="11" eb="13">
      <t>シュトク</t>
    </rPh>
    <rPh sb="15" eb="17">
      <t>コウシン</t>
    </rPh>
    <rPh sb="17" eb="19">
      <t>クブン</t>
    </rPh>
    <rPh sb="22" eb="24">
      <t>サクジョ</t>
    </rPh>
    <rPh sb="26" eb="28">
      <t>バアイ</t>
    </rPh>
    <rPh sb="32" eb="34">
      <t>トウロク</t>
    </rPh>
    <rPh sb="34" eb="35">
      <t>ビ</t>
    </rPh>
    <rPh sb="44" eb="46">
      <t>ケイシキ</t>
    </rPh>
    <rPh sb="47" eb="49">
      <t>セッテイ</t>
    </rPh>
    <rPh sb="51" eb="55">
      <t>ジョウキイガイ</t>
    </rPh>
    <rPh sb="56" eb="58">
      <t>バアイ</t>
    </rPh>
    <rPh sb="68" eb="70">
      <t>セッテイ</t>
    </rPh>
    <phoneticPr fontId="14"/>
  </si>
  <si>
    <t>バックアップ_医薬品適用病名関連マスタ</t>
    <phoneticPr fontId="9"/>
  </si>
  <si>
    <t>tekiyou_byoumei_cd</t>
  </si>
  <si>
    <t>kumiawase_cd</t>
  </si>
  <si>
    <t>kankeisei_cd</t>
  </si>
  <si>
    <t>適応病名レセ病名組み合わせ関係リンク親子マスタ取込用より取得</t>
    <rPh sb="28" eb="30">
      <t>シュトク</t>
    </rPh>
    <phoneticPr fontId="14"/>
  </si>
  <si>
    <t>ＹＪコード医薬品コードリンクマスタ取込用より取得</t>
    <rPh sb="22" eb="24">
      <t>シュトク</t>
    </rPh>
    <phoneticPr fontId="14"/>
  </si>
  <si>
    <t>適用病名マスタ取込用より取得</t>
    <rPh sb="0" eb="2">
      <t>テキヨウ</t>
    </rPh>
    <rPh sb="2" eb="4">
      <t>ビョウメイ</t>
    </rPh>
    <rPh sb="7" eb="9">
      <t>トリコミ</t>
    </rPh>
    <rPh sb="9" eb="10">
      <t>ヨウ</t>
    </rPh>
    <rPh sb="12" eb="14">
      <t>シュトク</t>
    </rPh>
    <phoneticPr fontId="14"/>
  </si>
  <si>
    <t>適応病名レセ病名組み合わせ関係リンクマスタ取込用より取得</t>
    <rPh sb="26" eb="28">
      <t>シュトク</t>
    </rPh>
    <phoneticPr fontId="14"/>
  </si>
  <si>
    <t>適応病名レセ病名組み合わせ関係リンクマスタ取込用より取得
※コード値は下記「項目補足説明①組み合わせコード」を参照</t>
    <rPh sb="26" eb="28">
      <t>シュトク</t>
    </rPh>
    <rPh sb="33" eb="34">
      <t>チ</t>
    </rPh>
    <rPh sb="35" eb="37">
      <t>カキ</t>
    </rPh>
    <rPh sb="45" eb="46">
      <t>ク</t>
    </rPh>
    <rPh sb="47" eb="48">
      <t>ア</t>
    </rPh>
    <rPh sb="55" eb="57">
      <t>サンショウ</t>
    </rPh>
    <phoneticPr fontId="14"/>
  </si>
  <si>
    <t>適応病名レセ病名組み合わせ関係リンクマスタ取込用より取得
※コード値は下記「項目補足説明②関係性レベルコード」を参照</t>
    <rPh sb="26" eb="28">
      <t>シュトク</t>
    </rPh>
    <rPh sb="33" eb="34">
      <t>チ</t>
    </rPh>
    <rPh sb="38" eb="40">
      <t>コウモク</t>
    </rPh>
    <rPh sb="40" eb="42">
      <t>ホソク</t>
    </rPh>
    <rPh sb="42" eb="44">
      <t>セツメイ</t>
    </rPh>
    <rPh sb="45" eb="48">
      <t>カンケイセイ</t>
    </rPh>
    <rPh sb="56" eb="58">
      <t>サンショウ</t>
    </rPh>
    <phoneticPr fontId="14"/>
  </si>
  <si>
    <t>適応病名レセ病名組み合わせ関係リンクマスタ取込用より取得（YYYYMMDD形式）</t>
    <rPh sb="0" eb="2">
      <t>テキオウ</t>
    </rPh>
    <rPh sb="2" eb="4">
      <t>ビョウメイ</t>
    </rPh>
    <rPh sb="6" eb="8">
      <t>ビョウメイ</t>
    </rPh>
    <rPh sb="8" eb="9">
      <t>ク</t>
    </rPh>
    <rPh sb="10" eb="11">
      <t>ア</t>
    </rPh>
    <rPh sb="13" eb="15">
      <t>カンケイ</t>
    </rPh>
    <rPh sb="21" eb="23">
      <t>トリコミ</t>
    </rPh>
    <rPh sb="23" eb="24">
      <t>ヨウ</t>
    </rPh>
    <rPh sb="26" eb="28">
      <t>シュトク</t>
    </rPh>
    <phoneticPr fontId="14"/>
  </si>
  <si>
    <t>適応病名レセ病名組み合わせ関係リンクマスタ取込用より取得
・更新区分「３：削除」の場合、1を設定
・上記以外の場合、0を設定</t>
    <rPh sb="30" eb="32">
      <t>コウシン</t>
    </rPh>
    <rPh sb="32" eb="34">
      <t>クブン</t>
    </rPh>
    <rPh sb="37" eb="39">
      <t>サクジョ</t>
    </rPh>
    <rPh sb="41" eb="43">
      <t>バアイ</t>
    </rPh>
    <rPh sb="46" eb="48">
      <t>セッテイ</t>
    </rPh>
    <rPh sb="50" eb="54">
      <t>ジョウキイガイ</t>
    </rPh>
    <rPh sb="55" eb="57">
      <t>バアイ</t>
    </rPh>
    <rPh sb="60" eb="62">
      <t>セッテイ</t>
    </rPh>
    <phoneticPr fontId="14"/>
  </si>
  <si>
    <t>適応病名レセ病名組み合わせ関係リンクマスタ取込用より取得
・更新区分「３：削除」でかつ、データ登録日の最大値が設定されていた場合、データ登録日の最大値をYYYYMMDD形式で設定
・更新区分「２：更新」の場合、データ登録日をYYYYMMDD形式で設定
・上記以外の場合、99999999を設定</t>
    <rPh sb="37" eb="39">
      <t>サクジョ</t>
    </rPh>
    <rPh sb="55" eb="57">
      <t>セッテイ</t>
    </rPh>
    <rPh sb="62" eb="64">
      <t>バアイ</t>
    </rPh>
    <rPh sb="68" eb="71">
      <t>トウロクビ</t>
    </rPh>
    <rPh sb="72" eb="75">
      <t>サイダイチ</t>
    </rPh>
    <rPh sb="84" eb="86">
      <t>ケイシキ</t>
    </rPh>
    <rPh sb="87" eb="89">
      <t>セッテイ</t>
    </rPh>
    <rPh sb="127" eb="131">
      <t>ジョウキイガイ</t>
    </rPh>
    <rPh sb="132" eb="134">
      <t>バアイ</t>
    </rPh>
    <rPh sb="144" eb="146">
      <t>セッテイ</t>
    </rPh>
    <phoneticPr fontId="14"/>
  </si>
  <si>
    <t>適応病名レセ病名組み合わせ関係リンクマスタ取込用より取得
・更新区分「３：削除」の場合、データ登録日をYYYYMMDD形式で設定
・上記以外の場合、99999999を設定</t>
    <rPh sb="0" eb="2">
      <t>テキオウ</t>
    </rPh>
    <rPh sb="2" eb="4">
      <t>ビョウメイ</t>
    </rPh>
    <rPh sb="6" eb="8">
      <t>ビョウメイ</t>
    </rPh>
    <rPh sb="8" eb="9">
      <t>ク</t>
    </rPh>
    <rPh sb="10" eb="11">
      <t>ア</t>
    </rPh>
    <rPh sb="13" eb="15">
      <t>カンケイ</t>
    </rPh>
    <rPh sb="21" eb="23">
      <t>トリコミ</t>
    </rPh>
    <rPh sb="23" eb="24">
      <t>ヨウ</t>
    </rPh>
    <rPh sb="26" eb="28">
      <t>シュトク</t>
    </rPh>
    <rPh sb="30" eb="32">
      <t>コウシン</t>
    </rPh>
    <rPh sb="32" eb="34">
      <t>クブン</t>
    </rPh>
    <rPh sb="37" eb="39">
      <t>サクジョ</t>
    </rPh>
    <rPh sb="41" eb="43">
      <t>バアイ</t>
    </rPh>
    <rPh sb="47" eb="49">
      <t>トウロク</t>
    </rPh>
    <rPh sb="49" eb="50">
      <t>ビ</t>
    </rPh>
    <rPh sb="59" eb="61">
      <t>ケイシキ</t>
    </rPh>
    <rPh sb="62" eb="64">
      <t>セッテイ</t>
    </rPh>
    <rPh sb="66" eb="70">
      <t>ジョウキイガイ</t>
    </rPh>
    <rPh sb="71" eb="73">
      <t>バアイ</t>
    </rPh>
    <rPh sb="83" eb="85">
      <t>セッテイ</t>
    </rPh>
    <phoneticPr fontId="14"/>
  </si>
  <si>
    <t>■項目補足説明</t>
    <rPh sb="1" eb="3">
      <t>コウモク</t>
    </rPh>
    <rPh sb="3" eb="5">
      <t>ホソク</t>
    </rPh>
    <rPh sb="5" eb="7">
      <t>セツメイ</t>
    </rPh>
    <phoneticPr fontId="32"/>
  </si>
  <si>
    <t>※『DIR（ディー・アイ・アール）』はDI社独自の医薬品情報データベースのこと</t>
  </si>
  <si>
    <t>①組み合わせコード</t>
    <phoneticPr fontId="32"/>
  </si>
  <si>
    <t>組み合わせコード</t>
    <rPh sb="0" eb="1">
      <t>ク</t>
    </rPh>
    <rPh sb="2" eb="3">
      <t>ア</t>
    </rPh>
    <phoneticPr fontId="32"/>
  </si>
  <si>
    <t>内容</t>
    <rPh sb="0" eb="2">
      <t>ナイヨウ</t>
    </rPh>
    <phoneticPr fontId="32"/>
  </si>
  <si>
    <t>組み合わせ</t>
    <rPh sb="0" eb="1">
      <t>ク</t>
    </rPh>
    <rPh sb="2" eb="3">
      <t>ア</t>
    </rPh>
    <phoneticPr fontId="32"/>
  </si>
  <si>
    <t>A0</t>
    <phoneticPr fontId="32"/>
  </si>
  <si>
    <t>DIR適応病名１語に対するレセプト病名１語</t>
    <rPh sb="3" eb="5">
      <t>テキオウ</t>
    </rPh>
    <rPh sb="5" eb="7">
      <t>ビョウメイ</t>
    </rPh>
    <rPh sb="8" eb="9">
      <t>ゴ</t>
    </rPh>
    <rPh sb="10" eb="11">
      <t>タイ</t>
    </rPh>
    <rPh sb="17" eb="19">
      <t>ビョウメイ</t>
    </rPh>
    <rPh sb="20" eb="21">
      <t>ゴ</t>
    </rPh>
    <phoneticPr fontId="32"/>
  </si>
  <si>
    <t>他のコードとの組み合わせの必要なし</t>
    <phoneticPr fontId="32"/>
  </si>
  <si>
    <t>B0</t>
    <phoneticPr fontId="32"/>
  </si>
  <si>
    <t>B1</t>
    <phoneticPr fontId="32"/>
  </si>
  <si>
    <t>DIR適応病名の『疾患』（便宜上の疾患を含む）に対するレセプト病名（グループ１）</t>
    <phoneticPr fontId="32"/>
  </si>
  <si>
    <t>B2</t>
    <phoneticPr fontId="32"/>
  </si>
  <si>
    <t>DIR適応病名の『疾患』（便宜上の疾患を含む）に対するレセプト病名（グループ２）</t>
    <phoneticPr fontId="32"/>
  </si>
  <si>
    <t>BZ</t>
    <phoneticPr fontId="32"/>
  </si>
  <si>
    <t>DIR適応病名の『疾患』（便宜上の疾患を含む）に対するレセプト病名（該当レセプト病名なし）</t>
    <phoneticPr fontId="32"/>
  </si>
  <si>
    <t>C0</t>
    <phoneticPr fontId="32"/>
  </si>
  <si>
    <t>DIR適応病名の『症状』（便宜上の疾患を含む）に対するレセプト病名</t>
    <phoneticPr fontId="32"/>
  </si>
  <si>
    <t>C1</t>
    <phoneticPr fontId="32"/>
  </si>
  <si>
    <t>DIR適応病名の『症状』（便宜上の疾患を含む）に対するレセプト病名（グループ１）</t>
    <phoneticPr fontId="32"/>
  </si>
  <si>
    <t>C2</t>
    <phoneticPr fontId="32"/>
  </si>
  <si>
    <t>DIR適応病名の『症状』（便宜上の疾患を含む）に対するレセプト病名（グループ２）</t>
    <phoneticPr fontId="32"/>
  </si>
  <si>
    <t>CZ</t>
    <phoneticPr fontId="32"/>
  </si>
  <si>
    <t>DIR適応病名の『症状』（便宜上の疾患を含む）に対するレセプト病名（該当レセプト病名なし）</t>
    <phoneticPr fontId="32"/>
  </si>
  <si>
    <t>D1</t>
    <phoneticPr fontId="32"/>
  </si>
  <si>
    <t>DIR適応病名１語に対するレセプト病名が２つ以上必要（グループ１）</t>
    <phoneticPr fontId="32"/>
  </si>
  <si>
    <t>D2</t>
    <phoneticPr fontId="32"/>
  </si>
  <si>
    <t>DIR適応病名１語に対するレセプト病名が２つ以上必要（グループ２）</t>
    <phoneticPr fontId="32"/>
  </si>
  <si>
    <t>Z0</t>
    <phoneticPr fontId="32"/>
  </si>
  <si>
    <t>保険請求対象外のDIR適応病名に対するレセプト病名</t>
    <phoneticPr fontId="32"/>
  </si>
  <si>
    <t>NULL</t>
    <phoneticPr fontId="32"/>
  </si>
  <si>
    <t xml:space="preserve">DIR適応病名に対するレセプト病名（該当レセプト病名なし） </t>
    <phoneticPr fontId="32"/>
  </si>
  <si>
    <t>②関係性レベルコード</t>
    <phoneticPr fontId="32"/>
  </si>
  <si>
    <t>関係性レベルコード</t>
    <rPh sb="0" eb="2">
      <t>カンケイ</t>
    </rPh>
    <rPh sb="2" eb="3">
      <t>セイ</t>
    </rPh>
    <phoneticPr fontId="32"/>
  </si>
  <si>
    <t>10</t>
    <phoneticPr fontId="9"/>
  </si>
  <si>
    <t>DIR適応病名とレセプト病名が一致</t>
    <rPh sb="3" eb="5">
      <t>テキオウ</t>
    </rPh>
    <rPh sb="5" eb="7">
      <t>ビョウメイ</t>
    </rPh>
    <rPh sb="12" eb="14">
      <t>ビョウメイ</t>
    </rPh>
    <rPh sb="15" eb="17">
      <t>イッチ</t>
    </rPh>
    <phoneticPr fontId="32"/>
  </si>
  <si>
    <t>20</t>
    <phoneticPr fontId="9"/>
  </si>
  <si>
    <t>DIR適応病名がレセプト病名を包含</t>
    <phoneticPr fontId="32"/>
  </si>
  <si>
    <t>30</t>
    <phoneticPr fontId="9"/>
  </si>
  <si>
    <t>レセプト病名がDIR適応病名を包含</t>
    <phoneticPr fontId="9"/>
  </si>
  <si>
    <t>原則として、関係性コード「10」、「11」に該当するレセプト病名がない場合に、</t>
    <phoneticPr fontId="9"/>
  </si>
  <si>
    <t>40</t>
    <phoneticPr fontId="9"/>
  </si>
  <si>
    <t>DIR適応病名とレセプト病名に相違あり</t>
    <phoneticPr fontId="9"/>
  </si>
  <si>
    <t>「30」、「40」に該当するレセプト病名を関連付ける</t>
    <phoneticPr fontId="9"/>
  </si>
  <si>
    <t>50</t>
    <phoneticPr fontId="9"/>
  </si>
  <si>
    <t>DIR適応病名がICD10の分類名と一致</t>
    <phoneticPr fontId="9"/>
  </si>
  <si>
    <t>DIR適応病名とレセプト病名のリンクなし</t>
    <phoneticPr fontId="9"/>
  </si>
  <si>
    <t>但し、 DIR適応病名が形容詞を含むために関係性コード「10」に該当するレセプト病名がない場合は、次のように関係性を示す。</t>
    <phoneticPr fontId="9"/>
  </si>
  <si>
    <t>11</t>
    <phoneticPr fontId="9"/>
  </si>
  <si>
    <t>形容詞がないDIR適応病名とレセプト病名が一致する</t>
    <rPh sb="0" eb="3">
      <t>ケイヨウシ</t>
    </rPh>
    <rPh sb="9" eb="11">
      <t>テキオウ</t>
    </rPh>
    <rPh sb="11" eb="13">
      <t>ビョウメイ</t>
    </rPh>
    <rPh sb="18" eb="20">
      <t>ビョウメイ</t>
    </rPh>
    <rPh sb="21" eb="23">
      <t>イッチ</t>
    </rPh>
    <phoneticPr fontId="32"/>
  </si>
  <si>
    <t>21</t>
    <phoneticPr fontId="9"/>
  </si>
  <si>
    <t>形容詞がないDIR適応病名がレセプト病名を包含している</t>
    <phoneticPr fontId="32"/>
  </si>
  <si>
    <t>51</t>
    <phoneticPr fontId="9"/>
  </si>
  <si>
    <t>形容詞がないDIR適応病名と一致する分類名のICD10に含まれる</t>
    <phoneticPr fontId="9"/>
  </si>
  <si>
    <t>他の「コードB」との組み合わせの必要はないが、「コードC」との組み合わせが必要</t>
    <phoneticPr fontId="32"/>
  </si>
  <si>
    <t>「コードB」の他のグループとの組み合わせ、及び「コードC」との組み合わせが必</t>
    <phoneticPr fontId="32"/>
  </si>
  <si>
    <t>「コードB」の他のグループとの組み合わせ、及び「コードC」との組み合わせが必要</t>
    <phoneticPr fontId="32"/>
  </si>
  <si>
    <t>『疾患』に該当するレセプト病名をリンクしていないので、確認が必要</t>
    <phoneticPr fontId="32"/>
  </si>
  <si>
    <t>他の「コードC」との組み合わせの必要はないが、「コードB」との組み合わせが必要</t>
    <phoneticPr fontId="32"/>
  </si>
  <si>
    <t>「コードC」の他のグループとの組み合わせ、及び「コードB」との組み合わせが必要</t>
    <phoneticPr fontId="32"/>
  </si>
  <si>
    <t>『症状』に該当するレセプト病名をリンクしていないので、確認が必要</t>
    <phoneticPr fontId="32"/>
  </si>
  <si>
    <t>「コードD」の他のグループとの組み合わせが必要</t>
    <phoneticPr fontId="32"/>
  </si>
  <si>
    <t>『疾患』、『症状』に関わらず一律でコードを付与</t>
    <phoneticPr fontId="32"/>
  </si>
  <si>
    <t>レセプト病名をリンクしていないので、確認が必要</t>
    <phoneticPr fontId="32"/>
  </si>
  <si>
    <t xml:space="preserve">DIR適応病名の『疾患』（便宜上の疾患を含む）に対するレセプト病名 </t>
    <phoneticPr fontId="32"/>
  </si>
  <si>
    <t>バックアップ_MML_診断履歴情報モジュール_本文</t>
    <phoneticPr fontId="9"/>
  </si>
  <si>
    <t>ZipファイルNo</t>
  </si>
  <si>
    <t>zip_no</t>
  </si>
  <si>
    <t>整数</t>
    <rPh sb="0" eb="2">
      <t>セイスウ</t>
    </rPh>
    <phoneticPr fontId="6"/>
  </si>
  <si>
    <t>ファイルNo</t>
  </si>
  <si>
    <t>file_no</t>
  </si>
  <si>
    <t>本文No</t>
    <rPh sb="0" eb="2">
      <t>ホンブン</t>
    </rPh>
    <phoneticPr fontId="11"/>
  </si>
  <si>
    <t>body_no</t>
  </si>
  <si>
    <t>施設ID（MML）</t>
    <rPh sb="0" eb="2">
      <t>シセツ</t>
    </rPh>
    <phoneticPr fontId="6"/>
  </si>
  <si>
    <t>患者ID</t>
  </si>
  <si>
    <t>start_date</t>
  </si>
  <si>
    <t>end_date</t>
  </si>
  <si>
    <t>outcome</t>
  </si>
  <si>
    <t>first_encounter_date</t>
  </si>
  <si>
    <t>施設OID</t>
    <rPh sb="0" eb="2">
      <t>シセツ</t>
    </rPh>
    <phoneticPr fontId="11"/>
  </si>
  <si>
    <t>YYYY-MM-DDThh:mm:ss</t>
  </si>
  <si>
    <t>バックアップ_MML_診断履歴情報モジュール_病名</t>
    <phoneticPr fontId="9"/>
  </si>
  <si>
    <t>病名No</t>
  </si>
  <si>
    <t>byomei_no</t>
  </si>
  <si>
    <t>タグ名</t>
  </si>
  <si>
    <t>tag_name</t>
  </si>
  <si>
    <t>diagnosis</t>
  </si>
  <si>
    <t>コード値</t>
  </si>
  <si>
    <t>コード体系名</t>
  </si>
  <si>
    <t>system</t>
  </si>
  <si>
    <t>病名に対応したタグ名</t>
    <rPh sb="0" eb="2">
      <t>ビョウメイ</t>
    </rPh>
    <rPh sb="3" eb="5">
      <t>タイオウ</t>
    </rPh>
    <rPh sb="9" eb="10">
      <t>メイ</t>
    </rPh>
    <phoneticPr fontId="10"/>
  </si>
  <si>
    <t>diagnosisまたはdiagnosisContentsの何れかから取得する</t>
    <rPh sb="30" eb="31">
      <t>イズ</t>
    </rPh>
    <rPh sb="35" eb="37">
      <t>シュトク</t>
    </rPh>
    <phoneticPr fontId="11"/>
  </si>
  <si>
    <t>バックアップ_MML_診断履歴情報モジュール_カテゴリ名</t>
    <phoneticPr fontId="9"/>
  </si>
  <si>
    <t>カテゴリ名No</t>
  </si>
  <si>
    <t>category_no</t>
  </si>
  <si>
    <t>category</t>
  </si>
  <si>
    <t>table_id</t>
  </si>
  <si>
    <t>バックアップ_MML_処方箋モジュール_本文</t>
    <phoneticPr fontId="9"/>
  </si>
  <si>
    <t>院外、院内処方箋の別</t>
  </si>
  <si>
    <t>issued_to</t>
  </si>
  <si>
    <t>麻薬施用者番号</t>
  </si>
  <si>
    <t>narcotic_prescription_license_no</t>
  </si>
  <si>
    <t>コメント</t>
  </si>
  <si>
    <t>comment</t>
  </si>
  <si>
    <t>院外処方の場合にはexternal、
院内処方の場合にはinternal</t>
  </si>
  <si>
    <t>バックアップ_MML_処方箋モジュール_投薬</t>
    <phoneticPr fontId="9"/>
  </si>
  <si>
    <t>投薬No</t>
    <rPh sb="0" eb="2">
      <t>トウヤク</t>
    </rPh>
    <phoneticPr fontId="11"/>
  </si>
  <si>
    <t>medication_no</t>
  </si>
  <si>
    <t>薬剤名称</t>
  </si>
  <si>
    <t>medicine_name</t>
  </si>
  <si>
    <t>用量</t>
  </si>
  <si>
    <t>dose</t>
  </si>
  <si>
    <t>用量の単位</t>
  </si>
  <si>
    <t>dose_unit</t>
  </si>
  <si>
    <t>一日の内服回数</t>
  </si>
  <si>
    <t>frequency_per_day</t>
  </si>
  <si>
    <t>服薬開始日</t>
  </si>
  <si>
    <t>服薬期間（日数）</t>
  </si>
  <si>
    <t>duration</t>
  </si>
  <si>
    <t>用法指示</t>
  </si>
  <si>
    <t>instruction</t>
  </si>
  <si>
    <t>頓用指示</t>
  </si>
  <si>
    <t>prn</t>
  </si>
  <si>
    <t>総投与回数</t>
  </si>
  <si>
    <t>repetitions</t>
  </si>
  <si>
    <t>投与経路</t>
  </si>
  <si>
    <t>route</t>
  </si>
  <si>
    <t>剤形</t>
  </si>
  <si>
    <t>form</t>
  </si>
  <si>
    <t>処方番号</t>
  </si>
  <si>
    <t>batch_no</t>
  </si>
  <si>
    <t>ジェネリック医薬品への代替可</t>
  </si>
  <si>
    <t>brand_substitution_permitted</t>
  </si>
  <si>
    <t>長期処方可</t>
  </si>
  <si>
    <t>long_term</t>
  </si>
  <si>
    <t>追加指示，コメント</t>
  </si>
  <si>
    <t>additional_instruction</t>
  </si>
  <si>
    <t>CCYY-MM-DD</t>
  </si>
  <si>
    <t>頓用処方であればtrue, そうでなければfalse</t>
  </si>
  <si>
    <t>ジェネリック使用可の場合にはtrue，使用不可の場合にはfalse。省略時にはtrue</t>
  </si>
  <si>
    <t>長期処方であればtrue，短期であればfalse</t>
  </si>
  <si>
    <t>バックアップ_MML_処方箋モジュール_薬剤</t>
    <phoneticPr fontId="9"/>
  </si>
  <si>
    <t>薬剤No</t>
    <rPh sb="0" eb="2">
      <t>ヤクザイ</t>
    </rPh>
    <phoneticPr fontId="11"/>
  </si>
  <si>
    <t>medicine_no</t>
  </si>
  <si>
    <t>薬剤コード</t>
  </si>
  <si>
    <t>薬剤コード体系</t>
  </si>
  <si>
    <t>バックアップ_MML_注射記録モジュール_本文</t>
    <phoneticPr fontId="9"/>
  </si>
  <si>
    <t>投与開始日時</t>
    <rPh sb="0" eb="2">
      <t>トウヨ</t>
    </rPh>
    <phoneticPr fontId="10"/>
  </si>
  <si>
    <t>start_date_time</t>
  </si>
  <si>
    <t>投与終了日時</t>
    <rPh sb="0" eb="2">
      <t>トウヨ</t>
    </rPh>
    <rPh sb="2" eb="4">
      <t>シュウリョウ</t>
    </rPh>
    <phoneticPr fontId="10"/>
  </si>
  <si>
    <t>end_date_time</t>
  </si>
  <si>
    <t>投与部位</t>
  </si>
  <si>
    <t>site</t>
  </si>
  <si>
    <t>注射方法</t>
  </si>
  <si>
    <t>delivery_method</t>
  </si>
  <si>
    <t>バックアップ_MML_注射記録モジュール_投薬</t>
    <phoneticPr fontId="9"/>
  </si>
  <si>
    <t>バックアップ_MML_注射記録モジュール_薬剤</t>
    <phoneticPr fontId="9"/>
  </si>
  <si>
    <t>バックアップ_MML_手術モジュール_手術項目</t>
    <phoneticPr fontId="9"/>
  </si>
  <si>
    <t>手術項目No</t>
    <rPh sb="0" eb="2">
      <t>シュジュツ</t>
    </rPh>
    <rPh sb="2" eb="4">
      <t>コウモク</t>
    </rPh>
    <phoneticPr fontId="11"/>
  </si>
  <si>
    <t>surgery_item_no</t>
  </si>
  <si>
    <t>手術の種類コード</t>
  </si>
  <si>
    <t>surgical_info_type</t>
  </si>
  <si>
    <t>手術施行日</t>
  </si>
  <si>
    <t>surgical_info_date</t>
  </si>
  <si>
    <t>手術開始時刻</t>
  </si>
  <si>
    <t>surgical_info_start_time</t>
  </si>
  <si>
    <t>手術時間</t>
  </si>
  <si>
    <t>surgical_info_duration</t>
  </si>
  <si>
    <t>麻酔時間</t>
  </si>
  <si>
    <t>anesthesia_duration</t>
  </si>
  <si>
    <t>手術記録の自由文章表現</t>
  </si>
  <si>
    <t>operative_notes</t>
  </si>
  <si>
    <t>手術に関する追加事項</t>
  </si>
  <si>
    <t>memo</t>
  </si>
  <si>
    <t>hh:mm:ss または hh:mm</t>
  </si>
  <si>
    <t xml:space="preserve">PnYnMnDTnHnMnS または PTnHnM </t>
  </si>
  <si>
    <t>バックアップ_MML_手術モジュール_診療科情報</t>
    <phoneticPr fontId="9"/>
  </si>
  <si>
    <t>手術項目No</t>
    <rPh sb="0" eb="2">
      <t>シュジュツ</t>
    </rPh>
    <rPh sb="2" eb="4">
      <t>コウモク</t>
    </rPh>
    <phoneticPr fontId="30"/>
  </si>
  <si>
    <t>タグ名</t>
    <rPh sb="2" eb="3">
      <t>メイ</t>
    </rPh>
    <phoneticPr fontId="10"/>
  </si>
  <si>
    <t>診療科情報No</t>
  </si>
  <si>
    <t>dp_no</t>
  </si>
  <si>
    <t>診療科名称No</t>
    <rPh sb="3" eb="5">
      <t>メイショウ</t>
    </rPh>
    <phoneticPr fontId="11"/>
  </si>
  <si>
    <t>dp_name_no</t>
  </si>
  <si>
    <t>診療科ID</t>
  </si>
  <si>
    <t>id</t>
  </si>
  <si>
    <t>診療科ID_種類コード</t>
  </si>
  <si>
    <t>type</t>
  </si>
  <si>
    <t>診療科ID_テーブル名</t>
  </si>
  <si>
    <t>診療科ID_チェックディジット</t>
  </si>
  <si>
    <t>check_digit</t>
  </si>
  <si>
    <t>診療科ID_チェックディジット方式</t>
  </si>
  <si>
    <t>check_digit_schema</t>
  </si>
  <si>
    <t>診療科名称</t>
    <rPh sb="0" eb="3">
      <t>シンリョウカ</t>
    </rPh>
    <rPh sb="3" eb="5">
      <t>メイショウ</t>
    </rPh>
    <phoneticPr fontId="11"/>
  </si>
  <si>
    <t>dp_name</t>
  </si>
  <si>
    <t>診療科名称_表記法</t>
  </si>
  <si>
    <t>dp_name_rep_code</t>
  </si>
  <si>
    <t>診療科名称_テーブル名</t>
  </si>
  <si>
    <t>dp_name_table_id</t>
  </si>
  <si>
    <t>参照元となる以下のタグ名の何れかを設定
surgicalDepartment
patientDepartment</t>
    <rPh sb="0" eb="2">
      <t>サンショウ</t>
    </rPh>
    <rPh sb="2" eb="3">
      <t>モト</t>
    </rPh>
    <rPh sb="6" eb="8">
      <t>イカ</t>
    </rPh>
    <rPh sb="11" eb="12">
      <t>メイ</t>
    </rPh>
    <rPh sb="13" eb="14">
      <t>イズ</t>
    </rPh>
    <rPh sb="17" eb="19">
      <t>セッテイ</t>
    </rPh>
    <phoneticPr fontId="11"/>
  </si>
  <si>
    <t>タグごとの診療科情報の連番を付与</t>
    <rPh sb="5" eb="8">
      <t>シンリョウカ</t>
    </rPh>
    <rPh sb="8" eb="10">
      <t>ジョウホウ</t>
    </rPh>
    <rPh sb="11" eb="13">
      <t>レンバン</t>
    </rPh>
    <rPh sb="14" eb="16">
      <t>フヨ</t>
    </rPh>
    <phoneticPr fontId="11"/>
  </si>
  <si>
    <t>診療科情報ごとの診療科名の連番を付与</t>
    <rPh sb="8" eb="10">
      <t>シンリョウ</t>
    </rPh>
    <rPh sb="10" eb="12">
      <t>カメイ</t>
    </rPh>
    <rPh sb="13" eb="15">
      <t>レンバン</t>
    </rPh>
    <rPh sb="16" eb="18">
      <t>フヨ</t>
    </rPh>
    <phoneticPr fontId="11"/>
  </si>
  <si>
    <t>バックアップ_MML_手術モジュール_診断履歴情報</t>
    <phoneticPr fontId="9"/>
  </si>
  <si>
    <t>診断履歴情報No</t>
    <rPh sb="0" eb="2">
      <t>シンダン</t>
    </rPh>
    <rPh sb="2" eb="4">
      <t>リレキ</t>
    </rPh>
    <rPh sb="4" eb="6">
      <t>ジョウホウ</t>
    </rPh>
    <phoneticPr fontId="11"/>
  </si>
  <si>
    <t>rd_no</t>
  </si>
  <si>
    <t>バックアップ_MML_手術モジュール_病名</t>
    <phoneticPr fontId="9"/>
  </si>
  <si>
    <t>バックアップ_MML_手術モジュール_カテゴリ名</t>
    <phoneticPr fontId="9"/>
  </si>
  <si>
    <t>バックアップ_MML_手術モジュール_手術法</t>
    <phoneticPr fontId="9"/>
  </si>
  <si>
    <t>手術法No</t>
    <rPh sb="0" eb="3">
      <t>シュジュツホウ</t>
    </rPh>
    <phoneticPr fontId="11"/>
  </si>
  <si>
    <t>procedure_no</t>
  </si>
  <si>
    <t>手術法</t>
  </si>
  <si>
    <t>operation</t>
  </si>
  <si>
    <t>手術法コード</t>
  </si>
  <si>
    <t>手術法コード体系名</t>
  </si>
  <si>
    <t>手術法に関する追加事項</t>
  </si>
  <si>
    <t>procedure_memo</t>
  </si>
  <si>
    <t>バックアップ_MML_手術モジュール_手術要素</t>
    <phoneticPr fontId="9"/>
  </si>
  <si>
    <t>手術要素No</t>
    <rPh sb="0" eb="2">
      <t>シュジュツ</t>
    </rPh>
    <rPh sb="2" eb="4">
      <t>ヨウソ</t>
    </rPh>
    <phoneticPr fontId="11"/>
  </si>
  <si>
    <t>operation_element_no</t>
  </si>
  <si>
    <t>分割された手術要素名</t>
  </si>
  <si>
    <t>バックアップ_MML_手術モジュール_麻酔法</t>
    <phoneticPr fontId="9"/>
  </si>
  <si>
    <t>麻酔法No</t>
    <rPh sb="0" eb="3">
      <t>マスイホウ</t>
    </rPh>
    <phoneticPr fontId="11"/>
  </si>
  <si>
    <t>anesthesia_no</t>
  </si>
  <si>
    <t>麻酔法名</t>
  </si>
  <si>
    <t>title</t>
  </si>
  <si>
    <t>麻酔法名コード</t>
  </si>
  <si>
    <t>麻酔法名コード体系名</t>
  </si>
  <si>
    <t>バックアップ_MML_報告書情報モジュール_本文</t>
    <phoneticPr fontId="9"/>
  </si>
  <si>
    <t>検査実施日時</t>
    <rPh sb="0" eb="2">
      <t>ケンサ</t>
    </rPh>
    <rPh sb="2" eb="4">
      <t>ジッシ</t>
    </rPh>
    <rPh sb="4" eb="5">
      <t>ビ</t>
    </rPh>
    <rPh sb="5" eb="6">
      <t>ジ</t>
    </rPh>
    <phoneticPr fontId="12"/>
  </si>
  <si>
    <t>perform_time</t>
  </si>
  <si>
    <t>report_status</t>
  </si>
  <si>
    <t>report_status_code</t>
  </si>
  <si>
    <t>報告状態コードID</t>
  </si>
  <si>
    <t>report_status_code_id</t>
  </si>
  <si>
    <t>報告書種別</t>
  </si>
  <si>
    <t>test_class</t>
  </si>
  <si>
    <t>報告書種別コード</t>
  </si>
  <si>
    <t>test_class_code</t>
  </si>
  <si>
    <t>報告書種別コードID</t>
  </si>
  <si>
    <t>test_class_code_id</t>
  </si>
  <si>
    <t>報告書詳細種別</t>
  </si>
  <si>
    <t>test_sub_class</t>
  </si>
  <si>
    <t>報告書詳細種別コード</t>
  </si>
  <si>
    <t>test_sub_class_code</t>
  </si>
  <si>
    <t>報告書詳細種別コードID</t>
  </si>
  <si>
    <t>test_sub_class_code_id</t>
  </si>
  <si>
    <t>臓器</t>
  </si>
  <si>
    <t>organ</t>
  </si>
  <si>
    <t>依頼施設</t>
  </si>
  <si>
    <t>con_facility</t>
  </si>
  <si>
    <t>con_facility_code</t>
  </si>
  <si>
    <t>con_facility_code_id</t>
  </si>
  <si>
    <t>con_department</t>
  </si>
  <si>
    <t>con_department_code</t>
  </si>
  <si>
    <t>依頼診療科コードID</t>
  </si>
  <si>
    <t>con_department_code_id</t>
  </si>
  <si>
    <t>con_ward</t>
  </si>
  <si>
    <t>con_ward_code</t>
  </si>
  <si>
    <t>con_ward_code_id</t>
  </si>
  <si>
    <t>実施施設</t>
  </si>
  <si>
    <t>p_facility</t>
  </si>
  <si>
    <t>実施施設コード</t>
  </si>
  <si>
    <t>p_facility_code</t>
  </si>
  <si>
    <t>実施施設コードID</t>
  </si>
  <si>
    <t>p_facility_code_id</t>
  </si>
  <si>
    <t>実施診療科</t>
  </si>
  <si>
    <t>p_department</t>
  </si>
  <si>
    <t>実施診療科コード</t>
  </si>
  <si>
    <t>p_department_code</t>
  </si>
  <si>
    <t>実施診療科コードID</t>
  </si>
  <si>
    <t>p_department_code_id</t>
  </si>
  <si>
    <t>実施病棟</t>
  </si>
  <si>
    <t>p_ward</t>
  </si>
  <si>
    <t>実施病棟コード</t>
  </si>
  <si>
    <t>p_ward_code</t>
  </si>
  <si>
    <t>実施病棟コードID</t>
  </si>
  <si>
    <t>p_ward_code_id</t>
  </si>
  <si>
    <t>検査目的</t>
  </si>
  <si>
    <t>test_purpose</t>
  </si>
  <si>
    <t>検査診断</t>
  </si>
  <si>
    <t>test_dx</t>
  </si>
  <si>
    <t>検査所見記載</t>
  </si>
  <si>
    <t>test_notes</t>
  </si>
  <si>
    <t>検査フリーコメント</t>
  </si>
  <si>
    <t>test_memo_f</t>
  </si>
  <si>
    <t>バックアップ_MML_報告書情報モジュール_検査コメント</t>
    <phoneticPr fontId="9"/>
  </si>
  <si>
    <t>検査コメントNo</t>
    <rPh sb="0" eb="2">
      <t>ケンサ</t>
    </rPh>
    <phoneticPr fontId="11"/>
  </si>
  <si>
    <t>test_memo_no</t>
  </si>
  <si>
    <t>検査コメント</t>
  </si>
  <si>
    <t>test_memo</t>
  </si>
  <si>
    <t>検査コメント名称</t>
    <rPh sb="6" eb="8">
      <t>メイショウ</t>
    </rPh>
    <phoneticPr fontId="12"/>
  </si>
  <si>
    <t>tm_code_name</t>
  </si>
  <si>
    <t>検査コメントコード</t>
  </si>
  <si>
    <t>tm_code</t>
  </si>
  <si>
    <t>検査コメントコードID</t>
  </si>
  <si>
    <t>tm_code_id</t>
  </si>
  <si>
    <t>バックアップ_MML_紹介状モジュール_本文</t>
    <phoneticPr fontId="9"/>
  </si>
  <si>
    <t>職業</t>
  </si>
  <si>
    <t>occupation</t>
  </si>
  <si>
    <t>紹介元施設</t>
  </si>
  <si>
    <t>refer_from_facility_name</t>
  </si>
  <si>
    <t>タイトル</t>
  </si>
  <si>
    <t>挨拶文</t>
  </si>
  <si>
    <t>greeting</t>
  </si>
  <si>
    <t>clinical_diagnosis</t>
  </si>
  <si>
    <t>既往歴</t>
  </si>
  <si>
    <t>past_history</t>
  </si>
  <si>
    <t>家族歴</t>
  </si>
  <si>
    <t>family_history</t>
  </si>
  <si>
    <t>症状経過</t>
  </si>
  <si>
    <t>present_illness</t>
  </si>
  <si>
    <t>検査結果</t>
  </si>
  <si>
    <t>test_results</t>
  </si>
  <si>
    <t>現在の処方</t>
  </si>
  <si>
    <t>medication</t>
  </si>
  <si>
    <t>紹介目的</t>
  </si>
  <si>
    <t>refer_purpose</t>
  </si>
  <si>
    <t>remarks</t>
  </si>
  <si>
    <t>refer_to_facility_name</t>
  </si>
  <si>
    <t>診療科名称</t>
  </si>
  <si>
    <t>refer_to_facility_name_department_name</t>
  </si>
  <si>
    <t>紹介先医師名の施設</t>
  </si>
  <si>
    <t>refer_to_person_facility_name</t>
  </si>
  <si>
    <t>医師名を指定しない相手</t>
  </si>
  <si>
    <t>refer_to_unknown_name</t>
  </si>
  <si>
    <t>バックアップ_MML_紹介状モジュール_注射記録</t>
    <phoneticPr fontId="9"/>
  </si>
  <si>
    <t>バックアップ_MML_紹介状モジュール_注射記録投薬</t>
    <phoneticPr fontId="9"/>
  </si>
  <si>
    <t>投与開始日時</t>
    <rPh sb="0" eb="2">
      <t>トウヨ</t>
    </rPh>
    <rPh sb="2" eb="4">
      <t>カイシ</t>
    </rPh>
    <rPh sb="4" eb="6">
      <t>ニチジ</t>
    </rPh>
    <phoneticPr fontId="12"/>
  </si>
  <si>
    <t>投与終了日時</t>
    <rPh sb="0" eb="2">
      <t>トウヨ</t>
    </rPh>
    <rPh sb="2" eb="4">
      <t>シュウリョウ</t>
    </rPh>
    <phoneticPr fontId="12"/>
  </si>
  <si>
    <t>バックアップ_MML_紹介状モジュール_注射記録薬剤</t>
    <phoneticPr fontId="9"/>
  </si>
  <si>
    <t>バックアップ_MML_紹介状モジュール_患者情報</t>
    <phoneticPr fontId="9"/>
  </si>
  <si>
    <t>nationality</t>
  </si>
  <si>
    <t>subtype</t>
  </si>
  <si>
    <t>人種</t>
  </si>
  <si>
    <t>人種コード</t>
  </si>
  <si>
    <t>人種テーブル名</t>
    <rPh sb="6" eb="7">
      <t>メイ</t>
    </rPh>
    <phoneticPr fontId="10"/>
  </si>
  <si>
    <t>social_identification</t>
  </si>
  <si>
    <t>death</t>
  </si>
  <si>
    <t>female
male
other
unknown</t>
  </si>
  <si>
    <t>true：死亡
false：生存</t>
  </si>
  <si>
    <t>バックアップ_MML_紹介状モジュール_患者情報住所</t>
    <phoneticPr fontId="9"/>
  </si>
  <si>
    <t>住所No</t>
    <rPh sb="0" eb="2">
      <t>ジュウショ</t>
    </rPh>
    <phoneticPr fontId="11"/>
  </si>
  <si>
    <t>address_no</t>
  </si>
  <si>
    <t>表記法</t>
  </si>
  <si>
    <t>rep_code</t>
  </si>
  <si>
    <t>住所の種類コード</t>
  </si>
  <si>
    <t>address_class</t>
  </si>
  <si>
    <t>一連住所</t>
  </si>
  <si>
    <t>address_full</t>
  </si>
  <si>
    <t>市，区，郡</t>
  </si>
  <si>
    <t>町，村</t>
  </si>
  <si>
    <t>town</t>
  </si>
  <si>
    <t>番地，丁目等</t>
    <rPh sb="5" eb="6">
      <t>トウ</t>
    </rPh>
    <phoneticPr fontId="10"/>
  </si>
  <si>
    <t>home_number</t>
  </si>
  <si>
    <t>郵便番号</t>
  </si>
  <si>
    <t>zip</t>
  </si>
  <si>
    <t>国コード</t>
  </si>
  <si>
    <t>country_code</t>
  </si>
  <si>
    <t>バックアップ_MML_紹介状モジュール_処方箋</t>
    <phoneticPr fontId="9"/>
  </si>
  <si>
    <t>バックアップ_MML_紹介状モジュール_処方箋投薬</t>
    <phoneticPr fontId="9"/>
  </si>
  <si>
    <t>バックアップ_MML_紹介状モジュール_処方箋薬剤</t>
    <phoneticPr fontId="9"/>
  </si>
  <si>
    <t>バックアップ_MML_紹介状モジュール_臨床サマリー情報経過記録</t>
    <phoneticPr fontId="9"/>
  </si>
  <si>
    <t>経過記録No</t>
    <rPh sb="0" eb="2">
      <t>ケイカ</t>
    </rPh>
    <rPh sb="2" eb="4">
      <t>キロク</t>
    </rPh>
    <phoneticPr fontId="11"/>
  </si>
  <si>
    <t>clinical_record_no</t>
  </si>
  <si>
    <t>clinical_record</t>
  </si>
  <si>
    <t>clinical_record_date</t>
  </si>
  <si>
    <t>関連文書</t>
    <rPh sb="0" eb="2">
      <t>カンレン</t>
    </rPh>
    <rPh sb="2" eb="4">
      <t>ブンショ</t>
    </rPh>
    <phoneticPr fontId="10"/>
  </si>
  <si>
    <t>related_doc</t>
  </si>
  <si>
    <t>関連文書_関連の種別</t>
    <rPh sb="0" eb="2">
      <t>カンレン</t>
    </rPh>
    <rPh sb="2" eb="4">
      <t>ブンショ</t>
    </rPh>
    <phoneticPr fontId="10"/>
  </si>
  <si>
    <t>related_doc_relation</t>
  </si>
  <si>
    <t>sgioy_202310_backup_text_mml_mmlre_sm_clinical_record</t>
    <phoneticPr fontId="9"/>
  </si>
  <si>
    <t>MML_紹介状モジュール_臨床サマリー情報経過記録テーブルから組入れ条件の第一条件で絞り込んだ結果を格納するバックアップテーブル</t>
    <phoneticPr fontId="9"/>
  </si>
  <si>
    <t>バックアップ_MML_紹介状モジュール_診療科情報</t>
    <phoneticPr fontId="9"/>
  </si>
  <si>
    <t>ENT_01_C1-01</t>
  </si>
  <si>
    <t>ENT_01_C1-02</t>
  </si>
  <si>
    <t>ENT_01_C1-03</t>
  </si>
  <si>
    <t>ENT_01_C1-04</t>
  </si>
  <si>
    <t>ENT_01_C1-05</t>
  </si>
  <si>
    <t>ENT_01_C1-07</t>
  </si>
  <si>
    <t>ENT_01_C1-08</t>
  </si>
  <si>
    <t>ENT_01_C2-01</t>
  </si>
  <si>
    <t>ENT_01_C2-02</t>
  </si>
  <si>
    <t>ENT_01_C2-06</t>
  </si>
  <si>
    <t>ENT_01_C2-07</t>
  </si>
  <si>
    <t>ENT_01_C2-08</t>
  </si>
  <si>
    <t>ENT_01_C2-09</t>
  </si>
  <si>
    <t>ENT_01_C2-10</t>
  </si>
  <si>
    <t>ENT_01_C2-16</t>
  </si>
  <si>
    <t>ENT_01_C3-01</t>
  </si>
  <si>
    <t>ENT_01_C3-02</t>
  </si>
  <si>
    <t>ENT_01_C3-08</t>
  </si>
  <si>
    <t>ENT_01_C3-09</t>
  </si>
  <si>
    <t>ENT_01_C3-10</t>
  </si>
  <si>
    <t>ENT_01_C3-16</t>
  </si>
  <si>
    <t>ENT_01_C3-17</t>
  </si>
  <si>
    <t>ENT_01_C3-18</t>
  </si>
  <si>
    <t>ENT_01_C3-19</t>
  </si>
  <si>
    <t>ENT_01_C3-24</t>
  </si>
  <si>
    <t>ENT_01_C4-01</t>
  </si>
  <si>
    <t>ENT_01_C4-03</t>
  </si>
  <si>
    <t>ENT_01_C4-04</t>
  </si>
  <si>
    <t>ENT_01_C4-05</t>
  </si>
  <si>
    <t>ENT_01_C4-06</t>
  </si>
  <si>
    <t>ENT_01_C4-07</t>
  </si>
  <si>
    <t>ENT_01_C4-08</t>
  </si>
  <si>
    <t>ENT_01_C4-15</t>
  </si>
  <si>
    <t>ENT_01_C4-22</t>
  </si>
  <si>
    <t>ENT_01_C4-23</t>
  </si>
  <si>
    <t>ENT_01_C4-24</t>
  </si>
  <si>
    <t>ENT_01_C4-25</t>
  </si>
  <si>
    <t>ENT_01_C4-29</t>
  </si>
  <si>
    <t>ENT_01_C4-30</t>
  </si>
  <si>
    <t>ENT_01_C4-31</t>
  </si>
  <si>
    <t>ENT_01_C4-33</t>
  </si>
  <si>
    <t>ENT_01_C4-35</t>
  </si>
  <si>
    <t>ENT_01_C4-37</t>
  </si>
  <si>
    <t>ENT_01_C4-38</t>
  </si>
  <si>
    <t>ENT_01_C4-40</t>
  </si>
  <si>
    <t>ENT_01_C4-41</t>
  </si>
  <si>
    <t>ENT_01_A1-02</t>
    <phoneticPr fontId="9"/>
  </si>
  <si>
    <t>ENT_01_A1-03</t>
    <phoneticPr fontId="9"/>
  </si>
  <si>
    <t>ENT_01_A1-04</t>
  </si>
  <si>
    <t>ENT_01_A1-05</t>
  </si>
  <si>
    <t>ENT_01_A1-06</t>
  </si>
  <si>
    <t>ENT_01_A1-07</t>
  </si>
  <si>
    <t>ENT_01_A1-08</t>
  </si>
  <si>
    <t>ENT_01_A1-09</t>
  </si>
  <si>
    <t>ENT_01_A1-10</t>
  </si>
  <si>
    <t>ENT_01_A1-11</t>
  </si>
  <si>
    <t>ENT_01_A1-13</t>
  </si>
  <si>
    <t>ENT_01_A1-14</t>
  </si>
  <si>
    <t>ENT_01_A3-02</t>
  </si>
  <si>
    <t>ENT_01_A3-03</t>
  </si>
  <si>
    <t>ENT_01_A3-04</t>
  </si>
  <si>
    <t>ENT_01_A3-05</t>
  </si>
  <si>
    <t>ENT_01_A3-06</t>
  </si>
  <si>
    <t>ENT_01_A3-07</t>
  </si>
  <si>
    <t>ENT_01_A3-08</t>
  </si>
  <si>
    <t>ENT_01_A3-09</t>
  </si>
  <si>
    <t>ENT_01_A3-10</t>
  </si>
  <si>
    <t>ENT_01_A3-11</t>
  </si>
  <si>
    <t>ENT_01_A3-12</t>
  </si>
  <si>
    <t>ENT_01_A3-13</t>
  </si>
  <si>
    <t>ENT_01_A3-14</t>
  </si>
  <si>
    <t>ENT_01_A3-15</t>
  </si>
  <si>
    <t>ENT_01_A3-16</t>
  </si>
  <si>
    <t>ENT_01_A4-01</t>
    <phoneticPr fontId="9"/>
  </si>
  <si>
    <t>ENT_01_A4-02</t>
  </si>
  <si>
    <t>ENT_01_A4-03</t>
  </si>
  <si>
    <t>ENT_01_A4-04</t>
  </si>
  <si>
    <t>ENT_01_A4-05</t>
  </si>
  <si>
    <t>ENT_01_A4-07</t>
  </si>
  <si>
    <t>ENT_01_A4-08</t>
  </si>
  <si>
    <t>ENT_01_A4-09</t>
  </si>
  <si>
    <t>ENT_01_A4-10</t>
  </si>
  <si>
    <t>ENT_01_A4-11</t>
  </si>
  <si>
    <t>ENT_01_A4-12</t>
  </si>
  <si>
    <t>ENT_01_A4-13</t>
  </si>
  <si>
    <t>ENT_01_A4-14</t>
  </si>
  <si>
    <t>01_C1-01</t>
    <phoneticPr fontId="9"/>
  </si>
  <si>
    <t>01_C1-02</t>
  </si>
  <si>
    <t>01_C1-03</t>
  </si>
  <si>
    <t>01_C1-04</t>
  </si>
  <si>
    <t>01_C1-05</t>
  </si>
  <si>
    <t>01_C1-07</t>
  </si>
  <si>
    <t>01_C1-08</t>
  </si>
  <si>
    <t>01_01</t>
    <phoneticPr fontId="9"/>
  </si>
  <si>
    <t>処方データ</t>
    <rPh sb="0" eb="2">
      <t>ショホウ</t>
    </rPh>
    <phoneticPr fontId="12"/>
  </si>
  <si>
    <t>処方データテーブルから組入れ条件の第一条件で絞り込んだ結果の患者IDの一覧をバックアップ_処方データ_組み入れ第一条件テーブルに格納する。</t>
    <rPh sb="30" eb="32">
      <t>カンジャ</t>
    </rPh>
    <rPh sb="35" eb="37">
      <t>イチラン</t>
    </rPh>
    <phoneticPr fontId="9"/>
  </si>
  <si>
    <t>バックアップ_処方データ_組み入れ第一条件</t>
    <phoneticPr fontId="9"/>
  </si>
  <si>
    <t>二次利用DB登録患者紐付けデータ</t>
    <rPh sb="0" eb="2">
      <t>ニジ</t>
    </rPh>
    <rPh sb="2" eb="4">
      <t>リヨウ</t>
    </rPh>
    <rPh sb="6" eb="8">
      <t>トウロク</t>
    </rPh>
    <rPh sb="8" eb="10">
      <t>カンジャ</t>
    </rPh>
    <rPh sb="10" eb="11">
      <t>ヒモ</t>
    </rPh>
    <rPh sb="11" eb="12">
      <t>ツ</t>
    </rPh>
    <phoneticPr fontId="12"/>
  </si>
  <si>
    <t>バックアップ_患者マスタ_組み入れ第一条件</t>
    <rPh sb="7" eb="9">
      <t>カンジャ</t>
    </rPh>
    <phoneticPr fontId="9"/>
  </si>
  <si>
    <t>01_02</t>
    <phoneticPr fontId="9"/>
  </si>
  <si>
    <t>ENT_01_A6-02</t>
    <phoneticPr fontId="9"/>
  </si>
  <si>
    <t>バックアップ_MML共通</t>
    <phoneticPr fontId="9"/>
  </si>
  <si>
    <t>ENT_01_A6-03</t>
    <phoneticPr fontId="9"/>
  </si>
  <si>
    <t>ENT_01_A6-04</t>
  </si>
  <si>
    <t>ENT_01_A6-05</t>
  </si>
  <si>
    <t>ENT_01_A6-24</t>
    <phoneticPr fontId="9"/>
  </si>
  <si>
    <t>ENT_01_A6-25</t>
  </si>
  <si>
    <t>ENT_01_A6-26</t>
  </si>
  <si>
    <t>ENT_01_A6-27</t>
  </si>
  <si>
    <t>ENT_01_A6-28</t>
  </si>
  <si>
    <t>ENT_01_A6-29</t>
  </si>
  <si>
    <t>ENT_01_A6-42</t>
    <phoneticPr fontId="9"/>
  </si>
  <si>
    <t>ENT_01_A6-43</t>
  </si>
  <si>
    <t>ENT_01_A6-44</t>
  </si>
  <si>
    <t>ENT_01_A6-45</t>
  </si>
  <si>
    <t>ENT_01_A6-46</t>
  </si>
  <si>
    <t>ENT_01_A6-47</t>
  </si>
  <si>
    <t>ENT_01_A6-48</t>
  </si>
  <si>
    <t>ENT_01_A6-49</t>
  </si>
  <si>
    <t>ENT_01_A6-50</t>
  </si>
  <si>
    <t>ENT_01_A6-51</t>
  </si>
  <si>
    <t>ENT_01_A6-52</t>
  </si>
  <si>
    <t>ENT_01_A6-53</t>
  </si>
  <si>
    <t>ENT_01_A6-54</t>
  </si>
  <si>
    <t>ENT_01_A6-55</t>
  </si>
  <si>
    <t>ENT_01_A6-56</t>
  </si>
  <si>
    <t>ENT_01_A6-57</t>
  </si>
  <si>
    <t>ENT_01_A6-58</t>
  </si>
  <si>
    <t>ENT_01_A6-59</t>
  </si>
  <si>
    <t>ENT_01_A6-60</t>
  </si>
  <si>
    <t>ENT_01_A6-61</t>
  </si>
  <si>
    <t>ENT_01_A6-62</t>
  </si>
  <si>
    <t>ENT_01_A6-63</t>
  </si>
  <si>
    <t>バックアップ_MML_生活習慣情報モジュール_本文</t>
    <phoneticPr fontId="9"/>
  </si>
  <si>
    <t>ENT_01_A3-17</t>
  </si>
  <si>
    <t>ENT_01_A3-18</t>
  </si>
  <si>
    <t>ENT_01_A3-19</t>
  </si>
  <si>
    <t>ENT_01_A3-20</t>
  </si>
  <si>
    <t>ENT_01_A3-21</t>
  </si>
  <si>
    <t>ENT_01_A3-22</t>
  </si>
  <si>
    <t>ENT_01_A3-23</t>
  </si>
  <si>
    <t>ENT_01_A3-24</t>
  </si>
  <si>
    <t>ENT_01_A3-25</t>
  </si>
  <si>
    <t>ENT_01_A3-26</t>
  </si>
  <si>
    <t>ENT_01_A3-27</t>
  </si>
  <si>
    <t>ENT_01_A3-28</t>
  </si>
  <si>
    <t>ENT_01_A3-29</t>
  </si>
  <si>
    <t>ENT_01_A3-31</t>
  </si>
  <si>
    <t>ENT_01_A3-32</t>
  </si>
  <si>
    <t>ENT_01_A3-33</t>
  </si>
  <si>
    <t>ENT_01_A3-30</t>
    <phoneticPr fontId="9"/>
  </si>
  <si>
    <t>ENT_01_A3-34</t>
  </si>
  <si>
    <t>ENT_01_A3-35</t>
  </si>
  <si>
    <t>ENT_01_A3-36</t>
  </si>
  <si>
    <t>ENT_01_A3-37</t>
  </si>
  <si>
    <t>バックアップ_医薬品マスタ</t>
    <rPh sb="7" eb="10">
      <t>イヤクヒン</t>
    </rPh>
    <phoneticPr fontId="9"/>
  </si>
  <si>
    <t>バックアップ_医薬品ブランドマスタ</t>
    <rPh sb="7" eb="10">
      <t>イヤクヒン</t>
    </rPh>
    <phoneticPr fontId="9"/>
  </si>
  <si>
    <t>バックアップ_医薬品一般名マスタ</t>
    <rPh sb="7" eb="10">
      <t>イヤクヒン</t>
    </rPh>
    <rPh sb="10" eb="12">
      <t>イッパン</t>
    </rPh>
    <rPh sb="12" eb="13">
      <t>メイ</t>
    </rPh>
    <phoneticPr fontId="9"/>
  </si>
  <si>
    <t>バックアップ_医薬品販売会社マスタ</t>
    <rPh sb="7" eb="10">
      <t>イヤクヒン</t>
    </rPh>
    <rPh sb="10" eb="12">
      <t>ハンバイ</t>
    </rPh>
    <rPh sb="12" eb="14">
      <t>ガイシャ</t>
    </rPh>
    <phoneticPr fontId="9"/>
  </si>
  <si>
    <t>バックアップ_メーカマスタ</t>
    <phoneticPr fontId="9"/>
  </si>
  <si>
    <t>バックアップ_薬価マスタ</t>
    <rPh sb="7" eb="9">
      <t>ヤッカ</t>
    </rPh>
    <phoneticPr fontId="9"/>
  </si>
  <si>
    <t>バックアップ_薬効ATC分類1マスタ</t>
    <phoneticPr fontId="9"/>
  </si>
  <si>
    <t>バックアップ_薬効ATC分類2マスタ</t>
    <rPh sb="7" eb="9">
      <t>ヤッコウ</t>
    </rPh>
    <rPh sb="12" eb="14">
      <t>ブンルイ</t>
    </rPh>
    <phoneticPr fontId="9"/>
  </si>
  <si>
    <t>バックアップ_薬効ATC分類3マスタ</t>
    <rPh sb="7" eb="9">
      <t>ヤッコウ</t>
    </rPh>
    <rPh sb="12" eb="14">
      <t>ブンルイ</t>
    </rPh>
    <phoneticPr fontId="9"/>
  </si>
  <si>
    <t>バックアップ_薬効ATC分類4マスタ</t>
    <rPh sb="7" eb="9">
      <t>ヤッコウ</t>
    </rPh>
    <rPh sb="12" eb="14">
      <t>ブンルイ</t>
    </rPh>
    <phoneticPr fontId="9"/>
  </si>
  <si>
    <t>バックアップ_薬効ATC分類5マスタ</t>
    <rPh sb="7" eb="9">
      <t>ヤッコウ</t>
    </rPh>
    <rPh sb="12" eb="14">
      <t>ブンルイ</t>
    </rPh>
    <phoneticPr fontId="9"/>
  </si>
  <si>
    <t>バックアップ_疾病マスタ</t>
    <rPh sb="7" eb="9">
      <t>シッペイ</t>
    </rPh>
    <phoneticPr fontId="9"/>
  </si>
  <si>
    <t>バックアップ_ICD10大分類マスタ</t>
    <phoneticPr fontId="9"/>
  </si>
  <si>
    <t>バックアップ_ICD10中分類マスタ</t>
    <phoneticPr fontId="9"/>
  </si>
  <si>
    <t>バックアップ_ICD10小分類マスタ</t>
    <phoneticPr fontId="9"/>
  </si>
  <si>
    <t>バックアップ_ICD10細分類マスタ</t>
    <phoneticPr fontId="9"/>
  </si>
  <si>
    <t>バックアップ_DPC2桁マスタ</t>
    <phoneticPr fontId="9"/>
  </si>
  <si>
    <t>バックアップ_DPC6桁マスタ</t>
    <rPh sb="11" eb="12">
      <t>ケタ</t>
    </rPh>
    <phoneticPr fontId="9"/>
  </si>
  <si>
    <t>バックアップ_郵便番号マスタ</t>
    <rPh sb="7" eb="11">
      <t>ユウビンバンゴウ</t>
    </rPh>
    <phoneticPr fontId="9"/>
  </si>
  <si>
    <t>バックアップ_特定機材マスタ</t>
    <rPh sb="7" eb="9">
      <t>トクテイ</t>
    </rPh>
    <rPh sb="9" eb="11">
      <t>キザイ</t>
    </rPh>
    <phoneticPr fontId="9"/>
  </si>
  <si>
    <t>本文No</t>
    <rPh sb="0" eb="2">
      <t>ホンブン</t>
    </rPh>
    <phoneticPr fontId="13"/>
  </si>
  <si>
    <t>施設ID（MML）</t>
    <rPh sb="0" eb="2">
      <t>シセツ</t>
    </rPh>
    <phoneticPr fontId="3"/>
  </si>
  <si>
    <t>UID</t>
  </si>
  <si>
    <t>記載確定日</t>
  </si>
  <si>
    <t>comfirm_date</t>
  </si>
  <si>
    <t>MMLモジュール種別</t>
    <rPh sb="8" eb="10">
      <t>シュベツ</t>
    </rPh>
    <phoneticPr fontId="13"/>
  </si>
  <si>
    <t>mml_type</t>
  </si>
  <si>
    <t>ファイル名</t>
    <rPh sb="4" eb="5">
      <t>メイ</t>
    </rPh>
    <phoneticPr fontId="13"/>
  </si>
  <si>
    <t>file_name</t>
  </si>
  <si>
    <t>最新フラグ</t>
    <rPh sb="0" eb="2">
      <t>サイシン</t>
    </rPh>
    <phoneticPr fontId="13"/>
  </si>
  <si>
    <t>削除フラグ</t>
    <rPh sb="0" eb="2">
      <t>サクジョ</t>
    </rPh>
    <phoneticPr fontId="13"/>
  </si>
  <si>
    <t>整数</t>
    <rPh sb="0" eb="2">
      <t>セイスウ</t>
    </rPh>
    <phoneticPr fontId="3"/>
  </si>
  <si>
    <t>施設OID</t>
    <rPh sb="0" eb="2">
      <t>シセツ</t>
    </rPh>
    <phoneticPr fontId="13"/>
  </si>
  <si>
    <t>MMLファイル名（.xmlは含まない）</t>
    <rPh sb="7" eb="8">
      <t>メイ</t>
    </rPh>
    <rPh sb="14" eb="15">
      <t>フク</t>
    </rPh>
    <phoneticPr fontId="13"/>
  </si>
  <si>
    <t>最新の場合TRUE</t>
    <rPh sb="0" eb="2">
      <t>サイシン</t>
    </rPh>
    <rPh sb="3" eb="5">
      <t>バアイ</t>
    </rPh>
    <phoneticPr fontId="13"/>
  </si>
  <si>
    <t>削除済みの場合TRUE</t>
    <rPh sb="0" eb="2">
      <t>サクジョ</t>
    </rPh>
    <rPh sb="2" eb="3">
      <t>ズ</t>
    </rPh>
    <rPh sb="5" eb="7">
      <t>バアイ</t>
    </rPh>
    <phoneticPr fontId="13"/>
  </si>
  <si>
    <t>整数</t>
    <rPh sb="0" eb="2">
      <t>セイスウ</t>
    </rPh>
    <phoneticPr fontId="8"/>
  </si>
  <si>
    <t>施設ID（MML）</t>
    <rPh sb="0" eb="2">
      <t>シセツ</t>
    </rPh>
    <phoneticPr fontId="8"/>
  </si>
  <si>
    <t>文字列</t>
    <rPh sb="0" eb="3">
      <t>モジレツ</t>
    </rPh>
    <phoneticPr fontId="8"/>
  </si>
  <si>
    <t>tobacco</t>
  </si>
  <si>
    <t>飲酒歴</t>
  </si>
  <si>
    <t>alcohol</t>
  </si>
  <si>
    <t>その他の生活習慣</t>
  </si>
  <si>
    <t>other</t>
  </si>
  <si>
    <t>喫煙歴</t>
    <phoneticPr fontId="9"/>
  </si>
  <si>
    <t>テーブル物理名プレフィックス</t>
    <rPh sb="4" eb="7">
      <t>ブツリメイ</t>
    </rPh>
    <phoneticPr fontId="9"/>
  </si>
  <si>
    <t>バックアップ_医薬品マスタ</t>
    <phoneticPr fontId="9"/>
  </si>
  <si>
    <t>施行日</t>
    <rPh sb="0" eb="3">
      <t>シコウビ</t>
    </rPh>
    <phoneticPr fontId="3"/>
  </si>
  <si>
    <t>sekoubi</t>
  </si>
  <si>
    <t>更新区分</t>
    <rPh sb="0" eb="2">
      <t>コウシン</t>
    </rPh>
    <rPh sb="2" eb="4">
      <t>クブン</t>
    </rPh>
    <phoneticPr fontId="3"/>
  </si>
  <si>
    <t>yakko_bunrui1_code</t>
  </si>
  <si>
    <t>yakko_bunrui2_code</t>
  </si>
  <si>
    <t>yakko_bunrui3_code</t>
  </si>
  <si>
    <t>yakko_bunrui4_code</t>
  </si>
  <si>
    <t>yakko_bunrui5_code</t>
  </si>
  <si>
    <t>seizo_maker_code</t>
  </si>
  <si>
    <t>医薬品名</t>
  </si>
  <si>
    <t>kohatsuhin_flag</t>
  </si>
  <si>
    <t>新薬コード</t>
  </si>
  <si>
    <t>shinyaku_code</t>
  </si>
  <si>
    <t>iyakuhin_brand_code</t>
  </si>
  <si>
    <t>iyakuhin_ippan_name_code</t>
  </si>
  <si>
    <t>特定器材単位コード</t>
  </si>
  <si>
    <t>tokutei_kizai_unit_code</t>
  </si>
  <si>
    <t>発売年月日</t>
  </si>
  <si>
    <t>hatsubai_ymd</t>
  </si>
  <si>
    <t>移行先</t>
    <rPh sb="0" eb="2">
      <t>イコウ</t>
    </rPh>
    <rPh sb="2" eb="3">
      <t>サキ</t>
    </rPh>
    <phoneticPr fontId="3"/>
  </si>
  <si>
    <t>ikosaki</t>
  </si>
  <si>
    <t>年</t>
    <rPh sb="0" eb="1">
      <t>トシ</t>
    </rPh>
    <phoneticPr fontId="15"/>
  </si>
  <si>
    <t>nen</t>
  </si>
  <si>
    <t>年月</t>
    <rPh sb="0" eb="2">
      <t>ネンゲツ</t>
    </rPh>
    <phoneticPr fontId="15"/>
  </si>
  <si>
    <t>nengetsu</t>
  </si>
  <si>
    <t>データ登録日</t>
    <rPh sb="3" eb="6">
      <t>トウロクビ</t>
    </rPh>
    <phoneticPr fontId="3"/>
  </si>
  <si>
    <t>YYYYMMDD（収載日）</t>
    <rPh sb="9" eb="11">
      <t>シュウサイ</t>
    </rPh>
    <rPh sb="11" eb="12">
      <t>ビ</t>
    </rPh>
    <phoneticPr fontId="3"/>
  </si>
  <si>
    <t>1：新規、2：変更、3：削除</t>
  </si>
  <si>
    <t>更新区分＝3に対し、移行先がある場合設定</t>
    <rPh sb="18" eb="20">
      <t>セッテイ</t>
    </rPh>
    <phoneticPr fontId="3"/>
  </si>
  <si>
    <t>施行日の（YYYY)</t>
  </si>
  <si>
    <t>施行日の（YYYYMM)</t>
  </si>
  <si>
    <t>バックアップ_医薬品ブランドマスタ</t>
    <phoneticPr fontId="9"/>
  </si>
  <si>
    <t>iyakuhin_brand_name</t>
  </si>
  <si>
    <t>医薬品ブランド日本語名</t>
  </si>
  <si>
    <t>バックアップ_医薬品一般名マスタ</t>
    <phoneticPr fontId="9"/>
  </si>
  <si>
    <t>iyakuhin_ippan_englishname</t>
  </si>
  <si>
    <t>バックアップ_医薬品販売会社マスタ</t>
    <phoneticPr fontId="9"/>
  </si>
  <si>
    <t>メーカコード</t>
  </si>
  <si>
    <t>maker_code</t>
  </si>
  <si>
    <t>メーカ名</t>
  </si>
  <si>
    <t>maker_name</t>
  </si>
  <si>
    <t>バックアップ_薬価マスタ</t>
    <phoneticPr fontId="9"/>
  </si>
  <si>
    <t>年度</t>
  </si>
  <si>
    <t>nendo</t>
  </si>
  <si>
    <t>YYYY</t>
  </si>
  <si>
    <t>yakko_bunrui1_name</t>
  </si>
  <si>
    <t>薬効分類1日本語名</t>
  </si>
  <si>
    <t>バックアップ_薬効ATC分類2マスタ</t>
    <phoneticPr fontId="9"/>
  </si>
  <si>
    <t>yakko_bunrui2_name</t>
  </si>
  <si>
    <t>薬効分類2日本語名</t>
  </si>
  <si>
    <t>バックアップ_薬効ATC分類3マスタ</t>
    <phoneticPr fontId="9"/>
  </si>
  <si>
    <t>yakko_bunrui3_name</t>
  </si>
  <si>
    <t>薬効分類3日本語名</t>
  </si>
  <si>
    <t>バックアップ_薬効ATC分類4マスタ</t>
    <phoneticPr fontId="9"/>
  </si>
  <si>
    <t>yakko_bunrui4_name</t>
  </si>
  <si>
    <t>薬効分類4日本語名</t>
  </si>
  <si>
    <t>バックアップ_薬効ATC分類5マスタ</t>
    <phoneticPr fontId="9"/>
  </si>
  <si>
    <t>yakko_bunrui5_name</t>
  </si>
  <si>
    <t>薬効分類5日本語名</t>
  </si>
  <si>
    <t>バックアップ_疾病マスタ</t>
    <phoneticPr fontId="9"/>
  </si>
  <si>
    <t>疾病コード</t>
  </si>
  <si>
    <t>shippei_code</t>
  </si>
  <si>
    <t>ICD10-1大分類コード</t>
  </si>
  <si>
    <t>icd10_1_l_code</t>
  </si>
  <si>
    <t>ICD10-1中分類コード</t>
  </si>
  <si>
    <t>icd10_1_m_code</t>
  </si>
  <si>
    <t>ICD10-1小分類コード</t>
  </si>
  <si>
    <t>icd10_1_s_code</t>
  </si>
  <si>
    <t>ICD10-1細分類コード</t>
  </si>
  <si>
    <t>icd10_1_ss_code</t>
  </si>
  <si>
    <t>ICD10-2大分類コード</t>
  </si>
  <si>
    <t>icd10_2_l_code</t>
  </si>
  <si>
    <t>ICD10-2中分類コード</t>
  </si>
  <si>
    <t>icd10_2_m_code</t>
  </si>
  <si>
    <t>ICD10-2小分類コード</t>
  </si>
  <si>
    <t>icd10_2_s_code</t>
  </si>
  <si>
    <t>ICD10-2細分類コード</t>
  </si>
  <si>
    <t>icd10_2_ss_code</t>
  </si>
  <si>
    <t>疾病名</t>
  </si>
  <si>
    <t>shippei_name</t>
  </si>
  <si>
    <t>icd10_l_code</t>
  </si>
  <si>
    <t>icd10_m_code</t>
  </si>
  <si>
    <t>icd10_s_code</t>
  </si>
  <si>
    <t>icd10_ss_code</t>
  </si>
  <si>
    <t>変更区分</t>
    <rPh sb="0" eb="2">
      <t>ヘンコウ</t>
    </rPh>
    <rPh sb="2" eb="4">
      <t>クブン</t>
    </rPh>
    <phoneticPr fontId="3"/>
  </si>
  <si>
    <t>dpc2_code</t>
  </si>
  <si>
    <t>バックアップ_DPC6桁マスタ</t>
    <phoneticPr fontId="9"/>
  </si>
  <si>
    <t>DPCコード4桁</t>
  </si>
  <si>
    <t>dpc4_code</t>
  </si>
  <si>
    <t>バックアップ_郵便番号マスタ</t>
    <phoneticPr fontId="9"/>
  </si>
  <si>
    <t>postal_code</t>
  </si>
  <si>
    <t>prefecture_code</t>
  </si>
  <si>
    <t>町域コード</t>
  </si>
  <si>
    <t>town_code</t>
  </si>
  <si>
    <t>都道府県カナ</t>
  </si>
  <si>
    <t>prefecture_kana</t>
  </si>
  <si>
    <t>市区町村カナ</t>
  </si>
  <si>
    <t>city_kana</t>
  </si>
  <si>
    <t>町域</t>
  </si>
  <si>
    <t>町域カナ</t>
  </si>
  <si>
    <t>town_kana</t>
  </si>
  <si>
    <t>町域補足</t>
  </si>
  <si>
    <t>town_hosoku</t>
  </si>
  <si>
    <t>京都通り名</t>
  </si>
  <si>
    <t>kyoto_street</t>
  </si>
  <si>
    <t>字丁目</t>
  </si>
  <si>
    <t>字丁目カナ</t>
  </si>
  <si>
    <t>home_number_kana</t>
  </si>
  <si>
    <t>"000-0000"形式</t>
  </si>
  <si>
    <t>市区町村コード＋独自の4桁</t>
  </si>
  <si>
    <t>更新区分＝3に対し、移行先がある場合設定
※DLファイルより判別不可のため、未設定</t>
    <rPh sb="18" eb="20">
      <t>セッテイ</t>
    </rPh>
    <rPh sb="30" eb="32">
      <t>ハンベツ</t>
    </rPh>
    <rPh sb="32" eb="34">
      <t>フカ</t>
    </rPh>
    <rPh sb="38" eb="41">
      <t>ミセッテイ</t>
    </rPh>
    <phoneticPr fontId="3"/>
  </si>
  <si>
    <t>バックアップ_特定機材マスタ</t>
    <phoneticPr fontId="9"/>
  </si>
  <si>
    <t>施行日</t>
  </si>
  <si>
    <t>tokutei_kizai_kingaku</t>
  </si>
  <si>
    <t>年</t>
  </si>
  <si>
    <t>1：抹消、3：新規、5：変更、9：廃止</t>
  </si>
  <si>
    <t>01_C2-01</t>
    <phoneticPr fontId="9"/>
  </si>
  <si>
    <t>医科レセプト_医療機関情報レコード_結合</t>
    <rPh sb="0" eb="2">
      <t>イカ</t>
    </rPh>
    <rPh sb="7" eb="9">
      <t>イリョウ</t>
    </rPh>
    <rPh sb="9" eb="11">
      <t>キカン</t>
    </rPh>
    <rPh sb="11" eb="13">
      <t>ジョウホウ</t>
    </rPh>
    <rPh sb="18" eb="20">
      <t>ケツゴウ</t>
    </rPh>
    <phoneticPr fontId="12"/>
  </si>
  <si>
    <t>01_C2-02</t>
    <phoneticPr fontId="9"/>
  </si>
  <si>
    <t>医科レセプト_レセプト共通レコード_結合</t>
    <rPh sb="18" eb="20">
      <t>ケツゴウ</t>
    </rPh>
    <phoneticPr fontId="12"/>
  </si>
  <si>
    <t>01_C2-06</t>
    <phoneticPr fontId="9"/>
  </si>
  <si>
    <t>医科レセプト_傷病名レコード_結合</t>
    <rPh sb="15" eb="17">
      <t>ケツゴウ</t>
    </rPh>
    <phoneticPr fontId="12"/>
  </si>
  <si>
    <t>01_C2-07</t>
    <phoneticPr fontId="9"/>
  </si>
  <si>
    <t>医科レセプト_診療行為レコード_結合</t>
    <rPh sb="16" eb="18">
      <t>ケツゴウ</t>
    </rPh>
    <phoneticPr fontId="12"/>
  </si>
  <si>
    <t>01_C2-08</t>
    <phoneticPr fontId="9"/>
  </si>
  <si>
    <t>医科レセプト_診療行為レコード_算定日情報_結合</t>
    <rPh sb="22" eb="24">
      <t>ケツゴウ</t>
    </rPh>
    <phoneticPr fontId="12"/>
  </si>
  <si>
    <t>01_C2-09</t>
    <phoneticPr fontId="9"/>
  </si>
  <si>
    <t>医科レセプト_医薬品レコード_結合</t>
    <rPh sb="15" eb="17">
      <t>ケツゴウ</t>
    </rPh>
    <phoneticPr fontId="12"/>
  </si>
  <si>
    <t>01_C2-10</t>
    <phoneticPr fontId="9"/>
  </si>
  <si>
    <t>医科レセプト_医薬品レコード_算定日情報_結合</t>
    <rPh sb="21" eb="23">
      <t>ケツゴウ</t>
    </rPh>
    <phoneticPr fontId="12"/>
  </si>
  <si>
    <t>01_C2-16</t>
    <phoneticPr fontId="9"/>
  </si>
  <si>
    <t>医科レセプト_臓器提供者レセプト情報レコード_結合</t>
    <rPh sb="23" eb="25">
      <t>ケツゴウ</t>
    </rPh>
    <phoneticPr fontId="12"/>
  </si>
  <si>
    <t>01_C3-01</t>
    <phoneticPr fontId="9"/>
  </si>
  <si>
    <t>DPCレセプト_医療機関情報レコード_結合</t>
    <rPh sb="19" eb="21">
      <t>ケツゴウ</t>
    </rPh>
    <phoneticPr fontId="12"/>
  </si>
  <si>
    <t>01_C3-02</t>
    <phoneticPr fontId="9"/>
  </si>
  <si>
    <t>DPCレセプト_レセプト共通レコード_結合</t>
    <rPh sb="19" eb="21">
      <t>ケツゴウ</t>
    </rPh>
    <phoneticPr fontId="12"/>
  </si>
  <si>
    <t>01_C3-08</t>
    <phoneticPr fontId="9"/>
  </si>
  <si>
    <t>DPCレセプト_診断群分類レコード_結合</t>
    <rPh sb="18" eb="20">
      <t>ケツゴウ</t>
    </rPh>
    <phoneticPr fontId="12"/>
  </si>
  <si>
    <t>01_C3-09</t>
    <phoneticPr fontId="9"/>
  </si>
  <si>
    <t>DPCレセプト_傷病レコード_結合</t>
    <rPh sb="15" eb="17">
      <t>ケツゴウ</t>
    </rPh>
    <phoneticPr fontId="12"/>
  </si>
  <si>
    <t>01_C3-10</t>
    <phoneticPr fontId="9"/>
  </si>
  <si>
    <t>DPCレセプト_傷病名レコード_結合</t>
    <rPh sb="16" eb="18">
      <t>ケツゴウ</t>
    </rPh>
    <phoneticPr fontId="12"/>
  </si>
  <si>
    <t>01_C3-16</t>
    <phoneticPr fontId="9"/>
  </si>
  <si>
    <t>DPCレセプト_診療行為レコード_結合</t>
    <rPh sb="17" eb="19">
      <t>ケツゴウ</t>
    </rPh>
    <phoneticPr fontId="12"/>
  </si>
  <si>
    <t>01_C3-17</t>
    <phoneticPr fontId="9"/>
  </si>
  <si>
    <t>DPCレセプト_診療行為レコード_算定日情報_結合</t>
    <rPh sb="23" eb="25">
      <t>ケツゴウ</t>
    </rPh>
    <phoneticPr fontId="12"/>
  </si>
  <si>
    <t>01_C3-18</t>
    <phoneticPr fontId="9"/>
  </si>
  <si>
    <t>DPCレセプト_医薬品レコード_結合</t>
    <rPh sb="16" eb="18">
      <t>ケツゴウ</t>
    </rPh>
    <phoneticPr fontId="12"/>
  </si>
  <si>
    <t>01_C3-19</t>
    <phoneticPr fontId="9"/>
  </si>
  <si>
    <t>DPCレセプト_医薬品レコード_算定日情報_結合</t>
    <rPh sb="22" eb="24">
      <t>ケツゴウ</t>
    </rPh>
    <phoneticPr fontId="12"/>
  </si>
  <si>
    <t>01_C3-24</t>
    <phoneticPr fontId="9"/>
  </si>
  <si>
    <t>DPCレセプト_臓器提供者レセプト情報レコード_結合</t>
    <rPh sb="24" eb="26">
      <t>ケツゴウ</t>
    </rPh>
    <phoneticPr fontId="12"/>
  </si>
  <si>
    <t>01_C4-01</t>
    <phoneticPr fontId="9"/>
  </si>
  <si>
    <t>患者情報モジュール_患者情報_結合</t>
    <rPh sb="15" eb="17">
      <t>ケツゴウ</t>
    </rPh>
    <phoneticPr fontId="12"/>
  </si>
  <si>
    <t>01_C4-03</t>
    <phoneticPr fontId="9"/>
  </si>
  <si>
    <t>診断履歴情報モジュール_診断履歴情報レコード_結合</t>
    <rPh sb="23" eb="25">
      <t>ケツゴウ</t>
    </rPh>
    <phoneticPr fontId="12"/>
  </si>
  <si>
    <t>01_C4-04</t>
    <phoneticPr fontId="9"/>
  </si>
  <si>
    <t>診断履歴情報モジュール_診断病名レコード_結合</t>
    <rPh sb="21" eb="23">
      <t>ケツゴウ</t>
    </rPh>
    <phoneticPr fontId="12"/>
  </si>
  <si>
    <t>01_C4-05</t>
    <phoneticPr fontId="9"/>
  </si>
  <si>
    <t>診断履歴情報モジュール_診断分類レコード_結合</t>
    <rPh sb="21" eb="23">
      <t>ケツゴウ</t>
    </rPh>
    <phoneticPr fontId="12"/>
  </si>
  <si>
    <t>01_C4-06</t>
    <phoneticPr fontId="9"/>
  </si>
  <si>
    <t>経過記録情報モジュール_経過記録情報レコード_結合</t>
    <rPh sb="23" eb="25">
      <t>ケツゴウ</t>
    </rPh>
    <phoneticPr fontId="12"/>
  </si>
  <si>
    <t>01_C4-07</t>
    <phoneticPr fontId="9"/>
  </si>
  <si>
    <t>経過記録情報モジュール_プロブレムレコード_結合</t>
    <rPh sb="22" eb="24">
      <t>ケツゴウ</t>
    </rPh>
    <phoneticPr fontId="12"/>
  </si>
  <si>
    <t>01_C4-08</t>
    <phoneticPr fontId="9"/>
  </si>
  <si>
    <t>経過記録情報モジュール_身体所見レコード_結合</t>
    <rPh sb="21" eb="23">
      <t>ケツゴウ</t>
    </rPh>
    <phoneticPr fontId="12"/>
  </si>
  <si>
    <t>01_C4-15</t>
    <phoneticPr fontId="9"/>
  </si>
  <si>
    <t>経過記録情報モジュール_アセスメントレコード_結合</t>
    <rPh sb="23" eb="25">
      <t>ケツゴウ</t>
    </rPh>
    <phoneticPr fontId="12"/>
  </si>
  <si>
    <t>01_C4-22</t>
    <phoneticPr fontId="9"/>
  </si>
  <si>
    <t>経過記録情報モジュール_外部参照レコード_結合</t>
    <rPh sb="21" eb="23">
      <t>ケツゴウ</t>
    </rPh>
    <phoneticPr fontId="12"/>
  </si>
  <si>
    <t>01_C4-23</t>
    <phoneticPr fontId="9"/>
  </si>
  <si>
    <t>臨床サマリーモジュール_臨床サマリー情報レコード_結合</t>
    <rPh sb="25" eb="27">
      <t>ケツゴウ</t>
    </rPh>
    <phoneticPr fontId="12"/>
  </si>
  <si>
    <t>01_C4-24</t>
    <phoneticPr fontId="9"/>
  </si>
  <si>
    <t>臨床サマリーモジュール_外来受診レコード_結合</t>
    <rPh sb="21" eb="23">
      <t>ケツゴウ</t>
    </rPh>
    <phoneticPr fontId="12"/>
  </si>
  <si>
    <t>01_C4-25</t>
    <phoneticPr fontId="9"/>
  </si>
  <si>
    <t>臨床サマリーモジュール_入院レコード_結合</t>
    <rPh sb="19" eb="21">
      <t>ケツゴウ</t>
    </rPh>
    <phoneticPr fontId="12"/>
  </si>
  <si>
    <t>01_C4-29</t>
    <phoneticPr fontId="9"/>
  </si>
  <si>
    <t>臨床サマリーモジュール_経過記録レコード_結合</t>
    <rPh sb="21" eb="23">
      <t>ケツゴウ</t>
    </rPh>
    <phoneticPr fontId="12"/>
  </si>
  <si>
    <t>01_C4-30</t>
    <phoneticPr fontId="9"/>
  </si>
  <si>
    <t>臨床サマリーモジュール_検査結果レコード_結合</t>
    <rPh sb="21" eb="23">
      <t>ケツゴウ</t>
    </rPh>
    <phoneticPr fontId="12"/>
  </si>
  <si>
    <t>01_C4-31</t>
    <phoneticPr fontId="9"/>
  </si>
  <si>
    <t>検歴情報モジュール_検歴情報_結合</t>
    <rPh sb="15" eb="17">
      <t>ケツゴウ</t>
    </rPh>
    <phoneticPr fontId="12"/>
  </si>
  <si>
    <t>01_C4-33</t>
    <phoneticPr fontId="9"/>
  </si>
  <si>
    <t>検歴情報モジュール_検歴検体材料_結合</t>
    <rPh sb="17" eb="19">
      <t>ケツゴウ</t>
    </rPh>
    <phoneticPr fontId="12"/>
  </si>
  <si>
    <t>01_C4-35</t>
    <phoneticPr fontId="9"/>
  </si>
  <si>
    <t>検歴情報モジュール_検歴項目情報_結合</t>
    <rPh sb="17" eb="19">
      <t>ケツゴウ</t>
    </rPh>
    <phoneticPr fontId="12"/>
  </si>
  <si>
    <t>01_C4-37</t>
    <phoneticPr fontId="9"/>
  </si>
  <si>
    <t>バイタルサインモジュール_バイタルサイン_結合</t>
    <rPh sb="21" eb="23">
      <t>ケツゴウ</t>
    </rPh>
    <phoneticPr fontId="12"/>
  </si>
  <si>
    <t>01_C4-38</t>
    <phoneticPr fontId="9"/>
  </si>
  <si>
    <t>バイタルサインモジュール_記録項目_結合</t>
    <rPh sb="18" eb="20">
      <t>ケツゴウ</t>
    </rPh>
    <phoneticPr fontId="12"/>
  </si>
  <si>
    <t>01_C4-40</t>
    <phoneticPr fontId="9"/>
  </si>
  <si>
    <t>体温表モジュール_バイタルサイン_結合</t>
    <rPh sb="17" eb="19">
      <t>ケツゴウ</t>
    </rPh>
    <phoneticPr fontId="12"/>
  </si>
  <si>
    <t>01_C4-41</t>
    <phoneticPr fontId="9"/>
  </si>
  <si>
    <t>体温表モジュール_記録項目_結合</t>
    <rPh sb="14" eb="16">
      <t>ケツゴウ</t>
    </rPh>
    <phoneticPr fontId="12"/>
  </si>
  <si>
    <t>01_A1-02</t>
    <phoneticPr fontId="9"/>
  </si>
  <si>
    <t>01_A1-03</t>
    <phoneticPr fontId="9"/>
  </si>
  <si>
    <t>診療行為データ</t>
    <phoneticPr fontId="12"/>
  </si>
  <si>
    <t>処方データ</t>
    <phoneticPr fontId="12"/>
  </si>
  <si>
    <t>01_A1-04</t>
    <phoneticPr fontId="9"/>
  </si>
  <si>
    <t>疾患データ</t>
    <phoneticPr fontId="12"/>
  </si>
  <si>
    <t>01_A1-05</t>
    <phoneticPr fontId="9"/>
  </si>
  <si>
    <t>疾患診療科データ</t>
    <phoneticPr fontId="12"/>
  </si>
  <si>
    <t>01_A1-06</t>
    <phoneticPr fontId="9"/>
  </si>
  <si>
    <t>入院退院データ</t>
    <phoneticPr fontId="12"/>
  </si>
  <si>
    <t>01_A1-07</t>
    <phoneticPr fontId="9"/>
  </si>
  <si>
    <t>二次利用DB登録患者データ</t>
    <phoneticPr fontId="12"/>
  </si>
  <si>
    <t>01_A1-08</t>
    <phoneticPr fontId="9"/>
  </si>
  <si>
    <t>二次利用DB登録患者データ_DPC</t>
    <phoneticPr fontId="12"/>
  </si>
  <si>
    <t>01_A1-09</t>
    <phoneticPr fontId="9"/>
  </si>
  <si>
    <t>二次利用DB登録患者データ_レセプト</t>
    <phoneticPr fontId="12"/>
  </si>
  <si>
    <t>01_A1-10</t>
    <phoneticPr fontId="9"/>
  </si>
  <si>
    <t>二次利用DB登録患者データ_MML</t>
    <phoneticPr fontId="12"/>
  </si>
  <si>
    <t>01_A1-11</t>
    <phoneticPr fontId="9"/>
  </si>
  <si>
    <t>二次利用DB登録患者紐付けデータ</t>
    <phoneticPr fontId="12"/>
  </si>
  <si>
    <t>01_A1-13</t>
    <phoneticPr fontId="9"/>
  </si>
  <si>
    <t>エラー患者データ</t>
    <phoneticPr fontId="12"/>
  </si>
  <si>
    <t>01_A1-14</t>
    <phoneticPr fontId="9"/>
  </si>
  <si>
    <t>患者基本データ</t>
    <phoneticPr fontId="12"/>
  </si>
  <si>
    <t>01_A3-02</t>
    <phoneticPr fontId="9"/>
  </si>
  <si>
    <t>施設属性マスタ取込用</t>
    <rPh sb="0" eb="2">
      <t>シセツ</t>
    </rPh>
    <rPh sb="2" eb="4">
      <t>ゾクセイ</t>
    </rPh>
    <rPh sb="7" eb="9">
      <t>トリコミ</t>
    </rPh>
    <rPh sb="9" eb="10">
      <t>ヨウ</t>
    </rPh>
    <phoneticPr fontId="12"/>
  </si>
  <si>
    <t>01_A3-03</t>
    <phoneticPr fontId="9"/>
  </si>
  <si>
    <t>二次医療圏マスタ取込用</t>
    <rPh sb="0" eb="2">
      <t>ニジ</t>
    </rPh>
    <rPh sb="2" eb="4">
      <t>イリョウ</t>
    </rPh>
    <rPh sb="4" eb="5">
      <t>ケン</t>
    </rPh>
    <rPh sb="8" eb="10">
      <t>トリコミ</t>
    </rPh>
    <rPh sb="10" eb="11">
      <t>ヨウ</t>
    </rPh>
    <phoneticPr fontId="12"/>
  </si>
  <si>
    <t>01_A3-04</t>
    <phoneticPr fontId="9"/>
  </si>
  <si>
    <t>新旧医薬品コードマスタ取込用</t>
    <rPh sb="0" eb="2">
      <t>シンキュウ</t>
    </rPh>
    <rPh sb="2" eb="5">
      <t>イヤクヒン</t>
    </rPh>
    <rPh sb="11" eb="13">
      <t>トリコミ</t>
    </rPh>
    <rPh sb="13" eb="14">
      <t>ヨウ</t>
    </rPh>
    <phoneticPr fontId="12"/>
  </si>
  <si>
    <t>01_A3-05</t>
    <phoneticPr fontId="9"/>
  </si>
  <si>
    <t>DPC6ICD10対応表マスタ取込用</t>
    <rPh sb="9" eb="11">
      <t>タイオウ</t>
    </rPh>
    <rPh sb="11" eb="12">
      <t>ヒョウ</t>
    </rPh>
    <rPh sb="15" eb="17">
      <t>トリコミ</t>
    </rPh>
    <rPh sb="17" eb="18">
      <t>ヨウ</t>
    </rPh>
    <phoneticPr fontId="12"/>
  </si>
  <si>
    <t>01_A3-06</t>
    <phoneticPr fontId="9"/>
  </si>
  <si>
    <t>修飾語マスタ取込用</t>
    <rPh sb="0" eb="3">
      <t>シュウショクゴ</t>
    </rPh>
    <rPh sb="6" eb="8">
      <t>トリコミ</t>
    </rPh>
    <rPh sb="8" eb="9">
      <t>ヨウ</t>
    </rPh>
    <phoneticPr fontId="12"/>
  </si>
  <si>
    <t>01_A3-07</t>
    <phoneticPr fontId="9"/>
  </si>
  <si>
    <t>コメントマスタ取込用</t>
    <rPh sb="7" eb="9">
      <t>トリコミ</t>
    </rPh>
    <rPh sb="9" eb="10">
      <t>ヨウ</t>
    </rPh>
    <phoneticPr fontId="12"/>
  </si>
  <si>
    <t>01_A3-08</t>
    <phoneticPr fontId="9"/>
  </si>
  <si>
    <t>成分量マスタ取込用</t>
    <rPh sb="0" eb="2">
      <t>セイブン</t>
    </rPh>
    <rPh sb="2" eb="3">
      <t>リョウ</t>
    </rPh>
    <rPh sb="6" eb="8">
      <t>トリコミ</t>
    </rPh>
    <rPh sb="8" eb="9">
      <t>ヨウ</t>
    </rPh>
    <phoneticPr fontId="12"/>
  </si>
  <si>
    <t>01_A3-09</t>
    <phoneticPr fontId="9"/>
  </si>
  <si>
    <t>成分名マスタ取込用</t>
    <phoneticPr fontId="12"/>
  </si>
  <si>
    <t>01_A3-10</t>
    <phoneticPr fontId="9"/>
  </si>
  <si>
    <t>単位マスタ取込用</t>
    <phoneticPr fontId="12"/>
  </si>
  <si>
    <t>01_A3-11</t>
    <phoneticPr fontId="9"/>
  </si>
  <si>
    <t>適応病名レセ病名組み合わせ関係リンクマスタ取込用</t>
    <phoneticPr fontId="12"/>
  </si>
  <si>
    <t>01_A3-12</t>
    <phoneticPr fontId="9"/>
  </si>
  <si>
    <t>適応病名レセ病名組み合わせ関係リンク親子マスタ取込用</t>
    <phoneticPr fontId="12"/>
  </si>
  <si>
    <t>01_A3-13</t>
    <phoneticPr fontId="9"/>
  </si>
  <si>
    <t>適用病名マスタ取込用</t>
    <phoneticPr fontId="12"/>
  </si>
  <si>
    <t>01_A3-14</t>
    <phoneticPr fontId="9"/>
  </si>
  <si>
    <t>ＹＪコード医薬品コードリンクマスタ取込用</t>
    <phoneticPr fontId="12"/>
  </si>
  <si>
    <t>01_A3-15</t>
    <phoneticPr fontId="9"/>
  </si>
  <si>
    <t>診療行為付加情報マスタ取込用</t>
    <phoneticPr fontId="12"/>
  </si>
  <si>
    <t>01_A3-16</t>
    <phoneticPr fontId="9"/>
  </si>
  <si>
    <t>処理対象施設マスタ</t>
    <phoneticPr fontId="12"/>
  </si>
  <si>
    <t>01_A3-17</t>
    <phoneticPr fontId="9"/>
  </si>
  <si>
    <t>処理対象施設マスタ管理</t>
    <phoneticPr fontId="12"/>
  </si>
  <si>
    <t>01_A3-18</t>
    <phoneticPr fontId="9"/>
  </si>
  <si>
    <t>医薬品マスタ</t>
    <phoneticPr fontId="12"/>
  </si>
  <si>
    <t>01_A3-19</t>
    <phoneticPr fontId="9"/>
  </si>
  <si>
    <t>医薬品ブランドマスタ</t>
    <phoneticPr fontId="12"/>
  </si>
  <si>
    <t>01_A3-20</t>
    <phoneticPr fontId="9"/>
  </si>
  <si>
    <t>医薬品一般名マスタ</t>
    <phoneticPr fontId="12"/>
  </si>
  <si>
    <t>01_A3-21</t>
    <phoneticPr fontId="9"/>
  </si>
  <si>
    <t>医薬品販売会社マスタ</t>
    <phoneticPr fontId="12"/>
  </si>
  <si>
    <t>01_A3-22</t>
    <phoneticPr fontId="9"/>
  </si>
  <si>
    <t>メーカマスタ</t>
    <phoneticPr fontId="12"/>
  </si>
  <si>
    <t>01_A3-23</t>
    <phoneticPr fontId="9"/>
  </si>
  <si>
    <t>薬価マスタ</t>
    <phoneticPr fontId="12"/>
  </si>
  <si>
    <t>01_A3-24</t>
    <phoneticPr fontId="9"/>
  </si>
  <si>
    <t>薬効ATC分類1マスタ</t>
    <phoneticPr fontId="12"/>
  </si>
  <si>
    <t>01_A3-25</t>
    <phoneticPr fontId="9"/>
  </si>
  <si>
    <t>薬効ATC分類2マスタ</t>
    <phoneticPr fontId="12"/>
  </si>
  <si>
    <t>01_A3-26</t>
    <phoneticPr fontId="9"/>
  </si>
  <si>
    <t>薬効ATC分類3マスタ</t>
    <phoneticPr fontId="12"/>
  </si>
  <si>
    <t>01_A3-27</t>
    <phoneticPr fontId="9"/>
  </si>
  <si>
    <t>薬効ATC分類4マスタ</t>
    <phoneticPr fontId="12"/>
  </si>
  <si>
    <t>01_A3-28</t>
    <phoneticPr fontId="9"/>
  </si>
  <si>
    <t>薬効ATC分類5マスタ</t>
    <phoneticPr fontId="12"/>
  </si>
  <si>
    <t>01_A3-29</t>
    <phoneticPr fontId="9"/>
  </si>
  <si>
    <t>疾病マスタ</t>
    <phoneticPr fontId="12"/>
  </si>
  <si>
    <t>01_A3-30</t>
    <phoneticPr fontId="9"/>
  </si>
  <si>
    <t>ICD10大分類マスタ</t>
    <phoneticPr fontId="12"/>
  </si>
  <si>
    <t>01_A3-31</t>
    <phoneticPr fontId="9"/>
  </si>
  <si>
    <t>ICD10中分類マスタ</t>
    <phoneticPr fontId="12"/>
  </si>
  <si>
    <t>01_A3-32</t>
    <phoneticPr fontId="9"/>
  </si>
  <si>
    <t>ICD10小分類マスタ</t>
    <phoneticPr fontId="12"/>
  </si>
  <si>
    <t>01_A3-33</t>
    <phoneticPr fontId="9"/>
  </si>
  <si>
    <t>ICD10細分類マスタ</t>
    <phoneticPr fontId="12"/>
  </si>
  <si>
    <t>01_A3-34</t>
    <phoneticPr fontId="9"/>
  </si>
  <si>
    <t>DPC2桁マスタ</t>
    <phoneticPr fontId="12"/>
  </si>
  <si>
    <t>01_A3-35</t>
    <phoneticPr fontId="9"/>
  </si>
  <si>
    <t>DPC6桁マスタ</t>
    <phoneticPr fontId="12"/>
  </si>
  <si>
    <t>01_A3-36</t>
    <phoneticPr fontId="9"/>
  </si>
  <si>
    <t>郵便番号マスタ</t>
    <phoneticPr fontId="12"/>
  </si>
  <si>
    <t>01_A3-37</t>
    <phoneticPr fontId="9"/>
  </si>
  <si>
    <t>特定機材マスタ</t>
    <phoneticPr fontId="12"/>
  </si>
  <si>
    <t>01_A4-01</t>
    <phoneticPr fontId="9"/>
  </si>
  <si>
    <t>年度マスタ</t>
    <phoneticPr fontId="12"/>
  </si>
  <si>
    <t>01_A4-02</t>
    <phoneticPr fontId="9"/>
  </si>
  <si>
    <t>都道府県地方コードマスタ</t>
    <phoneticPr fontId="12"/>
  </si>
  <si>
    <t>01_A4-03</t>
    <phoneticPr fontId="9"/>
  </si>
  <si>
    <t>施設属性マスタ</t>
    <phoneticPr fontId="12"/>
  </si>
  <si>
    <t>01_A4-04</t>
    <phoneticPr fontId="9"/>
  </si>
  <si>
    <t>二次医療圏マスタ</t>
    <phoneticPr fontId="12"/>
  </si>
  <si>
    <t>01_A4-05</t>
    <phoneticPr fontId="9"/>
  </si>
  <si>
    <t>施設ID対応マスタ</t>
    <phoneticPr fontId="12"/>
  </si>
  <si>
    <t>01_A4-07</t>
    <phoneticPr fontId="9"/>
  </si>
  <si>
    <t>医薬品関連マスタ</t>
    <phoneticPr fontId="12"/>
  </si>
  <si>
    <t>01_A4-08</t>
    <phoneticPr fontId="9"/>
  </si>
  <si>
    <t>薬価関連マスタ</t>
    <phoneticPr fontId="12"/>
  </si>
  <si>
    <t>01_A4-09</t>
    <phoneticPr fontId="9"/>
  </si>
  <si>
    <t>診療行為関連マスタ</t>
    <phoneticPr fontId="12"/>
  </si>
  <si>
    <t>01_A4-10</t>
    <phoneticPr fontId="9"/>
  </si>
  <si>
    <t>特定器材関連マスタ</t>
    <phoneticPr fontId="12"/>
  </si>
  <si>
    <t>01_A4-11</t>
    <phoneticPr fontId="9"/>
  </si>
  <si>
    <t>DPC関連マスタ</t>
    <phoneticPr fontId="12"/>
  </si>
  <si>
    <t>01_A4-12</t>
    <phoneticPr fontId="9"/>
  </si>
  <si>
    <t>疾患関連マスタ</t>
    <phoneticPr fontId="12"/>
  </si>
  <si>
    <t>01_A4-13</t>
    <phoneticPr fontId="9"/>
  </si>
  <si>
    <t>医薬品成分関連マスタ</t>
    <phoneticPr fontId="12"/>
  </si>
  <si>
    <t>01_A4-14</t>
    <phoneticPr fontId="9"/>
  </si>
  <si>
    <t>医薬品適用病名関連マスタ</t>
    <phoneticPr fontId="12"/>
  </si>
  <si>
    <t>01_A6-02</t>
    <phoneticPr fontId="9"/>
  </si>
  <si>
    <t>MML共通</t>
    <rPh sb="3" eb="5">
      <t>キョウツウ</t>
    </rPh>
    <phoneticPr fontId="12"/>
  </si>
  <si>
    <t>01_A6-03</t>
    <phoneticPr fontId="9"/>
  </si>
  <si>
    <t>MML_診断履歴情報モジュール_本文</t>
    <rPh sb="4" eb="6">
      <t>シンダン</t>
    </rPh>
    <rPh sb="6" eb="8">
      <t>リレキ</t>
    </rPh>
    <rPh sb="8" eb="10">
      <t>ジョウホウ</t>
    </rPh>
    <rPh sb="16" eb="18">
      <t>ホンブン</t>
    </rPh>
    <phoneticPr fontId="12"/>
  </si>
  <si>
    <t>01_A6-04</t>
    <phoneticPr fontId="9"/>
  </si>
  <si>
    <t>MML_診断履歴情報モジュール_病名</t>
    <rPh sb="4" eb="6">
      <t>シンダン</t>
    </rPh>
    <rPh sb="6" eb="8">
      <t>リレキ</t>
    </rPh>
    <rPh sb="8" eb="10">
      <t>ジョウホウ</t>
    </rPh>
    <rPh sb="16" eb="18">
      <t>ビョウメイ</t>
    </rPh>
    <phoneticPr fontId="12"/>
  </si>
  <si>
    <t>01_A6-05</t>
    <phoneticPr fontId="9"/>
  </si>
  <si>
    <t>MML_診断履歴情報モジュール_カテゴリ名</t>
    <rPh sb="4" eb="6">
      <t>シンダン</t>
    </rPh>
    <rPh sb="6" eb="8">
      <t>リレキ</t>
    </rPh>
    <rPh sb="8" eb="10">
      <t>ジョウホウ</t>
    </rPh>
    <rPh sb="20" eb="21">
      <t>メイ</t>
    </rPh>
    <phoneticPr fontId="12"/>
  </si>
  <si>
    <t>01_A6-24</t>
    <phoneticPr fontId="9"/>
  </si>
  <si>
    <t>MML_処方箋モジュール_本文</t>
    <rPh sb="4" eb="7">
      <t>ショホウセン</t>
    </rPh>
    <rPh sb="13" eb="15">
      <t>ホンブン</t>
    </rPh>
    <phoneticPr fontId="12"/>
  </si>
  <si>
    <t>01_A6-25</t>
    <phoneticPr fontId="9"/>
  </si>
  <si>
    <t>MML_処方箋モジュール_投薬</t>
    <rPh sb="4" eb="7">
      <t>ショホウセン</t>
    </rPh>
    <rPh sb="13" eb="15">
      <t>トウヤク</t>
    </rPh>
    <phoneticPr fontId="12"/>
  </si>
  <si>
    <t>01_A6-26</t>
    <phoneticPr fontId="9"/>
  </si>
  <si>
    <t>MML_処方箋モジュール_薬剤</t>
    <phoneticPr fontId="12"/>
  </si>
  <si>
    <t>01_A6-27</t>
    <phoneticPr fontId="9"/>
  </si>
  <si>
    <t>MML_注射記録モジュール_本文</t>
    <phoneticPr fontId="12"/>
  </si>
  <si>
    <t>01_A6-28</t>
    <phoneticPr fontId="9"/>
  </si>
  <si>
    <t>MML_注射記録モジュール_投薬</t>
    <phoneticPr fontId="12"/>
  </si>
  <si>
    <t>01_A6-29</t>
    <phoneticPr fontId="9"/>
  </si>
  <si>
    <t>MML_注射記録モジュール_薬剤</t>
    <phoneticPr fontId="12"/>
  </si>
  <si>
    <t>01_A6-42</t>
    <phoneticPr fontId="9"/>
  </si>
  <si>
    <t>MML_手術モジュール_手術項目</t>
    <phoneticPr fontId="12"/>
  </si>
  <si>
    <t>01_A6-43</t>
    <phoneticPr fontId="9"/>
  </si>
  <si>
    <t>MML_手術モジュール_診療科情報</t>
    <phoneticPr fontId="12"/>
  </si>
  <si>
    <t>01_A6-44</t>
    <phoneticPr fontId="9"/>
  </si>
  <si>
    <t>MML_手術モジュール_診断履歴情報</t>
    <phoneticPr fontId="12"/>
  </si>
  <si>
    <t>01_A6-45</t>
    <phoneticPr fontId="9"/>
  </si>
  <si>
    <t>MML_手術モジュール_病名</t>
    <phoneticPr fontId="12"/>
  </si>
  <si>
    <t>01_A6-46</t>
    <phoneticPr fontId="9"/>
  </si>
  <si>
    <t>MML_手術モジュール_カテゴリ名</t>
    <phoneticPr fontId="12"/>
  </si>
  <si>
    <t>01_A6-47</t>
    <phoneticPr fontId="9"/>
  </si>
  <si>
    <t>MML_手術モジュール_手術法</t>
    <phoneticPr fontId="12"/>
  </si>
  <si>
    <t>01_A6-48</t>
    <phoneticPr fontId="9"/>
  </si>
  <si>
    <t>MML_手術モジュール_手術要素</t>
    <phoneticPr fontId="12"/>
  </si>
  <si>
    <t>01_A6-49</t>
    <phoneticPr fontId="9"/>
  </si>
  <si>
    <t>MML_手術モジュール_麻酔法</t>
    <phoneticPr fontId="12"/>
  </si>
  <si>
    <t>01_A6-50</t>
    <phoneticPr fontId="9"/>
  </si>
  <si>
    <t>MML_報告書情報モジュール_本文</t>
    <phoneticPr fontId="12"/>
  </si>
  <si>
    <t>01_A6-51</t>
    <phoneticPr fontId="9"/>
  </si>
  <si>
    <t>MML_報告書情報モジュール_検査コメント</t>
    <phoneticPr fontId="12"/>
  </si>
  <si>
    <t>01_A6-52</t>
    <phoneticPr fontId="9"/>
  </si>
  <si>
    <t>MML_生活習慣情報モジュール_本文</t>
    <phoneticPr fontId="12"/>
  </si>
  <si>
    <t>01_A6-53</t>
    <phoneticPr fontId="9"/>
  </si>
  <si>
    <t>MML_紹介状モジュール_本文</t>
    <phoneticPr fontId="12"/>
  </si>
  <si>
    <t>01_A6-54</t>
    <phoneticPr fontId="9"/>
  </si>
  <si>
    <t>MML_紹介状モジュール_注射記録</t>
    <phoneticPr fontId="12"/>
  </si>
  <si>
    <t>01_A6-55</t>
    <phoneticPr fontId="9"/>
  </si>
  <si>
    <t>MML_紹介状モジュール_注射記録投薬</t>
    <phoneticPr fontId="12"/>
  </si>
  <si>
    <t>01_A6-56</t>
    <phoneticPr fontId="9"/>
  </si>
  <si>
    <t>MML_紹介状モジュール_注射記録薬剤</t>
    <phoneticPr fontId="12"/>
  </si>
  <si>
    <t>01_A6-57</t>
    <phoneticPr fontId="9"/>
  </si>
  <si>
    <t>MML_紹介状モジュール_患者情報</t>
    <phoneticPr fontId="12"/>
  </si>
  <si>
    <t>01_A6-58</t>
    <phoneticPr fontId="9"/>
  </si>
  <si>
    <t>MML_紹介状モジュール_患者情報住所</t>
    <phoneticPr fontId="12"/>
  </si>
  <si>
    <t>01_A6-59</t>
    <phoneticPr fontId="9"/>
  </si>
  <si>
    <t>MML_紹介状モジュール_処方箋</t>
    <phoneticPr fontId="12"/>
  </si>
  <si>
    <t>01_A6-60</t>
    <phoneticPr fontId="9"/>
  </si>
  <si>
    <t>MML_紹介状モジュール_処方箋投薬</t>
    <phoneticPr fontId="12"/>
  </si>
  <si>
    <t>01_A6-61</t>
    <phoneticPr fontId="9"/>
  </si>
  <si>
    <t>MML_紹介状モジュール_処方箋薬剤</t>
    <phoneticPr fontId="12"/>
  </si>
  <si>
    <t>01_A6-62</t>
    <phoneticPr fontId="9"/>
  </si>
  <si>
    <t>MML_紹介状モジュール_臨床サマリー情報経過記録</t>
    <phoneticPr fontId="12"/>
  </si>
  <si>
    <t>01_A6-63</t>
    <phoneticPr fontId="9"/>
  </si>
  <si>
    <t>MML_紹介状モジュール_診療科情報</t>
    <phoneticPr fontId="12"/>
  </si>
  <si>
    <t>最新施設情報ビュー</t>
    <rPh sb="0" eb="4">
      <t>サイシンシセツ</t>
    </rPh>
    <rPh sb="4" eb="6">
      <t>ジョウホウ</t>
    </rPh>
    <phoneticPr fontId="9"/>
  </si>
  <si>
    <t>最新施設情報ビュー</t>
    <rPh sb="0" eb="6">
      <t>サイシンシセツジョウホウ</t>
    </rPh>
    <phoneticPr fontId="9"/>
  </si>
  <si>
    <t>組入れ_対象施設</t>
    <rPh sb="4" eb="6">
      <t>タイショウ</t>
    </rPh>
    <rPh sb="6" eb="8">
      <t>シセツ</t>
    </rPh>
    <phoneticPr fontId="9"/>
  </si>
  <si>
    <t>※フィージビリティ調査対象施設
＋名古屋第一という条件で再抽出する必要がある</t>
    <rPh sb="25" eb="27">
      <t>ジョウケン</t>
    </rPh>
    <rPh sb="28" eb="31">
      <t>サイチュウシュツ</t>
    </rPh>
    <rPh sb="33" eb="35">
      <t>ヒツヨウ</t>
    </rPh>
    <phoneticPr fontId="9"/>
  </si>
  <si>
    <t>組入れ_対象処方</t>
    <rPh sb="4" eb="6">
      <t>タイショウ</t>
    </rPh>
    <rPh sb="6" eb="8">
      <t>ショホウ</t>
    </rPh>
    <phoneticPr fontId="9"/>
  </si>
  <si>
    <t>11_04</t>
    <phoneticPr fontId="9"/>
  </si>
  <si>
    <t>ENT_01_01</t>
    <phoneticPr fontId="9"/>
  </si>
  <si>
    <t>ENT_01_02</t>
    <phoneticPr fontId="9"/>
  </si>
  <si>
    <t>バックアップ_患者マスタ_組入れ第一条件</t>
    <rPh sb="7" eb="9">
      <t>カンジャ</t>
    </rPh>
    <phoneticPr fontId="9"/>
  </si>
  <si>
    <t>バックアップ_処方データ_組入れ第一条件</t>
    <phoneticPr fontId="9"/>
  </si>
  <si>
    <t>バックアップ_患者マスタ_組入れ第一条件</t>
    <phoneticPr fontId="9"/>
  </si>
  <si>
    <t>薬剤マスタ</t>
    <rPh sb="0" eb="2">
      <t>ヤクザイ</t>
    </rPh>
    <phoneticPr fontId="9"/>
  </si>
  <si>
    <t>ベース_診断履歴情報モジュール_診断履歴情報レコード</t>
    <phoneticPr fontId="9"/>
  </si>
  <si>
    <t>ベース_診断履歴情報モジュール_診断病名レコード</t>
    <phoneticPr fontId="9"/>
  </si>
  <si>
    <t>ベース_経過記録情報モジュール_経過記録情報レコード</t>
    <phoneticPr fontId="9"/>
  </si>
  <si>
    <t>ベース_経過記録情報モジュール_プロブレムレコード</t>
    <phoneticPr fontId="9"/>
  </si>
  <si>
    <t>ベース_経過記録情報モジュール_身体所見レコード</t>
    <phoneticPr fontId="9"/>
  </si>
  <si>
    <t>ベース_経過記録情報モジュール_アセスメントレコード</t>
    <phoneticPr fontId="9"/>
  </si>
  <si>
    <t>ベース_経過記録情報モジュール_外部参照レコード</t>
    <phoneticPr fontId="9"/>
  </si>
  <si>
    <t>ベース_臨床サマリーモジュール_臨床サマリー情報レコード</t>
    <phoneticPr fontId="9"/>
  </si>
  <si>
    <t>ベース_臨床サマリーモジュール_外来受診レコード</t>
    <phoneticPr fontId="9"/>
  </si>
  <si>
    <t>ベース_臨床サマリーモジュール_入院レコード</t>
    <phoneticPr fontId="9"/>
  </si>
  <si>
    <t>ベース_臨床サマリーモジュール_経過記録レコード</t>
    <phoneticPr fontId="9"/>
  </si>
  <si>
    <t>ベース_臨床サマリーモジュール_検査結果レコード</t>
    <phoneticPr fontId="9"/>
  </si>
  <si>
    <t>ベース_検歴情報モジュール_検歴情報</t>
    <phoneticPr fontId="9"/>
  </si>
  <si>
    <t>ベース_検歴情報モジュール_検歴検体材料</t>
    <phoneticPr fontId="9"/>
  </si>
  <si>
    <t>ベース_検歴情報モジュール_検歴項目情報</t>
    <phoneticPr fontId="9"/>
  </si>
  <si>
    <t>ベース_処方データ</t>
    <phoneticPr fontId="9"/>
  </si>
  <si>
    <t>ベース_診療行為データ</t>
    <phoneticPr fontId="9"/>
  </si>
  <si>
    <t>ベース_入院退院データ</t>
    <phoneticPr fontId="9"/>
  </si>
  <si>
    <t>ベース_患者基本データ</t>
    <phoneticPr fontId="9"/>
  </si>
  <si>
    <t>ベース_MML共通</t>
    <phoneticPr fontId="9"/>
  </si>
  <si>
    <t>ベース_MML_診断履歴情報モジュール_本文</t>
    <phoneticPr fontId="9"/>
  </si>
  <si>
    <t>ベース_MML_診断履歴情報モジュール_病名</t>
    <phoneticPr fontId="9"/>
  </si>
  <si>
    <t>ベース_MML_処方箋モジュール_本文</t>
    <phoneticPr fontId="9"/>
  </si>
  <si>
    <t>ベース_MML_処方箋モジュール_投薬</t>
    <phoneticPr fontId="9"/>
  </si>
  <si>
    <t>ベース_MML_処方箋モジュール_薬剤</t>
    <phoneticPr fontId="9"/>
  </si>
  <si>
    <t>作業フェーズID</t>
    <phoneticPr fontId="16"/>
  </si>
  <si>
    <t>作業フェーズ名</t>
    <phoneticPr fontId="9"/>
  </si>
  <si>
    <t>エンティティID</t>
    <phoneticPr fontId="9"/>
  </si>
  <si>
    <t>ベース_処方データ</t>
    <phoneticPr fontId="9"/>
  </si>
  <si>
    <t>ベース_診療行為データ</t>
    <phoneticPr fontId="9"/>
  </si>
  <si>
    <t>ベース_入院退院データ</t>
    <phoneticPr fontId="9"/>
  </si>
  <si>
    <t>ベース_患者基本データ</t>
    <phoneticPr fontId="9"/>
  </si>
  <si>
    <t>ベース_MML共通</t>
    <phoneticPr fontId="9"/>
  </si>
  <si>
    <t>ベース_MML_診断履歴情報モジュール_本文</t>
    <phoneticPr fontId="9"/>
  </si>
  <si>
    <t>ベース_MML_診断履歴情報モジュール_病名</t>
    <phoneticPr fontId="9"/>
  </si>
  <si>
    <t>ベース_MML_処方箋モジュール_本文</t>
    <phoneticPr fontId="9"/>
  </si>
  <si>
    <t>ベース_MML_処方箋モジュール_投薬</t>
    <phoneticPr fontId="9"/>
  </si>
  <si>
    <t>ベース_MML_処方箋モジュール_薬剤</t>
    <phoneticPr fontId="9"/>
  </si>
  <si>
    <t>ベース_DPC調査データ_入院EF統合ファイル</t>
    <phoneticPr fontId="9"/>
  </si>
  <si>
    <t>ベース_DPC調査データ_外来EF統合ファイル</t>
    <phoneticPr fontId="9"/>
  </si>
  <si>
    <t>ベース_DPC調査データ_様式1</t>
    <phoneticPr fontId="9"/>
  </si>
  <si>
    <t>ベース_DPC調査データ_様式1_診断情報_併存症</t>
    <phoneticPr fontId="9"/>
  </si>
  <si>
    <t>ベース_DPC調査データ_様式1_診断情報_続発症</t>
    <phoneticPr fontId="9"/>
  </si>
  <si>
    <t>ベース_診断履歴情報モジュール_診断履歴情報レコード</t>
    <phoneticPr fontId="9"/>
  </si>
  <si>
    <t>ベース_診断履歴情報モジュール_診断病名レコード</t>
    <phoneticPr fontId="9"/>
  </si>
  <si>
    <t>ベース_経過記録情報モジュール_経過記録情報レコード</t>
    <phoneticPr fontId="9"/>
  </si>
  <si>
    <t>ベース_経過記録情報モジュール_プロブレムレコード</t>
    <phoneticPr fontId="9"/>
  </si>
  <si>
    <t>ベース_経過記録情報モジュール_身体所見レコード</t>
    <phoneticPr fontId="9"/>
  </si>
  <si>
    <t>ベース_経過記録情報モジュール_アセスメントレコード</t>
    <phoneticPr fontId="9"/>
  </si>
  <si>
    <t>ベース_経過記録情報モジュール_外部参照レコード</t>
    <phoneticPr fontId="9"/>
  </si>
  <si>
    <t>ベース_臨床サマリーモジュール_臨床サマリー情報レコード</t>
    <phoneticPr fontId="9"/>
  </si>
  <si>
    <t>ベース_臨床サマリーモジュール_外来受診レコード</t>
    <phoneticPr fontId="9"/>
  </si>
  <si>
    <t>ベース_臨床サマリーモジュール_入院レコード</t>
    <phoneticPr fontId="9"/>
  </si>
  <si>
    <t>ベース_臨床サマリーモジュール_経過記録レコード</t>
    <phoneticPr fontId="9"/>
  </si>
  <si>
    <t>ベース_臨床サマリーモジュール_検査結果レコード</t>
    <phoneticPr fontId="9"/>
  </si>
  <si>
    <t>ベース_検歴情報モジュール_検歴情報</t>
    <phoneticPr fontId="9"/>
  </si>
  <si>
    <t>ベース_検歴情報モジュール_検歴検体材料</t>
    <phoneticPr fontId="9"/>
  </si>
  <si>
    <t>ベース_検歴情報モジュール_検歴項目情報</t>
    <phoneticPr fontId="9"/>
  </si>
  <si>
    <t>患者ID一覧マスタ</t>
    <rPh sb="0" eb="2">
      <t>カンジャ</t>
    </rPh>
    <rPh sb="4" eb="6">
      <t>イチラン</t>
    </rPh>
    <phoneticPr fontId="9"/>
  </si>
  <si>
    <t>31_C1-02</t>
  </si>
  <si>
    <t>31_C1-03</t>
  </si>
  <si>
    <t>31_C1-05</t>
  </si>
  <si>
    <t>31_C1-07</t>
  </si>
  <si>
    <t>31_C1-08</t>
  </si>
  <si>
    <t>患者ID一覧マスタ</t>
    <phoneticPr fontId="12"/>
  </si>
  <si>
    <t>バックアップ_処方データ</t>
    <phoneticPr fontId="9"/>
  </si>
  <si>
    <t>31_A1-02</t>
    <phoneticPr fontId="9"/>
  </si>
  <si>
    <t>バックアップ_診療行為データ</t>
    <phoneticPr fontId="9"/>
  </si>
  <si>
    <t>31_A1-03</t>
    <phoneticPr fontId="9"/>
  </si>
  <si>
    <t>31_A1-06</t>
    <phoneticPr fontId="9"/>
  </si>
  <si>
    <t>バックアップ_入院退院データ</t>
    <phoneticPr fontId="9"/>
  </si>
  <si>
    <t>31_A1-14</t>
    <phoneticPr fontId="9"/>
  </si>
  <si>
    <t>バックアップ_患者基本データ</t>
    <phoneticPr fontId="9"/>
  </si>
  <si>
    <t>バックアップ_MML共通</t>
    <phoneticPr fontId="9"/>
  </si>
  <si>
    <t>31_A6-02</t>
    <phoneticPr fontId="9"/>
  </si>
  <si>
    <t>バックアップ_MML_診断履歴情報モジュール_本文</t>
    <phoneticPr fontId="9"/>
  </si>
  <si>
    <t>31_A6-03</t>
    <phoneticPr fontId="9"/>
  </si>
  <si>
    <t>31_A6-04</t>
    <phoneticPr fontId="9"/>
  </si>
  <si>
    <t>バックアップ_MML_診断履歴情報モジュール_病名</t>
    <phoneticPr fontId="9"/>
  </si>
  <si>
    <t>31_A6-24</t>
    <phoneticPr fontId="9"/>
  </si>
  <si>
    <t>バックアップ_MML_処方箋モジュール_本文</t>
    <phoneticPr fontId="9"/>
  </si>
  <si>
    <t>31_A6-25</t>
    <phoneticPr fontId="9"/>
  </si>
  <si>
    <t>バックアップ_MML_処方箋モジュール_投薬</t>
    <phoneticPr fontId="9"/>
  </si>
  <si>
    <t>31_A6-26</t>
    <phoneticPr fontId="9"/>
  </si>
  <si>
    <t>バックアップ_MML_処方箋モジュール_薬剤</t>
    <rPh sb="20" eb="22">
      <t>ヤクザイ</t>
    </rPh>
    <phoneticPr fontId="9"/>
  </si>
  <si>
    <t>31_C4-04</t>
    <phoneticPr fontId="9"/>
  </si>
  <si>
    <t>31_C4-03</t>
    <phoneticPr fontId="9"/>
  </si>
  <si>
    <t>バックアップ_診断履歴情報モジュール_診断履歴情報レコード</t>
    <rPh sb="7" eb="9">
      <t>シンダン</t>
    </rPh>
    <rPh sb="9" eb="11">
      <t>リレキ</t>
    </rPh>
    <rPh sb="11" eb="13">
      <t>ジョウホウ</t>
    </rPh>
    <rPh sb="19" eb="21">
      <t>シンダン</t>
    </rPh>
    <rPh sb="21" eb="23">
      <t>リレキ</t>
    </rPh>
    <rPh sb="23" eb="25">
      <t>ジョウホウ</t>
    </rPh>
    <phoneticPr fontId="9"/>
  </si>
  <si>
    <t>バックアップ_診断履歴情報モジュール_診断病名レコード</t>
    <phoneticPr fontId="9"/>
  </si>
  <si>
    <t>バックアップ_経過記録情報モジュール_経過記録情報レコード</t>
    <phoneticPr fontId="9"/>
  </si>
  <si>
    <t>31_C4-06</t>
    <phoneticPr fontId="9"/>
  </si>
  <si>
    <t>31_C4-07</t>
    <phoneticPr fontId="9"/>
  </si>
  <si>
    <t>バックアップ_経過記録情報モジュール_プロブレムレコード</t>
    <phoneticPr fontId="9"/>
  </si>
  <si>
    <t>31_C4-08</t>
    <phoneticPr fontId="9"/>
  </si>
  <si>
    <t>バックアップ_経過記録情報モジュール_身体所見レコード</t>
    <phoneticPr fontId="9"/>
  </si>
  <si>
    <t>31_C4-15</t>
    <phoneticPr fontId="9"/>
  </si>
  <si>
    <t>バックアップ_経過記録情報モジュール_アセスメントレコード</t>
    <phoneticPr fontId="9"/>
  </si>
  <si>
    <t>31_C4-22</t>
    <phoneticPr fontId="9"/>
  </si>
  <si>
    <t>バックアップ_経過記録情報モジュール_外部参照レコード</t>
    <phoneticPr fontId="9"/>
  </si>
  <si>
    <t>31_C4-23</t>
    <phoneticPr fontId="9"/>
  </si>
  <si>
    <t>バックアップ_臨床サマリーモジュール_臨床サマリー情報レコード</t>
    <phoneticPr fontId="9"/>
  </si>
  <si>
    <t>31_C4-24</t>
    <phoneticPr fontId="9"/>
  </si>
  <si>
    <t>31_C4-25</t>
    <phoneticPr fontId="9"/>
  </si>
  <si>
    <t>31_C4-29</t>
    <phoneticPr fontId="9"/>
  </si>
  <si>
    <t>31_C4-30</t>
    <phoneticPr fontId="9"/>
  </si>
  <si>
    <t>31_C4-31</t>
    <phoneticPr fontId="9"/>
  </si>
  <si>
    <t>31_C4-33</t>
    <phoneticPr fontId="9"/>
  </si>
  <si>
    <t>31_C4-35</t>
    <phoneticPr fontId="9"/>
  </si>
  <si>
    <t>azn_202310</t>
    <phoneticPr fontId="9"/>
  </si>
  <si>
    <t>milscm_2023_010</t>
    <phoneticPr fontId="12"/>
  </si>
  <si>
    <t>組入れ_対象施設</t>
    <phoneticPr fontId="9"/>
  </si>
  <si>
    <t>組入れ_対象処方</t>
    <rPh sb="6" eb="8">
      <t>ショホウ</t>
    </rPh>
    <phoneticPr fontId="9"/>
  </si>
  <si>
    <t>バックアップ_処方データ_組入れ第一条件</t>
  </si>
  <si>
    <t>施設別の患者数の集計結果を取得する。　※フィージビリティ調査対象施設+名古屋第一が対象となっていて、事前調査時点の862名と比較して同程度であるか確認する。</t>
    <rPh sb="0" eb="3">
      <t>シセツベツ</t>
    </rPh>
    <rPh sb="4" eb="7">
      <t>カンジャスウ</t>
    </rPh>
    <rPh sb="8" eb="12">
      <t>シュウケイケッカ</t>
    </rPh>
    <rPh sb="13" eb="15">
      <t>シュトク</t>
    </rPh>
    <rPh sb="28" eb="30">
      <t>チョウサ</t>
    </rPh>
    <rPh sb="30" eb="32">
      <t>タイショウ</t>
    </rPh>
    <rPh sb="32" eb="34">
      <t>シセツ</t>
    </rPh>
    <rPh sb="35" eb="38">
      <t>ナゴヤ</t>
    </rPh>
    <rPh sb="38" eb="40">
      <t>ダイイチ</t>
    </rPh>
    <rPh sb="41" eb="43">
      <t>タイショウ</t>
    </rPh>
    <rPh sb="50" eb="52">
      <t>ジゼン</t>
    </rPh>
    <rPh sb="52" eb="54">
      <t>チョウサ</t>
    </rPh>
    <rPh sb="54" eb="56">
      <t>ジテン</t>
    </rPh>
    <rPh sb="60" eb="61">
      <t>メイ</t>
    </rPh>
    <rPh sb="62" eb="64">
      <t>ヒカク</t>
    </rPh>
    <rPh sb="66" eb="69">
      <t>ドウテイド</t>
    </rPh>
    <rPh sb="73" eb="75">
      <t>カクニン</t>
    </rPh>
    <phoneticPr fontId="9"/>
  </si>
  <si>
    <t>文字列</t>
    <rPh sb="0" eb="3">
      <t>モジレツ</t>
    </rPh>
    <phoneticPr fontId="31"/>
  </si>
  <si>
    <t>文字列</t>
    <rPh sb="0" eb="3">
      <t>モジレツ</t>
    </rPh>
    <phoneticPr fontId="12"/>
  </si>
  <si>
    <t>施設名</t>
    <rPh sb="0" eb="3">
      <t>シセツメイ</t>
    </rPh>
    <phoneticPr fontId="14"/>
  </si>
  <si>
    <t>文字列</t>
    <rPh sb="0" eb="3">
      <t>モジレツ</t>
    </rPh>
    <phoneticPr fontId="7"/>
  </si>
  <si>
    <t>施設データ提供開始日</t>
    <rPh sb="0" eb="2">
      <t>シセツ</t>
    </rPh>
    <rPh sb="5" eb="7">
      <t>テイキョウ</t>
    </rPh>
    <rPh sb="7" eb="10">
      <t>カイシビ</t>
    </rPh>
    <phoneticPr fontId="19"/>
  </si>
  <si>
    <t>施設データ提供終了日</t>
    <rPh sb="0" eb="2">
      <t>シセツ</t>
    </rPh>
    <rPh sb="5" eb="7">
      <t>テイキョウ</t>
    </rPh>
    <rPh sb="7" eb="10">
      <t>シュウリョウビ</t>
    </rPh>
    <phoneticPr fontId="19"/>
  </si>
  <si>
    <t>施設規模</t>
  </si>
  <si>
    <t>ENT_01_A6-18</t>
    <phoneticPr fontId="9"/>
  </si>
  <si>
    <t>バックアップ_MML_検歴情報モジュール_本文</t>
    <phoneticPr fontId="9"/>
  </si>
  <si>
    <t>ENT_01_A6-19</t>
    <phoneticPr fontId="9"/>
  </si>
  <si>
    <t>バックアップ_MML_検歴情報モジュール_報告コメント</t>
    <phoneticPr fontId="9"/>
  </si>
  <si>
    <t>ENT_01_A6-20</t>
    <phoneticPr fontId="9"/>
  </si>
  <si>
    <t>バックアップ_MML_検歴情報モジュール_検体検査結果情報</t>
    <phoneticPr fontId="9"/>
  </si>
  <si>
    <t>ENT_01_A6-21</t>
    <phoneticPr fontId="9"/>
  </si>
  <si>
    <t>バックアップ_MML_検歴情報モジュール_検体コメント</t>
    <phoneticPr fontId="9"/>
  </si>
  <si>
    <t>ENT_01_A6-22</t>
    <phoneticPr fontId="9"/>
  </si>
  <si>
    <t>バックアップ_MML_検歴情報モジュール_検査項目</t>
    <phoneticPr fontId="9"/>
  </si>
  <si>
    <t>ENT_01_A6-23</t>
    <phoneticPr fontId="9"/>
  </si>
  <si>
    <t>バックアップ_MML_検歴情報モジュール_検査項目コメント</t>
    <phoneticPr fontId="9"/>
  </si>
  <si>
    <t>01_A6-02-01</t>
    <phoneticPr fontId="9"/>
  </si>
  <si>
    <t>バックアップ_MML共通_名古屋第一_Lb登録</t>
    <rPh sb="13" eb="18">
      <t>ナゴヤダイイチ</t>
    </rPh>
    <phoneticPr fontId="9"/>
  </si>
  <si>
    <t>01_A6-18</t>
    <phoneticPr fontId="9"/>
  </si>
  <si>
    <t>MML_検歴情報モジュール_本文</t>
    <rPh sb="4" eb="6">
      <t>ケンレキ</t>
    </rPh>
    <rPh sb="6" eb="8">
      <t>ジョウホウ</t>
    </rPh>
    <rPh sb="14" eb="16">
      <t>ホンブン</t>
    </rPh>
    <phoneticPr fontId="12"/>
  </si>
  <si>
    <t>01_A6-19</t>
    <phoneticPr fontId="9"/>
  </si>
  <si>
    <t>MML_検歴情報モジュール_報告コメント</t>
    <rPh sb="4" eb="6">
      <t>ケンレキ</t>
    </rPh>
    <rPh sb="6" eb="8">
      <t>ジョウホウ</t>
    </rPh>
    <rPh sb="14" eb="16">
      <t>ホウコク</t>
    </rPh>
    <phoneticPr fontId="12"/>
  </si>
  <si>
    <t>01_A6-20</t>
    <phoneticPr fontId="9"/>
  </si>
  <si>
    <t>MML_検歴情報モジュール_検体検査結果情報</t>
    <phoneticPr fontId="12"/>
  </si>
  <si>
    <t>01_A6-21</t>
    <phoneticPr fontId="9"/>
  </si>
  <si>
    <t>MML_検歴情報モジュール_検体コメント</t>
    <phoneticPr fontId="12"/>
  </si>
  <si>
    <t>01_A6-22</t>
    <phoneticPr fontId="9"/>
  </si>
  <si>
    <t>MML_検歴情報モジュール_検査項目</t>
    <phoneticPr fontId="12"/>
  </si>
  <si>
    <t>01_A6-23</t>
    <phoneticPr fontId="9"/>
  </si>
  <si>
    <t>MML_検歴情報モジュール_検査項目コメント</t>
    <phoneticPr fontId="12"/>
  </si>
  <si>
    <t>regist_id</t>
  </si>
  <si>
    <t>regist_time</t>
  </si>
  <si>
    <t>status_code_id</t>
  </si>
  <si>
    <t>set</t>
  </si>
  <si>
    <t>set_code</t>
  </si>
  <si>
    <t>set_code_id</t>
  </si>
  <si>
    <t>facility</t>
  </si>
  <si>
    <t>facility_code</t>
  </si>
  <si>
    <t>facility_code_id</t>
  </si>
  <si>
    <t>department</t>
  </si>
  <si>
    <t>department_code_id</t>
  </si>
  <si>
    <t>依頼者</t>
  </si>
  <si>
    <t>client</t>
  </si>
  <si>
    <t>依頼者コード</t>
  </si>
  <si>
    <t>client_code</t>
  </si>
  <si>
    <t>依頼者コードID</t>
  </si>
  <si>
    <t>client_code_id</t>
  </si>
  <si>
    <t>検査実施施設</t>
  </si>
  <si>
    <t>laboratory_center</t>
  </si>
  <si>
    <t>検査実施施設コード</t>
  </si>
  <si>
    <t>laboratory_center_code</t>
  </si>
  <si>
    <t>検査実施施設コードID</t>
  </si>
  <si>
    <t>laboratory_center_code_id</t>
  </si>
  <si>
    <t>検査実施者</t>
  </si>
  <si>
    <t>technician</t>
  </si>
  <si>
    <t>検査実施者コード</t>
  </si>
  <si>
    <t>technician_code</t>
  </si>
  <si>
    <t>検査実施者コードID</t>
  </si>
  <si>
    <t>technician_code_id</t>
  </si>
  <si>
    <t>rep_memo</t>
  </si>
  <si>
    <t>メモNo</t>
  </si>
  <si>
    <t>memo_no</t>
  </si>
  <si>
    <t>報告コメント</t>
  </si>
  <si>
    <t>報告コメントコード名</t>
    <rPh sb="9" eb="10">
      <t>メイ</t>
    </rPh>
    <phoneticPr fontId="12"/>
  </si>
  <si>
    <t>rep_code_name</t>
  </si>
  <si>
    <t>報告コメントコード</t>
  </si>
  <si>
    <t>報告コメントコードID</t>
  </si>
  <si>
    <t>rep_code_id</t>
  </si>
  <si>
    <t>検体検査結果情報No</t>
  </si>
  <si>
    <t>labo_test_no</t>
  </si>
  <si>
    <t>検体材料コードID</t>
  </si>
  <si>
    <t>spc_memo_f</t>
  </si>
  <si>
    <t>検体コメントNo</t>
  </si>
  <si>
    <t>spc_memo_no</t>
  </si>
  <si>
    <t>検体コメント</t>
  </si>
  <si>
    <t>spc_memo</t>
  </si>
  <si>
    <t>検体コメントコード名</t>
    <rPh sb="9" eb="10">
      <t>メイ</t>
    </rPh>
    <phoneticPr fontId="12"/>
  </si>
  <si>
    <t>sm_code_name</t>
  </si>
  <si>
    <t>検体コメントコード</t>
  </si>
  <si>
    <t>sm_code</t>
  </si>
  <si>
    <t>検体コメントコードID</t>
  </si>
  <si>
    <t>sm_code_id</t>
  </si>
  <si>
    <t>項目No</t>
    <rPh sb="0" eb="2">
      <t>コウモク</t>
    </rPh>
    <phoneticPr fontId="13"/>
  </si>
  <si>
    <t>item_no</t>
  </si>
  <si>
    <t>検査名</t>
  </si>
  <si>
    <t>検査名_施設固有コード</t>
  </si>
  <si>
    <t>item_code</t>
  </si>
  <si>
    <t>検査名_施設固有コードID</t>
  </si>
  <si>
    <t>item_code_id</t>
  </si>
  <si>
    <t>検査名_分析物コード</t>
  </si>
  <si>
    <t>a_code</t>
  </si>
  <si>
    <t>検査名_識別コード</t>
  </si>
  <si>
    <t>i_code</t>
  </si>
  <si>
    <t>検査名_材料コード</t>
  </si>
  <si>
    <t>s_code</t>
  </si>
  <si>
    <t>検査名_測定法コード</t>
  </si>
  <si>
    <t>m_code</t>
  </si>
  <si>
    <t>検査名_結果識別コード</t>
  </si>
  <si>
    <t>r_code</t>
  </si>
  <si>
    <t>検査値（文字列）</t>
    <rPh sb="0" eb="3">
      <t>ケンサチ</t>
    </rPh>
    <rPh sb="4" eb="7">
      <t>モジレツ</t>
    </rPh>
    <phoneticPr fontId="12"/>
  </si>
  <si>
    <t>検査値（文字列）_上限値</t>
    <rPh sb="0" eb="3">
      <t>ケンサチ</t>
    </rPh>
    <rPh sb="4" eb="7">
      <t>モジレツ</t>
    </rPh>
    <rPh sb="9" eb="12">
      <t>ジョウゲンチ</t>
    </rPh>
    <phoneticPr fontId="12"/>
  </si>
  <si>
    <t>value_up</t>
  </si>
  <si>
    <t>検査値（文字列）_下限値</t>
    <rPh sb="0" eb="3">
      <t>ケンサチ</t>
    </rPh>
    <rPh sb="4" eb="7">
      <t>モジレツ</t>
    </rPh>
    <rPh sb="9" eb="12">
      <t>カゲンチ</t>
    </rPh>
    <phoneticPr fontId="12"/>
  </si>
  <si>
    <t>value_low</t>
  </si>
  <si>
    <t>検査値（文字列）_基準値</t>
    <rPh sb="0" eb="3">
      <t>ケンサチ</t>
    </rPh>
    <rPh sb="4" eb="7">
      <t>モジレツ</t>
    </rPh>
    <rPh sb="9" eb="12">
      <t>キジュンチ</t>
    </rPh>
    <phoneticPr fontId="12"/>
  </si>
  <si>
    <t>value_normal</t>
  </si>
  <si>
    <t>検査値（文字列）_異常値フラグ</t>
    <rPh sb="0" eb="3">
      <t>ケンサチ</t>
    </rPh>
    <rPh sb="4" eb="7">
      <t>モジレツ</t>
    </rPh>
    <rPh sb="9" eb="12">
      <t>イジョウチ</t>
    </rPh>
    <phoneticPr fontId="12"/>
  </si>
  <si>
    <t>value_out</t>
  </si>
  <si>
    <t>検査値（数値）</t>
    <rPh sb="0" eb="3">
      <t>ケンサチ</t>
    </rPh>
    <phoneticPr fontId="12"/>
  </si>
  <si>
    <t>検査値（数値）_上限値</t>
    <rPh sb="0" eb="3">
      <t>ケンサチ</t>
    </rPh>
    <rPh sb="8" eb="11">
      <t>ジョウゲンチ</t>
    </rPh>
    <phoneticPr fontId="12"/>
  </si>
  <si>
    <t>num_value_up</t>
  </si>
  <si>
    <t>検査値（数値）_下限値</t>
    <rPh sb="0" eb="3">
      <t>ケンサチ</t>
    </rPh>
    <rPh sb="8" eb="11">
      <t>カゲンチ</t>
    </rPh>
    <phoneticPr fontId="12"/>
  </si>
  <si>
    <t>num_value_low</t>
  </si>
  <si>
    <t>検査値（数値）_基準値</t>
    <rPh sb="0" eb="3">
      <t>ケンサチ</t>
    </rPh>
    <rPh sb="8" eb="11">
      <t>キジュンチ</t>
    </rPh>
    <phoneticPr fontId="12"/>
  </si>
  <si>
    <t>num_value_normal</t>
  </si>
  <si>
    <t>検査値（数値）_異常値フラグ</t>
    <rPh sb="0" eb="3">
      <t>ケンサチ</t>
    </rPh>
    <rPh sb="8" eb="11">
      <t>イジョウチ</t>
    </rPh>
    <phoneticPr fontId="12"/>
  </si>
  <si>
    <t>num_value_out</t>
  </si>
  <si>
    <t>u_code</t>
  </si>
  <si>
    <t>u_code_id</t>
  </si>
  <si>
    <t>item_memo_f</t>
  </si>
  <si>
    <t>H：上限値超え
N：基準値範囲内
L：下限値未満
A：異常</t>
  </si>
  <si>
    <t>項目コメントNo</t>
    <rPh sb="0" eb="2">
      <t>コウモク</t>
    </rPh>
    <phoneticPr fontId="13"/>
  </si>
  <si>
    <t>item_memo_no</t>
  </si>
  <si>
    <t>項目コメント</t>
  </si>
  <si>
    <t>item_memo</t>
  </si>
  <si>
    <t>項目コメントコード名</t>
    <rPh sb="9" eb="10">
      <t>メイ</t>
    </rPh>
    <phoneticPr fontId="12"/>
  </si>
  <si>
    <t>im_code_name</t>
  </si>
  <si>
    <t>項目コメントコード</t>
  </si>
  <si>
    <t>im_code</t>
  </si>
  <si>
    <t>項目コメントコードID</t>
  </si>
  <si>
    <t>im_code_id</t>
  </si>
  <si>
    <t>31_A6-18</t>
    <phoneticPr fontId="9"/>
  </si>
  <si>
    <t>バックアップ_MML_検歴情報モジュール_本文</t>
    <phoneticPr fontId="12"/>
  </si>
  <si>
    <t>31_A6-19</t>
    <phoneticPr fontId="9"/>
  </si>
  <si>
    <t>バックアップ_MML_検歴情報モジュール_報告コメント</t>
    <phoneticPr fontId="12"/>
  </si>
  <si>
    <t>31_A6-20</t>
    <phoneticPr fontId="9"/>
  </si>
  <si>
    <t>バックアップ_MML_検歴情報モジュール_検体検査結果情報</t>
    <phoneticPr fontId="12"/>
  </si>
  <si>
    <t>31_A6-21</t>
    <phoneticPr fontId="9"/>
  </si>
  <si>
    <t>バックアップ_MML_検歴情報モジュール_検体コメント</t>
    <phoneticPr fontId="12"/>
  </si>
  <si>
    <t>31_A6-22</t>
    <phoneticPr fontId="9"/>
  </si>
  <si>
    <t>バックアップ_MML_検歴情報モジュール_検査項目</t>
    <phoneticPr fontId="12"/>
  </si>
  <si>
    <t>31_A6-23</t>
    <phoneticPr fontId="9"/>
  </si>
  <si>
    <t>バックアップ_MML_検歴情報モジュール_検査項目コメント</t>
    <phoneticPr fontId="12"/>
  </si>
  <si>
    <t>ベース_MML_検歴情報モジュール_本文</t>
    <phoneticPr fontId="9"/>
  </si>
  <si>
    <t>ベース_MML_検歴情報モジュール_報告コメント</t>
    <phoneticPr fontId="9"/>
  </si>
  <si>
    <t>ベース_MML_検歴情報モジュール_検体検査結果情報</t>
    <phoneticPr fontId="9"/>
  </si>
  <si>
    <t>ベース_MML_検歴情報モジュール_検体コメント</t>
    <phoneticPr fontId="9"/>
  </si>
  <si>
    <t>ベース_MML_検歴情報モジュール_検査項目</t>
    <phoneticPr fontId="9"/>
  </si>
  <si>
    <t>ベース_MML_検歴情報モジュール_検査項目コメント</t>
    <phoneticPr fontId="9"/>
  </si>
  <si>
    <t>ベース_MML_検歴情報モジュール_本文</t>
    <phoneticPr fontId="9"/>
  </si>
  <si>
    <t>ベース_MML_検歴情報モジュール_報告コメント</t>
    <phoneticPr fontId="9"/>
  </si>
  <si>
    <t>ベース_MML_検歴情報モジュール_検体検査結果情報</t>
    <phoneticPr fontId="9"/>
  </si>
  <si>
    <t>ベース_MML_検歴情報モジュール_検体コメント</t>
    <phoneticPr fontId="9"/>
  </si>
  <si>
    <t>ベース_MML_検歴情報モジュール_検査項目</t>
    <phoneticPr fontId="9"/>
  </si>
  <si>
    <t>ベース_MML_検歴情報モジュール_検査項目コメント</t>
    <phoneticPr fontId="9"/>
  </si>
  <si>
    <t>ENT_31_A1-02</t>
    <phoneticPr fontId="9"/>
  </si>
  <si>
    <t>ENT_31_A1-03</t>
    <phoneticPr fontId="9"/>
  </si>
  <si>
    <t>ENT_31_A1-06</t>
    <phoneticPr fontId="9"/>
  </si>
  <si>
    <t>ENT_31_A1-14</t>
    <phoneticPr fontId="9"/>
  </si>
  <si>
    <t>ENT_31_A6-02</t>
    <phoneticPr fontId="9"/>
  </si>
  <si>
    <t>ENT_31_A6-03</t>
    <phoneticPr fontId="9"/>
  </si>
  <si>
    <t>ENT_31_A6-04</t>
    <phoneticPr fontId="9"/>
  </si>
  <si>
    <t>ENT_31_A6-24</t>
    <phoneticPr fontId="9"/>
  </si>
  <si>
    <t>ENT_31_A6-25</t>
    <phoneticPr fontId="9"/>
  </si>
  <si>
    <t>ENT_31_A6-26</t>
    <phoneticPr fontId="9"/>
  </si>
  <si>
    <t>ENT_31_C1-02</t>
    <phoneticPr fontId="9"/>
  </si>
  <si>
    <t>ENT_31_C1-03</t>
    <phoneticPr fontId="9"/>
  </si>
  <si>
    <t>ENT_31_C1-05</t>
    <phoneticPr fontId="9"/>
  </si>
  <si>
    <t>ENT_31_C1-07</t>
    <phoneticPr fontId="9"/>
  </si>
  <si>
    <t>ENT_31_C1-08</t>
    <phoneticPr fontId="9"/>
  </si>
  <si>
    <t>ENT_31_C4-03</t>
    <phoneticPr fontId="9"/>
  </si>
  <si>
    <t>ENT_31_C4-04</t>
    <phoneticPr fontId="9"/>
  </si>
  <si>
    <t>ENT_31_C4-06</t>
    <phoneticPr fontId="9"/>
  </si>
  <si>
    <t>ENT_31_C4-07</t>
    <phoneticPr fontId="9"/>
  </si>
  <si>
    <t>ENT_31_C4-08</t>
    <phoneticPr fontId="9"/>
  </si>
  <si>
    <t>ENT_31_C4-15</t>
    <phoneticPr fontId="9"/>
  </si>
  <si>
    <t>ENT_31_C4-22</t>
    <phoneticPr fontId="9"/>
  </si>
  <si>
    <t>ENT_31_C4-23</t>
    <phoneticPr fontId="9"/>
  </si>
  <si>
    <t>ENT_31_C4-24</t>
    <phoneticPr fontId="9"/>
  </si>
  <si>
    <t>ENT_31_C4-25</t>
    <phoneticPr fontId="9"/>
  </si>
  <si>
    <t>ENT_31_C4-29</t>
    <phoneticPr fontId="9"/>
  </si>
  <si>
    <t>ENT_31_C4-30</t>
    <phoneticPr fontId="9"/>
  </si>
  <si>
    <t>ENT_31_C4-31</t>
    <phoneticPr fontId="9"/>
  </si>
  <si>
    <t>ENT_31_C4-33</t>
    <phoneticPr fontId="9"/>
  </si>
  <si>
    <t>ENT_31_C4-35</t>
    <phoneticPr fontId="9"/>
  </si>
  <si>
    <t>ENT_31_A6-18</t>
    <phoneticPr fontId="9"/>
  </si>
  <si>
    <t>ENT_31_A6-19</t>
    <phoneticPr fontId="9"/>
  </si>
  <si>
    <t>ENT_31_A6-20</t>
    <phoneticPr fontId="9"/>
  </si>
  <si>
    <t>ENT_31_A6-21</t>
    <phoneticPr fontId="9"/>
  </si>
  <si>
    <t>ENT_31_A6-22</t>
    <phoneticPr fontId="9"/>
  </si>
  <si>
    <t>ENT_31_A6-23</t>
    <phoneticPr fontId="9"/>
  </si>
  <si>
    <t>バックアップ_処理対象施設マスタ</t>
    <rPh sb="7" eb="9">
      <t>ショリ</t>
    </rPh>
    <rPh sb="9" eb="11">
      <t>タイショウ</t>
    </rPh>
    <rPh sb="11" eb="13">
      <t>シセツ</t>
    </rPh>
    <phoneticPr fontId="9"/>
  </si>
  <si>
    <t>11_05</t>
    <phoneticPr fontId="9"/>
  </si>
  <si>
    <t>組入れ_対象疾患</t>
    <phoneticPr fontId="9"/>
  </si>
  <si>
    <t>組入れ_対象疾患</t>
    <phoneticPr fontId="9"/>
  </si>
  <si>
    <t>MML診断履歴情報から組入れ条件の疾患情報を登録するテーブル</t>
    <phoneticPr fontId="9"/>
  </si>
  <si>
    <t>バックアップ_処理対象施設マスタ管理テーブルから組入れ条件で絞り込んだ結果を登録するテーブル</t>
    <rPh sb="38" eb="40">
      <t>トウロク</t>
    </rPh>
    <phoneticPr fontId="9"/>
  </si>
  <si>
    <t>組入れ_対象患者から患者一覧を登録するテーブル</t>
    <rPh sb="15" eb="17">
      <t>トウロク</t>
    </rPh>
    <phoneticPr fontId="9"/>
  </si>
  <si>
    <t>患者ID一覧マスタ</t>
    <phoneticPr fontId="9"/>
  </si>
  <si>
    <t>施設マスタ</t>
    <phoneticPr fontId="9"/>
  </si>
  <si>
    <t>疾患マスタ</t>
    <phoneticPr fontId="9"/>
  </si>
  <si>
    <t>薬剤マスタ</t>
    <phoneticPr fontId="9"/>
  </si>
  <si>
    <t>診療行為マスタ</t>
    <phoneticPr fontId="9"/>
  </si>
  <si>
    <t>検体検査マスタ</t>
    <phoneticPr fontId="9"/>
  </si>
  <si>
    <t>傷病名</t>
  </si>
  <si>
    <t>表示名</t>
  </si>
  <si>
    <t>ICD10小区分</t>
  </si>
  <si>
    <t>ICD10小区分名称</t>
  </si>
  <si>
    <t>ICD10細区分</t>
  </si>
  <si>
    <t>ICD10細区分名称</t>
  </si>
  <si>
    <t>主傷病フラグ</t>
    <rPh sb="0" eb="1">
      <t>オモ</t>
    </rPh>
    <rPh sb="1" eb="3">
      <t>ショウビョウ</t>
    </rPh>
    <phoneticPr fontId="9"/>
  </si>
  <si>
    <t>shobyo_name</t>
    <phoneticPr fontId="9"/>
  </si>
  <si>
    <t>disp_name</t>
    <phoneticPr fontId="9"/>
  </si>
  <si>
    <t>icd10_s_cd</t>
    <phoneticPr fontId="9"/>
  </si>
  <si>
    <t>icd10_s_name</t>
    <phoneticPr fontId="9"/>
  </si>
  <si>
    <t>icd10_ss_cd</t>
    <phoneticPr fontId="9"/>
  </si>
  <si>
    <t>icd10_ss_name</t>
    <phoneticPr fontId="9"/>
  </si>
  <si>
    <t>main_f</t>
    <phoneticPr fontId="9"/>
  </si>
  <si>
    <t>○</t>
    <phoneticPr fontId="9"/>
  </si>
  <si>
    <t>マスクID</t>
  </si>
  <si>
    <t>紐付けID</t>
  </si>
  <si>
    <t>mask_id</t>
    <phoneticPr fontId="9"/>
  </si>
  <si>
    <t>facility_id</t>
    <phoneticPr fontId="9"/>
  </si>
  <si>
    <t>facility_id_mml</t>
    <phoneticPr fontId="9"/>
  </si>
  <si>
    <t>himoduke_id</t>
    <phoneticPr fontId="9"/>
  </si>
  <si>
    <t>施設マスクID</t>
  </si>
  <si>
    <t>施設データ提供開始日</t>
  </si>
  <si>
    <t>施設データ提供終了日</t>
  </si>
  <si>
    <t>facility_mask_id</t>
    <phoneticPr fontId="9"/>
  </si>
  <si>
    <t>facility_name</t>
    <phoneticPr fontId="9"/>
  </si>
  <si>
    <t>facility_contract_start</t>
    <phoneticPr fontId="9"/>
  </si>
  <si>
    <t>facility_contract_end</t>
    <phoneticPr fontId="9"/>
  </si>
  <si>
    <t>size</t>
    <phoneticPr fontId="9"/>
  </si>
  <si>
    <t>データ種別</t>
  </si>
  <si>
    <t>data_type</t>
    <phoneticPr fontId="9"/>
  </si>
  <si>
    <t>patient_id</t>
    <phoneticPr fontId="9"/>
  </si>
  <si>
    <t>バックアップ_二次利用DB登録患者紐付けデータテーブルから組入れ_対象患者テーブルに存在する患者で絞り込んだ結果を格納するテーブル</t>
    <rPh sb="7" eb="9">
      <t>ニジ</t>
    </rPh>
    <rPh sb="9" eb="11">
      <t>リヨウ</t>
    </rPh>
    <rPh sb="13" eb="15">
      <t>トウロク</t>
    </rPh>
    <rPh sb="15" eb="17">
      <t>カンジャ</t>
    </rPh>
    <rPh sb="17" eb="18">
      <t>ヒモ</t>
    </rPh>
    <rPh sb="18" eb="19">
      <t>ツ</t>
    </rPh>
    <rPh sb="29" eb="31">
      <t>クミイ</t>
    </rPh>
    <rPh sb="33" eb="35">
      <t>タイショウ</t>
    </rPh>
    <rPh sb="35" eb="37">
      <t>カンジャ</t>
    </rPh>
    <rPh sb="42" eb="44">
      <t>ソンザイ</t>
    </rPh>
    <rPh sb="46" eb="48">
      <t>カンジャ</t>
    </rPh>
    <rPh sb="49" eb="50">
      <t>シボ</t>
    </rPh>
    <rPh sb="51" eb="52">
      <t>コ</t>
    </rPh>
    <rPh sb="54" eb="56">
      <t>ケッカ</t>
    </rPh>
    <rPh sb="57" eb="59">
      <t>カクノウ</t>
    </rPh>
    <phoneticPr fontId="9"/>
  </si>
  <si>
    <t>組入れ_対象施設テーブルに施設マスクIDを付与した結果を格納するテーブル</t>
    <phoneticPr fontId="9"/>
  </si>
  <si>
    <t>患者ID一覧マスタテーブルを施設IDと紐づけIDで集約し、マスクIDを付与した結果を格納するテーブル</t>
    <phoneticPr fontId="9"/>
  </si>
  <si>
    <t>薬剤マスタ</t>
    <phoneticPr fontId="9"/>
  </si>
  <si>
    <t>実数</t>
    <rPh sb="0" eb="2">
      <t>ジッスウ</t>
    </rPh>
    <phoneticPr fontId="9"/>
  </si>
  <si>
    <t>iyakuhin_cd</t>
    <phoneticPr fontId="9"/>
  </si>
  <si>
    <t>iyakuhin_name</t>
    <phoneticPr fontId="9"/>
  </si>
  <si>
    <t>disp_name</t>
    <phoneticPr fontId="9"/>
  </si>
  <si>
    <t>診療行為マスタ</t>
    <phoneticPr fontId="9"/>
  </si>
  <si>
    <t>診療行為コード</t>
    <phoneticPr fontId="9"/>
  </si>
  <si>
    <t>shinryo_koi_cd</t>
    <phoneticPr fontId="9"/>
  </si>
  <si>
    <t>cd_no_kubun</t>
    <phoneticPr fontId="9"/>
  </si>
  <si>
    <t>shinryo_koi_name</t>
    <phoneticPr fontId="9"/>
  </si>
  <si>
    <t>shinryo_koi_kihonname</t>
    <phoneticPr fontId="9"/>
  </si>
  <si>
    <t>検体検査マスタ</t>
    <phoneticPr fontId="9"/>
  </si>
  <si>
    <t>一般単位</t>
  </si>
  <si>
    <t>換算率</t>
  </si>
  <si>
    <t>specimen_name</t>
    <phoneticPr fontId="9"/>
  </si>
  <si>
    <t>sp_code</t>
    <phoneticPr fontId="9"/>
  </si>
  <si>
    <t>item_name</t>
    <phoneticPr fontId="9"/>
  </si>
  <si>
    <t>item_code</t>
    <phoneticPr fontId="9"/>
  </si>
  <si>
    <t>m_unit</t>
    <phoneticPr fontId="9"/>
  </si>
  <si>
    <t>rate</t>
    <phoneticPr fontId="9"/>
  </si>
  <si>
    <t>バックアップ_二次利用DB登録患者紐付けデータ</t>
    <rPh sb="7" eb="9">
      <t>ニジ</t>
    </rPh>
    <rPh sb="9" eb="11">
      <t>リヨウ</t>
    </rPh>
    <rPh sb="13" eb="15">
      <t>トウロク</t>
    </rPh>
    <rPh sb="15" eb="17">
      <t>カンジャ</t>
    </rPh>
    <rPh sb="17" eb="18">
      <t>ヒモ</t>
    </rPh>
    <rPh sb="18" eb="19">
      <t>ツ</t>
    </rPh>
    <phoneticPr fontId="12"/>
  </si>
  <si>
    <t>施設マスタ</t>
    <rPh sb="0" eb="2">
      <t>シセツ</t>
    </rPh>
    <phoneticPr fontId="9"/>
  </si>
  <si>
    <t>21_04</t>
    <phoneticPr fontId="9"/>
  </si>
  <si>
    <t>疾患マスタ.tsv</t>
    <phoneticPr fontId="9"/>
  </si>
  <si>
    <t>21_05</t>
    <phoneticPr fontId="9"/>
  </si>
  <si>
    <t>薬剤マスタ.tsv</t>
    <rPh sb="0" eb="2">
      <t>ヤクザイ</t>
    </rPh>
    <phoneticPr fontId="9"/>
  </si>
  <si>
    <t>21_06</t>
    <phoneticPr fontId="9"/>
  </si>
  <si>
    <t>21_07</t>
    <phoneticPr fontId="9"/>
  </si>
  <si>
    <t>診療行為マスタ</t>
    <rPh sb="0" eb="4">
      <t>シンリョウコウイ</t>
    </rPh>
    <phoneticPr fontId="9"/>
  </si>
  <si>
    <t>診療行為マスタ.tsv</t>
    <phoneticPr fontId="9"/>
  </si>
  <si>
    <t>検体検査マスタ</t>
    <rPh sb="0" eb="4">
      <t>ケンタイケンサ</t>
    </rPh>
    <phoneticPr fontId="9"/>
  </si>
  <si>
    <t>検体検査マスタ.tsv</t>
    <rPh sb="0" eb="2">
      <t>ケンタイ</t>
    </rPh>
    <rPh sb="2" eb="4">
      <t>ケンサ</t>
    </rPh>
    <phoneticPr fontId="9"/>
  </si>
  <si>
    <t>facility_id順にAからアルファベット順に付与</t>
    <rPh sb="11" eb="12">
      <t>ジュン</t>
    </rPh>
    <rPh sb="23" eb="24">
      <t>ジュン</t>
    </rPh>
    <rPh sb="25" eb="27">
      <t>フヨ</t>
    </rPh>
    <phoneticPr fontId="9"/>
  </si>
  <si>
    <t>施設マスクID+紐づけIDの連番（4桁のゼロ埋め）</t>
    <rPh sb="8" eb="9">
      <t>ヒモ</t>
    </rPh>
    <rPh sb="14" eb="16">
      <t>レンバン</t>
    </rPh>
    <rPh sb="18" eb="19">
      <t>ケタ</t>
    </rPh>
    <rPh sb="22" eb="23">
      <t>ウ</t>
    </rPh>
    <phoneticPr fontId="9"/>
  </si>
  <si>
    <t>1: 主傷病　2:合併症</t>
    <rPh sb="3" eb="6">
      <t>シュショウビョウ</t>
    </rPh>
    <rPh sb="9" eb="12">
      <t>ガッペイショウ</t>
    </rPh>
    <phoneticPr fontId="9"/>
  </si>
  <si>
    <t>バックアップ_疾患データ</t>
    <rPh sb="7" eb="9">
      <t>シッカン</t>
    </rPh>
    <phoneticPr fontId="9"/>
  </si>
  <si>
    <t>31_A1-04</t>
    <phoneticPr fontId="9"/>
  </si>
  <si>
    <t>31_C4-37</t>
    <phoneticPr fontId="9"/>
  </si>
  <si>
    <t>31_C4-38</t>
    <phoneticPr fontId="9"/>
  </si>
  <si>
    <t>31_C4-40</t>
    <phoneticPr fontId="9"/>
  </si>
  <si>
    <t>31_C4-41</t>
    <phoneticPr fontId="9"/>
  </si>
  <si>
    <t>ベース_疾患データ</t>
    <phoneticPr fontId="9"/>
  </si>
  <si>
    <t>ENT_31_A1-04</t>
    <phoneticPr fontId="9"/>
  </si>
  <si>
    <t>ベース_疾患データ</t>
    <phoneticPr fontId="9"/>
  </si>
  <si>
    <t>ENT_31_C4-37</t>
    <phoneticPr fontId="9"/>
  </si>
  <si>
    <t>ENT_31_C4-38</t>
    <phoneticPr fontId="9"/>
  </si>
  <si>
    <t>ENT_31_C4-40</t>
    <phoneticPr fontId="9"/>
  </si>
  <si>
    <t>ENT_31_C4-41</t>
    <phoneticPr fontId="9"/>
  </si>
  <si>
    <t>ベース_バイタルサインモジュール_バイタルサイン</t>
    <phoneticPr fontId="9"/>
  </si>
  <si>
    <t>ベース_バイタルサインモジュール_記録項目</t>
    <phoneticPr fontId="9"/>
  </si>
  <si>
    <t>ベース_体温表モジュール_バイタルサイン</t>
    <phoneticPr fontId="9"/>
  </si>
  <si>
    <t>ベース_体温表モジュール_記録項目</t>
    <phoneticPr fontId="9"/>
  </si>
  <si>
    <t>ベース_バイタルサインモジュール_バイタルサイン</t>
    <phoneticPr fontId="9"/>
  </si>
  <si>
    <t>ベース_バイタルサインモジュール_記録項目</t>
    <phoneticPr fontId="9"/>
  </si>
  <si>
    <t>ベース_体温表モジュール_バイタルサイン</t>
    <phoneticPr fontId="9"/>
  </si>
  <si>
    <t>ベース_体温表モジュール_記録項目</t>
    <phoneticPr fontId="9"/>
  </si>
  <si>
    <t>41_01</t>
    <phoneticPr fontId="9"/>
  </si>
  <si>
    <t>41_02</t>
    <phoneticPr fontId="9"/>
  </si>
  <si>
    <t>ワーク_look-back</t>
    <phoneticPr fontId="9"/>
  </si>
  <si>
    <t>ベース_DPC調査データ_入院EF統合ファイル</t>
  </si>
  <si>
    <t>ベース_DPC調査データ_外来EF統合ファイル</t>
  </si>
  <si>
    <t>エンティティ一覧</t>
    <phoneticPr fontId="9"/>
  </si>
  <si>
    <t>41_03</t>
    <phoneticPr fontId="9"/>
  </si>
  <si>
    <t>ワーク_疾患データ_DPC</t>
    <rPh sb="4" eb="6">
      <t>シッカン</t>
    </rPh>
    <phoneticPr fontId="9"/>
  </si>
  <si>
    <t>ベース_DPC調査データ_様式1</t>
  </si>
  <si>
    <t>ベース_DPC調査データ_様式1_診断情報_併存症</t>
  </si>
  <si>
    <t>ベース_DPC調査データ_様式1_診断情報_続発症</t>
  </si>
  <si>
    <t>ベース_処方データ</t>
    <rPh sb="4" eb="6">
      <t>ショホウ</t>
    </rPh>
    <phoneticPr fontId="9"/>
  </si>
  <si>
    <t>41_05</t>
    <phoneticPr fontId="9"/>
  </si>
  <si>
    <t>ワーク_バイタル_DPC</t>
    <phoneticPr fontId="9"/>
  </si>
  <si>
    <t>41_06</t>
    <phoneticPr fontId="9"/>
  </si>
  <si>
    <t>ワーク_バイタル_MML</t>
    <phoneticPr fontId="9"/>
  </si>
  <si>
    <t>41_07</t>
    <phoneticPr fontId="9"/>
  </si>
  <si>
    <t>ワーク_バイタル</t>
    <phoneticPr fontId="9"/>
  </si>
  <si>
    <t>ワーク_診療行為データ</t>
    <phoneticPr fontId="9"/>
  </si>
  <si>
    <t>ワーク_検体検査データ_スキーマ2</t>
    <rPh sb="4" eb="8">
      <t>ケンタイケンサ</t>
    </rPh>
    <phoneticPr fontId="9"/>
  </si>
  <si>
    <t>ワーク_検体検査データ_スキーマ4</t>
    <rPh sb="4" eb="8">
      <t>ケンタイケンサ</t>
    </rPh>
    <phoneticPr fontId="9"/>
  </si>
  <si>
    <t>ワーク_検体検査データ</t>
    <rPh sb="4" eb="8">
      <t>ケンタイケンサ</t>
    </rPh>
    <phoneticPr fontId="9"/>
  </si>
  <si>
    <t>ワーク_テキスト情報_一時</t>
    <rPh sb="8" eb="10">
      <t>ジョウホウ</t>
    </rPh>
    <rPh sb="11" eb="13">
      <t>イチジ</t>
    </rPh>
    <phoneticPr fontId="9"/>
  </si>
  <si>
    <t>51_01</t>
    <phoneticPr fontId="9"/>
  </si>
  <si>
    <t>セレクト_患者データ</t>
    <rPh sb="5" eb="7">
      <t>カンジャ</t>
    </rPh>
    <phoneticPr fontId="9"/>
  </si>
  <si>
    <t>51_02</t>
    <phoneticPr fontId="9"/>
  </si>
  <si>
    <t>セレクト_検査データ</t>
    <rPh sb="5" eb="7">
      <t>ケンサ</t>
    </rPh>
    <phoneticPr fontId="9"/>
  </si>
  <si>
    <t>セレクト_患者データ</t>
    <phoneticPr fontId="9"/>
  </si>
  <si>
    <t>51_02-1</t>
    <phoneticPr fontId="9"/>
  </si>
  <si>
    <t>51_03</t>
    <phoneticPr fontId="9"/>
  </si>
  <si>
    <t>セレクト_検査データ_患者背景用</t>
    <phoneticPr fontId="9"/>
  </si>
  <si>
    <t>51_04</t>
    <phoneticPr fontId="9"/>
  </si>
  <si>
    <t>セレクト_検査データ_カリウム</t>
    <phoneticPr fontId="9"/>
  </si>
  <si>
    <t>51_05</t>
    <phoneticPr fontId="9"/>
  </si>
  <si>
    <t>セレクト_併用薬データ_患者背景用</t>
    <phoneticPr fontId="9"/>
  </si>
  <si>
    <t>51_06</t>
    <phoneticPr fontId="9"/>
  </si>
  <si>
    <t>51_07</t>
    <phoneticPr fontId="9"/>
  </si>
  <si>
    <t>セレクト_合併症有無_CKD_患者背景用</t>
    <phoneticPr fontId="9"/>
  </si>
  <si>
    <t>セレクト_合併症有無_CKD以外_患者背景用</t>
    <phoneticPr fontId="9"/>
  </si>
  <si>
    <t>51_08</t>
    <phoneticPr fontId="9"/>
  </si>
  <si>
    <t>セレクト_透析有無_患者背景用</t>
    <phoneticPr fontId="9"/>
  </si>
  <si>
    <t>ワーク_疾患データ_DPC</t>
    <phoneticPr fontId="9"/>
  </si>
  <si>
    <t>ワーク_バイタル_DPC</t>
    <phoneticPr fontId="9"/>
  </si>
  <si>
    <t>ワーク_バイタル_MML</t>
    <phoneticPr fontId="9"/>
  </si>
  <si>
    <t>ワーク_バイタル</t>
    <phoneticPr fontId="9"/>
  </si>
  <si>
    <t>ワーク_診療行為データ</t>
    <phoneticPr fontId="9"/>
  </si>
  <si>
    <t>ワーク_検体検査データ_スキーマ2</t>
    <phoneticPr fontId="9"/>
  </si>
  <si>
    <t>ワーク_検体検査データ_スキーマ4</t>
    <phoneticPr fontId="9"/>
  </si>
  <si>
    <t>ワーク_検体検査データ</t>
    <phoneticPr fontId="9"/>
  </si>
  <si>
    <t>ワーク_テキスト情報_一時</t>
    <phoneticPr fontId="9"/>
  </si>
  <si>
    <t>セレクト_患者データ</t>
    <phoneticPr fontId="9"/>
  </si>
  <si>
    <t>セレクト_検査データ</t>
    <phoneticPr fontId="9"/>
  </si>
  <si>
    <t>セレクト_検査データ_患者背景用</t>
    <phoneticPr fontId="9"/>
  </si>
  <si>
    <t>セレクト_検査データ_カリウム</t>
    <phoneticPr fontId="9"/>
  </si>
  <si>
    <t>セレクト_併用薬データ_患者背景用</t>
    <phoneticPr fontId="9"/>
  </si>
  <si>
    <t>セレクト_合併症有無_CKD_患者背景用</t>
    <phoneticPr fontId="9"/>
  </si>
  <si>
    <t>セレクト_合併症有無_CKD以外_患者背景用</t>
    <phoneticPr fontId="9"/>
  </si>
  <si>
    <t>セレクト_透析有無_患者背景用</t>
    <phoneticPr fontId="9"/>
  </si>
  <si>
    <t>セレクト_バイタル</t>
    <phoneticPr fontId="9"/>
  </si>
  <si>
    <t>セレクト_バイタル</t>
    <phoneticPr fontId="9"/>
  </si>
  <si>
    <t>ワーク_look_back</t>
    <phoneticPr fontId="9"/>
  </si>
  <si>
    <t>MMLの患者データを抽出し、格納するテーブル</t>
    <phoneticPr fontId="9"/>
  </si>
  <si>
    <t>MML固定</t>
    <rPh sb="3" eb="5">
      <t>コテイ</t>
    </rPh>
    <phoneticPr fontId="14"/>
  </si>
  <si>
    <t>min_jisshi_ymd</t>
    <phoneticPr fontId="9"/>
  </si>
  <si>
    <t>実施日(最小)</t>
    <rPh sb="0" eb="3">
      <t>ジッシビ</t>
    </rPh>
    <rPh sb="4" eb="6">
      <t>サイショウ</t>
    </rPh>
    <phoneticPr fontId="14"/>
  </si>
  <si>
    <t>DPCの患者データを抽出し、格納するテーブル</t>
    <phoneticPr fontId="9"/>
  </si>
  <si>
    <t>ワーク_look_back</t>
    <phoneticPr fontId="9"/>
  </si>
  <si>
    <t>DPCの疾患データ（疑いを除く）を抽出し、疾患マスタに登録されている疾患コードのデータを格納するテーブル</t>
    <phoneticPr fontId="9"/>
  </si>
  <si>
    <t>shobyo_code</t>
    <phoneticPr fontId="9"/>
  </si>
  <si>
    <t>shinryo_start_date</t>
    <phoneticPr fontId="9"/>
  </si>
  <si>
    <t>DPCの処方データを抽出し、格納するテーブル</t>
    <phoneticPr fontId="9"/>
  </si>
  <si>
    <t>行番号</t>
  </si>
  <si>
    <t>receipt_densan_code</t>
    <phoneticPr fontId="9"/>
  </si>
  <si>
    <t>koi_times</t>
    <phoneticPr fontId="9"/>
  </si>
  <si>
    <t>jisshi_ymd</t>
    <phoneticPr fontId="9"/>
  </si>
  <si>
    <t>row_no</t>
  </si>
  <si>
    <t>row_no</t>
    <phoneticPr fontId="9"/>
  </si>
  <si>
    <t>実数</t>
    <rPh sb="0" eb="2">
      <t>ジッスウ</t>
    </rPh>
    <phoneticPr fontId="26"/>
  </si>
  <si>
    <t>DPCの患者データから身長、体重を抽出し、格納するテーブル</t>
    <phoneticPr fontId="9"/>
  </si>
  <si>
    <t>category</t>
    <phoneticPr fontId="9"/>
  </si>
  <si>
    <t>value</t>
    <phoneticPr fontId="9"/>
  </si>
  <si>
    <t>データ識別番号</t>
    <phoneticPr fontId="9"/>
  </si>
  <si>
    <t>カテゴリ</t>
    <phoneticPr fontId="9"/>
  </si>
  <si>
    <t>値</t>
    <rPh sb="0" eb="1">
      <t>アタイ</t>
    </rPh>
    <phoneticPr fontId="9"/>
  </si>
  <si>
    <t>入院年月日</t>
    <rPh sb="0" eb="5">
      <t>ニュウインネンガッピ</t>
    </rPh>
    <phoneticPr fontId="9"/>
  </si>
  <si>
    <t>エンティティ一覧</t>
    <phoneticPr fontId="9"/>
  </si>
  <si>
    <t>ワーク_テキスト情報</t>
    <phoneticPr fontId="9"/>
  </si>
  <si>
    <t>vital_sign_num_value</t>
    <phoneticPr fontId="9"/>
  </si>
  <si>
    <t>vital_sign_date</t>
    <phoneticPr fontId="9"/>
  </si>
  <si>
    <t>項目名</t>
    <phoneticPr fontId="9"/>
  </si>
  <si>
    <t>数値で表記されるバイタルサインの値</t>
    <phoneticPr fontId="9"/>
  </si>
  <si>
    <t>バイタルサインの計測日</t>
    <rPh sb="10" eb="11">
      <t>ビ</t>
    </rPh>
    <phoneticPr fontId="9"/>
  </si>
  <si>
    <t>MMLの患者データから身長、体重を抽出し、格納するテーブル</t>
    <phoneticPr fontId="9"/>
  </si>
  <si>
    <t>facility_id, himoduke_id, item_name, vital_sign_dateごとにvital_sign_num_valueの順で並べて採番</t>
    <rPh sb="76" eb="77">
      <t>ジュン</t>
    </rPh>
    <rPh sb="78" eb="79">
      <t>ナラ</t>
    </rPh>
    <rPh sb="81" eb="83">
      <t>サイバン</t>
    </rPh>
    <phoneticPr fontId="9"/>
  </si>
  <si>
    <t>ワーク_バイタル_DPCとワーク_バイタル_MMLの患者データを結合し、格納するテーブル</t>
    <phoneticPr fontId="9"/>
  </si>
  <si>
    <t>unit</t>
    <phoneticPr fontId="9"/>
  </si>
  <si>
    <t>disp_name</t>
  </si>
  <si>
    <t>ベース_診療行為データから診療行為マスタに存在するデータを抽出し、格納するテーブル</t>
    <phoneticPr fontId="9"/>
  </si>
  <si>
    <t>数値結果</t>
  </si>
  <si>
    <t>facility_it_code</t>
    <phoneticPr fontId="9"/>
  </si>
  <si>
    <t>sample_time</t>
    <phoneticPr fontId="9"/>
  </si>
  <si>
    <t>num_value</t>
    <phoneticPr fontId="9"/>
  </si>
  <si>
    <t>MMLの検体検査データを抽出し、格納するテーブル</t>
    <phoneticPr fontId="9"/>
  </si>
  <si>
    <t>ワーク_検体検査データ_スキーマ2</t>
    <phoneticPr fontId="9"/>
  </si>
  <si>
    <t>ワーク_検体検査データ_スキーマ4</t>
    <phoneticPr fontId="9"/>
  </si>
  <si>
    <t>MML（スキーマ4）の検体検査データを抽出し、格納するテーブル</t>
    <phoneticPr fontId="9"/>
  </si>
  <si>
    <t>ワーク_検体検査データ</t>
    <phoneticPr fontId="9"/>
  </si>
  <si>
    <t>ワーク_テキスト情報_一時</t>
    <phoneticPr fontId="9"/>
  </si>
  <si>
    <t>MMLのテキストデータを抽出し、格納するテーブル</t>
    <phoneticPr fontId="9"/>
  </si>
  <si>
    <t>モジュールSEQ</t>
  </si>
  <si>
    <t>外部参照SEQ</t>
  </si>
  <si>
    <t>モジュール名</t>
  </si>
  <si>
    <t>取得元テーブル名</t>
  </si>
  <si>
    <t>取得元カラム名</t>
  </si>
  <si>
    <t>サマリ対象期間の開始日</t>
  </si>
  <si>
    <t>サマリ対象期間の終了日</t>
  </si>
  <si>
    <t>オリジナルテキスト</t>
  </si>
  <si>
    <t>module_seq</t>
  </si>
  <si>
    <t>source_module</t>
  </si>
  <si>
    <t>source_table</t>
  </si>
  <si>
    <t>source_column</t>
  </si>
  <si>
    <t>original_text</t>
  </si>
  <si>
    <t>pc, sm</t>
  </si>
  <si>
    <t>□Pc
progress_course, assessment, external_reference, problem
□Sm
summary, clinical_course</t>
  </si>
  <si>
    <t>□Pc
free_expression, assessment_item, gaibu_sansyo_naiyo, free_note, free_expression_obective, free_expressio_plan, chiryo_order
□Sm
chief_complaints, patient_profile, nyuin_history, taiin_findings, keika_kiroku</t>
  </si>
  <si>
    <t>臨床サマリ：event_date</t>
    <rPh sb="0" eb="2">
      <t>リンショウ</t>
    </rPh>
    <phoneticPr fontId="12"/>
  </si>
  <si>
    <t>臨床サマリ：histrical_start_ymd</t>
    <rPh sb="0" eb="2">
      <t>リンショウ</t>
    </rPh>
    <phoneticPr fontId="12"/>
  </si>
  <si>
    <t>臨床サマリ：histrical_end_ymd</t>
    <rPh sb="0" eb="2">
      <t>リンショウ</t>
    </rPh>
    <phoneticPr fontId="12"/>
  </si>
  <si>
    <t>MMLのテキスト情報をそのまま格納</t>
  </si>
  <si>
    <t>mmlPc:ProgressCourseModule単位に通番付与
mmlSm:SummaryModule単位に通番付与</t>
    <rPh sb="25" eb="27">
      <t>タンイ</t>
    </rPh>
    <rPh sb="28" eb="30">
      <t>ツウバン</t>
    </rPh>
    <rPh sb="30" eb="32">
      <t>フヨ</t>
    </rPh>
    <phoneticPr fontId="2"/>
  </si>
  <si>
    <t>ワーク_テキスト情報</t>
    <phoneticPr fontId="9"/>
  </si>
  <si>
    <t>MMLのテキストデータを格納するテーブル</t>
    <phoneticPr fontId="9"/>
  </si>
  <si>
    <t>テキスト連結番号</t>
    <rPh sb="4" eb="6">
      <t>レンケツ</t>
    </rPh>
    <rPh sb="6" eb="8">
      <t>バンゴウ</t>
    </rPh>
    <phoneticPr fontId="9"/>
  </si>
  <si>
    <t>link_no</t>
  </si>
  <si>
    <t>モジュール名</t>
    <rPh sb="5" eb="6">
      <t>メイ</t>
    </rPh>
    <phoneticPr fontId="12"/>
  </si>
  <si>
    <t>取得元テーブル名</t>
    <rPh sb="0" eb="3">
      <t>シュトクモト</t>
    </rPh>
    <rPh sb="7" eb="8">
      <t>メイ</t>
    </rPh>
    <phoneticPr fontId="12"/>
  </si>
  <si>
    <t>取得元カラム名</t>
    <rPh sb="0" eb="2">
      <t>シュトク</t>
    </rPh>
    <rPh sb="2" eb="3">
      <t>モト</t>
    </rPh>
    <rPh sb="6" eb="7">
      <t>メイ</t>
    </rPh>
    <phoneticPr fontId="12"/>
  </si>
  <si>
    <t>記載確定日</t>
    <rPh sb="0" eb="2">
      <t>キサイ</t>
    </rPh>
    <rPh sb="2" eb="5">
      <t>カクテイビ</t>
    </rPh>
    <phoneticPr fontId="12"/>
  </si>
  <si>
    <t>イベント発生日時</t>
    <rPh sb="4" eb="8">
      <t>ハッセイニチジ</t>
    </rPh>
    <phoneticPr fontId="12"/>
  </si>
  <si>
    <t>サマリ対象期間の開始日</t>
    <rPh sb="3" eb="7">
      <t>タイショウキカン</t>
    </rPh>
    <rPh sb="8" eb="11">
      <t>カイシビ</t>
    </rPh>
    <phoneticPr fontId="12"/>
  </si>
  <si>
    <t>サマリ対象期間の終了日</t>
    <rPh sb="3" eb="7">
      <t>タイショウキカン</t>
    </rPh>
    <rPh sb="8" eb="11">
      <t>シュウリョウビ</t>
    </rPh>
    <phoneticPr fontId="12"/>
  </si>
  <si>
    <t>テキスト重複SEQ</t>
    <rPh sb="4" eb="6">
      <t>チョウフク</t>
    </rPh>
    <phoneticPr fontId="12"/>
  </si>
  <si>
    <t>dup_text_seq</t>
  </si>
  <si>
    <t>年齢</t>
  </si>
  <si>
    <t>index_date</t>
  </si>
  <si>
    <t>ロケルマ処方期間</t>
  </si>
  <si>
    <t>age</t>
    <phoneticPr fontId="9"/>
  </si>
  <si>
    <t>sex_kubun</t>
    <phoneticPr fontId="9"/>
  </si>
  <si>
    <t>index_date</t>
    <phoneticPr fontId="9"/>
  </si>
  <si>
    <t>look_back_term</t>
    <phoneticPr fontId="9"/>
  </si>
  <si>
    <t>look_back期間</t>
    <phoneticPr fontId="9"/>
  </si>
  <si>
    <t>shoho_start_date</t>
    <phoneticPr fontId="9"/>
  </si>
  <si>
    <t>shoho_end_date</t>
    <phoneticPr fontId="9"/>
  </si>
  <si>
    <t>shoho_term</t>
    <phoneticPr fontId="9"/>
  </si>
  <si>
    <t>セレクト_検査データ</t>
    <phoneticPr fontId="9"/>
  </si>
  <si>
    <t>days</t>
    <phoneticPr fontId="9"/>
  </si>
  <si>
    <t>weeks</t>
    <phoneticPr fontId="9"/>
  </si>
  <si>
    <t>months</t>
    <phoneticPr fontId="9"/>
  </si>
  <si>
    <t>sample_time - index_date</t>
    <phoneticPr fontId="9"/>
  </si>
  <si>
    <t>days / 7</t>
    <phoneticPr fontId="9"/>
  </si>
  <si>
    <t>days / 30</t>
    <phoneticPr fontId="9"/>
  </si>
  <si>
    <t>経過日</t>
    <rPh sb="0" eb="2">
      <t>ケイカ</t>
    </rPh>
    <rPh sb="2" eb="3">
      <t>ヒ</t>
    </rPh>
    <phoneticPr fontId="9"/>
  </si>
  <si>
    <t>経過週</t>
    <rPh sb="2" eb="3">
      <t>シュウ</t>
    </rPh>
    <phoneticPr fontId="9"/>
  </si>
  <si>
    <t>経過月</t>
    <rPh sb="2" eb="3">
      <t>ツキ</t>
    </rPh>
    <phoneticPr fontId="9"/>
  </si>
  <si>
    <t>c01</t>
    <phoneticPr fontId="9"/>
  </si>
  <si>
    <t>c02</t>
  </si>
  <si>
    <t>c03</t>
  </si>
  <si>
    <t>c04</t>
  </si>
  <si>
    <t>c05</t>
  </si>
  <si>
    <t>c06</t>
  </si>
  <si>
    <t>c07</t>
  </si>
  <si>
    <t>c08</t>
  </si>
  <si>
    <t>c09</t>
  </si>
  <si>
    <t>c10</t>
    <phoneticPr fontId="9"/>
  </si>
  <si>
    <t>c11</t>
    <phoneticPr fontId="9"/>
  </si>
  <si>
    <t>1または0</t>
  </si>
  <si>
    <t>1または0</t>
    <phoneticPr fontId="9"/>
  </si>
  <si>
    <t>d01</t>
    <phoneticPr fontId="9"/>
  </si>
  <si>
    <t>d02</t>
    <phoneticPr fontId="9"/>
  </si>
  <si>
    <t>d03</t>
    <phoneticPr fontId="9"/>
  </si>
  <si>
    <t>d04</t>
    <phoneticPr fontId="9"/>
  </si>
  <si>
    <t>慢性心不全フラグ</t>
    <rPh sb="0" eb="2">
      <t>マンセイ</t>
    </rPh>
    <rPh sb="2" eb="5">
      <t>シンフゼン</t>
    </rPh>
    <phoneticPr fontId="9"/>
  </si>
  <si>
    <t>糖尿病フラグ</t>
    <rPh sb="0" eb="3">
      <t>トウニョウビョウ</t>
    </rPh>
    <phoneticPr fontId="9"/>
  </si>
  <si>
    <t>高血圧フラグ</t>
    <rPh sb="0" eb="1">
      <t>コウ</t>
    </rPh>
    <rPh sb="1" eb="3">
      <t>ケツアツ</t>
    </rPh>
    <phoneticPr fontId="9"/>
  </si>
  <si>
    <t>eGFRフラグ</t>
    <phoneticPr fontId="9"/>
  </si>
  <si>
    <t>利尿薬フラグ</t>
    <phoneticPr fontId="9"/>
  </si>
  <si>
    <t>βブロッカーフラグ</t>
  </si>
  <si>
    <t>スピロノラクトンフラグ</t>
  </si>
  <si>
    <t>エプレレノンフラグ</t>
  </si>
  <si>
    <t>エサキセレノンフラグ</t>
  </si>
  <si>
    <t>フィネレノンフラグ</t>
  </si>
  <si>
    <t>ACEフラグ</t>
  </si>
  <si>
    <t>ARBフラグ</t>
  </si>
  <si>
    <t>ARNIフラグ</t>
  </si>
  <si>
    <t>SGLT-2阻害薬（フォシーガ）フラグ</t>
  </si>
  <si>
    <t>SGLT-2阻害薬（フォシーガ以外）フラグ</t>
    <phoneticPr fontId="9"/>
  </si>
  <si>
    <t>hd_flg</t>
    <phoneticPr fontId="9"/>
  </si>
  <si>
    <t>透析フラグ</t>
    <rPh sb="0" eb="2">
      <t>トウセキ</t>
    </rPh>
    <phoneticPr fontId="9"/>
  </si>
  <si>
    <t>項目名</t>
    <rPh sb="0" eb="3">
      <t>コウモクメイ</t>
    </rPh>
    <phoneticPr fontId="9"/>
  </si>
  <si>
    <t>「Height」,「Weight」のいずれか</t>
    <phoneticPr fontId="9"/>
  </si>
  <si>
    <t>YYYYMMDD
患者ごとの最小の実施日を設定</t>
    <rPh sb="9" eb="11">
      <t>カンジャ</t>
    </rPh>
    <rPh sb="14" eb="16">
      <t>サイショウ</t>
    </rPh>
    <rPh sb="17" eb="19">
      <t>ジッシ</t>
    </rPh>
    <rPh sb="19" eb="20">
      <t>ビ</t>
    </rPh>
    <rPh sb="21" eb="23">
      <t>セッテイ</t>
    </rPh>
    <phoneticPr fontId="14"/>
  </si>
  <si>
    <t>ワーク_患者基本データ</t>
    <phoneticPr fontId="9"/>
  </si>
  <si>
    <t>ワーク_患者基本データ</t>
    <rPh sb="4" eb="6">
      <t>カンジャ</t>
    </rPh>
    <rPh sb="6" eb="8">
      <t>キホン</t>
    </rPh>
    <phoneticPr fontId="9"/>
  </si>
  <si>
    <t>41_04</t>
    <phoneticPr fontId="9"/>
  </si>
  <si>
    <t>ワーク_処方データ</t>
    <rPh sb="4" eb="6">
      <t>ショホウ</t>
    </rPh>
    <phoneticPr fontId="9"/>
  </si>
  <si>
    <t>ワーク_処方データ</t>
    <phoneticPr fontId="9"/>
  </si>
  <si>
    <t>同一PK項目で行番号を採番</t>
    <rPh sb="0" eb="2">
      <t>ドウイツ</t>
    </rPh>
    <rPh sb="4" eb="6">
      <t>コウモク</t>
    </rPh>
    <rPh sb="7" eb="10">
      <t>ギョウバンゴウ</t>
    </rPh>
    <rPh sb="11" eb="13">
      <t>サイバン</t>
    </rPh>
    <phoneticPr fontId="9"/>
  </si>
  <si>
    <t>同一PK項目（採取日時は日付単位）で、採取日時の昇順に行番号を採番</t>
    <rPh sb="0" eb="2">
      <t>ドウイツ</t>
    </rPh>
    <rPh sb="4" eb="6">
      <t>コウモク</t>
    </rPh>
    <rPh sb="7" eb="11">
      <t>サイシュニチジ</t>
    </rPh>
    <rPh sb="12" eb="14">
      <t>ヒヅケ</t>
    </rPh>
    <rPh sb="14" eb="16">
      <t>タンイ</t>
    </rPh>
    <rPh sb="24" eb="26">
      <t>ショウジュン</t>
    </rPh>
    <rPh sb="27" eb="30">
      <t>ギョウバンゴウ</t>
    </rPh>
    <rPh sb="31" eb="33">
      <t>サイバン</t>
    </rPh>
    <phoneticPr fontId="9"/>
  </si>
  <si>
    <t>41_08</t>
    <phoneticPr fontId="9"/>
  </si>
  <si>
    <t>41_09</t>
    <phoneticPr fontId="9"/>
  </si>
  <si>
    <t>41_10</t>
    <phoneticPr fontId="9"/>
  </si>
  <si>
    <t>41_11</t>
    <phoneticPr fontId="9"/>
  </si>
  <si>
    <t>診療科</t>
    <phoneticPr fontId="9"/>
  </si>
  <si>
    <t>department</t>
    <phoneticPr fontId="9"/>
  </si>
  <si>
    <t>患者ごとの初回処方日における診療科のうち、
診療科コードの値が最小のものを設定</t>
    <rPh sb="14" eb="17">
      <t>シンリョウカ</t>
    </rPh>
    <rPh sb="22" eb="25">
      <t>シンリョウカ</t>
    </rPh>
    <rPh sb="29" eb="30">
      <t>アタイ</t>
    </rPh>
    <rPh sb="31" eb="33">
      <t>サイショウ</t>
    </rPh>
    <rPh sb="37" eb="39">
      <t>セッテイ</t>
    </rPh>
    <phoneticPr fontId="9"/>
  </si>
  <si>
    <t>患者ごとのロケルマ初回処方日</t>
    <rPh sb="0" eb="2">
      <t>カンジャ</t>
    </rPh>
    <rPh sb="9" eb="13">
      <t>ショカイショホウ</t>
    </rPh>
    <rPh sb="13" eb="14">
      <t>ビ</t>
    </rPh>
    <phoneticPr fontId="9"/>
  </si>
  <si>
    <t>ロケルマ初回処方日-患者ごとのlook_back開始日+1</t>
    <rPh sb="24" eb="27">
      <t>カイシビ</t>
    </rPh>
    <phoneticPr fontId="9"/>
  </si>
  <si>
    <t>ロケルマ処方開始日</t>
    <phoneticPr fontId="9"/>
  </si>
  <si>
    <t>ロケルマ処方終了日</t>
    <phoneticPr fontId="9"/>
  </si>
  <si>
    <t>ロケルマ処方終了日 - ロケルマ処方開始日 +1</t>
    <rPh sb="18" eb="20">
      <t>カイシ</t>
    </rPh>
    <phoneticPr fontId="9"/>
  </si>
  <si>
    <t>患者ごとのロケルマ最終処方日
（「実施日 + 行為回数」が最大の日付）</t>
    <rPh sb="0" eb="2">
      <t>カンジャ</t>
    </rPh>
    <rPh sb="9" eb="11">
      <t>サイシュウ</t>
    </rPh>
    <rPh sb="11" eb="13">
      <t>ショホウ</t>
    </rPh>
    <rPh sb="13" eb="14">
      <t>ビ</t>
    </rPh>
    <rPh sb="17" eb="20">
      <t>ジッシビ</t>
    </rPh>
    <rPh sb="23" eb="27">
      <t>コウイカイスウ</t>
    </rPh>
    <rPh sb="29" eb="31">
      <t>サイダイ</t>
    </rPh>
    <rPh sb="32" eb="34">
      <t>ヒヅケ</t>
    </rPh>
    <phoneticPr fontId="9"/>
  </si>
  <si>
    <t>患者ごとのロケルマ初回処方日における年齢</t>
    <rPh sb="18" eb="20">
      <t>ネンレイ</t>
    </rPh>
    <phoneticPr fontId="9"/>
  </si>
  <si>
    <t>表示名</t>
    <phoneticPr fontId="9"/>
  </si>
  <si>
    <t>eGFRの値は血清クレアチニンの値から下記「eGFRの計算式」の通り算出する</t>
    <rPh sb="5" eb="6">
      <t>アタイ</t>
    </rPh>
    <rPh sb="7" eb="9">
      <t>ケッセイ</t>
    </rPh>
    <rPh sb="16" eb="17">
      <t>アタイ</t>
    </rPh>
    <rPh sb="19" eb="21">
      <t>カキ</t>
    </rPh>
    <rPh sb="27" eb="30">
      <t>ケイサンシキ</t>
    </rPh>
    <rPh sb="32" eb="33">
      <t>トオ</t>
    </rPh>
    <rPh sb="34" eb="36">
      <t>サンシュツ</t>
    </rPh>
    <phoneticPr fontId="9"/>
  </si>
  <si>
    <t>eGFRの場合、血清クレアチニンの採取日時と同日を設定</t>
    <rPh sb="5" eb="7">
      <t>バアイ</t>
    </rPh>
    <rPh sb="17" eb="21">
      <t>サイシュニチジ</t>
    </rPh>
    <rPh sb="22" eb="24">
      <t>ドウジツ</t>
    </rPh>
    <rPh sb="25" eb="27">
      <t>セッテイ</t>
    </rPh>
    <phoneticPr fontId="9"/>
  </si>
  <si>
    <t>エンティティ一覧</t>
    <phoneticPr fontId="9"/>
  </si>
  <si>
    <t>主訴フラグ</t>
    <rPh sb="0" eb="2">
      <t>シュソ</t>
    </rPh>
    <phoneticPr fontId="9"/>
  </si>
  <si>
    <t>chief_complaint_f</t>
  </si>
  <si>
    <t>chief_complaint_f</t>
    <phoneticPr fontId="9"/>
  </si>
  <si>
    <t>整数</t>
    <phoneticPr fontId="31"/>
  </si>
  <si>
    <t>　※ただし18歳以上のみ算出対象とする。</t>
    <rPh sb="7" eb="10">
      <t>サイイジョウ</t>
    </rPh>
    <rPh sb="12" eb="16">
      <t>サンシュツタイショウ</t>
    </rPh>
    <phoneticPr fontId="9"/>
  </si>
  <si>
    <t>ワーク_テキスト情報</t>
    <rPh sb="8" eb="10">
      <t>ジョウホウ</t>
    </rPh>
    <phoneticPr fontId="9"/>
  </si>
  <si>
    <t>41_12_01</t>
  </si>
  <si>
    <t>41_12_02</t>
  </si>
  <si>
    <t>41_12_03</t>
  </si>
  <si>
    <t>41_12_04</t>
  </si>
  <si>
    <t>41_12_05</t>
  </si>
  <si>
    <t>41_12_06</t>
  </si>
  <si>
    <t>41_12_07</t>
  </si>
  <si>
    <t>41_12_08</t>
  </si>
  <si>
    <t>41_12_09</t>
  </si>
  <si>
    <t>41_12_10</t>
  </si>
  <si>
    <t>41_12_11</t>
  </si>
  <si>
    <t>41_12_12</t>
  </si>
  <si>
    <t>41_12_13</t>
  </si>
  <si>
    <t>エンティティ一覧</t>
    <phoneticPr fontId="9"/>
  </si>
  <si>
    <t>facility_id</t>
    <phoneticPr fontId="9"/>
  </si>
  <si>
    <t>himoduke_id</t>
    <phoneticPr fontId="9"/>
  </si>
  <si>
    <t>facility_id、himoduke_idでテキストに重複があった場合、comfirm_dateの昇順に連番を付与</t>
    <rPh sb="29" eb="31">
      <t>チョウフク</t>
    </rPh>
    <rPh sb="35" eb="37">
      <t>バアイ</t>
    </rPh>
    <rPh sb="51" eb="53">
      <t>ショウジュン</t>
    </rPh>
    <rPh sb="54" eb="56">
      <t>レンバン</t>
    </rPh>
    <rPh sb="57" eb="59">
      <t>フヨ</t>
    </rPh>
    <phoneticPr fontId="12"/>
  </si>
  <si>
    <t>comfirm_date</t>
    <phoneticPr fontId="9"/>
  </si>
  <si>
    <t>facility_id、himoduke_id、comfirm_dateの並びで通番を付与</t>
    <rPh sb="37" eb="38">
      <t>ナラ</t>
    </rPh>
    <rPh sb="40" eb="42">
      <t>ツウバン</t>
    </rPh>
    <rPh sb="43" eb="45">
      <t>フヨ</t>
    </rPh>
    <phoneticPr fontId="9"/>
  </si>
  <si>
    <t>41_13</t>
    <phoneticPr fontId="9"/>
  </si>
  <si>
    <t>ワーク_処方データ_index</t>
    <phoneticPr fontId="9"/>
  </si>
  <si>
    <t>41_14</t>
    <phoneticPr fontId="9"/>
  </si>
  <si>
    <t>ワーク_処方データ_index</t>
    <rPh sb="4" eb="6">
      <t>ショホウ</t>
    </rPh>
    <phoneticPr fontId="9"/>
  </si>
  <si>
    <t>ワーク_処方データ_index</t>
    <phoneticPr fontId="9"/>
  </si>
  <si>
    <t>DPCの処方データからロケルマに関するデータを抽出し、格納するテーブル</t>
    <rPh sb="16" eb="17">
      <t>カン</t>
    </rPh>
    <phoneticPr fontId="9"/>
  </si>
  <si>
    <t>department_kubun</t>
    <phoneticPr fontId="9"/>
  </si>
  <si>
    <t>診療科区分</t>
    <phoneticPr fontId="9"/>
  </si>
  <si>
    <t>行番号</t>
    <phoneticPr fontId="9"/>
  </si>
  <si>
    <t>51_09</t>
    <phoneticPr fontId="9"/>
  </si>
  <si>
    <t>61_01</t>
    <phoneticPr fontId="9"/>
  </si>
  <si>
    <t>61_02</t>
    <phoneticPr fontId="9"/>
  </si>
  <si>
    <t>デリバリ_患者背景</t>
    <phoneticPr fontId="9"/>
  </si>
  <si>
    <t>デリバリ_患者背景</t>
    <phoneticPr fontId="9"/>
  </si>
  <si>
    <t>cate_k</t>
  </si>
  <si>
    <t>value_k</t>
  </si>
  <si>
    <t>cate_cre</t>
  </si>
  <si>
    <t>value_cre</t>
  </si>
  <si>
    <t>cate_egfr</t>
  </si>
  <si>
    <t>value_egfr</t>
  </si>
  <si>
    <t>cate_ntbnp</t>
  </si>
  <si>
    <t>value_ntbnp</t>
  </si>
  <si>
    <t>cate_bnp</t>
  </si>
  <si>
    <t>value_bnp</t>
  </si>
  <si>
    <t>カリウムの値</t>
    <rPh sb="5" eb="6">
      <t>アタイ</t>
    </rPh>
    <phoneticPr fontId="9"/>
  </si>
  <si>
    <t>4.5未満 / 4.5-5.0未満 / 5.0-5.5未満 / 5.5-6.0未満 / 6.0以上</t>
    <phoneticPr fontId="9"/>
  </si>
  <si>
    <t>カリウム</t>
    <phoneticPr fontId="9"/>
  </si>
  <si>
    <t>2.0未満 / 2.0以上</t>
    <phoneticPr fontId="9"/>
  </si>
  <si>
    <t>血清クレアチニン</t>
    <phoneticPr fontId="9"/>
  </si>
  <si>
    <t>血清クレアチニンの値</t>
    <phoneticPr fontId="9"/>
  </si>
  <si>
    <t>15未満 / 15-30未満 / 30-45未満 / 45-60未満 / 60以上</t>
    <phoneticPr fontId="9"/>
  </si>
  <si>
    <t>eGFR</t>
    <phoneticPr fontId="9"/>
  </si>
  <si>
    <t>eGFRの値</t>
    <phoneticPr fontId="9"/>
  </si>
  <si>
    <t>55未満 / 55-125未満 / 125-300未満 / 300-900未満 / 900以上</t>
    <phoneticPr fontId="9"/>
  </si>
  <si>
    <t>NT-proBNP</t>
    <phoneticPr fontId="9"/>
  </si>
  <si>
    <t>NT-proBNPの値</t>
    <rPh sb="10" eb="11">
      <t>アタイ</t>
    </rPh>
    <phoneticPr fontId="9"/>
  </si>
  <si>
    <t>18.4未満 / 18.4-35未満 / 35-100未満 / 100-200未満 / 200以上</t>
    <phoneticPr fontId="9"/>
  </si>
  <si>
    <t>BNP</t>
    <phoneticPr fontId="9"/>
  </si>
  <si>
    <t>BNPの値</t>
    <rPh sb="4" eb="5">
      <t>アタイ</t>
    </rPh>
    <phoneticPr fontId="9"/>
  </si>
  <si>
    <t>デリバリ_患者背景_サマリ</t>
    <phoneticPr fontId="9"/>
  </si>
  <si>
    <t>デリバリ_患者背景_サマリ</t>
    <phoneticPr fontId="9"/>
  </si>
  <si>
    <t>age_cate</t>
  </si>
  <si>
    <t>kikan</t>
  </si>
  <si>
    <t>ckd_n</t>
  </si>
  <si>
    <t>ckd_01</t>
  </si>
  <si>
    <t>ckd_02</t>
  </si>
  <si>
    <t>ckd_03</t>
  </si>
  <si>
    <t>ckd_04</t>
  </si>
  <si>
    <t>hd_flg</t>
  </si>
  <si>
    <t>c01</t>
  </si>
  <si>
    <t>c10</t>
  </si>
  <si>
    <t>c11</t>
  </si>
  <si>
    <t>年齢</t>
    <rPh sb="0" eb="2">
      <t>ネンレイ</t>
    </rPh>
    <phoneticPr fontId="9"/>
  </si>
  <si>
    <t>性別</t>
    <rPh sb="0" eb="2">
      <t>セイベツ</t>
    </rPh>
    <phoneticPr fontId="9"/>
  </si>
  <si>
    <t>期間</t>
    <rPh sb="0" eb="2">
      <t>キカン</t>
    </rPh>
    <phoneticPr fontId="9"/>
  </si>
  <si>
    <t>01_短期 / 02_中期 / 03_長期</t>
    <phoneticPr fontId="9"/>
  </si>
  <si>
    <t>01_40歳未満 / 02_40代 / 03_50代 / 04_60代 / 05_70代 / 06_80代 / 07_90歳以上 / それ以外の場合は空白</t>
    <rPh sb="69" eb="71">
      <t>イガイ</t>
    </rPh>
    <rPh sb="72" eb="74">
      <t>バアイ</t>
    </rPh>
    <rPh sb="75" eb="77">
      <t>クウハク</t>
    </rPh>
    <phoneticPr fontId="9"/>
  </si>
  <si>
    <t>診療科</t>
    <rPh sb="0" eb="3">
      <t>シンリョウカ</t>
    </rPh>
    <phoneticPr fontId="9"/>
  </si>
  <si>
    <t>eGFRフラグが0の場合1、それ以外は0</t>
    <rPh sb="10" eb="12">
      <t>バアイ</t>
    </rPh>
    <rPh sb="16" eb="18">
      <t>イガイ</t>
    </rPh>
    <phoneticPr fontId="9"/>
  </si>
  <si>
    <t>チェックN</t>
    <phoneticPr fontId="9"/>
  </si>
  <si>
    <t>チェック01</t>
    <phoneticPr fontId="9"/>
  </si>
  <si>
    <t>チェック02</t>
  </si>
  <si>
    <t>チェック03</t>
  </si>
  <si>
    <t>チェック04</t>
  </si>
  <si>
    <t>eGFRフラグが1かつ慢性心不全フラグが1の場合1、それ以外は0</t>
    <rPh sb="22" eb="24">
      <t>バアイ</t>
    </rPh>
    <rPh sb="28" eb="30">
      <t>イガイ</t>
    </rPh>
    <phoneticPr fontId="9"/>
  </si>
  <si>
    <t>eGFRフラグが1かつ糖尿病フラグが1の場合1、それ以外は0</t>
    <rPh sb="20" eb="22">
      <t>バアイ</t>
    </rPh>
    <rPh sb="26" eb="28">
      <t>イガイ</t>
    </rPh>
    <phoneticPr fontId="9"/>
  </si>
  <si>
    <t>eGFRフラグが1かつ高血圧フラグが1の場合1、それ以外は0</t>
    <rPh sb="20" eb="22">
      <t>バアイ</t>
    </rPh>
    <rPh sb="26" eb="28">
      <t>イガイ</t>
    </rPh>
    <phoneticPr fontId="9"/>
  </si>
  <si>
    <t>eGFRフラグが1かつ慢性心不全フラグが0かつ糖尿病フラグが0かつ高血圧フラグが0の場合1、それ以外は0</t>
    <rPh sb="42" eb="44">
      <t>バアイ</t>
    </rPh>
    <rPh sb="48" eb="50">
      <t>イガイ</t>
    </rPh>
    <phoneticPr fontId="9"/>
  </si>
  <si>
    <t>利尿薬フラグ</t>
  </si>
  <si>
    <t>SGLT-2阻害薬（フォシーガ以外）フラグ</t>
  </si>
  <si>
    <t>デリバリ_カリウム平均推移_日別</t>
    <phoneticPr fontId="9"/>
  </si>
  <si>
    <t>デリバリ_カリウム平均推移_日別</t>
    <phoneticPr fontId="9"/>
  </si>
  <si>
    <t>cate_egfr_summary</t>
    <phoneticPr fontId="9"/>
  </si>
  <si>
    <t>avg_value</t>
    <phoneticPr fontId="9"/>
  </si>
  <si>
    <t>std_value</t>
    <phoneticPr fontId="9"/>
  </si>
  <si>
    <t>patient_count</t>
    <phoneticPr fontId="9"/>
  </si>
  <si>
    <t>eGFRサマリ</t>
    <phoneticPr fontId="9"/>
  </si>
  <si>
    <t>経過日</t>
    <rPh sb="0" eb="3">
      <t>ケイカビ</t>
    </rPh>
    <phoneticPr fontId="9"/>
  </si>
  <si>
    <t>平均値</t>
    <rPh sb="0" eb="2">
      <t>ヘイキン</t>
    </rPh>
    <rPh sb="2" eb="3">
      <t>アタイ</t>
    </rPh>
    <phoneticPr fontId="9"/>
  </si>
  <si>
    <t>標準偏差値</t>
    <rPh sb="4" eb="5">
      <t>アタイ</t>
    </rPh>
    <phoneticPr fontId="9"/>
  </si>
  <si>
    <t>患者数カウント</t>
    <rPh sb="0" eb="3">
      <t>カンジャスウ</t>
    </rPh>
    <phoneticPr fontId="9"/>
  </si>
  <si>
    <t>30未満 / 30-45未満 / 45以上</t>
    <phoneticPr fontId="9"/>
  </si>
  <si>
    <t>セレクト_検査データ_カリウム</t>
    <phoneticPr fontId="9"/>
  </si>
  <si>
    <t>61_03</t>
    <phoneticPr fontId="9"/>
  </si>
  <si>
    <t>デリバリ_カリウム平均推移_日別_lb30以上</t>
    <phoneticPr fontId="9"/>
  </si>
  <si>
    <t>61_04</t>
    <phoneticPr fontId="9"/>
  </si>
  <si>
    <t>61_05</t>
    <phoneticPr fontId="9"/>
  </si>
  <si>
    <t>デリバリ_カリウム平均推移_週別</t>
    <phoneticPr fontId="9"/>
  </si>
  <si>
    <t>デリバリ_カリウム平均推移_週別</t>
    <phoneticPr fontId="9"/>
  </si>
  <si>
    <t>weeks</t>
  </si>
  <si>
    <t>デリバリ_カリウム平均推移_週別_lb30以上</t>
    <phoneticPr fontId="9"/>
  </si>
  <si>
    <t>デリバリ_カリウム平均推移_週別_lb30以上</t>
    <phoneticPr fontId="9"/>
  </si>
  <si>
    <t>61_06</t>
    <phoneticPr fontId="9"/>
  </si>
  <si>
    <t>デリバリ_カリウム平均推移_月別</t>
    <phoneticPr fontId="9"/>
  </si>
  <si>
    <t>months</t>
  </si>
  <si>
    <t>デリバリ_カリウム平均推移_月別</t>
    <phoneticPr fontId="9"/>
  </si>
  <si>
    <t>61_07</t>
    <phoneticPr fontId="9"/>
  </si>
  <si>
    <t>デリバリ_カリウム平均推移_月別_lb30以上</t>
    <phoneticPr fontId="9"/>
  </si>
  <si>
    <t>デリバリ_カリウム平均推移_月別_lb30以上</t>
    <phoneticPr fontId="9"/>
  </si>
  <si>
    <t>61_08</t>
    <phoneticPr fontId="9"/>
  </si>
  <si>
    <t>デリバリ_カリウム平均推移_日別_全患者</t>
    <phoneticPr fontId="9"/>
  </si>
  <si>
    <t>デリバリ_カリウム平均推移_日別_全患者</t>
    <phoneticPr fontId="9"/>
  </si>
  <si>
    <t>61_09</t>
    <phoneticPr fontId="9"/>
  </si>
  <si>
    <t>デリバリ_カリウム平均推移_日別_全患者</t>
    <rPh sb="17" eb="20">
      <t>ゼンカンジャ</t>
    </rPh>
    <phoneticPr fontId="9"/>
  </si>
  <si>
    <t>ALL固定</t>
    <rPh sb="3" eb="5">
      <t>コテイ</t>
    </rPh>
    <phoneticPr fontId="9"/>
  </si>
  <si>
    <t>デリバリ_カリウム平均推移_日別_全患者_lb30以上</t>
    <phoneticPr fontId="9"/>
  </si>
  <si>
    <t>デリバリ_カリウム平均推移_日別_全患者_lb30以上</t>
    <phoneticPr fontId="9"/>
  </si>
  <si>
    <t>61_10</t>
    <phoneticPr fontId="9"/>
  </si>
  <si>
    <t>デリバリ_カリウム平均推移_日別_全患者_lb30以上</t>
    <rPh sb="9" eb="11">
      <t>ヘイキン</t>
    </rPh>
    <rPh sb="11" eb="13">
      <t>スイイ</t>
    </rPh>
    <rPh sb="14" eb="15">
      <t>ヒ</t>
    </rPh>
    <rPh sb="15" eb="16">
      <t>ベツ</t>
    </rPh>
    <rPh sb="17" eb="18">
      <t>ゼン</t>
    </rPh>
    <rPh sb="18" eb="20">
      <t>カンジャ</t>
    </rPh>
    <rPh sb="25" eb="27">
      <t>イジョウ</t>
    </rPh>
    <phoneticPr fontId="9"/>
  </si>
  <si>
    <t>デリバリ_カリウム平均推移_週別_全患者</t>
    <phoneticPr fontId="9"/>
  </si>
  <si>
    <t>デリバリ_カリウム平均推移_週別_全患者</t>
    <phoneticPr fontId="9"/>
  </si>
  <si>
    <t>デリバリ_カリウム平均推移_週別_全患者_lb30以上</t>
    <phoneticPr fontId="9"/>
  </si>
  <si>
    <t>デリバリ_カリウム平均推移_週別_全患者_lb30以上</t>
    <phoneticPr fontId="9"/>
  </si>
  <si>
    <t>61_11</t>
    <phoneticPr fontId="9"/>
  </si>
  <si>
    <t>61_12</t>
    <phoneticPr fontId="9"/>
  </si>
  <si>
    <t>デリバリ_カリウム平均推移_月別_全患者</t>
    <phoneticPr fontId="9"/>
  </si>
  <si>
    <t>デリバリ_カリウム平均推移_月別_全患者</t>
    <phoneticPr fontId="9"/>
  </si>
  <si>
    <t>デリバリ_カリウム平均推移_月別_全患者_lb30以上</t>
    <phoneticPr fontId="9"/>
  </si>
  <si>
    <t>デリバリ_カリウム平均推移_月別_全患者_lb30以上</t>
    <phoneticPr fontId="9"/>
  </si>
  <si>
    <t>61_13</t>
    <phoneticPr fontId="9"/>
  </si>
  <si>
    <t>61_14</t>
    <phoneticPr fontId="9"/>
  </si>
  <si>
    <t>デリバリ_カリウム平均推移_週別_処方期間別</t>
    <phoneticPr fontId="9"/>
  </si>
  <si>
    <t>デリバリ_カリウム平均推移_週別_処方期間別</t>
    <phoneticPr fontId="9"/>
  </si>
  <si>
    <t>61_15</t>
    <phoneticPr fontId="9"/>
  </si>
  <si>
    <t>デリバリ_カリウム平均推移_週別_処方期間別_lbなし</t>
    <phoneticPr fontId="9"/>
  </si>
  <si>
    <t>デリバリ_カリウム平均推移_週別_処方期間別_lbあり</t>
    <phoneticPr fontId="9"/>
  </si>
  <si>
    <t>61_16</t>
    <phoneticPr fontId="9"/>
  </si>
  <si>
    <t>デリバリ_カリウム平均推移_週別_処方期間別_lbなし</t>
    <phoneticPr fontId="9"/>
  </si>
  <si>
    <t>shoho_cate</t>
    <phoneticPr fontId="9"/>
  </si>
  <si>
    <t>処方カテゴリ</t>
    <rPh sb="0" eb="2">
      <t>ショホウ</t>
    </rPh>
    <phoneticPr fontId="9"/>
  </si>
  <si>
    <t>01_30未満 / 02_30-45未満 / 
03_45以上</t>
    <phoneticPr fontId="9"/>
  </si>
  <si>
    <t>61_17</t>
    <phoneticPr fontId="9"/>
  </si>
  <si>
    <t>デリバリ_カリウム平均推移_週別_処方期間別_lbあり</t>
    <phoneticPr fontId="9"/>
  </si>
  <si>
    <t>デリバリ_患者_BMI</t>
    <rPh sb="5" eb="7">
      <t>カンジャ</t>
    </rPh>
    <phoneticPr fontId="9"/>
  </si>
  <si>
    <t>デリバリ_患者_BMI</t>
    <phoneticPr fontId="9"/>
  </si>
  <si>
    <t>height</t>
    <phoneticPr fontId="9"/>
  </si>
  <si>
    <t>weight</t>
    <phoneticPr fontId="9"/>
  </si>
  <si>
    <t>bmi</t>
    <phoneticPr fontId="9"/>
  </si>
  <si>
    <t>BMI</t>
    <phoneticPr fontId="9"/>
  </si>
  <si>
    <t>身長</t>
    <rPh sb="0" eb="2">
      <t>シンチョウ</t>
    </rPh>
    <phoneticPr fontId="9"/>
  </si>
  <si>
    <t>体重</t>
    <rPh sb="0" eb="2">
      <t>タイジュウ</t>
    </rPh>
    <phoneticPr fontId="9"/>
  </si>
  <si>
    <t>61_18</t>
    <phoneticPr fontId="9"/>
  </si>
  <si>
    <t>1または0
以下の場合1を設定
①pc_problemテーブルfree_noteから取得
②pc_external_referenceテーブルgaibu_sansyo_naiyoからの取得時でgaibu_sansyo_file_name=プログレスノート(S)</t>
    <rPh sb="6" eb="8">
      <t>イカ</t>
    </rPh>
    <rPh sb="9" eb="11">
      <t>バアイ</t>
    </rPh>
    <rPh sb="13" eb="15">
      <t>セッテイ</t>
    </rPh>
    <rPh sb="92" eb="95">
      <t>シュトクジ</t>
    </rPh>
    <phoneticPr fontId="9"/>
  </si>
  <si>
    <t>PK項目ごとに行番号を採番</t>
    <rPh sb="2" eb="4">
      <t>コウモク</t>
    </rPh>
    <rPh sb="7" eb="10">
      <t>ギョウバンゴウ</t>
    </rPh>
    <rPh sb="11" eb="13">
      <t>サイバン</t>
    </rPh>
    <phoneticPr fontId="9"/>
  </si>
  <si>
    <t>患者データの抽出結果を格納するテーブル</t>
    <rPh sb="0" eb="2">
      <t>カンジャ</t>
    </rPh>
    <rPh sb="6" eb="10">
      <t>チュウシュツケッカ</t>
    </rPh>
    <phoneticPr fontId="9"/>
  </si>
  <si>
    <t>検査データの抽出結果を格納するテーブル</t>
    <rPh sb="0" eb="2">
      <t>ケンサ</t>
    </rPh>
    <rPh sb="6" eb="10">
      <t>チュウシュツケッカ</t>
    </rPh>
    <phoneticPr fontId="9"/>
  </si>
  <si>
    <t>検査データを患者背景用に表示名ごとに集計した結果を格納するテーブル</t>
    <rPh sb="0" eb="2">
      <t>ケンサ</t>
    </rPh>
    <rPh sb="6" eb="8">
      <t>カンジャ</t>
    </rPh>
    <rPh sb="8" eb="10">
      <t>ハイケイ</t>
    </rPh>
    <rPh sb="10" eb="11">
      <t>ヨウ</t>
    </rPh>
    <rPh sb="12" eb="15">
      <t>ヒョウジメイ</t>
    </rPh>
    <rPh sb="18" eb="20">
      <t>シュウケイ</t>
    </rPh>
    <rPh sb="22" eb="24">
      <t>ケッカ</t>
    </rPh>
    <phoneticPr fontId="9"/>
  </si>
  <si>
    <t>カリウムに関する検査データを格納するテーブル</t>
    <rPh sb="5" eb="6">
      <t>カン</t>
    </rPh>
    <rPh sb="8" eb="10">
      <t>ケンサ</t>
    </rPh>
    <rPh sb="14" eb="16">
      <t>カクノウ</t>
    </rPh>
    <phoneticPr fontId="9"/>
  </si>
  <si>
    <t>併用薬データを格納するテーブル</t>
    <rPh sb="0" eb="3">
      <t>ヘイヨウヤク</t>
    </rPh>
    <rPh sb="7" eb="9">
      <t>カクノウ</t>
    </rPh>
    <phoneticPr fontId="9"/>
  </si>
  <si>
    <t>合併症有無_CKDのデータを格納するテーブル</t>
    <rPh sb="14" eb="16">
      <t>カクノウ</t>
    </rPh>
    <phoneticPr fontId="9"/>
  </si>
  <si>
    <t>合併症有無_CKD以外のデータを格納するテーブル</t>
    <rPh sb="9" eb="11">
      <t>イガイ</t>
    </rPh>
    <rPh sb="16" eb="18">
      <t>カクノウ</t>
    </rPh>
    <phoneticPr fontId="9"/>
  </si>
  <si>
    <t>透析有無のデータを格納するテーブル</t>
    <rPh sb="0" eb="2">
      <t>トウセキ</t>
    </rPh>
    <rPh sb="2" eb="4">
      <t>ウム</t>
    </rPh>
    <rPh sb="9" eb="11">
      <t>カクノウ</t>
    </rPh>
    <phoneticPr fontId="9"/>
  </si>
  <si>
    <t>バイタルデータを格納するテーブル</t>
    <rPh sb="8" eb="10">
      <t>カクノウ</t>
    </rPh>
    <phoneticPr fontId="9"/>
  </si>
  <si>
    <t>delivery</t>
  </si>
  <si>
    <t>delivery</t>
    <phoneticPr fontId="9"/>
  </si>
  <si>
    <t>患者背景の集計結果を格納するテーブル</t>
    <rPh sb="0" eb="4">
      <t>カンジャハイケイ</t>
    </rPh>
    <rPh sb="5" eb="9">
      <t>シュウケイケッカ</t>
    </rPh>
    <rPh sb="10" eb="12">
      <t>カクノウ</t>
    </rPh>
    <phoneticPr fontId="9"/>
  </si>
  <si>
    <t>患者背景の集計結果のサマリを格納するテーブル</t>
    <rPh sb="0" eb="4">
      <t>カンジャハイケイ</t>
    </rPh>
    <rPh sb="5" eb="9">
      <t>シュウケイケッカ</t>
    </rPh>
    <rPh sb="14" eb="16">
      <t>カクノウ</t>
    </rPh>
    <phoneticPr fontId="9"/>
  </si>
  <si>
    <t>日別のカリウム平均推移を格納するテーブル</t>
    <rPh sb="12" eb="14">
      <t>カクノウ</t>
    </rPh>
    <phoneticPr fontId="9"/>
  </si>
  <si>
    <t>look back期間が30日以上ある患者の日別のカリウム平均推移を格納するテーブル</t>
    <rPh sb="9" eb="11">
      <t>キカン</t>
    </rPh>
    <rPh sb="14" eb="15">
      <t>ニチ</t>
    </rPh>
    <rPh sb="15" eb="17">
      <t>イジョウ</t>
    </rPh>
    <rPh sb="19" eb="21">
      <t>カンジャ</t>
    </rPh>
    <rPh sb="34" eb="36">
      <t>カクノウ</t>
    </rPh>
    <phoneticPr fontId="9"/>
  </si>
  <si>
    <t>デリバリ_カリウム平均推移_日別_look back期間30日以上</t>
    <rPh sb="26" eb="28">
      <t>キカン</t>
    </rPh>
    <rPh sb="30" eb="31">
      <t>ニチ</t>
    </rPh>
    <phoneticPr fontId="9"/>
  </si>
  <si>
    <t>デリバリ_カリウム平均推移_日別_look back期間30日以上</t>
    <phoneticPr fontId="9"/>
  </si>
  <si>
    <t>azn_202310_delivery_k_days_look30</t>
    <phoneticPr fontId="9"/>
  </si>
  <si>
    <t>azn_202310_delivery_k_weeks_look30</t>
  </si>
  <si>
    <t>azn_202310_delivery_k_months_look30</t>
  </si>
  <si>
    <t>azn_202310_delivery_k_days_all_look30</t>
  </si>
  <si>
    <t>azn_202310_delivery_k_weeks_all_look30</t>
  </si>
  <si>
    <t>azn_202310_delivery_k_months_all_look30</t>
  </si>
  <si>
    <t>azn_202310_delivery_k_weeks_shoho_term_no_lb</t>
  </si>
  <si>
    <t>azn_202310_delivery_k_weeks_shoho_term_lb</t>
  </si>
  <si>
    <t>look back期間が30日以上ある患者の日別のカリウム平均推移を格納するテーブル</t>
    <phoneticPr fontId="9"/>
  </si>
  <si>
    <t>週別のカリウム平均推移を格納するテーブル</t>
    <rPh sb="0" eb="1">
      <t>シュウ</t>
    </rPh>
    <rPh sb="12" eb="14">
      <t>カクノウ</t>
    </rPh>
    <phoneticPr fontId="9"/>
  </si>
  <si>
    <t>月別のカリウム平均推移を格納するテーブル</t>
    <rPh sb="0" eb="1">
      <t>ツキ</t>
    </rPh>
    <rPh sb="12" eb="14">
      <t>カクノウ</t>
    </rPh>
    <phoneticPr fontId="9"/>
  </si>
  <si>
    <t>全患者分の月別のカリウム平均推移を格納するテーブル</t>
    <rPh sb="0" eb="3">
      <t>ゼンカンジャ</t>
    </rPh>
    <rPh sb="3" eb="4">
      <t>ブン</t>
    </rPh>
    <rPh sb="5" eb="6">
      <t>ツキ</t>
    </rPh>
    <rPh sb="17" eb="19">
      <t>カクノウ</t>
    </rPh>
    <phoneticPr fontId="9"/>
  </si>
  <si>
    <t>全患者分の週別のカリウム平均推移を格納するテーブル</t>
    <rPh sb="0" eb="3">
      <t>ゼンカンジャ</t>
    </rPh>
    <rPh sb="3" eb="4">
      <t>ブン</t>
    </rPh>
    <rPh sb="5" eb="6">
      <t>シュウ</t>
    </rPh>
    <rPh sb="17" eb="19">
      <t>カクノウ</t>
    </rPh>
    <phoneticPr fontId="9"/>
  </si>
  <si>
    <t>処方期間別、週別のカリウム平均推移を格納するテーブル</t>
    <rPh sb="0" eb="2">
      <t>ショホウ</t>
    </rPh>
    <rPh sb="2" eb="4">
      <t>キカン</t>
    </rPh>
    <rPh sb="4" eb="5">
      <t>ベツ</t>
    </rPh>
    <rPh sb="6" eb="7">
      <t>シュウ</t>
    </rPh>
    <rPh sb="18" eb="20">
      <t>カクノウ</t>
    </rPh>
    <phoneticPr fontId="9"/>
  </si>
  <si>
    <t>患者のBMIを集計した結果を格納するテーブル</t>
    <rPh sb="0" eb="2">
      <t>カンジャ</t>
    </rPh>
    <rPh sb="7" eb="9">
      <t>シュウケイ</t>
    </rPh>
    <rPh sb="11" eb="13">
      <t>ケッカ</t>
    </rPh>
    <rPh sb="14" eb="16">
      <t>カクノウ</t>
    </rPh>
    <phoneticPr fontId="9"/>
  </si>
  <si>
    <t>エンティティ一覧</t>
    <phoneticPr fontId="9"/>
  </si>
  <si>
    <t>PK項目で重複していた場合、平均値を格納</t>
    <rPh sb="2" eb="4">
      <t>コウモク</t>
    </rPh>
    <rPh sb="5" eb="7">
      <t>チョウフク</t>
    </rPh>
    <rPh sb="11" eb="13">
      <t>バアイ</t>
    </rPh>
    <rPh sb="14" eb="17">
      <t>ヘイキンチ</t>
    </rPh>
    <rPh sb="18" eb="20">
      <t>カクノウ</t>
    </rPh>
    <phoneticPr fontId="9"/>
  </si>
  <si>
    <t>51_02-2</t>
    <phoneticPr fontId="9"/>
  </si>
  <si>
    <t>ロケルマ処方期間内に慢性心不全の疾患開始日が存在した場合：1
上記以外の場合：0</t>
    <rPh sb="4" eb="6">
      <t>ショホウ</t>
    </rPh>
    <rPh sb="6" eb="9">
      <t>キカンナイ</t>
    </rPh>
    <rPh sb="10" eb="12">
      <t>マンセイ</t>
    </rPh>
    <rPh sb="12" eb="15">
      <t>シンフゼン</t>
    </rPh>
    <rPh sb="16" eb="18">
      <t>シッカン</t>
    </rPh>
    <rPh sb="18" eb="21">
      <t>カイシビ</t>
    </rPh>
    <rPh sb="22" eb="24">
      <t>ソンザイ</t>
    </rPh>
    <rPh sb="26" eb="28">
      <t>バアイ</t>
    </rPh>
    <rPh sb="31" eb="33">
      <t>ジョウキ</t>
    </rPh>
    <rPh sb="33" eb="35">
      <t>イガイ</t>
    </rPh>
    <rPh sb="36" eb="38">
      <t>バアイ</t>
    </rPh>
    <phoneticPr fontId="9"/>
  </si>
  <si>
    <t>ロケルマ処方期間内に糖尿病の疾患開始日が存在した場合：1
上記以外の場合：0</t>
    <rPh sb="4" eb="6">
      <t>ショホウ</t>
    </rPh>
    <rPh sb="6" eb="9">
      <t>キカンナイ</t>
    </rPh>
    <rPh sb="10" eb="13">
      <t>トウニョウビョウ</t>
    </rPh>
    <rPh sb="14" eb="16">
      <t>シッカン</t>
    </rPh>
    <rPh sb="16" eb="19">
      <t>カイシビ</t>
    </rPh>
    <rPh sb="20" eb="22">
      <t>ソンザイ</t>
    </rPh>
    <rPh sb="24" eb="26">
      <t>バアイ</t>
    </rPh>
    <rPh sb="29" eb="31">
      <t>ジョウキ</t>
    </rPh>
    <rPh sb="31" eb="33">
      <t>イガイ</t>
    </rPh>
    <rPh sb="34" eb="36">
      <t>バアイ</t>
    </rPh>
    <phoneticPr fontId="9"/>
  </si>
  <si>
    <t>ロケルマ処方期間内に高血圧の疾患開始日が存在した場合：1
上記以外の場合：0</t>
    <rPh sb="4" eb="6">
      <t>ショホウ</t>
    </rPh>
    <rPh sb="6" eb="9">
      <t>キカンナイ</t>
    </rPh>
    <rPh sb="10" eb="13">
      <t>コウケツアツ</t>
    </rPh>
    <rPh sb="14" eb="16">
      <t>シッカン</t>
    </rPh>
    <rPh sb="16" eb="19">
      <t>カイシビ</t>
    </rPh>
    <rPh sb="20" eb="22">
      <t>ソンザイ</t>
    </rPh>
    <rPh sb="24" eb="26">
      <t>バアイ</t>
    </rPh>
    <rPh sb="29" eb="31">
      <t>ジョウキ</t>
    </rPh>
    <rPh sb="31" eb="33">
      <t>イガイ</t>
    </rPh>
    <rPh sb="34" eb="36">
      <t>バアイ</t>
    </rPh>
    <phoneticPr fontId="9"/>
  </si>
  <si>
    <t>デリバリ_カリウム平均推移_週別_処方期間別_lbなし2</t>
    <phoneticPr fontId="9"/>
  </si>
  <si>
    <t>デリバリ_カリウム平均推移_週別_処方期間別_lbあり2</t>
    <phoneticPr fontId="9"/>
  </si>
  <si>
    <t>shoho_cate</t>
  </si>
  <si>
    <t>avg_value</t>
  </si>
  <si>
    <t>std_value</t>
  </si>
  <si>
    <t>01_短期 / 02_中期 / 03_長期</t>
  </si>
  <si>
    <t>61_20</t>
    <phoneticPr fontId="9"/>
  </si>
  <si>
    <t>61_19</t>
    <phoneticPr fontId="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</si>
</sst>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6">
    <font>
      <sz val="11"/>
      <color theme="1"/>
      <name val="ＭＳ Ｐゴシック"/>
      <family val="2"/>
      <charset val="128"/>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rgb="FF000000"/>
      <name val="Verdana"/>
      <family val="2"/>
    </font>
    <font>
      <b/>
      <sz val="11"/>
      <color rgb="FF000000"/>
      <name val="Verdana"/>
      <family val="2"/>
    </font>
    <font>
      <sz val="10"/>
      <color rgb="FF000000"/>
      <name val="Arial Unicode MS"/>
      <family val="3"/>
      <charset val="128"/>
    </font>
    <font>
      <i/>
      <sz val="10"/>
      <color rgb="FF000000"/>
      <name val="Arial Unicode MS"/>
      <family val="3"/>
      <charset val="128"/>
    </font>
    <font>
      <sz val="6"/>
      <name val="ＭＳ Ｐゴシック"/>
      <family val="2"/>
      <charset val="128"/>
    </font>
    <font>
      <sz val="11"/>
      <color theme="1"/>
      <name val="ＭＳ Ｐゴシック"/>
      <family val="3"/>
      <charset val="128"/>
    </font>
    <font>
      <sz val="11"/>
      <color theme="1"/>
      <name val="ＭＳ Ｐゴシック"/>
      <family val="2"/>
      <charset val="128"/>
    </font>
    <font>
      <sz val="6"/>
      <name val="ＭＳ Ｐゴシック"/>
      <family val="3"/>
      <charset val="128"/>
    </font>
    <font>
      <sz val="11"/>
      <name val="ＭＳ Ｐゴシック"/>
      <family val="3"/>
      <charset val="128"/>
    </font>
    <font>
      <b/>
      <sz val="11"/>
      <name val="メイリオ"/>
      <family val="3"/>
      <charset val="128"/>
    </font>
    <font>
      <sz val="11"/>
      <name val="メイリオ"/>
      <family val="3"/>
      <charset val="128"/>
    </font>
    <font>
      <sz val="11"/>
      <name val="lr oSVbN"/>
      <family val="2"/>
    </font>
    <font>
      <sz val="11"/>
      <name val="Meiryo UI"/>
      <family val="3"/>
      <charset val="128"/>
    </font>
    <font>
      <sz val="11"/>
      <color theme="1"/>
      <name val="ＭＳ Ｐゴシック"/>
      <family val="2"/>
      <charset val="128"/>
      <scheme val="minor"/>
    </font>
    <font>
      <sz val="11"/>
      <color theme="1"/>
      <name val="Meiryo UI"/>
      <family val="3"/>
      <charset val="128"/>
    </font>
    <font>
      <u/>
      <sz val="11"/>
      <color theme="10"/>
      <name val="ＭＳ Ｐゴシック"/>
      <family val="2"/>
      <charset val="128"/>
    </font>
    <font>
      <u/>
      <sz val="11"/>
      <color theme="10"/>
      <name val="ＭＳ Ｐゴシック"/>
      <family val="3"/>
      <charset val="128"/>
    </font>
    <font>
      <sz val="11"/>
      <color theme="1"/>
      <name val="ＭＳ Ｐゴシック"/>
      <family val="2"/>
      <scheme val="minor"/>
    </font>
    <font>
      <u/>
      <sz val="11"/>
      <color theme="10"/>
      <name val="Meiryo UI"/>
      <family val="3"/>
      <charset val="128"/>
    </font>
    <font>
      <u/>
      <sz val="11"/>
      <color theme="10"/>
      <name val="ＭＳ Ｐゴシック"/>
      <family val="2"/>
      <charset val="128"/>
      <scheme val="minor"/>
    </font>
    <font>
      <sz val="11"/>
      <color theme="0"/>
      <name val="メイリオ"/>
      <family val="3"/>
      <charset val="128"/>
    </font>
    <font>
      <sz val="11"/>
      <color theme="1"/>
      <name val="メイリオ"/>
      <family val="3"/>
      <charset val="128"/>
    </font>
    <font>
      <u/>
      <sz val="11"/>
      <color theme="11"/>
      <name val="ＭＳ Ｐゴシック"/>
      <family val="2"/>
      <charset val="128"/>
    </font>
    <font>
      <sz val="18"/>
      <color theme="3"/>
      <name val="ＭＳ Ｐゴシック"/>
      <family val="2"/>
      <charset val="128"/>
      <scheme val="major"/>
    </font>
    <font>
      <b/>
      <sz val="13"/>
      <color theme="3"/>
      <name val="ＭＳ Ｐゴシック"/>
      <family val="2"/>
      <charset val="128"/>
      <scheme val="minor"/>
    </font>
    <font>
      <b/>
      <sz val="11"/>
      <color theme="3"/>
      <name val="ＭＳ Ｐゴシック"/>
      <family val="2"/>
      <charset val="128"/>
      <scheme val="minor"/>
    </font>
    <font>
      <b/>
      <sz val="12"/>
      <name val="Meiryo UI"/>
      <family val="3"/>
      <charset val="128"/>
    </font>
    <font>
      <sz val="6"/>
      <name val="ＭＳ Ｐゴシック"/>
      <family val="2"/>
      <charset val="128"/>
      <scheme val="minor"/>
    </font>
    <font>
      <sz val="10"/>
      <color theme="1"/>
      <name val="メイリオ"/>
      <family val="3"/>
      <charset val="128"/>
    </font>
    <font>
      <sz val="9"/>
      <color theme="1"/>
      <name val="メイリオ"/>
      <family val="3"/>
      <charset val="128"/>
    </font>
    <font>
      <sz val="8"/>
      <color theme="1"/>
      <name val="メイリオ"/>
      <family val="3"/>
      <charset val="128"/>
    </font>
  </fonts>
  <fills count="8">
    <fill>
      <patternFill patternType="none"/>
    </fill>
    <fill>
      <patternFill patternType="gray125"/>
    </fill>
    <fill>
      <patternFill patternType="solid">
        <fgColor indexed="22"/>
        <bgColor indexed="64"/>
      </patternFill>
    </fill>
    <fill>
      <patternFill patternType="solid">
        <fgColor rgb="FFFFFFFF"/>
        <bgColor indexed="64"/>
      </patternFill>
    </fill>
    <fill>
      <patternFill patternType="solid">
        <fgColor theme="0"/>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rgb="FFFFFF00"/>
        <bgColor indexed="64"/>
      </patternFill>
    </fill>
  </fills>
  <borders count="61">
    <border>
      <left/>
      <right/>
      <top/>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thin">
        <color indexed="64"/>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style="medium">
        <color indexed="64"/>
      </bottom>
      <diagonal/>
    </border>
    <border>
      <left/>
      <right style="thin">
        <color indexed="64"/>
      </right>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right/>
      <top style="medium">
        <color indexed="64"/>
      </top>
      <bottom/>
      <diagonal/>
    </border>
    <border>
      <left style="thin">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mediumDashed">
        <color rgb="FF0070C0"/>
      </bottom>
      <diagonal/>
    </border>
    <border>
      <left style="medium">
        <color indexed="64"/>
      </left>
      <right/>
      <top/>
      <bottom style="double">
        <color indexed="64"/>
      </bottom>
      <diagonal/>
    </border>
    <border>
      <left/>
      <right style="thin">
        <color indexed="64"/>
      </right>
      <top/>
      <bottom/>
      <diagonal/>
    </border>
    <border>
      <left/>
      <right style="medium">
        <color indexed="64"/>
      </right>
      <top style="medium">
        <color indexed="64"/>
      </top>
      <bottom/>
      <diagonal/>
    </border>
    <border>
      <left/>
      <right style="medium">
        <color indexed="64"/>
      </right>
      <top/>
      <bottom style="double">
        <color indexed="64"/>
      </bottom>
      <diagonal/>
    </border>
    <border>
      <left style="medium">
        <color indexed="64"/>
      </left>
      <right/>
      <top style="thin">
        <color indexed="64"/>
      </top>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bottom style="thin">
        <color indexed="64"/>
      </bottom>
      <diagonal/>
    </border>
  </borders>
  <cellStyleXfs count="18">
    <xf numFmtId="0" fontId="0" fillId="0" borderId="0">
      <alignment vertical="center"/>
    </xf>
    <xf numFmtId="0" fontId="11" fillId="0" borderId="0">
      <alignment vertical="center"/>
    </xf>
    <xf numFmtId="0" fontId="13" fillId="0" borderId="0"/>
    <xf numFmtId="0" fontId="13" fillId="0" borderId="0">
      <alignment vertical="center"/>
    </xf>
    <xf numFmtId="0" fontId="18" fillId="0" borderId="0">
      <alignment vertical="center"/>
    </xf>
    <xf numFmtId="0" fontId="20" fillId="0" borderId="0" applyNumberFormat="0" applyFill="0" applyBorder="0" applyAlignment="0" applyProtection="0">
      <alignment vertical="center"/>
    </xf>
    <xf numFmtId="0" fontId="21" fillId="0" borderId="0" applyNumberFormat="0" applyFill="0" applyBorder="0" applyAlignment="0" applyProtection="0"/>
    <xf numFmtId="0" fontId="22" fillId="0" borderId="0"/>
    <xf numFmtId="0" fontId="13" fillId="0" borderId="0">
      <alignment vertical="center"/>
    </xf>
    <xf numFmtId="0" fontId="13" fillId="0" borderId="0"/>
    <xf numFmtId="0" fontId="23" fillId="0" borderId="0" applyNumberFormat="0" applyFill="0" applyBorder="0" applyAlignment="0" applyProtection="0">
      <alignment vertical="center"/>
    </xf>
    <xf numFmtId="0" fontId="4" fillId="0" borderId="0">
      <alignment vertical="center"/>
    </xf>
    <xf numFmtId="0" fontId="13" fillId="0" borderId="0">
      <alignment vertical="center"/>
    </xf>
    <xf numFmtId="0" fontId="13" fillId="0" borderId="0"/>
    <xf numFmtId="0" fontId="20"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1" fillId="0" borderId="0">
      <alignment vertical="center"/>
    </xf>
    <xf numFmtId="0" fontId="1" fillId="0" borderId="0">
      <alignment vertical="center"/>
    </xf>
  </cellStyleXfs>
  <cellXfs count="282">
    <xf numFmtId="0" fontId="0" fillId="0" borderId="0" xfId="0">
      <alignment vertical="center"/>
    </xf>
    <xf numFmtId="0" fontId="6" fillId="0" borderId="1" xfId="0" applyFont="1" applyBorder="1" applyAlignment="1">
      <alignment horizontal="center" vertical="center" wrapText="1"/>
    </xf>
    <xf numFmtId="0" fontId="7" fillId="0" borderId="1" xfId="0" applyFont="1" applyBorder="1" applyAlignment="1">
      <alignment vertical="center" wrapText="1"/>
    </xf>
    <xf numFmtId="0" fontId="5" fillId="0" borderId="1" xfId="0" applyFont="1" applyBorder="1" applyAlignment="1">
      <alignment vertical="center" wrapText="1"/>
    </xf>
    <xf numFmtId="0" fontId="15" fillId="0" borderId="0" xfId="3" applyFont="1">
      <alignment vertical="center"/>
    </xf>
    <xf numFmtId="0" fontId="15" fillId="0" borderId="0" xfId="3" applyFont="1" applyFill="1">
      <alignment vertical="center"/>
    </xf>
    <xf numFmtId="0" fontId="17" fillId="3" borderId="3" xfId="2" applyFont="1" applyFill="1" applyBorder="1" applyAlignment="1">
      <alignment vertical="center" wrapText="1"/>
    </xf>
    <xf numFmtId="0" fontId="15" fillId="0" borderId="3" xfId="2" applyFont="1" applyFill="1" applyBorder="1" applyAlignment="1" applyProtection="1">
      <alignment horizontal="center" vertical="center"/>
    </xf>
    <xf numFmtId="0" fontId="15" fillId="0" borderId="3" xfId="2" applyFont="1" applyBorder="1" applyAlignment="1" applyProtection="1">
      <alignment horizontal="center" vertical="center"/>
    </xf>
    <xf numFmtId="0" fontId="15" fillId="0" borderId="3" xfId="2" applyFont="1" applyBorder="1" applyAlignment="1" applyProtection="1">
      <alignment vertical="center"/>
    </xf>
    <xf numFmtId="0" fontId="15" fillId="0" borderId="22" xfId="2" applyFont="1" applyBorder="1" applyAlignment="1" applyProtection="1">
      <alignment horizontal="center" vertical="center"/>
    </xf>
    <xf numFmtId="0" fontId="15" fillId="0" borderId="31" xfId="2" applyFont="1" applyBorder="1" applyAlignment="1" applyProtection="1">
      <alignment vertical="center" wrapText="1"/>
    </xf>
    <xf numFmtId="0" fontId="15" fillId="0" borderId="0" xfId="3" applyFont="1" applyAlignment="1">
      <alignment vertical="center" wrapText="1"/>
    </xf>
    <xf numFmtId="0" fontId="17" fillId="0" borderId="3" xfId="2" applyFont="1" applyFill="1" applyBorder="1" applyAlignment="1">
      <alignment vertical="center" wrapText="1"/>
    </xf>
    <xf numFmtId="0" fontId="19" fillId="3" borderId="3" xfId="2" applyFont="1" applyFill="1" applyBorder="1" applyAlignment="1">
      <alignment vertical="center" wrapText="1"/>
    </xf>
    <xf numFmtId="0" fontId="14" fillId="2" borderId="11" xfId="3" applyFont="1" applyFill="1" applyBorder="1" applyAlignment="1">
      <alignment horizontal="center" vertical="center" wrapText="1"/>
    </xf>
    <xf numFmtId="0" fontId="20" fillId="0" borderId="0" xfId="5">
      <alignment vertical="center"/>
    </xf>
    <xf numFmtId="14" fontId="15" fillId="0" borderId="17" xfId="3" applyNumberFormat="1" applyFont="1" applyFill="1" applyBorder="1" applyAlignment="1">
      <alignment horizontal="center" vertical="center" wrapText="1"/>
    </xf>
    <xf numFmtId="0" fontId="15" fillId="0" borderId="0" xfId="3" applyFont="1" applyFill="1" applyAlignment="1">
      <alignment vertical="center" wrapText="1"/>
    </xf>
    <xf numFmtId="0" fontId="15" fillId="0" borderId="0" xfId="3" applyFont="1" applyFill="1" applyBorder="1" applyAlignment="1">
      <alignment vertical="top"/>
    </xf>
    <xf numFmtId="0" fontId="15" fillId="0" borderId="0" xfId="2" applyFont="1" applyFill="1" applyBorder="1" applyAlignment="1">
      <alignment vertical="top"/>
    </xf>
    <xf numFmtId="0" fontId="15" fillId="0" borderId="30" xfId="2" applyFont="1" applyFill="1" applyBorder="1" applyAlignment="1" applyProtection="1">
      <alignment horizontal="center" vertical="center" shrinkToFit="1"/>
    </xf>
    <xf numFmtId="0" fontId="15" fillId="0" borderId="3" xfId="2" applyFont="1" applyFill="1" applyBorder="1" applyAlignment="1" applyProtection="1">
      <alignment vertical="center"/>
    </xf>
    <xf numFmtId="0" fontId="15" fillId="0" borderId="22" xfId="2" applyFont="1" applyFill="1" applyBorder="1" applyAlignment="1" applyProtection="1">
      <alignment horizontal="center" vertical="center"/>
    </xf>
    <xf numFmtId="0" fontId="15" fillId="0" borderId="31" xfId="2" applyFont="1" applyFill="1" applyBorder="1" applyAlignment="1" applyProtection="1">
      <alignment vertical="center" wrapText="1"/>
    </xf>
    <xf numFmtId="0" fontId="15" fillId="0" borderId="0" xfId="3" applyFont="1" applyAlignment="1">
      <alignment vertical="center"/>
    </xf>
    <xf numFmtId="0" fontId="15" fillId="0" borderId="22" xfId="2" applyFont="1" applyBorder="1" applyAlignment="1" applyProtection="1">
      <alignment vertical="center"/>
    </xf>
    <xf numFmtId="0" fontId="15" fillId="0" borderId="32" xfId="2" applyFont="1" applyBorder="1" applyAlignment="1" applyProtection="1">
      <alignment horizontal="center" vertical="center" shrinkToFit="1"/>
    </xf>
    <xf numFmtId="0" fontId="17" fillId="3" borderId="33" xfId="2" applyFont="1" applyFill="1" applyBorder="1" applyAlignment="1">
      <alignment vertical="center" wrapText="1"/>
    </xf>
    <xf numFmtId="0" fontId="15" fillId="0" borderId="33" xfId="2" applyFont="1" applyBorder="1" applyAlignment="1" applyProtection="1">
      <alignment horizontal="center" vertical="center"/>
    </xf>
    <xf numFmtId="0" fontId="15" fillId="0" borderId="14" xfId="2" applyFont="1" applyBorder="1" applyAlignment="1" applyProtection="1">
      <alignment vertical="center"/>
    </xf>
    <xf numFmtId="0" fontId="15" fillId="0" borderId="14" xfId="2" applyFont="1" applyBorder="1" applyAlignment="1" applyProtection="1">
      <alignment horizontal="center" vertical="center"/>
    </xf>
    <xf numFmtId="0" fontId="15" fillId="0" borderId="0" xfId="8" applyFont="1">
      <alignment vertical="center"/>
    </xf>
    <xf numFmtId="0" fontId="15" fillId="0" borderId="15" xfId="8" applyFont="1" applyBorder="1" applyAlignment="1">
      <alignment vertical="center"/>
    </xf>
    <xf numFmtId="0" fontId="25" fillId="0" borderId="0" xfId="8" applyFont="1">
      <alignment vertical="center"/>
    </xf>
    <xf numFmtId="0" fontId="26" fillId="0" borderId="0" xfId="1" applyFont="1">
      <alignment vertical="center"/>
    </xf>
    <xf numFmtId="0" fontId="26" fillId="0" borderId="41" xfId="1" applyFont="1" applyBorder="1">
      <alignment vertical="center"/>
    </xf>
    <xf numFmtId="0" fontId="26" fillId="0" borderId="44" xfId="1" applyFont="1" applyBorder="1">
      <alignment vertical="center"/>
    </xf>
    <xf numFmtId="0" fontId="26" fillId="0" borderId="2" xfId="1" applyFont="1" applyBorder="1">
      <alignment vertical="center"/>
    </xf>
    <xf numFmtId="0" fontId="26" fillId="0" borderId="0" xfId="1" applyFont="1" applyFill="1">
      <alignment vertical="center"/>
    </xf>
    <xf numFmtId="0" fontId="26" fillId="0" borderId="4" xfId="1" applyFont="1" applyFill="1" applyBorder="1">
      <alignment vertical="center"/>
    </xf>
    <xf numFmtId="0" fontId="26" fillId="0" borderId="4" xfId="1" applyFont="1" applyBorder="1">
      <alignment vertical="center"/>
    </xf>
    <xf numFmtId="0" fontId="26" fillId="0" borderId="45" xfId="1" applyFont="1" applyBorder="1">
      <alignment vertical="center"/>
    </xf>
    <xf numFmtId="0" fontId="26" fillId="5" borderId="3" xfId="1" applyFont="1" applyFill="1" applyBorder="1">
      <alignment vertical="center"/>
    </xf>
    <xf numFmtId="0" fontId="14" fillId="2" borderId="27" xfId="3" applyFont="1" applyFill="1" applyBorder="1" applyAlignment="1">
      <alignment horizontal="center" vertical="center" wrapText="1"/>
    </xf>
    <xf numFmtId="0" fontId="14" fillId="2" borderId="28" xfId="3" applyFont="1" applyFill="1" applyBorder="1" applyAlignment="1">
      <alignment horizontal="center" vertical="center" wrapText="1"/>
    </xf>
    <xf numFmtId="0" fontId="14" fillId="2" borderId="34" xfId="3" applyFont="1" applyFill="1" applyBorder="1" applyAlignment="1">
      <alignment horizontal="center" vertical="center"/>
    </xf>
    <xf numFmtId="0" fontId="14" fillId="2" borderId="6" xfId="3" applyFont="1" applyFill="1" applyBorder="1" applyAlignment="1">
      <alignment horizontal="center" vertical="center"/>
    </xf>
    <xf numFmtId="0" fontId="14" fillId="2" borderId="27" xfId="3" applyFont="1" applyFill="1" applyBorder="1" applyAlignment="1">
      <alignment horizontal="center" vertical="center"/>
    </xf>
    <xf numFmtId="0" fontId="14" fillId="2" borderId="8" xfId="3" applyFont="1" applyFill="1" applyBorder="1" applyAlignment="1">
      <alignment horizontal="center" vertical="center" wrapText="1"/>
    </xf>
    <xf numFmtId="0" fontId="26" fillId="0" borderId="21" xfId="1" applyFont="1" applyBorder="1" applyAlignment="1">
      <alignment vertical="center"/>
    </xf>
    <xf numFmtId="49" fontId="26" fillId="0" borderId="22" xfId="1" applyNumberFormat="1" applyFont="1" applyBorder="1" applyAlignment="1">
      <alignment vertical="center"/>
    </xf>
    <xf numFmtId="0" fontId="26" fillId="0" borderId="21" xfId="1" applyFont="1" applyBorder="1" applyAlignment="1">
      <alignment vertical="center"/>
    </xf>
    <xf numFmtId="0" fontId="15" fillId="0" borderId="31" xfId="2" applyFont="1" applyBorder="1" applyAlignment="1" applyProtection="1">
      <alignment vertical="top" wrapText="1"/>
    </xf>
    <xf numFmtId="0" fontId="15" fillId="0" borderId="31" xfId="2" applyFont="1" applyFill="1" applyBorder="1" applyAlignment="1" applyProtection="1">
      <alignment vertical="top" wrapText="1"/>
    </xf>
    <xf numFmtId="0" fontId="15" fillId="0" borderId="17" xfId="2" applyFont="1" applyBorder="1" applyAlignment="1" applyProtection="1">
      <alignment vertical="top" wrapText="1"/>
    </xf>
    <xf numFmtId="0" fontId="15" fillId="0" borderId="33" xfId="2" applyFont="1" applyFill="1" applyBorder="1" applyAlignment="1" applyProtection="1">
      <alignment horizontal="center" vertical="center"/>
    </xf>
    <xf numFmtId="0" fontId="17" fillId="0" borderId="33" xfId="2" applyFont="1" applyFill="1" applyBorder="1" applyAlignment="1">
      <alignment vertical="center" wrapText="1"/>
    </xf>
    <xf numFmtId="0" fontId="15" fillId="0" borderId="22" xfId="2" applyFont="1" applyFill="1" applyBorder="1" applyAlignment="1" applyProtection="1">
      <alignment vertical="center"/>
    </xf>
    <xf numFmtId="0" fontId="15" fillId="0" borderId="14" xfId="2" applyFont="1" applyFill="1" applyBorder="1" applyAlignment="1" applyProtection="1">
      <alignment vertical="center"/>
    </xf>
    <xf numFmtId="0" fontId="15" fillId="0" borderId="14" xfId="2" applyFont="1" applyFill="1" applyBorder="1" applyAlignment="1" applyProtection="1">
      <alignment horizontal="center" vertical="center"/>
    </xf>
    <xf numFmtId="0" fontId="15" fillId="0" borderId="17" xfId="2" applyFont="1" applyFill="1" applyBorder="1" applyAlignment="1" applyProtection="1">
      <alignment vertical="center" wrapText="1"/>
    </xf>
    <xf numFmtId="0" fontId="26" fillId="6" borderId="3" xfId="1" applyFont="1" applyFill="1" applyBorder="1">
      <alignment vertical="center"/>
    </xf>
    <xf numFmtId="0" fontId="15" fillId="0" borderId="17" xfId="0" applyFont="1" applyBorder="1" applyAlignment="1" applyProtection="1">
      <alignment vertical="center" wrapText="1"/>
    </xf>
    <xf numFmtId="49" fontId="15" fillId="0" borderId="0" xfId="8" applyNumberFormat="1" applyFont="1">
      <alignment vertical="center"/>
    </xf>
    <xf numFmtId="0" fontId="15" fillId="0" borderId="32" xfId="2" applyFont="1" applyFill="1" applyBorder="1" applyAlignment="1" applyProtection="1">
      <alignment horizontal="center" vertical="center" shrinkToFit="1"/>
    </xf>
    <xf numFmtId="49" fontId="15" fillId="0" borderId="3" xfId="2" applyNumberFormat="1" applyFont="1" applyBorder="1" applyAlignment="1" applyProtection="1">
      <alignment vertical="center"/>
    </xf>
    <xf numFmtId="49" fontId="15" fillId="0" borderId="33" xfId="2" applyNumberFormat="1" applyFont="1" applyBorder="1" applyAlignment="1" applyProtection="1">
      <alignment vertical="center"/>
    </xf>
    <xf numFmtId="0" fontId="15" fillId="0" borderId="17" xfId="2" applyFont="1" applyBorder="1" applyAlignment="1" applyProtection="1">
      <alignment vertical="center" wrapText="1"/>
    </xf>
    <xf numFmtId="0" fontId="15" fillId="0" borderId="54" xfId="2" applyFont="1" applyFill="1" applyBorder="1" applyAlignment="1" applyProtection="1">
      <alignment horizontal="center" vertical="center" shrinkToFit="1"/>
    </xf>
    <xf numFmtId="0" fontId="17" fillId="3" borderId="55" xfId="2" applyFont="1" applyFill="1" applyBorder="1" applyAlignment="1">
      <alignment vertical="center" wrapText="1"/>
    </xf>
    <xf numFmtId="0" fontId="15" fillId="0" borderId="55" xfId="2" applyFont="1" applyFill="1" applyBorder="1" applyAlignment="1" applyProtection="1">
      <alignment horizontal="center" vertical="center"/>
    </xf>
    <xf numFmtId="0" fontId="15" fillId="0" borderId="51" xfId="2" applyFont="1" applyFill="1" applyBorder="1" applyAlignment="1" applyProtection="1">
      <alignment vertical="center"/>
    </xf>
    <xf numFmtId="0" fontId="15" fillId="0" borderId="51" xfId="2" applyFont="1" applyFill="1" applyBorder="1" applyAlignment="1" applyProtection="1">
      <alignment horizontal="center" vertical="center"/>
    </xf>
    <xf numFmtId="0" fontId="15" fillId="0" borderId="56" xfId="2" applyFont="1" applyFill="1" applyBorder="1" applyAlignment="1" applyProtection="1">
      <alignment vertical="center" wrapText="1"/>
    </xf>
    <xf numFmtId="0" fontId="15" fillId="0" borderId="0" xfId="1" applyFont="1">
      <alignment vertical="center"/>
    </xf>
    <xf numFmtId="0" fontId="15" fillId="7" borderId="0" xfId="3" applyFont="1" applyFill="1">
      <alignment vertical="center"/>
    </xf>
    <xf numFmtId="49" fontId="26" fillId="0" borderId="0" xfId="1" applyNumberFormat="1" applyFont="1">
      <alignment vertical="center"/>
    </xf>
    <xf numFmtId="0" fontId="26" fillId="0" borderId="21" xfId="1" applyFont="1" applyBorder="1" applyAlignment="1">
      <alignment vertical="center"/>
    </xf>
    <xf numFmtId="0" fontId="15" fillId="4" borderId="22" xfId="8" applyFont="1" applyFill="1" applyBorder="1" applyAlignment="1">
      <alignment horizontal="left" vertical="top"/>
    </xf>
    <xf numFmtId="0" fontId="15" fillId="4" borderId="14" xfId="8" applyFont="1" applyFill="1" applyBorder="1" applyAlignment="1">
      <alignment horizontal="left" vertical="top"/>
    </xf>
    <xf numFmtId="0" fontId="31" fillId="0" borderId="0" xfId="3" applyFont="1" applyAlignment="1">
      <alignment vertical="center"/>
    </xf>
    <xf numFmtId="0" fontId="17" fillId="0" borderId="0" xfId="3" applyFont="1" applyAlignment="1">
      <alignment vertical="center"/>
    </xf>
    <xf numFmtId="0" fontId="17" fillId="5" borderId="3" xfId="3" applyFont="1" applyFill="1" applyBorder="1" applyAlignment="1">
      <alignment vertical="center"/>
    </xf>
    <xf numFmtId="0" fontId="17" fillId="0" borderId="3" xfId="3" applyFont="1" applyBorder="1" applyAlignment="1">
      <alignment vertical="center"/>
    </xf>
    <xf numFmtId="0" fontId="17" fillId="0" borderId="0" xfId="3" applyFont="1" applyAlignment="1">
      <alignment horizontal="left" vertical="center"/>
    </xf>
    <xf numFmtId="0" fontId="17" fillId="0" borderId="0" xfId="3" applyFont="1" applyAlignment="1">
      <alignment vertical="center" wrapText="1"/>
    </xf>
    <xf numFmtId="0" fontId="17" fillId="0" borderId="3" xfId="3" quotePrefix="1" applyFont="1" applyBorder="1" applyAlignment="1">
      <alignment vertical="center"/>
    </xf>
    <xf numFmtId="0" fontId="26" fillId="0" borderId="21" xfId="1" applyFont="1" applyBorder="1" applyAlignment="1">
      <alignment vertical="center"/>
    </xf>
    <xf numFmtId="0" fontId="15" fillId="4" borderId="42" xfId="8" applyFont="1" applyFill="1" applyBorder="1" applyAlignment="1">
      <alignment horizontal="left" vertical="top"/>
    </xf>
    <xf numFmtId="0" fontId="26" fillId="0" borderId="21" xfId="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0" xfId="1" applyFont="1" applyFill="1" applyBorder="1">
      <alignment vertical="center"/>
    </xf>
    <xf numFmtId="0" fontId="26" fillId="0" borderId="21" xfId="1" applyFont="1" applyBorder="1" applyAlignment="1">
      <alignment vertical="center"/>
    </xf>
    <xf numFmtId="0" fontId="26" fillId="0" borderId="21" xfId="1" applyFont="1" applyBorder="1" applyAlignment="1">
      <alignment vertical="center"/>
    </xf>
    <xf numFmtId="0" fontId="15" fillId="7" borderId="0" xfId="3" applyFont="1" applyFill="1">
      <alignment vertical="center"/>
    </xf>
    <xf numFmtId="0" fontId="26" fillId="0" borderId="0" xfId="1" applyFont="1" applyBorder="1">
      <alignment vertical="center"/>
    </xf>
    <xf numFmtId="0" fontId="26" fillId="0" borderId="0" xfId="1" applyFont="1" applyBorder="1" applyAlignment="1">
      <alignment horizontal="center" vertical="center" wrapText="1"/>
    </xf>
    <xf numFmtId="0" fontId="26" fillId="0" borderId="40" xfId="1" applyFont="1" applyBorder="1">
      <alignment vertical="center"/>
    </xf>
    <xf numFmtId="0" fontId="26" fillId="0" borderId="39" xfId="1" applyFont="1" applyBorder="1">
      <alignment vertical="center"/>
    </xf>
    <xf numFmtId="0" fontId="26" fillId="0" borderId="47" xfId="1" applyFont="1" applyBorder="1">
      <alignment vertical="center"/>
    </xf>
    <xf numFmtId="0" fontId="26" fillId="0" borderId="43" xfId="1" applyFont="1" applyBorder="1">
      <alignment vertical="center"/>
    </xf>
    <xf numFmtId="0" fontId="26" fillId="0" borderId="41" xfId="1" applyFont="1" applyFill="1" applyBorder="1">
      <alignment vertical="center"/>
    </xf>
    <xf numFmtId="0" fontId="26" fillId="0" borderId="44" xfId="1" applyFont="1" applyFill="1" applyBorder="1">
      <alignment vertical="center"/>
    </xf>
    <xf numFmtId="0" fontId="26" fillId="0" borderId="57" xfId="1" applyFont="1" applyFill="1" applyBorder="1">
      <alignment vertical="center"/>
    </xf>
    <xf numFmtId="0" fontId="26" fillId="0" borderId="42" xfId="1" applyFont="1" applyBorder="1">
      <alignment vertical="center"/>
    </xf>
    <xf numFmtId="0" fontId="26" fillId="0" borderId="57" xfId="1" applyFont="1" applyBorder="1">
      <alignment vertical="center"/>
    </xf>
    <xf numFmtId="0" fontId="26" fillId="0" borderId="0" xfId="1" applyFont="1" applyBorder="1" applyAlignment="1">
      <alignment vertical="center"/>
    </xf>
    <xf numFmtId="0" fontId="26" fillId="0" borderId="0" xfId="1" applyFont="1" applyBorder="1" applyAlignment="1">
      <alignment vertical="center" wrapText="1"/>
    </xf>
    <xf numFmtId="0" fontId="26" fillId="0" borderId="43" xfId="1" applyFont="1" applyFill="1" applyBorder="1">
      <alignment vertical="center"/>
    </xf>
    <xf numFmtId="0" fontId="26" fillId="0" borderId="22" xfId="1" applyFont="1" applyBorder="1">
      <alignment vertical="center"/>
    </xf>
    <xf numFmtId="0" fontId="26" fillId="0" borderId="23" xfId="1" applyFont="1" applyBorder="1">
      <alignment vertical="center"/>
    </xf>
    <xf numFmtId="0" fontId="26" fillId="0" borderId="47" xfId="1" applyFont="1" applyFill="1" applyBorder="1">
      <alignment vertical="center"/>
    </xf>
    <xf numFmtId="49" fontId="26" fillId="0" borderId="22" xfId="1" applyNumberFormat="1" applyFont="1" applyFill="1" applyBorder="1" applyAlignment="1">
      <alignment vertical="center"/>
    </xf>
    <xf numFmtId="0" fontId="26" fillId="0" borderId="21" xfId="1" applyFont="1" applyFill="1" applyBorder="1" applyAlignment="1">
      <alignment vertical="center"/>
    </xf>
    <xf numFmtId="0" fontId="15" fillId="0" borderId="31" xfId="2" quotePrefix="1" applyFont="1" applyBorder="1" applyAlignment="1" applyProtection="1">
      <alignment vertical="center" wrapText="1"/>
    </xf>
    <xf numFmtId="0" fontId="15" fillId="0" borderId="55" xfId="2" applyFont="1" applyBorder="1" applyAlignment="1" applyProtection="1">
      <alignment horizontal="center" vertical="center"/>
    </xf>
    <xf numFmtId="0" fontId="15" fillId="0" borderId="51" xfId="2" applyFont="1" applyBorder="1" applyAlignment="1" applyProtection="1">
      <alignment vertical="center"/>
    </xf>
    <xf numFmtId="0" fontId="15" fillId="0" borderId="51" xfId="2" applyFont="1" applyBorder="1" applyAlignment="1" applyProtection="1">
      <alignment horizontal="center" vertical="center"/>
    </xf>
    <xf numFmtId="0" fontId="17" fillId="0" borderId="55" xfId="2" applyFont="1" applyFill="1" applyBorder="1" applyAlignment="1">
      <alignment vertical="center" wrapText="1"/>
    </xf>
    <xf numFmtId="0" fontId="15" fillId="0" borderId="58" xfId="2" applyFont="1" applyFill="1" applyBorder="1" applyAlignment="1" applyProtection="1">
      <alignment horizontal="center" vertical="center" shrinkToFit="1"/>
    </xf>
    <xf numFmtId="0" fontId="17" fillId="0" borderId="57" xfId="2" applyFont="1" applyFill="1" applyBorder="1" applyAlignment="1">
      <alignment vertical="center" wrapText="1"/>
    </xf>
    <xf numFmtId="0" fontId="15" fillId="0" borderId="57" xfId="2" applyFont="1" applyFill="1" applyBorder="1" applyAlignment="1" applyProtection="1">
      <alignment horizontal="center" vertical="center"/>
    </xf>
    <xf numFmtId="0" fontId="15" fillId="0" borderId="4" xfId="2" applyFont="1" applyFill="1" applyBorder="1" applyAlignment="1" applyProtection="1">
      <alignment vertical="center"/>
    </xf>
    <xf numFmtId="0" fontId="15" fillId="0" borderId="4" xfId="2" applyFont="1" applyFill="1" applyBorder="1" applyAlignment="1" applyProtection="1">
      <alignment horizontal="center" vertical="center"/>
    </xf>
    <xf numFmtId="0" fontId="15" fillId="0" borderId="59" xfId="2" applyFont="1" applyFill="1" applyBorder="1" applyAlignment="1" applyProtection="1">
      <alignment vertical="center" wrapText="1"/>
    </xf>
    <xf numFmtId="0" fontId="26" fillId="0" borderId="21" xfId="1" applyFont="1" applyBorder="1" applyAlignment="1">
      <alignment vertical="center"/>
    </xf>
    <xf numFmtId="49" fontId="15" fillId="0" borderId="55" xfId="2" applyNumberFormat="1" applyFont="1" applyBorder="1" applyAlignment="1" applyProtection="1">
      <alignment vertical="center"/>
    </xf>
    <xf numFmtId="0" fontId="15" fillId="0" borderId="56" xfId="2" applyFont="1" applyBorder="1" applyAlignment="1" applyProtection="1">
      <alignment vertical="center" wrapText="1"/>
    </xf>
    <xf numFmtId="0" fontId="26" fillId="0" borderId="21" xfId="1" applyFont="1" applyBorder="1" applyAlignment="1">
      <alignment vertical="center"/>
    </xf>
    <xf numFmtId="0" fontId="26" fillId="0" borderId="23" xfId="1" applyFont="1" applyBorder="1" applyAlignment="1">
      <alignment vertical="center" wrapText="1"/>
    </xf>
    <xf numFmtId="0" fontId="26" fillId="0" borderId="21" xfId="1" applyFont="1" applyBorder="1" applyAlignment="1">
      <alignment vertical="center"/>
    </xf>
    <xf numFmtId="0" fontId="26" fillId="0" borderId="22" xfId="1" applyFont="1" applyBorder="1" applyAlignment="1">
      <alignment vertical="center" wrapText="1"/>
    </xf>
    <xf numFmtId="0" fontId="26" fillId="0" borderId="23" xfId="1" applyFont="1" applyBorder="1" applyAlignment="1">
      <alignment vertical="center" wrapText="1"/>
    </xf>
    <xf numFmtId="0" fontId="26" fillId="0" borderId="21" xfId="1" applyFont="1" applyBorder="1" applyAlignment="1">
      <alignment vertical="center" wrapText="1"/>
    </xf>
    <xf numFmtId="0" fontId="26" fillId="0" borderId="2" xfId="1" applyFont="1" applyBorder="1" applyAlignment="1">
      <alignment horizontal="center" vertical="center" wrapText="1"/>
    </xf>
    <xf numFmtId="0" fontId="26" fillId="0" borderId="39" xfId="1" applyFont="1" applyBorder="1" applyAlignment="1">
      <alignment horizontal="center" vertical="center" wrapText="1"/>
    </xf>
    <xf numFmtId="0" fontId="26" fillId="0" borderId="42" xfId="1" applyFont="1" applyBorder="1" applyAlignment="1">
      <alignment horizontal="center" vertical="center" wrapText="1"/>
    </xf>
    <xf numFmtId="0" fontId="26" fillId="0" borderId="43" xfId="1" applyFont="1" applyBorder="1" applyAlignment="1">
      <alignment horizontal="center" vertical="center" wrapText="1"/>
    </xf>
    <xf numFmtId="0" fontId="26" fillId="0" borderId="40" xfId="1" applyFont="1" applyBorder="1" applyAlignment="1">
      <alignment horizontal="center" vertical="center"/>
    </xf>
    <xf numFmtId="0" fontId="26" fillId="0" borderId="5" xfId="1" applyFont="1" applyBorder="1" applyAlignment="1">
      <alignment horizontal="center" vertical="center"/>
    </xf>
    <xf numFmtId="0" fontId="26" fillId="0" borderId="40" xfId="1" applyFont="1" applyBorder="1" applyAlignment="1">
      <alignment horizontal="center" vertical="center" wrapText="1"/>
    </xf>
    <xf numFmtId="0" fontId="26" fillId="0" borderId="5" xfId="1" applyFont="1" applyBorder="1" applyAlignment="1">
      <alignment horizontal="center" vertical="center" wrapText="1"/>
    </xf>
    <xf numFmtId="0" fontId="26" fillId="0" borderId="22" xfId="1" applyFont="1" applyBorder="1" applyAlignment="1">
      <alignment vertical="center"/>
    </xf>
    <xf numFmtId="0" fontId="26" fillId="0" borderId="23" xfId="1" applyFont="1" applyBorder="1" applyAlignment="1">
      <alignment vertical="center"/>
    </xf>
    <xf numFmtId="0" fontId="26" fillId="0" borderId="21" xfId="1" applyFont="1" applyBorder="1" applyAlignment="1">
      <alignment vertical="center"/>
    </xf>
    <xf numFmtId="0" fontId="33" fillId="0" borderId="2" xfId="1" applyFont="1" applyBorder="1" applyAlignment="1">
      <alignment horizontal="center" vertical="center" wrapText="1"/>
    </xf>
    <xf numFmtId="0" fontId="33" fillId="0" borderId="39" xfId="1" applyFont="1" applyBorder="1" applyAlignment="1">
      <alignment horizontal="center" vertical="center" wrapText="1"/>
    </xf>
    <xf numFmtId="0" fontId="33" fillId="0" borderId="42" xfId="1" applyFont="1" applyBorder="1" applyAlignment="1">
      <alignment horizontal="center" vertical="center" wrapText="1"/>
    </xf>
    <xf numFmtId="0" fontId="33" fillId="0" borderId="43" xfId="1" applyFont="1" applyBorder="1" applyAlignment="1">
      <alignment horizontal="center" vertical="center" wrapText="1"/>
    </xf>
    <xf numFmtId="0" fontId="35" fillId="0" borderId="2" xfId="1" applyFont="1" applyBorder="1" applyAlignment="1">
      <alignment horizontal="center" vertical="center" wrapText="1"/>
    </xf>
    <xf numFmtId="0" fontId="35" fillId="0" borderId="39" xfId="1" applyFont="1" applyBorder="1" applyAlignment="1">
      <alignment horizontal="center" vertical="center" wrapText="1"/>
    </xf>
    <xf numFmtId="0" fontId="35" fillId="0" borderId="42" xfId="1" applyFont="1" applyBorder="1" applyAlignment="1">
      <alignment horizontal="center" vertical="center" wrapText="1"/>
    </xf>
    <xf numFmtId="0" fontId="35" fillId="0" borderId="43" xfId="1" applyFont="1" applyBorder="1" applyAlignment="1">
      <alignment horizontal="center" vertical="center" wrapText="1"/>
    </xf>
    <xf numFmtId="0" fontId="34" fillId="0" borderId="2" xfId="1" applyFont="1" applyBorder="1" applyAlignment="1">
      <alignment horizontal="center" vertical="center" wrapText="1"/>
    </xf>
    <xf numFmtId="0" fontId="34" fillId="0" borderId="39" xfId="1" applyFont="1" applyBorder="1" applyAlignment="1">
      <alignment horizontal="center" vertical="center" wrapText="1"/>
    </xf>
    <xf numFmtId="0" fontId="34" fillId="0" borderId="42" xfId="1" applyFont="1" applyBorder="1" applyAlignment="1">
      <alignment horizontal="center" vertical="center" wrapText="1"/>
    </xf>
    <xf numFmtId="0" fontId="34" fillId="0" borderId="43" xfId="1" applyFont="1" applyBorder="1" applyAlignment="1">
      <alignment horizontal="center" vertical="center" wrapText="1"/>
    </xf>
    <xf numFmtId="0" fontId="26" fillId="0" borderId="2" xfId="1" applyFont="1" applyFill="1" applyBorder="1" applyAlignment="1">
      <alignment horizontal="center" vertical="center" wrapText="1"/>
    </xf>
    <xf numFmtId="0" fontId="26" fillId="0" borderId="39" xfId="1" applyFont="1" applyFill="1" applyBorder="1" applyAlignment="1">
      <alignment horizontal="center" vertical="center" wrapText="1"/>
    </xf>
    <xf numFmtId="0" fontId="26" fillId="0" borderId="42" xfId="1" applyFont="1" applyFill="1" applyBorder="1" applyAlignment="1">
      <alignment horizontal="center" vertical="center" wrapText="1"/>
    </xf>
    <xf numFmtId="0" fontId="26" fillId="0" borderId="43" xfId="1" applyFont="1" applyFill="1" applyBorder="1" applyAlignment="1">
      <alignment horizontal="center" vertical="center" wrapText="1"/>
    </xf>
    <xf numFmtId="0" fontId="20" fillId="0" borderId="22" xfId="5" applyFill="1" applyBorder="1" applyAlignment="1">
      <alignment vertical="top" wrapText="1"/>
    </xf>
    <xf numFmtId="0" fontId="20" fillId="0" borderId="23" xfId="5" applyFill="1" applyBorder="1" applyAlignment="1">
      <alignment vertical="top" wrapText="1"/>
    </xf>
    <xf numFmtId="0" fontId="20" fillId="0" borderId="21" xfId="5" applyFill="1" applyBorder="1" applyAlignment="1">
      <alignment vertical="top" wrapText="1"/>
    </xf>
    <xf numFmtId="0" fontId="15" fillId="4" borderId="22" xfId="8" applyFont="1" applyFill="1" applyBorder="1" applyAlignment="1">
      <alignment vertical="top" wrapText="1"/>
    </xf>
    <xf numFmtId="0" fontId="15" fillId="4" borderId="23" xfId="8" applyFont="1" applyFill="1" applyBorder="1" applyAlignment="1">
      <alignment vertical="top" wrapText="1"/>
    </xf>
    <xf numFmtId="0" fontId="15" fillId="4" borderId="21" xfId="8" applyFont="1" applyFill="1" applyBorder="1" applyAlignment="1">
      <alignment vertical="top" wrapText="1"/>
    </xf>
    <xf numFmtId="0" fontId="15" fillId="4" borderId="24" xfId="8" applyFont="1" applyFill="1" applyBorder="1" applyAlignment="1">
      <alignment vertical="top" wrapText="1"/>
    </xf>
    <xf numFmtId="0" fontId="15" fillId="4" borderId="29" xfId="8" quotePrefix="1" applyNumberFormat="1" applyFont="1" applyFill="1" applyBorder="1" applyAlignment="1">
      <alignment horizontal="center" vertical="top" wrapText="1"/>
    </xf>
    <xf numFmtId="0" fontId="15" fillId="4" borderId="0" xfId="8" quotePrefix="1" applyNumberFormat="1" applyFont="1" applyFill="1" applyBorder="1" applyAlignment="1">
      <alignment horizontal="center" vertical="top" wrapText="1"/>
    </xf>
    <xf numFmtId="0" fontId="15" fillId="4" borderId="47" xfId="8" quotePrefix="1" applyNumberFormat="1" applyFont="1" applyFill="1" applyBorder="1" applyAlignment="1">
      <alignment horizontal="center" vertical="top" wrapText="1"/>
    </xf>
    <xf numFmtId="0" fontId="15" fillId="4" borderId="4" xfId="8" applyFont="1" applyFill="1" applyBorder="1" applyAlignment="1">
      <alignment horizontal="center" vertical="top" wrapText="1"/>
    </xf>
    <xf numFmtId="0" fontId="15" fillId="4" borderId="0" xfId="8" applyFont="1" applyFill="1" applyBorder="1" applyAlignment="1">
      <alignment horizontal="center" vertical="top" wrapText="1"/>
    </xf>
    <xf numFmtId="0" fontId="15" fillId="4" borderId="47" xfId="8" applyFont="1" applyFill="1" applyBorder="1" applyAlignment="1">
      <alignment horizontal="center" vertical="top" wrapText="1"/>
    </xf>
    <xf numFmtId="0" fontId="15" fillId="4" borderId="14" xfId="8" applyFont="1" applyFill="1" applyBorder="1" applyAlignment="1">
      <alignment vertical="top" wrapText="1"/>
    </xf>
    <xf numFmtId="0" fontId="15" fillId="4" borderId="15" xfId="8" applyFont="1" applyFill="1" applyBorder="1" applyAlignment="1">
      <alignment vertical="top" wrapText="1"/>
    </xf>
    <xf numFmtId="0" fontId="15" fillId="4" borderId="26" xfId="8" applyFont="1" applyFill="1" applyBorder="1" applyAlignment="1">
      <alignment vertical="top" wrapText="1"/>
    </xf>
    <xf numFmtId="0" fontId="15" fillId="4" borderId="16" xfId="8" applyFont="1" applyFill="1" applyBorder="1" applyAlignment="1">
      <alignment vertical="top" wrapText="1"/>
    </xf>
    <xf numFmtId="0" fontId="20" fillId="0" borderId="14" xfId="5" applyFill="1" applyBorder="1" applyAlignment="1">
      <alignment vertical="top" wrapText="1"/>
    </xf>
    <xf numFmtId="0" fontId="20" fillId="0" borderId="15" xfId="5" applyFill="1" applyBorder="1" applyAlignment="1">
      <alignment vertical="top" wrapText="1"/>
    </xf>
    <xf numFmtId="0" fontId="20" fillId="0" borderId="16" xfId="5" applyFill="1" applyBorder="1" applyAlignment="1">
      <alignment vertical="top" wrapText="1"/>
    </xf>
    <xf numFmtId="0" fontId="15" fillId="4" borderId="51" xfId="8" applyFont="1" applyFill="1" applyBorder="1" applyAlignment="1">
      <alignment horizontal="center" vertical="top" wrapText="1"/>
    </xf>
    <xf numFmtId="0" fontId="15" fillId="4" borderId="52" xfId="8" applyFont="1" applyFill="1" applyBorder="1" applyAlignment="1">
      <alignment horizontal="center" vertical="top" wrapText="1"/>
    </xf>
    <xf numFmtId="0" fontId="15" fillId="4" borderId="13" xfId="8" applyFont="1" applyFill="1" applyBorder="1" applyAlignment="1">
      <alignment horizontal="center" vertical="top" wrapText="1"/>
    </xf>
    <xf numFmtId="0" fontId="15" fillId="4" borderId="12" xfId="8" quotePrefix="1" applyNumberFormat="1" applyFont="1" applyFill="1" applyBorder="1" applyAlignment="1">
      <alignment horizontal="center" vertical="top" wrapText="1"/>
    </xf>
    <xf numFmtId="0" fontId="15" fillId="4" borderId="52" xfId="8" quotePrefix="1" applyNumberFormat="1" applyFont="1" applyFill="1" applyBorder="1" applyAlignment="1">
      <alignment horizontal="center" vertical="top" wrapText="1"/>
    </xf>
    <xf numFmtId="0" fontId="15" fillId="4" borderId="13" xfId="8" quotePrefix="1" applyNumberFormat="1" applyFont="1" applyFill="1" applyBorder="1" applyAlignment="1">
      <alignment horizontal="center" vertical="top" wrapText="1"/>
    </xf>
    <xf numFmtId="0" fontId="15" fillId="4" borderId="42" xfId="8" applyFont="1" applyFill="1" applyBorder="1" applyAlignment="1">
      <alignment vertical="top" wrapText="1"/>
    </xf>
    <xf numFmtId="0" fontId="15" fillId="4" borderId="41" xfId="8" applyFont="1" applyFill="1" applyBorder="1" applyAlignment="1">
      <alignment vertical="top" wrapText="1"/>
    </xf>
    <xf numFmtId="0" fontId="15" fillId="4" borderId="53" xfId="8" applyFont="1" applyFill="1" applyBorder="1" applyAlignment="1">
      <alignment vertical="top" wrapText="1"/>
    </xf>
    <xf numFmtId="0" fontId="15" fillId="4" borderId="50" xfId="8" applyNumberFormat="1" applyFont="1" applyFill="1" applyBorder="1" applyAlignment="1">
      <alignment horizontal="center" vertical="top" wrapText="1"/>
    </xf>
    <xf numFmtId="0" fontId="15" fillId="4" borderId="44" xfId="8" applyNumberFormat="1" applyFont="1" applyFill="1" applyBorder="1" applyAlignment="1">
      <alignment horizontal="center" vertical="top" wrapText="1"/>
    </xf>
    <xf numFmtId="0" fontId="15" fillId="4" borderId="39" xfId="8" applyNumberFormat="1" applyFont="1" applyFill="1" applyBorder="1" applyAlignment="1">
      <alignment horizontal="center" vertical="top" wrapText="1"/>
    </xf>
    <xf numFmtId="0" fontId="15" fillId="4" borderId="2" xfId="8" applyFont="1" applyFill="1" applyBorder="1" applyAlignment="1">
      <alignment horizontal="center" vertical="top" wrapText="1"/>
    </xf>
    <xf numFmtId="0" fontId="15" fillId="4" borderId="44" xfId="8" applyFont="1" applyFill="1" applyBorder="1" applyAlignment="1">
      <alignment horizontal="center" vertical="top" wrapText="1"/>
    </xf>
    <xf numFmtId="0" fontId="15" fillId="4" borderId="39" xfId="8" applyFont="1" applyFill="1" applyBorder="1" applyAlignment="1">
      <alignment horizontal="center" vertical="top" wrapText="1"/>
    </xf>
    <xf numFmtId="0" fontId="20" fillId="0" borderId="42" xfId="5" applyFill="1" applyBorder="1" applyAlignment="1">
      <alignment vertical="top" wrapText="1"/>
    </xf>
    <xf numFmtId="0" fontId="20" fillId="0" borderId="41" xfId="5" applyFill="1" applyBorder="1" applyAlignment="1">
      <alignment vertical="top" wrapText="1"/>
    </xf>
    <xf numFmtId="0" fontId="20" fillId="0" borderId="43" xfId="5" applyFill="1" applyBorder="1" applyAlignment="1">
      <alignment vertical="top" wrapText="1"/>
    </xf>
    <xf numFmtId="0" fontId="15" fillId="4" borderId="43" xfId="8" applyFont="1" applyFill="1" applyBorder="1" applyAlignment="1">
      <alignment vertical="top" wrapText="1"/>
    </xf>
    <xf numFmtId="0" fontId="14" fillId="2" borderId="2" xfId="8" applyFont="1" applyFill="1" applyBorder="1" applyAlignment="1">
      <alignment horizontal="center" vertical="center" wrapText="1"/>
    </xf>
    <xf numFmtId="0" fontId="14" fillId="2" borderId="44" xfId="8" applyFont="1" applyFill="1" applyBorder="1" applyAlignment="1">
      <alignment horizontal="center" vertical="center" wrapText="1"/>
    </xf>
    <xf numFmtId="0" fontId="14" fillId="2" borderId="39" xfId="8" applyFont="1" applyFill="1" applyBorder="1" applyAlignment="1">
      <alignment horizontal="center" vertical="center" wrapText="1"/>
    </xf>
    <xf numFmtId="0" fontId="14" fillId="2" borderId="42" xfId="8" applyFont="1" applyFill="1" applyBorder="1" applyAlignment="1">
      <alignment horizontal="center" vertical="center" wrapText="1"/>
    </xf>
    <xf numFmtId="0" fontId="14" fillId="2" borderId="41" xfId="8" applyFont="1" applyFill="1" applyBorder="1" applyAlignment="1">
      <alignment horizontal="center" vertical="center" wrapText="1"/>
    </xf>
    <xf numFmtId="0" fontId="14" fillId="2" borderId="43" xfId="8" applyFont="1" applyFill="1" applyBorder="1" applyAlignment="1">
      <alignment horizontal="center" vertical="center" wrapText="1"/>
    </xf>
    <xf numFmtId="0" fontId="14" fillId="2" borderId="22" xfId="8" applyFont="1" applyFill="1" applyBorder="1" applyAlignment="1">
      <alignment horizontal="center" vertical="center"/>
    </xf>
    <xf numFmtId="0" fontId="14" fillId="2" borderId="23" xfId="8" applyFont="1" applyFill="1" applyBorder="1" applyAlignment="1">
      <alignment horizontal="center" vertical="center"/>
    </xf>
    <xf numFmtId="0" fontId="14" fillId="2" borderId="21" xfId="8" applyFont="1" applyFill="1" applyBorder="1" applyAlignment="1">
      <alignment horizontal="center" vertical="center"/>
    </xf>
    <xf numFmtId="0" fontId="15" fillId="0" borderId="22" xfId="8" applyFont="1" applyBorder="1" applyAlignment="1">
      <alignment horizontal="center" vertical="center"/>
    </xf>
    <xf numFmtId="0" fontId="15" fillId="0" borderId="23" xfId="8" applyFont="1" applyBorder="1" applyAlignment="1">
      <alignment horizontal="center" vertical="center"/>
    </xf>
    <xf numFmtId="0" fontId="15" fillId="0" borderId="21" xfId="8" applyFont="1" applyBorder="1" applyAlignment="1">
      <alignment horizontal="center" vertical="center"/>
    </xf>
    <xf numFmtId="0" fontId="14" fillId="2" borderId="27" xfId="8" applyFont="1" applyFill="1" applyBorder="1" applyAlignment="1">
      <alignment horizontal="center" vertical="center"/>
    </xf>
    <xf numFmtId="0" fontId="14" fillId="2" borderId="35" xfId="8" applyFont="1" applyFill="1" applyBorder="1" applyAlignment="1">
      <alignment horizontal="center" vertical="center"/>
    </xf>
    <xf numFmtId="0" fontId="14" fillId="2" borderId="7" xfId="8" applyFont="1" applyFill="1" applyBorder="1" applyAlignment="1">
      <alignment horizontal="center" vertical="center"/>
    </xf>
    <xf numFmtId="0" fontId="15" fillId="0" borderId="36" xfId="8" applyFont="1" applyBorder="1" applyAlignment="1">
      <alignment horizontal="center" vertical="center"/>
    </xf>
    <xf numFmtId="0" fontId="15" fillId="0" borderId="37" xfId="8" applyFont="1" applyBorder="1" applyAlignment="1">
      <alignment horizontal="center" vertical="center"/>
    </xf>
    <xf numFmtId="0" fontId="15" fillId="0" borderId="38" xfId="8" applyFont="1" applyBorder="1" applyAlignment="1">
      <alignment horizontal="center" vertical="center"/>
    </xf>
    <xf numFmtId="0" fontId="14" fillId="2" borderId="27" xfId="8" applyFont="1" applyFill="1" applyBorder="1" applyAlignment="1">
      <alignment horizontal="center" vertical="center" wrapText="1"/>
    </xf>
    <xf numFmtId="0" fontId="14" fillId="2" borderId="35" xfId="8" applyFont="1" applyFill="1" applyBorder="1" applyAlignment="1">
      <alignment horizontal="center" vertical="center" wrapText="1"/>
    </xf>
    <xf numFmtId="0" fontId="14" fillId="2" borderId="7" xfId="8" applyFont="1" applyFill="1" applyBorder="1" applyAlignment="1">
      <alignment horizontal="center" vertical="center" wrapText="1"/>
    </xf>
    <xf numFmtId="0" fontId="14" fillId="2" borderId="36" xfId="8" applyFont="1" applyFill="1" applyBorder="1" applyAlignment="1">
      <alignment horizontal="center" vertical="center" wrapText="1"/>
    </xf>
    <xf numFmtId="0" fontId="14" fillId="2" borderId="37" xfId="8" applyFont="1" applyFill="1" applyBorder="1" applyAlignment="1">
      <alignment horizontal="center" vertical="center" wrapText="1"/>
    </xf>
    <xf numFmtId="0" fontId="14" fillId="2" borderId="38" xfId="8" applyFont="1" applyFill="1" applyBorder="1" applyAlignment="1">
      <alignment horizontal="center" vertical="center" wrapText="1"/>
    </xf>
    <xf numFmtId="0" fontId="14" fillId="2" borderId="36" xfId="8" applyFont="1" applyFill="1" applyBorder="1" applyAlignment="1">
      <alignment horizontal="center" vertical="center"/>
    </xf>
    <xf numFmtId="0" fontId="14" fillId="2" borderId="37" xfId="8" applyFont="1" applyFill="1" applyBorder="1" applyAlignment="1">
      <alignment horizontal="center" vertical="center"/>
    </xf>
    <xf numFmtId="0" fontId="14" fillId="2" borderId="38" xfId="8" applyFont="1" applyFill="1" applyBorder="1" applyAlignment="1">
      <alignment horizontal="center" vertical="center"/>
    </xf>
    <xf numFmtId="0" fontId="14" fillId="2" borderId="6" xfId="8" applyFont="1" applyFill="1" applyBorder="1" applyAlignment="1">
      <alignment horizontal="center" vertical="center" wrapText="1"/>
    </xf>
    <xf numFmtId="0" fontId="14" fillId="2" borderId="46" xfId="8" applyFont="1" applyFill="1" applyBorder="1" applyAlignment="1">
      <alignment horizontal="center" vertical="center" wrapText="1"/>
    </xf>
    <xf numFmtId="14" fontId="15" fillId="0" borderId="22" xfId="8" applyNumberFormat="1" applyFont="1" applyBorder="1" applyAlignment="1">
      <alignment horizontal="center" vertical="center"/>
    </xf>
    <xf numFmtId="14" fontId="15" fillId="0" borderId="23" xfId="8" applyNumberFormat="1" applyFont="1" applyBorder="1" applyAlignment="1">
      <alignment horizontal="center" vertical="center"/>
    </xf>
    <xf numFmtId="14" fontId="15" fillId="0" borderId="21" xfId="8" applyNumberFormat="1" applyFont="1" applyBorder="1" applyAlignment="1">
      <alignment horizontal="center" vertical="center"/>
    </xf>
    <xf numFmtId="0" fontId="14" fillId="2" borderId="48" xfId="8" applyFont="1" applyFill="1" applyBorder="1" applyAlignment="1">
      <alignment horizontal="center" vertical="center" wrapText="1"/>
    </xf>
    <xf numFmtId="0" fontId="15" fillId="0" borderId="36" xfId="8" applyFont="1" applyBorder="1" applyAlignment="1">
      <alignment horizontal="center" vertical="center" wrapText="1"/>
    </xf>
    <xf numFmtId="0" fontId="15" fillId="0" borderId="37" xfId="8" applyFont="1" applyBorder="1" applyAlignment="1">
      <alignment horizontal="center" vertical="center" wrapText="1"/>
    </xf>
    <xf numFmtId="0" fontId="15" fillId="0" borderId="49" xfId="8" applyFont="1" applyBorder="1" applyAlignment="1">
      <alignment horizontal="center" vertical="center" wrapText="1"/>
    </xf>
    <xf numFmtId="0" fontId="15" fillId="4" borderId="42" xfId="8" applyFont="1" applyFill="1" applyBorder="1" applyAlignment="1">
      <alignment horizontal="center" vertical="top" wrapText="1"/>
    </xf>
    <xf numFmtId="0" fontId="15" fillId="4" borderId="41" xfId="8" applyFont="1" applyFill="1" applyBorder="1" applyAlignment="1">
      <alignment horizontal="center" vertical="top" wrapText="1"/>
    </xf>
    <xf numFmtId="0" fontId="15" fillId="4" borderId="43" xfId="8" applyFont="1" applyFill="1" applyBorder="1" applyAlignment="1">
      <alignment horizontal="center" vertical="top" wrapText="1"/>
    </xf>
    <xf numFmtId="0" fontId="15" fillId="4" borderId="60" xfId="8" quotePrefix="1" applyNumberFormat="1" applyFont="1" applyFill="1" applyBorder="1" applyAlignment="1">
      <alignment horizontal="center" vertical="top" wrapText="1"/>
    </xf>
    <xf numFmtId="0" fontId="15" fillId="4" borderId="41" xfId="8" quotePrefix="1" applyNumberFormat="1" applyFont="1" applyFill="1" applyBorder="1" applyAlignment="1">
      <alignment horizontal="center" vertical="top" wrapText="1"/>
    </xf>
    <xf numFmtId="0" fontId="15" fillId="4" borderId="43" xfId="8" quotePrefix="1" applyNumberFormat="1" applyFont="1" applyFill="1" applyBorder="1" applyAlignment="1">
      <alignment horizontal="center" vertical="top" wrapText="1"/>
    </xf>
    <xf numFmtId="0" fontId="14" fillId="2" borderId="18" xfId="3" applyFont="1" applyFill="1" applyBorder="1" applyAlignment="1">
      <alignment horizontal="center" vertical="center"/>
    </xf>
    <xf numFmtId="0" fontId="14" fillId="2" borderId="10" xfId="3" applyFont="1" applyFill="1" applyBorder="1" applyAlignment="1">
      <alignment horizontal="center" vertical="center"/>
    </xf>
    <xf numFmtId="0" fontId="15" fillId="0" borderId="8" xfId="3" applyFont="1" applyFill="1" applyBorder="1" applyAlignment="1">
      <alignment horizontal="left" vertical="center"/>
    </xf>
    <xf numFmtId="0" fontId="15" fillId="0" borderId="9" xfId="3" applyFont="1" applyFill="1" applyBorder="1" applyAlignment="1">
      <alignment horizontal="left" vertical="center"/>
    </xf>
    <xf numFmtId="0" fontId="15" fillId="0" borderId="19" xfId="3" applyFont="1" applyFill="1" applyBorder="1" applyAlignment="1">
      <alignment horizontal="left" vertical="center"/>
    </xf>
    <xf numFmtId="0" fontId="14" fillId="2" borderId="6" xfId="3" applyFont="1" applyFill="1" applyBorder="1" applyAlignment="1">
      <alignment horizontal="center" vertical="center" wrapText="1"/>
    </xf>
    <xf numFmtId="0" fontId="14" fillId="2" borderId="7" xfId="3" applyFont="1" applyFill="1" applyBorder="1" applyAlignment="1">
      <alignment horizontal="center" vertical="center" wrapText="1"/>
    </xf>
    <xf numFmtId="0" fontId="14" fillId="2" borderId="12" xfId="3" applyFont="1" applyFill="1" applyBorder="1" applyAlignment="1">
      <alignment horizontal="center" vertical="center" wrapText="1"/>
    </xf>
    <xf numFmtId="0" fontId="14" fillId="2" borderId="13" xfId="3" applyFont="1" applyFill="1" applyBorder="1" applyAlignment="1">
      <alignment horizontal="center" vertical="center" wrapText="1"/>
    </xf>
    <xf numFmtId="0" fontId="14" fillId="2" borderId="8" xfId="3" applyFont="1" applyFill="1" applyBorder="1" applyAlignment="1">
      <alignment horizontal="center" vertical="center"/>
    </xf>
    <xf numFmtId="0" fontId="14" fillId="2" borderId="9" xfId="3" applyFont="1" applyFill="1" applyBorder="1" applyAlignment="1">
      <alignment horizontal="center" vertical="center"/>
    </xf>
    <xf numFmtId="0" fontId="15" fillId="0" borderId="14" xfId="3" applyFont="1" applyFill="1" applyBorder="1" applyAlignment="1">
      <alignment horizontal="center" vertical="center"/>
    </xf>
    <xf numFmtId="0" fontId="15" fillId="0" borderId="15" xfId="3" applyFont="1" applyFill="1" applyBorder="1" applyAlignment="1">
      <alignment horizontal="center" vertical="center"/>
    </xf>
    <xf numFmtId="0" fontId="15" fillId="0" borderId="16" xfId="3" applyFont="1" applyFill="1" applyBorder="1" applyAlignment="1">
      <alignment horizontal="center" vertical="center"/>
    </xf>
    <xf numFmtId="14" fontId="15" fillId="0" borderId="14" xfId="3" applyNumberFormat="1" applyFont="1" applyFill="1" applyBorder="1" applyAlignment="1">
      <alignment horizontal="center" vertical="center"/>
    </xf>
    <xf numFmtId="14" fontId="15" fillId="0" borderId="16" xfId="3" applyNumberFormat="1" applyFont="1" applyFill="1" applyBorder="1" applyAlignment="1">
      <alignment horizontal="center" vertical="center"/>
    </xf>
    <xf numFmtId="0" fontId="14" fillId="2" borderId="20" xfId="3" applyFont="1" applyFill="1" applyBorder="1" applyAlignment="1">
      <alignment horizontal="center" vertical="center"/>
    </xf>
    <xf numFmtId="0" fontId="14" fillId="2" borderId="21" xfId="3" applyFont="1" applyFill="1" applyBorder="1" applyAlignment="1">
      <alignment horizontal="center" vertical="center"/>
    </xf>
    <xf numFmtId="0" fontId="15" fillId="0" borderId="22" xfId="3" applyFont="1" applyBorder="1" applyAlignment="1">
      <alignment horizontal="left" vertical="center"/>
    </xf>
    <xf numFmtId="0" fontId="15" fillId="0" borderId="23" xfId="3" applyFont="1" applyBorder="1" applyAlignment="1">
      <alignment horizontal="left" vertical="center"/>
    </xf>
    <xf numFmtId="0" fontId="15" fillId="0" borderId="24" xfId="3" applyFont="1" applyBorder="1" applyAlignment="1">
      <alignment horizontal="left" vertical="center"/>
    </xf>
    <xf numFmtId="0" fontId="14" fillId="2" borderId="25" xfId="3" applyFont="1" applyFill="1" applyBorder="1" applyAlignment="1">
      <alignment horizontal="center" vertical="top"/>
    </xf>
    <xf numFmtId="0" fontId="14" fillId="2" borderId="16" xfId="3" applyFont="1" applyFill="1" applyBorder="1" applyAlignment="1">
      <alignment horizontal="center" vertical="top"/>
    </xf>
    <xf numFmtId="0" fontId="15" fillId="0" borderId="14" xfId="3" applyFont="1" applyFill="1" applyBorder="1" applyAlignment="1">
      <alignment horizontal="left" vertical="top" wrapText="1"/>
    </xf>
    <xf numFmtId="0" fontId="15" fillId="0" borderId="15" xfId="3" applyFont="1" applyFill="1" applyBorder="1" applyAlignment="1">
      <alignment horizontal="left" vertical="top" wrapText="1"/>
    </xf>
    <xf numFmtId="0" fontId="15" fillId="0" borderId="26" xfId="3" applyFont="1" applyFill="1" applyBorder="1" applyAlignment="1">
      <alignment horizontal="left" vertical="top" wrapText="1"/>
    </xf>
    <xf numFmtId="0" fontId="15" fillId="0" borderId="22" xfId="3" applyFont="1" applyFill="1" applyBorder="1" applyAlignment="1">
      <alignment horizontal="left" vertical="center"/>
    </xf>
    <xf numFmtId="0" fontId="15" fillId="0" borderId="23" xfId="3" applyFont="1" applyFill="1" applyBorder="1" applyAlignment="1">
      <alignment horizontal="left" vertical="center"/>
    </xf>
    <xf numFmtId="0" fontId="15" fillId="0" borderId="24" xfId="3" applyFont="1" applyFill="1" applyBorder="1" applyAlignment="1">
      <alignment horizontal="left" vertical="center"/>
    </xf>
    <xf numFmtId="0" fontId="17" fillId="0" borderId="22" xfId="3" applyFont="1" applyBorder="1" applyAlignment="1">
      <alignment horizontal="left" vertical="center"/>
    </xf>
    <xf numFmtId="0" fontId="17" fillId="0" borderId="23" xfId="3" applyFont="1" applyBorder="1" applyAlignment="1">
      <alignment horizontal="left" vertical="center"/>
    </xf>
    <xf numFmtId="0" fontId="17" fillId="0" borderId="21" xfId="3" applyFont="1" applyBorder="1" applyAlignment="1">
      <alignment horizontal="left" vertical="center"/>
    </xf>
    <xf numFmtId="0" fontId="17" fillId="5" borderId="22" xfId="3" applyFont="1" applyFill="1" applyBorder="1" applyAlignment="1">
      <alignment horizontal="left" vertical="center"/>
    </xf>
    <xf numFmtId="0" fontId="17" fillId="5" borderId="23" xfId="3" applyFont="1" applyFill="1" applyBorder="1" applyAlignment="1">
      <alignment horizontal="left" vertical="center"/>
    </xf>
    <xf numFmtId="0" fontId="17" fillId="5" borderId="21" xfId="3" applyFont="1" applyFill="1" applyBorder="1" applyAlignment="1">
      <alignment horizontal="left" vertical="center"/>
    </xf>
    <xf numFmtId="0" fontId="17" fillId="0" borderId="3" xfId="3" applyFont="1" applyBorder="1" applyAlignment="1">
      <alignment vertical="center"/>
    </xf>
    <xf numFmtId="0" fontId="17" fillId="5" borderId="3" xfId="3" applyFont="1" applyFill="1" applyBorder="1" applyAlignment="1">
      <alignment horizontal="center" vertical="center"/>
    </xf>
  </cellXfs>
  <cellStyles count="18">
    <cellStyle name="ハイパーリンク" xfId="5" builtinId="8"/>
    <cellStyle name="ハイパーリンク 2" xfId="6"/>
    <cellStyle name="ハイパーリンク 2 2" xfId="14"/>
    <cellStyle name="ハイパーリンク 3" xfId="10"/>
    <cellStyle name="ハイパーリンク 4" xfId="15"/>
    <cellStyle name="標準" xfId="0" builtinId="0"/>
    <cellStyle name="標準 12" xfId="13"/>
    <cellStyle name="標準 2" xfId="2"/>
    <cellStyle name="標準 2 2" xfId="12"/>
    <cellStyle name="標準 3" xfId="4"/>
    <cellStyle name="標準 3 2" xfId="16"/>
    <cellStyle name="標準 4" xfId="1"/>
    <cellStyle name="標準 5" xfId="7"/>
    <cellStyle name="標準 6" xfId="8"/>
    <cellStyle name="標準 7" xfId="11"/>
    <cellStyle name="標準 7 2" xfId="17"/>
    <cellStyle name="標準 8 2" xfId="9"/>
    <cellStyle name="㼿㼿" xfId="3"/>
  </cellStyles>
  <dxfs count="75">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worksheet" Target="worksheets/sheet191.xml"/><Relationship Id="rId205" Type="http://schemas.openxmlformats.org/officeDocument/2006/relationships/worksheet" Target="worksheets/sheet205.xml"/><Relationship Id="rId226" Type="http://schemas.openxmlformats.org/officeDocument/2006/relationships/worksheet" Target="worksheets/sheet226.xml"/><Relationship Id="rId247" Type="http://schemas.openxmlformats.org/officeDocument/2006/relationships/worksheet" Target="worksheets/sheet247.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16" Type="http://schemas.openxmlformats.org/officeDocument/2006/relationships/worksheet" Target="worksheets/sheet216.xml"/><Relationship Id="rId237" Type="http://schemas.openxmlformats.org/officeDocument/2006/relationships/worksheet" Target="worksheets/sheet237.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worksheet" Target="worksheets/sheet192.xml"/><Relationship Id="rId206" Type="http://schemas.openxmlformats.org/officeDocument/2006/relationships/worksheet" Target="worksheets/sheet206.xml"/><Relationship Id="rId227" Type="http://schemas.openxmlformats.org/officeDocument/2006/relationships/worksheet" Target="worksheets/sheet227.xml"/><Relationship Id="rId248" Type="http://schemas.openxmlformats.org/officeDocument/2006/relationships/worksheet" Target="worksheets/sheet248.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worksheet" Target="worksheets/sheet166.xml"/><Relationship Id="rId182" Type="http://schemas.openxmlformats.org/officeDocument/2006/relationships/worksheet" Target="worksheets/sheet182.xml"/><Relationship Id="rId187" Type="http://schemas.openxmlformats.org/officeDocument/2006/relationships/worksheet" Target="worksheets/sheet187.xml"/><Relationship Id="rId217" Type="http://schemas.openxmlformats.org/officeDocument/2006/relationships/worksheet" Target="worksheets/sheet217.xml"/><Relationship Id="rId1" Type="http://schemas.openxmlformats.org/officeDocument/2006/relationships/worksheet" Target="worksheets/sheet1.xml"/><Relationship Id="rId6" Type="http://schemas.openxmlformats.org/officeDocument/2006/relationships/worksheet" Target="worksheets/sheet6.xml"/><Relationship Id="rId212" Type="http://schemas.openxmlformats.org/officeDocument/2006/relationships/worksheet" Target="worksheets/sheet212.xml"/><Relationship Id="rId233" Type="http://schemas.openxmlformats.org/officeDocument/2006/relationships/worksheet" Target="worksheets/sheet233.xml"/><Relationship Id="rId238" Type="http://schemas.openxmlformats.org/officeDocument/2006/relationships/worksheet" Target="worksheets/sheet238.xml"/><Relationship Id="rId254" Type="http://schemas.openxmlformats.org/officeDocument/2006/relationships/sharedStrings" Target="sharedStrings.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172" Type="http://schemas.openxmlformats.org/officeDocument/2006/relationships/worksheet" Target="worksheets/sheet172.xml"/><Relationship Id="rId193" Type="http://schemas.openxmlformats.org/officeDocument/2006/relationships/worksheet" Target="worksheets/sheet193.xml"/><Relationship Id="rId202" Type="http://schemas.openxmlformats.org/officeDocument/2006/relationships/worksheet" Target="worksheets/sheet202.xml"/><Relationship Id="rId207" Type="http://schemas.openxmlformats.org/officeDocument/2006/relationships/worksheet" Target="worksheets/sheet207.xml"/><Relationship Id="rId223" Type="http://schemas.openxmlformats.org/officeDocument/2006/relationships/worksheet" Target="worksheets/sheet223.xml"/><Relationship Id="rId228" Type="http://schemas.openxmlformats.org/officeDocument/2006/relationships/worksheet" Target="worksheets/sheet228.xml"/><Relationship Id="rId244" Type="http://schemas.openxmlformats.org/officeDocument/2006/relationships/worksheet" Target="worksheets/sheet244.xml"/><Relationship Id="rId249" Type="http://schemas.openxmlformats.org/officeDocument/2006/relationships/worksheet" Target="worksheets/sheet24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13" Type="http://schemas.openxmlformats.org/officeDocument/2006/relationships/worksheet" Target="worksheets/sheet213.xml"/><Relationship Id="rId218" Type="http://schemas.openxmlformats.org/officeDocument/2006/relationships/worksheet" Target="worksheets/sheet218.xml"/><Relationship Id="rId234" Type="http://schemas.openxmlformats.org/officeDocument/2006/relationships/worksheet" Target="worksheets/sheet234.xml"/><Relationship Id="rId239" Type="http://schemas.openxmlformats.org/officeDocument/2006/relationships/worksheet" Target="worksheets/sheet239.xml"/><Relationship Id="rId2" Type="http://schemas.openxmlformats.org/officeDocument/2006/relationships/worksheet" Target="worksheets/sheet2.xml"/><Relationship Id="rId29" Type="http://schemas.openxmlformats.org/officeDocument/2006/relationships/worksheet" Target="worksheets/sheet29.xml"/><Relationship Id="rId250" Type="http://schemas.openxmlformats.org/officeDocument/2006/relationships/worksheet" Target="worksheets/sheet250.xml"/><Relationship Id="rId255" Type="http://schemas.openxmlformats.org/officeDocument/2006/relationships/calcChain" Target="calcChain.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199" Type="http://schemas.openxmlformats.org/officeDocument/2006/relationships/worksheet" Target="worksheets/sheet199.xml"/><Relationship Id="rId203" Type="http://schemas.openxmlformats.org/officeDocument/2006/relationships/worksheet" Target="worksheets/sheet203.xml"/><Relationship Id="rId208" Type="http://schemas.openxmlformats.org/officeDocument/2006/relationships/worksheet" Target="worksheets/sheet208.xml"/><Relationship Id="rId229" Type="http://schemas.openxmlformats.org/officeDocument/2006/relationships/worksheet" Target="worksheets/sheet229.xml"/><Relationship Id="rId19" Type="http://schemas.openxmlformats.org/officeDocument/2006/relationships/worksheet" Target="worksheets/sheet19.xml"/><Relationship Id="rId224" Type="http://schemas.openxmlformats.org/officeDocument/2006/relationships/worksheet" Target="worksheets/sheet224.xml"/><Relationship Id="rId240" Type="http://schemas.openxmlformats.org/officeDocument/2006/relationships/worksheet" Target="worksheets/sheet240.xml"/><Relationship Id="rId245" Type="http://schemas.openxmlformats.org/officeDocument/2006/relationships/worksheet" Target="worksheets/sheet245.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worksheet" Target="worksheets/sheet189.xml"/><Relationship Id="rId219" Type="http://schemas.openxmlformats.org/officeDocument/2006/relationships/worksheet" Target="worksheets/sheet219.xml"/><Relationship Id="rId3" Type="http://schemas.openxmlformats.org/officeDocument/2006/relationships/worksheet" Target="worksheets/sheet3.xml"/><Relationship Id="rId214" Type="http://schemas.openxmlformats.org/officeDocument/2006/relationships/worksheet" Target="worksheets/sheet214.xml"/><Relationship Id="rId230" Type="http://schemas.openxmlformats.org/officeDocument/2006/relationships/worksheet" Target="worksheets/sheet230.xml"/><Relationship Id="rId235" Type="http://schemas.openxmlformats.org/officeDocument/2006/relationships/worksheet" Target="worksheets/sheet235.xml"/><Relationship Id="rId251" Type="http://schemas.openxmlformats.org/officeDocument/2006/relationships/worksheet" Target="worksheets/sheet251.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worksheet" Target="worksheets/sheet195.xml"/><Relationship Id="rId209" Type="http://schemas.openxmlformats.org/officeDocument/2006/relationships/worksheet" Target="worksheets/sheet209.xml"/><Relationship Id="rId190" Type="http://schemas.openxmlformats.org/officeDocument/2006/relationships/worksheet" Target="worksheets/sheet190.xml"/><Relationship Id="rId204" Type="http://schemas.openxmlformats.org/officeDocument/2006/relationships/worksheet" Target="worksheets/sheet204.xml"/><Relationship Id="rId220" Type="http://schemas.openxmlformats.org/officeDocument/2006/relationships/worksheet" Target="worksheets/sheet220.xml"/><Relationship Id="rId225" Type="http://schemas.openxmlformats.org/officeDocument/2006/relationships/worksheet" Target="worksheets/sheet225.xml"/><Relationship Id="rId241" Type="http://schemas.openxmlformats.org/officeDocument/2006/relationships/worksheet" Target="worksheets/sheet241.xml"/><Relationship Id="rId246" Type="http://schemas.openxmlformats.org/officeDocument/2006/relationships/worksheet" Target="worksheets/sheet246.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10" Type="http://schemas.openxmlformats.org/officeDocument/2006/relationships/worksheet" Target="worksheets/sheet210.xml"/><Relationship Id="rId215" Type="http://schemas.openxmlformats.org/officeDocument/2006/relationships/worksheet" Target="worksheets/sheet215.xml"/><Relationship Id="rId236" Type="http://schemas.openxmlformats.org/officeDocument/2006/relationships/worksheet" Target="worksheets/sheet236.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theme" Target="theme/theme1.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styles" Target="styles.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oneCellAnchor>
    <xdr:from>
      <xdr:col>12</xdr:col>
      <xdr:colOff>0</xdr:colOff>
      <xdr:row>7</xdr:row>
      <xdr:rowOff>0</xdr:rowOff>
    </xdr:from>
    <xdr:ext cx="3548536" cy="392415"/>
    <xdr:sp macro="" textlink="">
      <xdr:nvSpPr>
        <xdr:cNvPr id="14" name="テキスト ボックス 13">
          <a:extLst>
            <a:ext uri="{FF2B5EF4-FFF2-40B4-BE49-F238E27FC236}">
              <a16:creationId xmlns:a16="http://schemas.microsoft.com/office/drawing/2014/main" id="{00000000-0008-0000-0100-00000E000000}"/>
            </a:ext>
          </a:extLst>
        </xdr:cNvPr>
        <xdr:cNvSpPr txBox="1"/>
      </xdr:nvSpPr>
      <xdr:spPr>
        <a:xfrm>
          <a:off x="8105775" y="1666875"/>
          <a:ext cx="354853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レセプト電算コード</a:t>
          </a:r>
          <a:r>
            <a:rPr kumimoji="1" lang="en-US" altLang="ja-JP" sz="1200" b="1">
              <a:solidFill>
                <a:srgbClr val="FF0000"/>
              </a:solidFill>
              <a:latin typeface="メイリオ" panose="020B0604030504040204" pitchFamily="50" charset="-128"/>
              <a:ea typeface="メイリオ" panose="020B0604030504040204" pitchFamily="50" charset="-128"/>
            </a:rPr>
            <a:t>622796601, 622796701</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21</xdr:row>
      <xdr:rowOff>0</xdr:rowOff>
    </xdr:from>
    <xdr:ext cx="784830" cy="392415"/>
    <xdr:sp macro="" textlink="">
      <xdr:nvSpPr>
        <xdr:cNvPr id="16" name="テキスト ボックス 15">
          <a:extLst>
            <a:ext uri="{FF2B5EF4-FFF2-40B4-BE49-F238E27FC236}">
              <a16:creationId xmlns:a16="http://schemas.microsoft.com/office/drawing/2014/main" id="{00000000-0008-0000-0100-000010000000}"/>
            </a:ext>
          </a:extLst>
        </xdr:cNvPr>
        <xdr:cNvSpPr txBox="1"/>
      </xdr:nvSpPr>
      <xdr:spPr>
        <a:xfrm>
          <a:off x="4219575" y="4286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18</xdr:row>
      <xdr:rowOff>0</xdr:rowOff>
    </xdr:from>
    <xdr:ext cx="784830" cy="392415"/>
    <xdr:sp macro="" textlink="">
      <xdr:nvSpPr>
        <xdr:cNvPr id="17" name="テキスト ボックス 16">
          <a:extLst>
            <a:ext uri="{FF2B5EF4-FFF2-40B4-BE49-F238E27FC236}">
              <a16:creationId xmlns:a16="http://schemas.microsoft.com/office/drawing/2014/main" id="{00000000-0008-0000-0100-000011000000}"/>
            </a:ext>
          </a:extLst>
        </xdr:cNvPr>
        <xdr:cNvSpPr txBox="1"/>
      </xdr:nvSpPr>
      <xdr:spPr>
        <a:xfrm>
          <a:off x="4219575" y="57150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8</xdr:col>
      <xdr:colOff>0</xdr:colOff>
      <xdr:row>19</xdr:row>
      <xdr:rowOff>0</xdr:rowOff>
    </xdr:from>
    <xdr:ext cx="1969385" cy="392415"/>
    <xdr:sp macro="" textlink="">
      <xdr:nvSpPr>
        <xdr:cNvPr id="19" name="テキスト ボックス 18">
          <a:extLst>
            <a:ext uri="{FF2B5EF4-FFF2-40B4-BE49-F238E27FC236}">
              <a16:creationId xmlns:a16="http://schemas.microsoft.com/office/drawing/2014/main" id="{00000000-0008-0000-0100-000013000000}"/>
            </a:ext>
          </a:extLst>
        </xdr:cNvPr>
        <xdr:cNvSpPr txBox="1"/>
      </xdr:nvSpPr>
      <xdr:spPr>
        <a:xfrm>
          <a:off x="5514975" y="4524375"/>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6</xdr:col>
      <xdr:colOff>0</xdr:colOff>
      <xdr:row>1066</xdr:row>
      <xdr:rowOff>0</xdr:rowOff>
    </xdr:from>
    <xdr:ext cx="784830" cy="392415"/>
    <xdr:sp macro="" textlink="">
      <xdr:nvSpPr>
        <xdr:cNvPr id="6" name="テキスト ボックス 5">
          <a:extLst>
            <a:ext uri="{FF2B5EF4-FFF2-40B4-BE49-F238E27FC236}">
              <a16:creationId xmlns:a16="http://schemas.microsoft.com/office/drawing/2014/main" id="{00000000-0008-0000-0100-000006000000}"/>
            </a:ext>
          </a:extLst>
        </xdr:cNvPr>
        <xdr:cNvSpPr txBox="1"/>
      </xdr:nvSpPr>
      <xdr:spPr>
        <a:xfrm>
          <a:off x="4219575"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1078</xdr:row>
      <xdr:rowOff>0</xdr:rowOff>
    </xdr:from>
    <xdr:ext cx="784830" cy="392415"/>
    <xdr:sp macro="" textlink="">
      <xdr:nvSpPr>
        <xdr:cNvPr id="8" name="テキスト ボックス 7">
          <a:extLst>
            <a:ext uri="{FF2B5EF4-FFF2-40B4-BE49-F238E27FC236}">
              <a16:creationId xmlns:a16="http://schemas.microsoft.com/office/drawing/2014/main" id="{00000000-0008-0000-0100-000008000000}"/>
            </a:ext>
          </a:extLst>
        </xdr:cNvPr>
        <xdr:cNvSpPr txBox="1"/>
      </xdr:nvSpPr>
      <xdr:spPr>
        <a:xfrm>
          <a:off x="4219575"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1090</xdr:row>
      <xdr:rowOff>0</xdr:rowOff>
    </xdr:from>
    <xdr:ext cx="784830" cy="392415"/>
    <xdr:sp macro="" textlink="">
      <xdr:nvSpPr>
        <xdr:cNvPr id="9" name="テキスト ボックス 8">
          <a:extLst>
            <a:ext uri="{FF2B5EF4-FFF2-40B4-BE49-F238E27FC236}">
              <a16:creationId xmlns:a16="http://schemas.microsoft.com/office/drawing/2014/main" id="{00000000-0008-0000-0100-000009000000}"/>
            </a:ext>
          </a:extLst>
        </xdr:cNvPr>
        <xdr:cNvSpPr txBox="1"/>
      </xdr:nvSpPr>
      <xdr:spPr>
        <a:xfrm>
          <a:off x="4219575" y="1071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1102</xdr:row>
      <xdr:rowOff>0</xdr:rowOff>
    </xdr:from>
    <xdr:ext cx="784830" cy="392415"/>
    <xdr:sp macro="" textlink="">
      <xdr:nvSpPr>
        <xdr:cNvPr id="10" name="テキスト ボックス 9">
          <a:extLst>
            <a:ext uri="{FF2B5EF4-FFF2-40B4-BE49-F238E27FC236}">
              <a16:creationId xmlns:a16="http://schemas.microsoft.com/office/drawing/2014/main" id="{00000000-0008-0000-0100-00000A000000}"/>
            </a:ext>
          </a:extLst>
        </xdr:cNvPr>
        <xdr:cNvSpPr txBox="1"/>
      </xdr:nvSpPr>
      <xdr:spPr>
        <a:xfrm>
          <a:off x="4219575" y="1357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1114</xdr:row>
      <xdr:rowOff>0</xdr:rowOff>
    </xdr:from>
    <xdr:ext cx="784830" cy="392415"/>
    <xdr:sp macro="" textlink="">
      <xdr:nvSpPr>
        <xdr:cNvPr id="11" name="テキスト ボックス 10">
          <a:extLst>
            <a:ext uri="{FF2B5EF4-FFF2-40B4-BE49-F238E27FC236}">
              <a16:creationId xmlns:a16="http://schemas.microsoft.com/office/drawing/2014/main" id="{00000000-0008-0000-0100-00000B000000}"/>
            </a:ext>
          </a:extLst>
        </xdr:cNvPr>
        <xdr:cNvSpPr txBox="1"/>
      </xdr:nvSpPr>
      <xdr:spPr>
        <a:xfrm>
          <a:off x="4219575" y="1643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1126</xdr:row>
      <xdr:rowOff>0</xdr:rowOff>
    </xdr:from>
    <xdr:ext cx="784830" cy="392415"/>
    <xdr:sp macro="" textlink="">
      <xdr:nvSpPr>
        <xdr:cNvPr id="12" name="テキスト ボックス 11">
          <a:extLst>
            <a:ext uri="{FF2B5EF4-FFF2-40B4-BE49-F238E27FC236}">
              <a16:creationId xmlns:a16="http://schemas.microsoft.com/office/drawing/2014/main" id="{00000000-0008-0000-0100-00000C000000}"/>
            </a:ext>
          </a:extLst>
        </xdr:cNvPr>
        <xdr:cNvSpPr txBox="1"/>
      </xdr:nvSpPr>
      <xdr:spPr>
        <a:xfrm>
          <a:off x="4219575" y="1928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1138</xdr:row>
      <xdr:rowOff>0</xdr:rowOff>
    </xdr:from>
    <xdr:ext cx="784830" cy="392415"/>
    <xdr:sp macro="" textlink="">
      <xdr:nvSpPr>
        <xdr:cNvPr id="13" name="テキスト ボックス 12">
          <a:extLst>
            <a:ext uri="{FF2B5EF4-FFF2-40B4-BE49-F238E27FC236}">
              <a16:creationId xmlns:a16="http://schemas.microsoft.com/office/drawing/2014/main" id="{00000000-0008-0000-0100-00000D000000}"/>
            </a:ext>
          </a:extLst>
        </xdr:cNvPr>
        <xdr:cNvSpPr txBox="1"/>
      </xdr:nvSpPr>
      <xdr:spPr>
        <a:xfrm>
          <a:off x="4219575" y="2214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1150</xdr:row>
      <xdr:rowOff>0</xdr:rowOff>
    </xdr:from>
    <xdr:ext cx="784830" cy="392415"/>
    <xdr:sp macro="" textlink="">
      <xdr:nvSpPr>
        <xdr:cNvPr id="15" name="テキスト ボックス 14">
          <a:extLst>
            <a:ext uri="{FF2B5EF4-FFF2-40B4-BE49-F238E27FC236}">
              <a16:creationId xmlns:a16="http://schemas.microsoft.com/office/drawing/2014/main" id="{00000000-0008-0000-0100-00000F000000}"/>
            </a:ext>
          </a:extLst>
        </xdr:cNvPr>
        <xdr:cNvSpPr txBox="1"/>
      </xdr:nvSpPr>
      <xdr:spPr>
        <a:xfrm>
          <a:off x="3794760" y="24803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1162</xdr:row>
      <xdr:rowOff>0</xdr:rowOff>
    </xdr:from>
    <xdr:ext cx="784830" cy="392415"/>
    <xdr:sp macro="" textlink="">
      <xdr:nvSpPr>
        <xdr:cNvPr id="18" name="テキスト ボックス 17">
          <a:extLst>
            <a:ext uri="{FF2B5EF4-FFF2-40B4-BE49-F238E27FC236}">
              <a16:creationId xmlns:a16="http://schemas.microsoft.com/office/drawing/2014/main" id="{00000000-0008-0000-0100-000012000000}"/>
            </a:ext>
          </a:extLst>
        </xdr:cNvPr>
        <xdr:cNvSpPr txBox="1"/>
      </xdr:nvSpPr>
      <xdr:spPr>
        <a:xfrm>
          <a:off x="3794760" y="27637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1174</xdr:row>
      <xdr:rowOff>0</xdr:rowOff>
    </xdr:from>
    <xdr:ext cx="784830" cy="392415"/>
    <xdr:sp macro="" textlink="">
      <xdr:nvSpPr>
        <xdr:cNvPr id="20" name="テキスト ボックス 19">
          <a:extLst>
            <a:ext uri="{FF2B5EF4-FFF2-40B4-BE49-F238E27FC236}">
              <a16:creationId xmlns:a16="http://schemas.microsoft.com/office/drawing/2014/main" id="{00000000-0008-0000-0100-000014000000}"/>
            </a:ext>
          </a:extLst>
        </xdr:cNvPr>
        <xdr:cNvSpPr txBox="1"/>
      </xdr:nvSpPr>
      <xdr:spPr>
        <a:xfrm>
          <a:off x="3794760" y="30472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1186</xdr:row>
      <xdr:rowOff>0</xdr:rowOff>
    </xdr:from>
    <xdr:ext cx="784830" cy="392415"/>
    <xdr:sp macro="" textlink="">
      <xdr:nvSpPr>
        <xdr:cNvPr id="21" name="テキスト ボックス 20">
          <a:extLst>
            <a:ext uri="{FF2B5EF4-FFF2-40B4-BE49-F238E27FC236}">
              <a16:creationId xmlns:a16="http://schemas.microsoft.com/office/drawing/2014/main" id="{00000000-0008-0000-0100-000015000000}"/>
            </a:ext>
          </a:extLst>
        </xdr:cNvPr>
        <xdr:cNvSpPr txBox="1"/>
      </xdr:nvSpPr>
      <xdr:spPr>
        <a:xfrm>
          <a:off x="3794760" y="33307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1198</xdr:row>
      <xdr:rowOff>0</xdr:rowOff>
    </xdr:from>
    <xdr:ext cx="784830" cy="392415"/>
    <xdr:sp macro="" textlink="">
      <xdr:nvSpPr>
        <xdr:cNvPr id="22" name="テキスト ボックス 21">
          <a:extLst>
            <a:ext uri="{FF2B5EF4-FFF2-40B4-BE49-F238E27FC236}">
              <a16:creationId xmlns:a16="http://schemas.microsoft.com/office/drawing/2014/main" id="{00000000-0008-0000-0100-000016000000}"/>
            </a:ext>
          </a:extLst>
        </xdr:cNvPr>
        <xdr:cNvSpPr txBox="1"/>
      </xdr:nvSpPr>
      <xdr:spPr>
        <a:xfrm>
          <a:off x="3794760" y="361416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1210</xdr:row>
      <xdr:rowOff>0</xdr:rowOff>
    </xdr:from>
    <xdr:ext cx="784830" cy="392415"/>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3794760" y="389763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1222</xdr:row>
      <xdr:rowOff>0</xdr:rowOff>
    </xdr:from>
    <xdr:ext cx="784830" cy="392415"/>
    <xdr:sp macro="" textlink="">
      <xdr:nvSpPr>
        <xdr:cNvPr id="24" name="テキスト ボックス 23">
          <a:extLst>
            <a:ext uri="{FF2B5EF4-FFF2-40B4-BE49-F238E27FC236}">
              <a16:creationId xmlns:a16="http://schemas.microsoft.com/office/drawing/2014/main" id="{00000000-0008-0000-0100-000018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1234</xdr:row>
      <xdr:rowOff>0</xdr:rowOff>
    </xdr:from>
    <xdr:ext cx="784830" cy="392415"/>
    <xdr:sp macro="" textlink="">
      <xdr:nvSpPr>
        <xdr:cNvPr id="25" name="テキスト ボックス 24">
          <a:extLst>
            <a:ext uri="{FF2B5EF4-FFF2-40B4-BE49-F238E27FC236}">
              <a16:creationId xmlns:a16="http://schemas.microsoft.com/office/drawing/2014/main" id="{00000000-0008-0000-0100-000019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1246</xdr:row>
      <xdr:rowOff>0</xdr:rowOff>
    </xdr:from>
    <xdr:ext cx="784830" cy="392415"/>
    <xdr:sp macro="" textlink="">
      <xdr:nvSpPr>
        <xdr:cNvPr id="26" name="テキスト ボックス 25">
          <a:extLst>
            <a:ext uri="{FF2B5EF4-FFF2-40B4-BE49-F238E27FC236}">
              <a16:creationId xmlns:a16="http://schemas.microsoft.com/office/drawing/2014/main" id="{00000000-0008-0000-0100-00001A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1258</xdr:row>
      <xdr:rowOff>0</xdr:rowOff>
    </xdr:from>
    <xdr:ext cx="784830" cy="392415"/>
    <xdr:sp macro="" textlink="">
      <xdr:nvSpPr>
        <xdr:cNvPr id="27" name="テキスト ボックス 26">
          <a:extLst>
            <a:ext uri="{FF2B5EF4-FFF2-40B4-BE49-F238E27FC236}">
              <a16:creationId xmlns:a16="http://schemas.microsoft.com/office/drawing/2014/main" id="{00000000-0008-0000-0100-00001B000000}"/>
            </a:ext>
          </a:extLst>
        </xdr:cNvPr>
        <xdr:cNvSpPr txBox="1"/>
      </xdr:nvSpPr>
      <xdr:spPr>
        <a:xfrm>
          <a:off x="3794760" y="50314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1270</xdr:row>
      <xdr:rowOff>0</xdr:rowOff>
    </xdr:from>
    <xdr:ext cx="784830" cy="392415"/>
    <xdr:sp macro="" textlink="">
      <xdr:nvSpPr>
        <xdr:cNvPr id="28" name="テキスト ボックス 27">
          <a:extLst>
            <a:ext uri="{FF2B5EF4-FFF2-40B4-BE49-F238E27FC236}">
              <a16:creationId xmlns:a16="http://schemas.microsoft.com/office/drawing/2014/main" id="{00000000-0008-0000-0100-00001C000000}"/>
            </a:ext>
          </a:extLst>
        </xdr:cNvPr>
        <xdr:cNvSpPr txBox="1"/>
      </xdr:nvSpPr>
      <xdr:spPr>
        <a:xfrm>
          <a:off x="3794760" y="53149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1282</xdr:row>
      <xdr:rowOff>0</xdr:rowOff>
    </xdr:from>
    <xdr:ext cx="784830" cy="392415"/>
    <xdr:sp macro="" textlink="">
      <xdr:nvSpPr>
        <xdr:cNvPr id="29" name="テキスト ボックス 28">
          <a:extLst>
            <a:ext uri="{FF2B5EF4-FFF2-40B4-BE49-F238E27FC236}">
              <a16:creationId xmlns:a16="http://schemas.microsoft.com/office/drawing/2014/main" id="{00000000-0008-0000-0100-00001D000000}"/>
            </a:ext>
          </a:extLst>
        </xdr:cNvPr>
        <xdr:cNvSpPr txBox="1"/>
      </xdr:nvSpPr>
      <xdr:spPr>
        <a:xfrm>
          <a:off x="3794760" y="55984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1294</xdr:row>
      <xdr:rowOff>0</xdr:rowOff>
    </xdr:from>
    <xdr:ext cx="784830" cy="392415"/>
    <xdr:sp macro="" textlink="">
      <xdr:nvSpPr>
        <xdr:cNvPr id="30" name="テキスト ボックス 29">
          <a:extLst>
            <a:ext uri="{FF2B5EF4-FFF2-40B4-BE49-F238E27FC236}">
              <a16:creationId xmlns:a16="http://schemas.microsoft.com/office/drawing/2014/main" id="{00000000-0008-0000-0100-00001E000000}"/>
            </a:ext>
          </a:extLst>
        </xdr:cNvPr>
        <xdr:cNvSpPr txBox="1"/>
      </xdr:nvSpPr>
      <xdr:spPr>
        <a:xfrm>
          <a:off x="3794760" y="58818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1306</xdr:row>
      <xdr:rowOff>0</xdr:rowOff>
    </xdr:from>
    <xdr:ext cx="784830" cy="392415"/>
    <xdr:sp macro="" textlink="">
      <xdr:nvSpPr>
        <xdr:cNvPr id="31" name="テキスト ボックス 30">
          <a:extLst>
            <a:ext uri="{FF2B5EF4-FFF2-40B4-BE49-F238E27FC236}">
              <a16:creationId xmlns:a16="http://schemas.microsoft.com/office/drawing/2014/main" id="{00000000-0008-0000-0100-00001F000000}"/>
            </a:ext>
          </a:extLst>
        </xdr:cNvPr>
        <xdr:cNvSpPr txBox="1"/>
      </xdr:nvSpPr>
      <xdr:spPr>
        <a:xfrm>
          <a:off x="3794760" y="61653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1318</xdr:row>
      <xdr:rowOff>0</xdr:rowOff>
    </xdr:from>
    <xdr:ext cx="784830" cy="392415"/>
    <xdr:sp macro="" textlink="">
      <xdr:nvSpPr>
        <xdr:cNvPr id="32" name="テキスト ボックス 31">
          <a:extLst>
            <a:ext uri="{FF2B5EF4-FFF2-40B4-BE49-F238E27FC236}">
              <a16:creationId xmlns:a16="http://schemas.microsoft.com/office/drawing/2014/main" id="{00000000-0008-0000-0100-000020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1330</xdr:row>
      <xdr:rowOff>0</xdr:rowOff>
    </xdr:from>
    <xdr:ext cx="784830" cy="392415"/>
    <xdr:sp macro="" textlink="">
      <xdr:nvSpPr>
        <xdr:cNvPr id="33" name="テキスト ボックス 32">
          <a:extLst>
            <a:ext uri="{FF2B5EF4-FFF2-40B4-BE49-F238E27FC236}">
              <a16:creationId xmlns:a16="http://schemas.microsoft.com/office/drawing/2014/main" id="{00000000-0008-0000-0100-000021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1342</xdr:row>
      <xdr:rowOff>0</xdr:rowOff>
    </xdr:from>
    <xdr:ext cx="784830" cy="392415"/>
    <xdr:sp macro="" textlink="">
      <xdr:nvSpPr>
        <xdr:cNvPr id="34" name="テキスト ボックス 33">
          <a:extLst>
            <a:ext uri="{FF2B5EF4-FFF2-40B4-BE49-F238E27FC236}">
              <a16:creationId xmlns:a16="http://schemas.microsoft.com/office/drawing/2014/main" id="{00000000-0008-0000-0100-000022000000}"/>
            </a:ext>
          </a:extLst>
        </xdr:cNvPr>
        <xdr:cNvSpPr txBox="1"/>
      </xdr:nvSpPr>
      <xdr:spPr>
        <a:xfrm>
          <a:off x="3794760" y="67322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1354</xdr:row>
      <xdr:rowOff>0</xdr:rowOff>
    </xdr:from>
    <xdr:ext cx="784830" cy="392415"/>
    <xdr:sp macro="" textlink="">
      <xdr:nvSpPr>
        <xdr:cNvPr id="35" name="テキスト ボックス 34">
          <a:extLst>
            <a:ext uri="{FF2B5EF4-FFF2-40B4-BE49-F238E27FC236}">
              <a16:creationId xmlns:a16="http://schemas.microsoft.com/office/drawing/2014/main" id="{00000000-0008-0000-0100-000023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1366</xdr:row>
      <xdr:rowOff>0</xdr:rowOff>
    </xdr:from>
    <xdr:ext cx="784830" cy="392415"/>
    <xdr:sp macro="" textlink="">
      <xdr:nvSpPr>
        <xdr:cNvPr id="36" name="テキスト ボックス 35">
          <a:extLst>
            <a:ext uri="{FF2B5EF4-FFF2-40B4-BE49-F238E27FC236}">
              <a16:creationId xmlns:a16="http://schemas.microsoft.com/office/drawing/2014/main" id="{00000000-0008-0000-0100-000024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1378</xdr:row>
      <xdr:rowOff>0</xdr:rowOff>
    </xdr:from>
    <xdr:ext cx="784830" cy="392415"/>
    <xdr:sp macro="" textlink="">
      <xdr:nvSpPr>
        <xdr:cNvPr id="37" name="テキスト ボックス 36">
          <a:extLst>
            <a:ext uri="{FF2B5EF4-FFF2-40B4-BE49-F238E27FC236}">
              <a16:creationId xmlns:a16="http://schemas.microsoft.com/office/drawing/2014/main" id="{00000000-0008-0000-0100-000025000000}"/>
            </a:ext>
          </a:extLst>
        </xdr:cNvPr>
        <xdr:cNvSpPr txBox="1"/>
      </xdr:nvSpPr>
      <xdr:spPr>
        <a:xfrm>
          <a:off x="3794760" y="78661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1390</xdr:row>
      <xdr:rowOff>0</xdr:rowOff>
    </xdr:from>
    <xdr:ext cx="784830" cy="392415"/>
    <xdr:sp macro="" textlink="">
      <xdr:nvSpPr>
        <xdr:cNvPr id="38" name="テキスト ボックス 37">
          <a:extLst>
            <a:ext uri="{FF2B5EF4-FFF2-40B4-BE49-F238E27FC236}">
              <a16:creationId xmlns:a16="http://schemas.microsoft.com/office/drawing/2014/main" id="{00000000-0008-0000-0100-000026000000}"/>
            </a:ext>
          </a:extLst>
        </xdr:cNvPr>
        <xdr:cNvSpPr txBox="1"/>
      </xdr:nvSpPr>
      <xdr:spPr>
        <a:xfrm>
          <a:off x="3794760" y="81495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1402</xdr:row>
      <xdr:rowOff>0</xdr:rowOff>
    </xdr:from>
    <xdr:ext cx="784830" cy="392415"/>
    <xdr:sp macro="" textlink="">
      <xdr:nvSpPr>
        <xdr:cNvPr id="39" name="テキスト ボックス 38">
          <a:extLst>
            <a:ext uri="{FF2B5EF4-FFF2-40B4-BE49-F238E27FC236}">
              <a16:creationId xmlns:a16="http://schemas.microsoft.com/office/drawing/2014/main" id="{00000000-0008-0000-0100-000027000000}"/>
            </a:ext>
          </a:extLst>
        </xdr:cNvPr>
        <xdr:cNvSpPr txBox="1"/>
      </xdr:nvSpPr>
      <xdr:spPr>
        <a:xfrm>
          <a:off x="3794760" y="84330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1414</xdr:row>
      <xdr:rowOff>0</xdr:rowOff>
    </xdr:from>
    <xdr:ext cx="784830" cy="392415"/>
    <xdr:sp macro="" textlink="">
      <xdr:nvSpPr>
        <xdr:cNvPr id="40" name="テキスト ボックス 39">
          <a:extLst>
            <a:ext uri="{FF2B5EF4-FFF2-40B4-BE49-F238E27FC236}">
              <a16:creationId xmlns:a16="http://schemas.microsoft.com/office/drawing/2014/main" id="{00000000-0008-0000-0100-000028000000}"/>
            </a:ext>
          </a:extLst>
        </xdr:cNvPr>
        <xdr:cNvSpPr txBox="1"/>
      </xdr:nvSpPr>
      <xdr:spPr>
        <a:xfrm>
          <a:off x="3794760" y="87165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1426</xdr:row>
      <xdr:rowOff>0</xdr:rowOff>
    </xdr:from>
    <xdr:ext cx="784830" cy="392415"/>
    <xdr:sp macro="" textlink="">
      <xdr:nvSpPr>
        <xdr:cNvPr id="41" name="テキスト ボックス 40">
          <a:extLst>
            <a:ext uri="{FF2B5EF4-FFF2-40B4-BE49-F238E27FC236}">
              <a16:creationId xmlns:a16="http://schemas.microsoft.com/office/drawing/2014/main" id="{00000000-0008-0000-0100-000029000000}"/>
            </a:ext>
          </a:extLst>
        </xdr:cNvPr>
        <xdr:cNvSpPr txBox="1"/>
      </xdr:nvSpPr>
      <xdr:spPr>
        <a:xfrm>
          <a:off x="3794760" y="89999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1438</xdr:row>
      <xdr:rowOff>0</xdr:rowOff>
    </xdr:from>
    <xdr:ext cx="784830" cy="392415"/>
    <xdr:sp macro="" textlink="">
      <xdr:nvSpPr>
        <xdr:cNvPr id="42" name="テキスト ボックス 41">
          <a:extLst>
            <a:ext uri="{FF2B5EF4-FFF2-40B4-BE49-F238E27FC236}">
              <a16:creationId xmlns:a16="http://schemas.microsoft.com/office/drawing/2014/main" id="{00000000-0008-0000-0100-00002A000000}"/>
            </a:ext>
          </a:extLst>
        </xdr:cNvPr>
        <xdr:cNvSpPr txBox="1"/>
      </xdr:nvSpPr>
      <xdr:spPr>
        <a:xfrm>
          <a:off x="3794760" y="92834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1450</xdr:row>
      <xdr:rowOff>0</xdr:rowOff>
    </xdr:from>
    <xdr:ext cx="784830" cy="392415"/>
    <xdr:sp macro="" textlink="">
      <xdr:nvSpPr>
        <xdr:cNvPr id="43" name="テキスト ボックス 42">
          <a:extLst>
            <a:ext uri="{FF2B5EF4-FFF2-40B4-BE49-F238E27FC236}">
              <a16:creationId xmlns:a16="http://schemas.microsoft.com/office/drawing/2014/main" id="{00000000-0008-0000-0100-00002B000000}"/>
            </a:ext>
          </a:extLst>
        </xdr:cNvPr>
        <xdr:cNvSpPr txBox="1"/>
      </xdr:nvSpPr>
      <xdr:spPr>
        <a:xfrm>
          <a:off x="3794760" y="95669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1462</xdr:row>
      <xdr:rowOff>0</xdr:rowOff>
    </xdr:from>
    <xdr:ext cx="784830" cy="392415"/>
    <xdr:sp macro="" textlink="">
      <xdr:nvSpPr>
        <xdr:cNvPr id="44" name="テキスト ボックス 43">
          <a:extLst>
            <a:ext uri="{FF2B5EF4-FFF2-40B4-BE49-F238E27FC236}">
              <a16:creationId xmlns:a16="http://schemas.microsoft.com/office/drawing/2014/main" id="{00000000-0008-0000-0100-00002C000000}"/>
            </a:ext>
          </a:extLst>
        </xdr:cNvPr>
        <xdr:cNvSpPr txBox="1"/>
      </xdr:nvSpPr>
      <xdr:spPr>
        <a:xfrm>
          <a:off x="3794760" y="98503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1474</xdr:row>
      <xdr:rowOff>0</xdr:rowOff>
    </xdr:from>
    <xdr:ext cx="784830" cy="392415"/>
    <xdr:sp macro="" textlink="">
      <xdr:nvSpPr>
        <xdr:cNvPr id="45" name="テキスト ボックス 44">
          <a:extLst>
            <a:ext uri="{FF2B5EF4-FFF2-40B4-BE49-F238E27FC236}">
              <a16:creationId xmlns:a16="http://schemas.microsoft.com/office/drawing/2014/main" id="{00000000-0008-0000-0100-00002D000000}"/>
            </a:ext>
          </a:extLst>
        </xdr:cNvPr>
        <xdr:cNvSpPr txBox="1"/>
      </xdr:nvSpPr>
      <xdr:spPr>
        <a:xfrm>
          <a:off x="3794760" y="101338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1486</xdr:row>
      <xdr:rowOff>0</xdr:rowOff>
    </xdr:from>
    <xdr:ext cx="784830" cy="392415"/>
    <xdr:sp macro="" textlink="">
      <xdr:nvSpPr>
        <xdr:cNvPr id="46" name="テキスト ボックス 45">
          <a:extLst>
            <a:ext uri="{FF2B5EF4-FFF2-40B4-BE49-F238E27FC236}">
              <a16:creationId xmlns:a16="http://schemas.microsoft.com/office/drawing/2014/main" id="{00000000-0008-0000-0100-00002E000000}"/>
            </a:ext>
          </a:extLst>
        </xdr:cNvPr>
        <xdr:cNvSpPr txBox="1"/>
      </xdr:nvSpPr>
      <xdr:spPr>
        <a:xfrm>
          <a:off x="3794760" y="104173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1498</xdr:row>
      <xdr:rowOff>0</xdr:rowOff>
    </xdr:from>
    <xdr:ext cx="784830" cy="392415"/>
    <xdr:sp macro="" textlink="">
      <xdr:nvSpPr>
        <xdr:cNvPr id="47" name="テキスト ボックス 46">
          <a:extLst>
            <a:ext uri="{FF2B5EF4-FFF2-40B4-BE49-F238E27FC236}">
              <a16:creationId xmlns:a16="http://schemas.microsoft.com/office/drawing/2014/main" id="{00000000-0008-0000-0100-00002F000000}"/>
            </a:ext>
          </a:extLst>
        </xdr:cNvPr>
        <xdr:cNvSpPr txBox="1"/>
      </xdr:nvSpPr>
      <xdr:spPr>
        <a:xfrm>
          <a:off x="3794760" y="1070076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1510</xdr:row>
      <xdr:rowOff>0</xdr:rowOff>
    </xdr:from>
    <xdr:ext cx="784830" cy="392415"/>
    <xdr:sp macro="" textlink="">
      <xdr:nvSpPr>
        <xdr:cNvPr id="48" name="テキスト ボックス 47">
          <a:extLst>
            <a:ext uri="{FF2B5EF4-FFF2-40B4-BE49-F238E27FC236}">
              <a16:creationId xmlns:a16="http://schemas.microsoft.com/office/drawing/2014/main" id="{00000000-0008-0000-0100-000030000000}"/>
            </a:ext>
          </a:extLst>
        </xdr:cNvPr>
        <xdr:cNvSpPr txBox="1"/>
      </xdr:nvSpPr>
      <xdr:spPr>
        <a:xfrm>
          <a:off x="3794760" y="1098423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1522</xdr:row>
      <xdr:rowOff>0</xdr:rowOff>
    </xdr:from>
    <xdr:ext cx="784830" cy="392415"/>
    <xdr:sp macro="" textlink="">
      <xdr:nvSpPr>
        <xdr:cNvPr id="49" name="テキスト ボックス 48">
          <a:extLst>
            <a:ext uri="{FF2B5EF4-FFF2-40B4-BE49-F238E27FC236}">
              <a16:creationId xmlns:a16="http://schemas.microsoft.com/office/drawing/2014/main" id="{00000000-0008-0000-0100-000031000000}"/>
            </a:ext>
          </a:extLst>
        </xdr:cNvPr>
        <xdr:cNvSpPr txBox="1"/>
      </xdr:nvSpPr>
      <xdr:spPr>
        <a:xfrm>
          <a:off x="3794760" y="112676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1534</xdr:row>
      <xdr:rowOff>0</xdr:rowOff>
    </xdr:from>
    <xdr:ext cx="784830" cy="392415"/>
    <xdr:sp macro="" textlink="">
      <xdr:nvSpPr>
        <xdr:cNvPr id="50" name="テキスト ボックス 49">
          <a:extLst>
            <a:ext uri="{FF2B5EF4-FFF2-40B4-BE49-F238E27FC236}">
              <a16:creationId xmlns:a16="http://schemas.microsoft.com/office/drawing/2014/main" id="{00000000-0008-0000-0100-000032000000}"/>
            </a:ext>
          </a:extLst>
        </xdr:cNvPr>
        <xdr:cNvSpPr txBox="1"/>
      </xdr:nvSpPr>
      <xdr:spPr>
        <a:xfrm>
          <a:off x="3794760" y="1155115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1546</xdr:row>
      <xdr:rowOff>0</xdr:rowOff>
    </xdr:from>
    <xdr:ext cx="784830" cy="392415"/>
    <xdr:sp macro="" textlink="">
      <xdr:nvSpPr>
        <xdr:cNvPr id="51" name="テキスト ボックス 50">
          <a:extLst>
            <a:ext uri="{FF2B5EF4-FFF2-40B4-BE49-F238E27FC236}">
              <a16:creationId xmlns:a16="http://schemas.microsoft.com/office/drawing/2014/main" id="{00000000-0008-0000-0100-000033000000}"/>
            </a:ext>
          </a:extLst>
        </xdr:cNvPr>
        <xdr:cNvSpPr txBox="1"/>
      </xdr:nvSpPr>
      <xdr:spPr>
        <a:xfrm>
          <a:off x="3794760" y="1183462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1558</xdr:row>
      <xdr:rowOff>0</xdr:rowOff>
    </xdr:from>
    <xdr:ext cx="784830" cy="392415"/>
    <xdr:sp macro="" textlink="">
      <xdr:nvSpPr>
        <xdr:cNvPr id="52" name="テキスト ボックス 51">
          <a:extLst>
            <a:ext uri="{FF2B5EF4-FFF2-40B4-BE49-F238E27FC236}">
              <a16:creationId xmlns:a16="http://schemas.microsoft.com/office/drawing/2014/main" id="{00000000-0008-0000-0100-000034000000}"/>
            </a:ext>
          </a:extLst>
        </xdr:cNvPr>
        <xdr:cNvSpPr txBox="1"/>
      </xdr:nvSpPr>
      <xdr:spPr>
        <a:xfrm>
          <a:off x="3794760" y="121180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1570</xdr:row>
      <xdr:rowOff>0</xdr:rowOff>
    </xdr:from>
    <xdr:ext cx="784830" cy="392415"/>
    <xdr:sp macro="" textlink="">
      <xdr:nvSpPr>
        <xdr:cNvPr id="53" name="テキスト ボックス 52">
          <a:extLst>
            <a:ext uri="{FF2B5EF4-FFF2-40B4-BE49-F238E27FC236}">
              <a16:creationId xmlns:a16="http://schemas.microsoft.com/office/drawing/2014/main" id="{00000000-0008-0000-0100-000035000000}"/>
            </a:ext>
          </a:extLst>
        </xdr:cNvPr>
        <xdr:cNvSpPr txBox="1"/>
      </xdr:nvSpPr>
      <xdr:spPr>
        <a:xfrm>
          <a:off x="3794760" y="124015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1582</xdr:row>
      <xdr:rowOff>0</xdr:rowOff>
    </xdr:from>
    <xdr:ext cx="784830" cy="392415"/>
    <xdr:sp macro="" textlink="">
      <xdr:nvSpPr>
        <xdr:cNvPr id="54" name="テキスト ボックス 53">
          <a:extLst>
            <a:ext uri="{FF2B5EF4-FFF2-40B4-BE49-F238E27FC236}">
              <a16:creationId xmlns:a16="http://schemas.microsoft.com/office/drawing/2014/main" id="{00000000-0008-0000-0100-000036000000}"/>
            </a:ext>
          </a:extLst>
        </xdr:cNvPr>
        <xdr:cNvSpPr txBox="1"/>
      </xdr:nvSpPr>
      <xdr:spPr>
        <a:xfrm>
          <a:off x="3794760" y="126850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1594</xdr:row>
      <xdr:rowOff>0</xdr:rowOff>
    </xdr:from>
    <xdr:ext cx="784830" cy="392415"/>
    <xdr:sp macro="" textlink="">
      <xdr:nvSpPr>
        <xdr:cNvPr id="55" name="テキスト ボックス 54">
          <a:extLst>
            <a:ext uri="{FF2B5EF4-FFF2-40B4-BE49-F238E27FC236}">
              <a16:creationId xmlns:a16="http://schemas.microsoft.com/office/drawing/2014/main" id="{00000000-0008-0000-0100-000037000000}"/>
            </a:ext>
          </a:extLst>
        </xdr:cNvPr>
        <xdr:cNvSpPr txBox="1"/>
      </xdr:nvSpPr>
      <xdr:spPr>
        <a:xfrm>
          <a:off x="3794760" y="129684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1606</xdr:row>
      <xdr:rowOff>0</xdr:rowOff>
    </xdr:from>
    <xdr:ext cx="784830" cy="392415"/>
    <xdr:sp macro="" textlink="">
      <xdr:nvSpPr>
        <xdr:cNvPr id="56" name="テキスト ボックス 55">
          <a:extLst>
            <a:ext uri="{FF2B5EF4-FFF2-40B4-BE49-F238E27FC236}">
              <a16:creationId xmlns:a16="http://schemas.microsoft.com/office/drawing/2014/main" id="{00000000-0008-0000-0100-000038000000}"/>
            </a:ext>
          </a:extLst>
        </xdr:cNvPr>
        <xdr:cNvSpPr txBox="1"/>
      </xdr:nvSpPr>
      <xdr:spPr>
        <a:xfrm>
          <a:off x="3794760" y="132519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37</xdr:row>
      <xdr:rowOff>0</xdr:rowOff>
    </xdr:from>
    <xdr:ext cx="784830" cy="392415"/>
    <xdr:sp macro="" textlink="">
      <xdr:nvSpPr>
        <xdr:cNvPr id="57" name="テキスト ボックス 56">
          <a:extLst>
            <a:ext uri="{FF2B5EF4-FFF2-40B4-BE49-F238E27FC236}">
              <a16:creationId xmlns:a16="http://schemas.microsoft.com/office/drawing/2014/main" id="{00000000-0008-0000-0100-000039000000}"/>
            </a:ext>
          </a:extLst>
        </xdr:cNvPr>
        <xdr:cNvSpPr txBox="1"/>
      </xdr:nvSpPr>
      <xdr:spPr>
        <a:xfrm>
          <a:off x="3794760" y="135354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49</xdr:row>
      <xdr:rowOff>0</xdr:rowOff>
    </xdr:from>
    <xdr:ext cx="784830" cy="392415"/>
    <xdr:sp macro="" textlink="">
      <xdr:nvSpPr>
        <xdr:cNvPr id="58" name="テキスト ボックス 57">
          <a:extLst>
            <a:ext uri="{FF2B5EF4-FFF2-40B4-BE49-F238E27FC236}">
              <a16:creationId xmlns:a16="http://schemas.microsoft.com/office/drawing/2014/main" id="{00000000-0008-0000-0100-00003A000000}"/>
            </a:ext>
          </a:extLst>
        </xdr:cNvPr>
        <xdr:cNvSpPr txBox="1"/>
      </xdr:nvSpPr>
      <xdr:spPr>
        <a:xfrm>
          <a:off x="3794760" y="138188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61</xdr:row>
      <xdr:rowOff>0</xdr:rowOff>
    </xdr:from>
    <xdr:ext cx="784830" cy="392415"/>
    <xdr:sp macro="" textlink="">
      <xdr:nvSpPr>
        <xdr:cNvPr id="59" name="テキスト ボックス 58">
          <a:extLst>
            <a:ext uri="{FF2B5EF4-FFF2-40B4-BE49-F238E27FC236}">
              <a16:creationId xmlns:a16="http://schemas.microsoft.com/office/drawing/2014/main" id="{00000000-0008-0000-0100-00003B000000}"/>
            </a:ext>
          </a:extLst>
        </xdr:cNvPr>
        <xdr:cNvSpPr txBox="1"/>
      </xdr:nvSpPr>
      <xdr:spPr>
        <a:xfrm>
          <a:off x="3794760" y="141023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82</xdr:row>
      <xdr:rowOff>0</xdr:rowOff>
    </xdr:from>
    <xdr:ext cx="784830" cy="392415"/>
    <xdr:sp macro="" textlink="">
      <xdr:nvSpPr>
        <xdr:cNvPr id="61" name="テキスト ボックス 60">
          <a:extLst>
            <a:ext uri="{FF2B5EF4-FFF2-40B4-BE49-F238E27FC236}">
              <a16:creationId xmlns:a16="http://schemas.microsoft.com/office/drawing/2014/main" id="{00000000-0008-0000-0100-00003D000000}"/>
            </a:ext>
          </a:extLst>
        </xdr:cNvPr>
        <xdr:cNvSpPr txBox="1"/>
      </xdr:nvSpPr>
      <xdr:spPr>
        <a:xfrm>
          <a:off x="3794760" y="146692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94</xdr:row>
      <xdr:rowOff>0</xdr:rowOff>
    </xdr:from>
    <xdr:ext cx="784830" cy="392415"/>
    <xdr:sp macro="" textlink="">
      <xdr:nvSpPr>
        <xdr:cNvPr id="62" name="テキスト ボックス 61">
          <a:extLst>
            <a:ext uri="{FF2B5EF4-FFF2-40B4-BE49-F238E27FC236}">
              <a16:creationId xmlns:a16="http://schemas.microsoft.com/office/drawing/2014/main" id="{00000000-0008-0000-0100-00003E000000}"/>
            </a:ext>
          </a:extLst>
        </xdr:cNvPr>
        <xdr:cNvSpPr txBox="1"/>
      </xdr:nvSpPr>
      <xdr:spPr>
        <a:xfrm>
          <a:off x="3794760" y="149527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106</xdr:row>
      <xdr:rowOff>0</xdr:rowOff>
    </xdr:from>
    <xdr:ext cx="784830" cy="392415"/>
    <xdr:sp macro="" textlink="">
      <xdr:nvSpPr>
        <xdr:cNvPr id="63" name="テキスト ボックス 62">
          <a:extLst>
            <a:ext uri="{FF2B5EF4-FFF2-40B4-BE49-F238E27FC236}">
              <a16:creationId xmlns:a16="http://schemas.microsoft.com/office/drawing/2014/main" id="{00000000-0008-0000-0100-00003F000000}"/>
            </a:ext>
          </a:extLst>
        </xdr:cNvPr>
        <xdr:cNvSpPr txBox="1"/>
      </xdr:nvSpPr>
      <xdr:spPr>
        <a:xfrm>
          <a:off x="3794760" y="152361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118</xdr:row>
      <xdr:rowOff>0</xdr:rowOff>
    </xdr:from>
    <xdr:ext cx="784830" cy="392415"/>
    <xdr:sp macro="" textlink="">
      <xdr:nvSpPr>
        <xdr:cNvPr id="64" name="テキスト ボックス 63">
          <a:extLst>
            <a:ext uri="{FF2B5EF4-FFF2-40B4-BE49-F238E27FC236}">
              <a16:creationId xmlns:a16="http://schemas.microsoft.com/office/drawing/2014/main" id="{00000000-0008-0000-0100-000040000000}"/>
            </a:ext>
          </a:extLst>
        </xdr:cNvPr>
        <xdr:cNvSpPr txBox="1"/>
      </xdr:nvSpPr>
      <xdr:spPr>
        <a:xfrm>
          <a:off x="3794760" y="155196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130</xdr:row>
      <xdr:rowOff>0</xdr:rowOff>
    </xdr:from>
    <xdr:ext cx="784830" cy="392415"/>
    <xdr:sp macro="" textlink="">
      <xdr:nvSpPr>
        <xdr:cNvPr id="65" name="テキスト ボックス 64">
          <a:extLst>
            <a:ext uri="{FF2B5EF4-FFF2-40B4-BE49-F238E27FC236}">
              <a16:creationId xmlns:a16="http://schemas.microsoft.com/office/drawing/2014/main" id="{00000000-0008-0000-0100-000041000000}"/>
            </a:ext>
          </a:extLst>
        </xdr:cNvPr>
        <xdr:cNvSpPr txBox="1"/>
      </xdr:nvSpPr>
      <xdr:spPr>
        <a:xfrm>
          <a:off x="3794760" y="158031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142</xdr:row>
      <xdr:rowOff>0</xdr:rowOff>
    </xdr:from>
    <xdr:ext cx="784830" cy="392415"/>
    <xdr:sp macro="" textlink="">
      <xdr:nvSpPr>
        <xdr:cNvPr id="66" name="テキスト ボックス 65">
          <a:extLst>
            <a:ext uri="{FF2B5EF4-FFF2-40B4-BE49-F238E27FC236}">
              <a16:creationId xmlns:a16="http://schemas.microsoft.com/office/drawing/2014/main" id="{00000000-0008-0000-0100-000042000000}"/>
            </a:ext>
          </a:extLst>
        </xdr:cNvPr>
        <xdr:cNvSpPr txBox="1"/>
      </xdr:nvSpPr>
      <xdr:spPr>
        <a:xfrm>
          <a:off x="3794760" y="160865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154</xdr:row>
      <xdr:rowOff>0</xdr:rowOff>
    </xdr:from>
    <xdr:ext cx="784830" cy="392415"/>
    <xdr:sp macro="" textlink="">
      <xdr:nvSpPr>
        <xdr:cNvPr id="67" name="テキスト ボックス 66">
          <a:extLst>
            <a:ext uri="{FF2B5EF4-FFF2-40B4-BE49-F238E27FC236}">
              <a16:creationId xmlns:a16="http://schemas.microsoft.com/office/drawing/2014/main" id="{00000000-0008-0000-0100-000043000000}"/>
            </a:ext>
          </a:extLst>
        </xdr:cNvPr>
        <xdr:cNvSpPr txBox="1"/>
      </xdr:nvSpPr>
      <xdr:spPr>
        <a:xfrm>
          <a:off x="3794760" y="163700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166</xdr:row>
      <xdr:rowOff>0</xdr:rowOff>
    </xdr:from>
    <xdr:ext cx="784830" cy="392415"/>
    <xdr:sp macro="" textlink="">
      <xdr:nvSpPr>
        <xdr:cNvPr id="68" name="テキスト ボックス 67">
          <a:extLst>
            <a:ext uri="{FF2B5EF4-FFF2-40B4-BE49-F238E27FC236}">
              <a16:creationId xmlns:a16="http://schemas.microsoft.com/office/drawing/2014/main" id="{00000000-0008-0000-0100-000044000000}"/>
            </a:ext>
          </a:extLst>
        </xdr:cNvPr>
        <xdr:cNvSpPr txBox="1"/>
      </xdr:nvSpPr>
      <xdr:spPr>
        <a:xfrm>
          <a:off x="3794760" y="166535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619</xdr:row>
      <xdr:rowOff>0</xdr:rowOff>
    </xdr:from>
    <xdr:ext cx="784830" cy="392415"/>
    <xdr:sp macro="" textlink="">
      <xdr:nvSpPr>
        <xdr:cNvPr id="70" name="テキスト ボックス 69">
          <a:extLst>
            <a:ext uri="{FF2B5EF4-FFF2-40B4-BE49-F238E27FC236}">
              <a16:creationId xmlns:a16="http://schemas.microsoft.com/office/drawing/2014/main" id="{00000000-0008-0000-0100-000046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640</xdr:row>
      <xdr:rowOff>0</xdr:rowOff>
    </xdr:from>
    <xdr:ext cx="784830" cy="392415"/>
    <xdr:sp macro="" textlink="">
      <xdr:nvSpPr>
        <xdr:cNvPr id="71" name="テキスト ボックス 70">
          <a:extLst>
            <a:ext uri="{FF2B5EF4-FFF2-40B4-BE49-F238E27FC236}">
              <a16:creationId xmlns:a16="http://schemas.microsoft.com/office/drawing/2014/main" id="{00000000-0008-0000-0100-000047000000}"/>
            </a:ext>
          </a:extLst>
        </xdr:cNvPr>
        <xdr:cNvSpPr txBox="1"/>
      </xdr:nvSpPr>
      <xdr:spPr>
        <a:xfrm>
          <a:off x="3794760" y="276377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652</xdr:row>
      <xdr:rowOff>0</xdr:rowOff>
    </xdr:from>
    <xdr:ext cx="784830" cy="392415"/>
    <xdr:sp macro="" textlink="">
      <xdr:nvSpPr>
        <xdr:cNvPr id="72" name="テキスト ボックス 71">
          <a:extLst>
            <a:ext uri="{FF2B5EF4-FFF2-40B4-BE49-F238E27FC236}">
              <a16:creationId xmlns:a16="http://schemas.microsoft.com/office/drawing/2014/main" id="{00000000-0008-0000-0100-000048000000}"/>
            </a:ext>
          </a:extLst>
        </xdr:cNvPr>
        <xdr:cNvSpPr txBox="1"/>
      </xdr:nvSpPr>
      <xdr:spPr>
        <a:xfrm>
          <a:off x="3794760" y="2792120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664</xdr:row>
      <xdr:rowOff>0</xdr:rowOff>
    </xdr:from>
    <xdr:ext cx="784830" cy="392415"/>
    <xdr:sp macro="" textlink="">
      <xdr:nvSpPr>
        <xdr:cNvPr id="73" name="テキスト ボックス 72">
          <a:extLst>
            <a:ext uri="{FF2B5EF4-FFF2-40B4-BE49-F238E27FC236}">
              <a16:creationId xmlns:a16="http://schemas.microsoft.com/office/drawing/2014/main" id="{00000000-0008-0000-0100-000049000000}"/>
            </a:ext>
          </a:extLst>
        </xdr:cNvPr>
        <xdr:cNvSpPr txBox="1"/>
      </xdr:nvSpPr>
      <xdr:spPr>
        <a:xfrm>
          <a:off x="3794760" y="2820466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730</xdr:row>
      <xdr:rowOff>0</xdr:rowOff>
    </xdr:from>
    <xdr:ext cx="784830" cy="392415"/>
    <xdr:sp macro="" textlink="">
      <xdr:nvSpPr>
        <xdr:cNvPr id="74" name="テキスト ボックス 73">
          <a:extLst>
            <a:ext uri="{FF2B5EF4-FFF2-40B4-BE49-F238E27FC236}">
              <a16:creationId xmlns:a16="http://schemas.microsoft.com/office/drawing/2014/main" id="{00000000-0008-0000-0100-00004A000000}"/>
            </a:ext>
          </a:extLst>
        </xdr:cNvPr>
        <xdr:cNvSpPr txBox="1"/>
      </xdr:nvSpPr>
      <xdr:spPr>
        <a:xfrm>
          <a:off x="3794760" y="2848813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742</xdr:row>
      <xdr:rowOff>0</xdr:rowOff>
    </xdr:from>
    <xdr:ext cx="784830" cy="392415"/>
    <xdr:sp macro="" textlink="">
      <xdr:nvSpPr>
        <xdr:cNvPr id="75" name="テキスト ボックス 74">
          <a:extLst>
            <a:ext uri="{FF2B5EF4-FFF2-40B4-BE49-F238E27FC236}">
              <a16:creationId xmlns:a16="http://schemas.microsoft.com/office/drawing/2014/main" id="{00000000-0008-0000-0100-00004B000000}"/>
            </a:ext>
          </a:extLst>
        </xdr:cNvPr>
        <xdr:cNvSpPr txBox="1"/>
      </xdr:nvSpPr>
      <xdr:spPr>
        <a:xfrm>
          <a:off x="3794760" y="2877159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754</xdr:row>
      <xdr:rowOff>0</xdr:rowOff>
    </xdr:from>
    <xdr:ext cx="784830" cy="392415"/>
    <xdr:sp macro="" textlink="">
      <xdr:nvSpPr>
        <xdr:cNvPr id="76" name="テキスト ボックス 75">
          <a:extLst>
            <a:ext uri="{FF2B5EF4-FFF2-40B4-BE49-F238E27FC236}">
              <a16:creationId xmlns:a16="http://schemas.microsoft.com/office/drawing/2014/main" id="{00000000-0008-0000-0100-00004C000000}"/>
            </a:ext>
          </a:extLst>
        </xdr:cNvPr>
        <xdr:cNvSpPr txBox="1"/>
      </xdr:nvSpPr>
      <xdr:spPr>
        <a:xfrm>
          <a:off x="3794760" y="2905506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766</xdr:row>
      <xdr:rowOff>0</xdr:rowOff>
    </xdr:from>
    <xdr:ext cx="784830" cy="392415"/>
    <xdr:sp macro="" textlink="">
      <xdr:nvSpPr>
        <xdr:cNvPr id="77" name="テキスト ボックス 76">
          <a:extLst>
            <a:ext uri="{FF2B5EF4-FFF2-40B4-BE49-F238E27FC236}">
              <a16:creationId xmlns:a16="http://schemas.microsoft.com/office/drawing/2014/main" id="{00000000-0008-0000-0100-00004D000000}"/>
            </a:ext>
          </a:extLst>
        </xdr:cNvPr>
        <xdr:cNvSpPr txBox="1"/>
      </xdr:nvSpPr>
      <xdr:spPr>
        <a:xfrm>
          <a:off x="3794760" y="2933852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778</xdr:row>
      <xdr:rowOff>0</xdr:rowOff>
    </xdr:from>
    <xdr:ext cx="784830" cy="392415"/>
    <xdr:sp macro="" textlink="">
      <xdr:nvSpPr>
        <xdr:cNvPr id="78" name="テキスト ボックス 77">
          <a:extLst>
            <a:ext uri="{FF2B5EF4-FFF2-40B4-BE49-F238E27FC236}">
              <a16:creationId xmlns:a16="http://schemas.microsoft.com/office/drawing/2014/main" id="{00000000-0008-0000-0100-00004E000000}"/>
            </a:ext>
          </a:extLst>
        </xdr:cNvPr>
        <xdr:cNvSpPr txBox="1"/>
      </xdr:nvSpPr>
      <xdr:spPr>
        <a:xfrm>
          <a:off x="3794760" y="2962198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790</xdr:row>
      <xdr:rowOff>0</xdr:rowOff>
    </xdr:from>
    <xdr:ext cx="784830" cy="392415"/>
    <xdr:sp macro="" textlink="">
      <xdr:nvSpPr>
        <xdr:cNvPr id="79" name="テキスト ボックス 78">
          <a:extLst>
            <a:ext uri="{FF2B5EF4-FFF2-40B4-BE49-F238E27FC236}">
              <a16:creationId xmlns:a16="http://schemas.microsoft.com/office/drawing/2014/main" id="{00000000-0008-0000-0100-00004F000000}"/>
            </a:ext>
          </a:extLst>
        </xdr:cNvPr>
        <xdr:cNvSpPr txBox="1"/>
      </xdr:nvSpPr>
      <xdr:spPr>
        <a:xfrm>
          <a:off x="3794760" y="2990545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802</xdr:row>
      <xdr:rowOff>0</xdr:rowOff>
    </xdr:from>
    <xdr:ext cx="784830" cy="392415"/>
    <xdr:sp macro="" textlink="">
      <xdr:nvSpPr>
        <xdr:cNvPr id="80" name="テキスト ボックス 79">
          <a:extLst>
            <a:ext uri="{FF2B5EF4-FFF2-40B4-BE49-F238E27FC236}">
              <a16:creationId xmlns:a16="http://schemas.microsoft.com/office/drawing/2014/main" id="{00000000-0008-0000-0100-000050000000}"/>
            </a:ext>
          </a:extLst>
        </xdr:cNvPr>
        <xdr:cNvSpPr txBox="1"/>
      </xdr:nvSpPr>
      <xdr:spPr>
        <a:xfrm>
          <a:off x="3794760" y="3018891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814</xdr:row>
      <xdr:rowOff>0</xdr:rowOff>
    </xdr:from>
    <xdr:ext cx="784830" cy="392415"/>
    <xdr:sp macro="" textlink="">
      <xdr:nvSpPr>
        <xdr:cNvPr id="81" name="テキスト ボックス 80">
          <a:extLst>
            <a:ext uri="{FF2B5EF4-FFF2-40B4-BE49-F238E27FC236}">
              <a16:creationId xmlns:a16="http://schemas.microsoft.com/office/drawing/2014/main" id="{00000000-0008-0000-0100-000051000000}"/>
            </a:ext>
          </a:extLst>
        </xdr:cNvPr>
        <xdr:cNvSpPr txBox="1"/>
      </xdr:nvSpPr>
      <xdr:spPr>
        <a:xfrm>
          <a:off x="3794760" y="3047238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826</xdr:row>
      <xdr:rowOff>0</xdr:rowOff>
    </xdr:from>
    <xdr:ext cx="784830" cy="392415"/>
    <xdr:sp macro="" textlink="">
      <xdr:nvSpPr>
        <xdr:cNvPr id="82" name="テキスト ボックス 81">
          <a:extLst>
            <a:ext uri="{FF2B5EF4-FFF2-40B4-BE49-F238E27FC236}">
              <a16:creationId xmlns:a16="http://schemas.microsoft.com/office/drawing/2014/main" id="{00000000-0008-0000-0100-000052000000}"/>
            </a:ext>
          </a:extLst>
        </xdr:cNvPr>
        <xdr:cNvSpPr txBox="1"/>
      </xdr:nvSpPr>
      <xdr:spPr>
        <a:xfrm>
          <a:off x="3794760" y="3075584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838</xdr:row>
      <xdr:rowOff>0</xdr:rowOff>
    </xdr:from>
    <xdr:ext cx="784830" cy="392415"/>
    <xdr:sp macro="" textlink="">
      <xdr:nvSpPr>
        <xdr:cNvPr id="83" name="テキスト ボックス 82">
          <a:extLst>
            <a:ext uri="{FF2B5EF4-FFF2-40B4-BE49-F238E27FC236}">
              <a16:creationId xmlns:a16="http://schemas.microsoft.com/office/drawing/2014/main" id="{00000000-0008-0000-0100-000053000000}"/>
            </a:ext>
          </a:extLst>
        </xdr:cNvPr>
        <xdr:cNvSpPr txBox="1"/>
      </xdr:nvSpPr>
      <xdr:spPr>
        <a:xfrm>
          <a:off x="3794760" y="3103930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850</xdr:row>
      <xdr:rowOff>0</xdr:rowOff>
    </xdr:from>
    <xdr:ext cx="784830" cy="392415"/>
    <xdr:sp macro="" textlink="">
      <xdr:nvSpPr>
        <xdr:cNvPr id="84" name="テキスト ボックス 83">
          <a:extLst>
            <a:ext uri="{FF2B5EF4-FFF2-40B4-BE49-F238E27FC236}">
              <a16:creationId xmlns:a16="http://schemas.microsoft.com/office/drawing/2014/main" id="{00000000-0008-0000-0100-000054000000}"/>
            </a:ext>
          </a:extLst>
        </xdr:cNvPr>
        <xdr:cNvSpPr txBox="1"/>
      </xdr:nvSpPr>
      <xdr:spPr>
        <a:xfrm>
          <a:off x="3794760" y="3132277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862</xdr:row>
      <xdr:rowOff>0</xdr:rowOff>
    </xdr:from>
    <xdr:ext cx="784830" cy="392415"/>
    <xdr:sp macro="" textlink="">
      <xdr:nvSpPr>
        <xdr:cNvPr id="85" name="テキスト ボックス 84">
          <a:extLst>
            <a:ext uri="{FF2B5EF4-FFF2-40B4-BE49-F238E27FC236}">
              <a16:creationId xmlns:a16="http://schemas.microsoft.com/office/drawing/2014/main" id="{00000000-0008-0000-0100-000055000000}"/>
            </a:ext>
          </a:extLst>
        </xdr:cNvPr>
        <xdr:cNvSpPr txBox="1"/>
      </xdr:nvSpPr>
      <xdr:spPr>
        <a:xfrm>
          <a:off x="3794760" y="3160623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874</xdr:row>
      <xdr:rowOff>0</xdr:rowOff>
    </xdr:from>
    <xdr:ext cx="784830" cy="392415"/>
    <xdr:sp macro="" textlink="">
      <xdr:nvSpPr>
        <xdr:cNvPr id="86" name="テキスト ボックス 85">
          <a:extLst>
            <a:ext uri="{FF2B5EF4-FFF2-40B4-BE49-F238E27FC236}">
              <a16:creationId xmlns:a16="http://schemas.microsoft.com/office/drawing/2014/main" id="{00000000-0008-0000-0100-000056000000}"/>
            </a:ext>
          </a:extLst>
        </xdr:cNvPr>
        <xdr:cNvSpPr txBox="1"/>
      </xdr:nvSpPr>
      <xdr:spPr>
        <a:xfrm>
          <a:off x="3794760" y="3188970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886</xdr:row>
      <xdr:rowOff>0</xdr:rowOff>
    </xdr:from>
    <xdr:ext cx="784830" cy="392415"/>
    <xdr:sp macro="" textlink="">
      <xdr:nvSpPr>
        <xdr:cNvPr id="87" name="テキスト ボックス 86">
          <a:extLst>
            <a:ext uri="{FF2B5EF4-FFF2-40B4-BE49-F238E27FC236}">
              <a16:creationId xmlns:a16="http://schemas.microsoft.com/office/drawing/2014/main" id="{00000000-0008-0000-0100-000057000000}"/>
            </a:ext>
          </a:extLst>
        </xdr:cNvPr>
        <xdr:cNvSpPr txBox="1"/>
      </xdr:nvSpPr>
      <xdr:spPr>
        <a:xfrm>
          <a:off x="3794760" y="3217316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898</xdr:row>
      <xdr:rowOff>0</xdr:rowOff>
    </xdr:from>
    <xdr:ext cx="784830" cy="392415"/>
    <xdr:sp macro="" textlink="">
      <xdr:nvSpPr>
        <xdr:cNvPr id="88" name="テキスト ボックス 87">
          <a:extLst>
            <a:ext uri="{FF2B5EF4-FFF2-40B4-BE49-F238E27FC236}">
              <a16:creationId xmlns:a16="http://schemas.microsoft.com/office/drawing/2014/main" id="{00000000-0008-0000-0100-000058000000}"/>
            </a:ext>
          </a:extLst>
        </xdr:cNvPr>
        <xdr:cNvSpPr txBox="1"/>
      </xdr:nvSpPr>
      <xdr:spPr>
        <a:xfrm>
          <a:off x="3794760" y="3245662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910</xdr:row>
      <xdr:rowOff>0</xdr:rowOff>
    </xdr:from>
    <xdr:ext cx="784830" cy="392415"/>
    <xdr:sp macro="" textlink="">
      <xdr:nvSpPr>
        <xdr:cNvPr id="89" name="テキスト ボックス 88">
          <a:extLst>
            <a:ext uri="{FF2B5EF4-FFF2-40B4-BE49-F238E27FC236}">
              <a16:creationId xmlns:a16="http://schemas.microsoft.com/office/drawing/2014/main" id="{00000000-0008-0000-0100-000059000000}"/>
            </a:ext>
          </a:extLst>
        </xdr:cNvPr>
        <xdr:cNvSpPr txBox="1"/>
      </xdr:nvSpPr>
      <xdr:spPr>
        <a:xfrm>
          <a:off x="3794760" y="3274009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922</xdr:row>
      <xdr:rowOff>0</xdr:rowOff>
    </xdr:from>
    <xdr:ext cx="784830" cy="392415"/>
    <xdr:sp macro="" textlink="">
      <xdr:nvSpPr>
        <xdr:cNvPr id="90" name="テキスト ボックス 89">
          <a:extLst>
            <a:ext uri="{FF2B5EF4-FFF2-40B4-BE49-F238E27FC236}">
              <a16:creationId xmlns:a16="http://schemas.microsoft.com/office/drawing/2014/main" id="{00000000-0008-0000-0100-00005A000000}"/>
            </a:ext>
          </a:extLst>
        </xdr:cNvPr>
        <xdr:cNvSpPr txBox="1"/>
      </xdr:nvSpPr>
      <xdr:spPr>
        <a:xfrm>
          <a:off x="3794760" y="3302355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934</xdr:row>
      <xdr:rowOff>0</xdr:rowOff>
    </xdr:from>
    <xdr:ext cx="784830" cy="392415"/>
    <xdr:sp macro="" textlink="">
      <xdr:nvSpPr>
        <xdr:cNvPr id="91" name="テキスト ボックス 90">
          <a:extLst>
            <a:ext uri="{FF2B5EF4-FFF2-40B4-BE49-F238E27FC236}">
              <a16:creationId xmlns:a16="http://schemas.microsoft.com/office/drawing/2014/main" id="{00000000-0008-0000-0100-00005B000000}"/>
            </a:ext>
          </a:extLst>
        </xdr:cNvPr>
        <xdr:cNvSpPr txBox="1"/>
      </xdr:nvSpPr>
      <xdr:spPr>
        <a:xfrm>
          <a:off x="3794760" y="3330702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946</xdr:row>
      <xdr:rowOff>0</xdr:rowOff>
    </xdr:from>
    <xdr:ext cx="784830" cy="392415"/>
    <xdr:sp macro="" textlink="">
      <xdr:nvSpPr>
        <xdr:cNvPr id="92" name="テキスト ボックス 91">
          <a:extLst>
            <a:ext uri="{FF2B5EF4-FFF2-40B4-BE49-F238E27FC236}">
              <a16:creationId xmlns:a16="http://schemas.microsoft.com/office/drawing/2014/main" id="{00000000-0008-0000-0100-00005C000000}"/>
            </a:ext>
          </a:extLst>
        </xdr:cNvPr>
        <xdr:cNvSpPr txBox="1"/>
      </xdr:nvSpPr>
      <xdr:spPr>
        <a:xfrm>
          <a:off x="3794760" y="3359048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958</xdr:row>
      <xdr:rowOff>0</xdr:rowOff>
    </xdr:from>
    <xdr:ext cx="784830" cy="392415"/>
    <xdr:sp macro="" textlink="">
      <xdr:nvSpPr>
        <xdr:cNvPr id="93" name="テキスト ボックス 92">
          <a:extLst>
            <a:ext uri="{FF2B5EF4-FFF2-40B4-BE49-F238E27FC236}">
              <a16:creationId xmlns:a16="http://schemas.microsoft.com/office/drawing/2014/main" id="{00000000-0008-0000-0100-00005D000000}"/>
            </a:ext>
          </a:extLst>
        </xdr:cNvPr>
        <xdr:cNvSpPr txBox="1"/>
      </xdr:nvSpPr>
      <xdr:spPr>
        <a:xfrm>
          <a:off x="3794760" y="3387394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970</xdr:row>
      <xdr:rowOff>0</xdr:rowOff>
    </xdr:from>
    <xdr:ext cx="784830" cy="392415"/>
    <xdr:sp macro="" textlink="">
      <xdr:nvSpPr>
        <xdr:cNvPr id="94" name="テキスト ボックス 93">
          <a:extLst>
            <a:ext uri="{FF2B5EF4-FFF2-40B4-BE49-F238E27FC236}">
              <a16:creationId xmlns:a16="http://schemas.microsoft.com/office/drawing/2014/main" id="{00000000-0008-0000-0100-00005E000000}"/>
            </a:ext>
          </a:extLst>
        </xdr:cNvPr>
        <xdr:cNvSpPr txBox="1"/>
      </xdr:nvSpPr>
      <xdr:spPr>
        <a:xfrm>
          <a:off x="3794760" y="3415741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982</xdr:row>
      <xdr:rowOff>0</xdr:rowOff>
    </xdr:from>
    <xdr:ext cx="784830" cy="392415"/>
    <xdr:sp macro="" textlink="">
      <xdr:nvSpPr>
        <xdr:cNvPr id="95" name="テキスト ボックス 94">
          <a:extLst>
            <a:ext uri="{FF2B5EF4-FFF2-40B4-BE49-F238E27FC236}">
              <a16:creationId xmlns:a16="http://schemas.microsoft.com/office/drawing/2014/main" id="{00000000-0008-0000-0100-00005F000000}"/>
            </a:ext>
          </a:extLst>
        </xdr:cNvPr>
        <xdr:cNvSpPr txBox="1"/>
      </xdr:nvSpPr>
      <xdr:spPr>
        <a:xfrm>
          <a:off x="3794760" y="3444087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994</xdr:row>
      <xdr:rowOff>0</xdr:rowOff>
    </xdr:from>
    <xdr:ext cx="784830" cy="392415"/>
    <xdr:sp macro="" textlink="">
      <xdr:nvSpPr>
        <xdr:cNvPr id="96" name="テキスト ボックス 95">
          <a:extLst>
            <a:ext uri="{FF2B5EF4-FFF2-40B4-BE49-F238E27FC236}">
              <a16:creationId xmlns:a16="http://schemas.microsoft.com/office/drawing/2014/main" id="{00000000-0008-0000-0100-000060000000}"/>
            </a:ext>
          </a:extLst>
        </xdr:cNvPr>
        <xdr:cNvSpPr txBox="1"/>
      </xdr:nvSpPr>
      <xdr:spPr>
        <a:xfrm>
          <a:off x="3794760" y="347243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1006</xdr:row>
      <xdr:rowOff>0</xdr:rowOff>
    </xdr:from>
    <xdr:ext cx="784830" cy="392415"/>
    <xdr:sp macro="" textlink="">
      <xdr:nvSpPr>
        <xdr:cNvPr id="97" name="テキスト ボックス 96">
          <a:extLst>
            <a:ext uri="{FF2B5EF4-FFF2-40B4-BE49-F238E27FC236}">
              <a16:creationId xmlns:a16="http://schemas.microsoft.com/office/drawing/2014/main" id="{00000000-0008-0000-0100-000061000000}"/>
            </a:ext>
          </a:extLst>
        </xdr:cNvPr>
        <xdr:cNvSpPr txBox="1"/>
      </xdr:nvSpPr>
      <xdr:spPr>
        <a:xfrm>
          <a:off x="3794760" y="3500780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1018</xdr:row>
      <xdr:rowOff>0</xdr:rowOff>
    </xdr:from>
    <xdr:ext cx="784830" cy="392415"/>
    <xdr:sp macro="" textlink="">
      <xdr:nvSpPr>
        <xdr:cNvPr id="98" name="テキスト ボックス 97">
          <a:extLst>
            <a:ext uri="{FF2B5EF4-FFF2-40B4-BE49-F238E27FC236}">
              <a16:creationId xmlns:a16="http://schemas.microsoft.com/office/drawing/2014/main" id="{00000000-0008-0000-0100-000062000000}"/>
            </a:ext>
          </a:extLst>
        </xdr:cNvPr>
        <xdr:cNvSpPr txBox="1"/>
      </xdr:nvSpPr>
      <xdr:spPr>
        <a:xfrm>
          <a:off x="3794760" y="3529126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1030</xdr:row>
      <xdr:rowOff>0</xdr:rowOff>
    </xdr:from>
    <xdr:ext cx="784830" cy="392415"/>
    <xdr:sp macro="" textlink="">
      <xdr:nvSpPr>
        <xdr:cNvPr id="99" name="テキスト ボックス 98">
          <a:extLst>
            <a:ext uri="{FF2B5EF4-FFF2-40B4-BE49-F238E27FC236}">
              <a16:creationId xmlns:a16="http://schemas.microsoft.com/office/drawing/2014/main" id="{00000000-0008-0000-0100-000063000000}"/>
            </a:ext>
          </a:extLst>
        </xdr:cNvPr>
        <xdr:cNvSpPr txBox="1"/>
      </xdr:nvSpPr>
      <xdr:spPr>
        <a:xfrm>
          <a:off x="3794760" y="3557473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1042</xdr:row>
      <xdr:rowOff>0</xdr:rowOff>
    </xdr:from>
    <xdr:ext cx="784830" cy="392415"/>
    <xdr:sp macro="" textlink="">
      <xdr:nvSpPr>
        <xdr:cNvPr id="100" name="テキスト ボックス 99">
          <a:extLst>
            <a:ext uri="{FF2B5EF4-FFF2-40B4-BE49-F238E27FC236}">
              <a16:creationId xmlns:a16="http://schemas.microsoft.com/office/drawing/2014/main" id="{00000000-0008-0000-0100-000064000000}"/>
            </a:ext>
          </a:extLst>
        </xdr:cNvPr>
        <xdr:cNvSpPr txBox="1"/>
      </xdr:nvSpPr>
      <xdr:spPr>
        <a:xfrm>
          <a:off x="3794760" y="3585819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1054</xdr:row>
      <xdr:rowOff>0</xdr:rowOff>
    </xdr:from>
    <xdr:ext cx="784830" cy="392415"/>
    <xdr:sp macro="" textlink="">
      <xdr:nvSpPr>
        <xdr:cNvPr id="101" name="テキスト ボックス 100">
          <a:extLst>
            <a:ext uri="{FF2B5EF4-FFF2-40B4-BE49-F238E27FC236}">
              <a16:creationId xmlns:a16="http://schemas.microsoft.com/office/drawing/2014/main" id="{00000000-0008-0000-0100-000065000000}"/>
            </a:ext>
          </a:extLst>
        </xdr:cNvPr>
        <xdr:cNvSpPr txBox="1"/>
      </xdr:nvSpPr>
      <xdr:spPr>
        <a:xfrm>
          <a:off x="3794760" y="3614166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24</xdr:row>
      <xdr:rowOff>0</xdr:rowOff>
    </xdr:from>
    <xdr:ext cx="1183273" cy="392415"/>
    <xdr:sp macro="" textlink="">
      <xdr:nvSpPr>
        <xdr:cNvPr id="102" name="テキスト ボックス 101">
          <a:extLst>
            <a:ext uri="{FF2B5EF4-FFF2-40B4-BE49-F238E27FC236}">
              <a16:creationId xmlns:a16="http://schemas.microsoft.com/office/drawing/2014/main" id="{00000000-0008-0000-0100-000066000000}"/>
            </a:ext>
          </a:extLst>
        </xdr:cNvPr>
        <xdr:cNvSpPr txBox="1"/>
      </xdr:nvSpPr>
      <xdr:spPr>
        <a:xfrm>
          <a:off x="11439525" y="690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617</xdr:row>
      <xdr:rowOff>0</xdr:rowOff>
    </xdr:from>
    <xdr:ext cx="4171976" cy="392415"/>
    <xdr:sp macro="" textlink="">
      <xdr:nvSpPr>
        <xdr:cNvPr id="103" name="テキスト ボックス 102">
          <a:extLst>
            <a:ext uri="{FF2B5EF4-FFF2-40B4-BE49-F238E27FC236}">
              <a16:creationId xmlns:a16="http://schemas.microsoft.com/office/drawing/2014/main" id="{00000000-0008-0000-0100-000067000000}"/>
            </a:ext>
          </a:extLst>
        </xdr:cNvPr>
        <xdr:cNvSpPr txBox="1"/>
      </xdr:nvSpPr>
      <xdr:spPr>
        <a:xfrm>
          <a:off x="4495800" y="146923125"/>
          <a:ext cx="417197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モジュール種別が</a:t>
          </a:r>
          <a:r>
            <a:rPr kumimoji="1" lang="en-US" altLang="ja-JP" sz="1200" b="1">
              <a:solidFill>
                <a:srgbClr val="FF0000"/>
              </a:solidFill>
              <a:latin typeface="メイリオ" panose="020B0604030504040204" pitchFamily="50" charset="-128"/>
              <a:ea typeface="メイリオ" panose="020B0604030504040204" pitchFamily="50" charset="-128"/>
            </a:rPr>
            <a:t>Rd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Ps</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Inj</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Rp</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Ls</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Re</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Sg</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53340</xdr:colOff>
      <xdr:row>628</xdr:row>
      <xdr:rowOff>213360</xdr:rowOff>
    </xdr:from>
    <xdr:ext cx="4463081" cy="692497"/>
    <xdr:sp macro="" textlink="">
      <xdr:nvSpPr>
        <xdr:cNvPr id="104" name="テキスト ボックス 103">
          <a:extLst>
            <a:ext uri="{FF2B5EF4-FFF2-40B4-BE49-F238E27FC236}">
              <a16:creationId xmlns:a16="http://schemas.microsoft.com/office/drawing/2014/main" id="{00000000-0008-0000-0100-000017000000}"/>
            </a:ext>
          </a:extLst>
        </xdr:cNvPr>
        <xdr:cNvSpPr txBox="1"/>
      </xdr:nvSpPr>
      <xdr:spPr>
        <a:xfrm>
          <a:off x="4099560" y="150449280"/>
          <a:ext cx="4463081"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かつ　</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モジュール種別が</a:t>
          </a:r>
          <a:r>
            <a:rPr kumimoji="1" lang="en-US" altLang="ja-JP" sz="1200" b="1">
              <a:solidFill>
                <a:srgbClr val="FF0000"/>
              </a:solidFill>
              <a:latin typeface="メイリオ" panose="020B0604030504040204" pitchFamily="50" charset="-128"/>
              <a:ea typeface="メイリオ" panose="020B0604030504040204" pitchFamily="50" charset="-128"/>
            </a:rPr>
            <a:t>Lb</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53340</xdr:colOff>
      <xdr:row>673</xdr:row>
      <xdr:rowOff>213360</xdr:rowOff>
    </xdr:from>
    <xdr:ext cx="4463081" cy="392415"/>
    <xdr:sp macro="" textlink="">
      <xdr:nvSpPr>
        <xdr:cNvPr id="105" name="テキスト ボックス 104">
          <a:extLst>
            <a:ext uri="{FF2B5EF4-FFF2-40B4-BE49-F238E27FC236}">
              <a16:creationId xmlns:a16="http://schemas.microsoft.com/office/drawing/2014/main" id="{00000000-0008-0000-0100-000017000000}"/>
            </a:ext>
          </a:extLst>
        </xdr:cNvPr>
        <xdr:cNvSpPr txBox="1"/>
      </xdr:nvSpPr>
      <xdr:spPr>
        <a:xfrm>
          <a:off x="4099560" y="16107918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682</xdr:row>
      <xdr:rowOff>213360</xdr:rowOff>
    </xdr:from>
    <xdr:ext cx="4463081" cy="392415"/>
    <xdr:sp macro="" textlink="">
      <xdr:nvSpPr>
        <xdr:cNvPr id="106" name="テキスト ボックス 105">
          <a:extLst>
            <a:ext uri="{FF2B5EF4-FFF2-40B4-BE49-F238E27FC236}">
              <a16:creationId xmlns:a16="http://schemas.microsoft.com/office/drawing/2014/main" id="{00000000-0008-0000-0100-000017000000}"/>
            </a:ext>
          </a:extLst>
        </xdr:cNvPr>
        <xdr:cNvSpPr txBox="1"/>
      </xdr:nvSpPr>
      <xdr:spPr>
        <a:xfrm>
          <a:off x="4099560" y="16320516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691</xdr:row>
      <xdr:rowOff>213360</xdr:rowOff>
    </xdr:from>
    <xdr:ext cx="4463081" cy="392415"/>
    <xdr:sp macro="" textlink="">
      <xdr:nvSpPr>
        <xdr:cNvPr id="107" name="テキスト ボックス 106">
          <a:extLst>
            <a:ext uri="{FF2B5EF4-FFF2-40B4-BE49-F238E27FC236}">
              <a16:creationId xmlns:a16="http://schemas.microsoft.com/office/drawing/2014/main" id="{00000000-0008-0000-0100-000017000000}"/>
            </a:ext>
          </a:extLst>
        </xdr:cNvPr>
        <xdr:cNvSpPr txBox="1"/>
      </xdr:nvSpPr>
      <xdr:spPr>
        <a:xfrm>
          <a:off x="4099560" y="16533114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700</xdr:row>
      <xdr:rowOff>213360</xdr:rowOff>
    </xdr:from>
    <xdr:ext cx="4463081" cy="392415"/>
    <xdr:sp macro="" textlink="">
      <xdr:nvSpPr>
        <xdr:cNvPr id="108" name="テキスト ボックス 107">
          <a:extLst>
            <a:ext uri="{FF2B5EF4-FFF2-40B4-BE49-F238E27FC236}">
              <a16:creationId xmlns:a16="http://schemas.microsoft.com/office/drawing/2014/main" id="{00000000-0008-0000-0100-000017000000}"/>
            </a:ext>
          </a:extLst>
        </xdr:cNvPr>
        <xdr:cNvSpPr txBox="1"/>
      </xdr:nvSpPr>
      <xdr:spPr>
        <a:xfrm>
          <a:off x="4099560" y="16745712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709</xdr:row>
      <xdr:rowOff>213360</xdr:rowOff>
    </xdr:from>
    <xdr:ext cx="4463081" cy="392415"/>
    <xdr:sp macro="" textlink="">
      <xdr:nvSpPr>
        <xdr:cNvPr id="109" name="テキスト ボックス 108">
          <a:extLst>
            <a:ext uri="{FF2B5EF4-FFF2-40B4-BE49-F238E27FC236}">
              <a16:creationId xmlns:a16="http://schemas.microsoft.com/office/drawing/2014/main" id="{00000000-0008-0000-0100-000017000000}"/>
            </a:ext>
          </a:extLst>
        </xdr:cNvPr>
        <xdr:cNvSpPr txBox="1"/>
      </xdr:nvSpPr>
      <xdr:spPr>
        <a:xfrm>
          <a:off x="4099560" y="16958310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718</xdr:row>
      <xdr:rowOff>213360</xdr:rowOff>
    </xdr:from>
    <xdr:ext cx="4463081" cy="392415"/>
    <xdr:sp macro="" textlink="">
      <xdr:nvSpPr>
        <xdr:cNvPr id="110" name="テキスト ボックス 109">
          <a:extLst>
            <a:ext uri="{FF2B5EF4-FFF2-40B4-BE49-F238E27FC236}">
              <a16:creationId xmlns:a16="http://schemas.microsoft.com/office/drawing/2014/main" id="{00000000-0008-0000-0100-000017000000}"/>
            </a:ext>
          </a:extLst>
        </xdr:cNvPr>
        <xdr:cNvSpPr txBox="1"/>
      </xdr:nvSpPr>
      <xdr:spPr>
        <a:xfrm>
          <a:off x="4099560" y="17170908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6</xdr:col>
      <xdr:colOff>0</xdr:colOff>
      <xdr:row>21</xdr:row>
      <xdr:rowOff>0</xdr:rowOff>
    </xdr:from>
    <xdr:ext cx="4041106" cy="692497"/>
    <xdr:sp macro="" textlink="">
      <xdr:nvSpPr>
        <xdr:cNvPr id="10" name="テキスト ボックス 9">
          <a:extLst>
            <a:ext uri="{FF2B5EF4-FFF2-40B4-BE49-F238E27FC236}">
              <a16:creationId xmlns:a16="http://schemas.microsoft.com/office/drawing/2014/main" id="{00000000-0008-0000-0200-00000C000000}"/>
            </a:ext>
          </a:extLst>
        </xdr:cNvPr>
        <xdr:cNvSpPr txBox="1"/>
      </xdr:nvSpPr>
      <xdr:spPr>
        <a:xfrm>
          <a:off x="4219575" y="5000625"/>
          <a:ext cx="4041106"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a:p>
          <a:r>
            <a:rPr kumimoji="1" lang="ja-JP" altLang="en-US" sz="1200" b="1">
              <a:solidFill>
                <a:srgbClr val="FF0000"/>
              </a:solidFill>
              <a:latin typeface="メイリオ" panose="020B0604030504040204" pitchFamily="50" charset="-128"/>
              <a:ea typeface="メイリオ" panose="020B0604030504040204" pitchFamily="50" charset="-128"/>
            </a:rPr>
            <a:t>（各施設の契約開始以降の実施年月日～</a:t>
          </a:r>
          <a:r>
            <a:rPr kumimoji="1" lang="en-US" altLang="ja-JP" sz="1200" b="1">
              <a:solidFill>
                <a:srgbClr val="FF0000"/>
              </a:solidFill>
              <a:latin typeface="メイリオ" panose="020B0604030504040204" pitchFamily="50" charset="-128"/>
              <a:ea typeface="メイリオ" panose="020B0604030504040204" pitchFamily="50" charset="-128"/>
            </a:rPr>
            <a:t>202210</a:t>
          </a:r>
          <a:r>
            <a:rPr kumimoji="1" lang="ja-JP" altLang="en-US" sz="1200" b="1">
              <a:solidFill>
                <a:srgbClr val="FF0000"/>
              </a:solidFill>
              <a:latin typeface="メイリオ" panose="020B0604030504040204" pitchFamily="50" charset="-128"/>
              <a:ea typeface="メイリオ" panose="020B0604030504040204" pitchFamily="50" charset="-128"/>
            </a:rPr>
            <a:t>まで）</a:t>
          </a:r>
        </a:p>
      </xdr:txBody>
    </xdr:sp>
    <xdr:clientData/>
  </xdr:oneCellAnchor>
  <xdr:oneCellAnchor>
    <xdr:from>
      <xdr:col>13</xdr:col>
      <xdr:colOff>0</xdr:colOff>
      <xdr:row>40</xdr:row>
      <xdr:rowOff>0</xdr:rowOff>
    </xdr:from>
    <xdr:ext cx="2339102" cy="392415"/>
    <xdr:sp macro="" textlink="">
      <xdr:nvSpPr>
        <xdr:cNvPr id="11" name="テキスト ボックス 10">
          <a:extLst>
            <a:ext uri="{FF2B5EF4-FFF2-40B4-BE49-F238E27FC236}">
              <a16:creationId xmlns:a16="http://schemas.microsoft.com/office/drawing/2014/main" id="{00000000-0008-0000-0200-000008000000}"/>
            </a:ext>
          </a:extLst>
        </xdr:cNvPr>
        <xdr:cNvSpPr txBox="1"/>
      </xdr:nvSpPr>
      <xdr:spPr>
        <a:xfrm>
          <a:off x="9124950" y="9525000"/>
          <a:ext cx="233910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施設別にユニーク患者数を集計</a:t>
          </a:r>
        </a:p>
      </xdr:txBody>
    </xdr:sp>
    <xdr:clientData/>
  </xdr:oneCellAnchor>
  <xdr:oneCellAnchor>
    <xdr:from>
      <xdr:col>6</xdr:col>
      <xdr:colOff>0</xdr:colOff>
      <xdr:row>7</xdr:row>
      <xdr:rowOff>0</xdr:rowOff>
    </xdr:from>
    <xdr:ext cx="4558492" cy="692497"/>
    <xdr:sp macro="" textlink="">
      <xdr:nvSpPr>
        <xdr:cNvPr id="13" name="テキスト ボックス 12">
          <a:extLst>
            <a:ext uri="{FF2B5EF4-FFF2-40B4-BE49-F238E27FC236}">
              <a16:creationId xmlns:a16="http://schemas.microsoft.com/office/drawing/2014/main" id="{00000000-0008-0000-0200-00000E000000}"/>
            </a:ext>
          </a:extLst>
        </xdr:cNvPr>
        <xdr:cNvSpPr txBox="1"/>
      </xdr:nvSpPr>
      <xdr:spPr>
        <a:xfrm>
          <a:off x="4219575" y="1666875"/>
          <a:ext cx="4558492"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フィジビリティ対象フラグが</a:t>
          </a:r>
          <a:r>
            <a:rPr kumimoji="1" lang="en-US" altLang="ja-JP" sz="1200" b="1">
              <a:solidFill>
                <a:srgbClr val="FF0000"/>
              </a:solidFill>
              <a:latin typeface="メイリオ" panose="020B0604030504040204" pitchFamily="50" charset="-128"/>
              <a:ea typeface="メイリオ" panose="020B0604030504040204" pitchFamily="50" charset="-128"/>
            </a:rPr>
            <a:t>TRUE</a:t>
          </a:r>
          <a:r>
            <a:rPr kumimoji="1" lang="ja-JP" altLang="en-US" sz="1200" b="1">
              <a:solidFill>
                <a:srgbClr val="FF0000"/>
              </a:solidFill>
              <a:latin typeface="メイリオ" panose="020B0604030504040204" pitchFamily="50" charset="-128"/>
              <a:ea typeface="メイリオ" panose="020B0604030504040204" pitchFamily="50" charset="-128"/>
            </a:rPr>
            <a:t>および</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en-US" altLang="ja-JP" sz="1200" b="1">
              <a:solidFill>
                <a:srgbClr val="FF0000"/>
              </a:solidFill>
              <a:latin typeface="メイリオ" panose="020B0604030504040204" pitchFamily="50" charset="-128"/>
              <a:ea typeface="メイリオ" panose="020B0604030504040204" pitchFamily="50" charset="-128"/>
            </a:rPr>
            <a:t>230000001</a:t>
          </a:r>
          <a:r>
            <a:rPr kumimoji="1" lang="ja-JP" altLang="en-US" sz="1200" b="1">
              <a:solidFill>
                <a:srgbClr val="FF0000"/>
              </a:solidFill>
              <a:latin typeface="メイリオ" panose="020B0604030504040204" pitchFamily="50" charset="-128"/>
              <a:ea typeface="メイリオ" panose="020B0604030504040204" pitchFamily="50" charset="-128"/>
            </a:rPr>
            <a:t>：日本赤十字社 愛知医療センター名古屋第一病院</a:t>
          </a:r>
        </a:p>
      </xdr:txBody>
    </xdr:sp>
    <xdr:clientData/>
  </xdr:oneCellAnchor>
  <xdr:oneCellAnchor>
    <xdr:from>
      <xdr:col>11</xdr:col>
      <xdr:colOff>0</xdr:colOff>
      <xdr:row>10</xdr:row>
      <xdr:rowOff>0</xdr:rowOff>
    </xdr:from>
    <xdr:ext cx="1183273" cy="392415"/>
    <xdr:sp macro="" textlink="">
      <xdr:nvSpPr>
        <xdr:cNvPr id="15" name="テキスト ボックス 14">
          <a:extLst>
            <a:ext uri="{FF2B5EF4-FFF2-40B4-BE49-F238E27FC236}">
              <a16:creationId xmlns:a16="http://schemas.microsoft.com/office/drawing/2014/main" id="{00000000-0008-0000-0200-000012000000}"/>
            </a:ext>
          </a:extLst>
        </xdr:cNvPr>
        <xdr:cNvSpPr txBox="1"/>
      </xdr:nvSpPr>
      <xdr:spPr>
        <a:xfrm>
          <a:off x="7829550" y="2381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6</xdr:col>
      <xdr:colOff>0</xdr:colOff>
      <xdr:row>12</xdr:row>
      <xdr:rowOff>0</xdr:rowOff>
    </xdr:from>
    <xdr:ext cx="784830" cy="392415"/>
    <xdr:sp macro="" textlink="">
      <xdr:nvSpPr>
        <xdr:cNvPr id="5" name="テキスト ボックス 4">
          <a:extLst>
            <a:ext uri="{FF2B5EF4-FFF2-40B4-BE49-F238E27FC236}">
              <a16:creationId xmlns:a16="http://schemas.microsoft.com/office/drawing/2014/main" id="{00000000-0008-0000-0300-000005000000}"/>
            </a:ext>
          </a:extLst>
        </xdr:cNvPr>
        <xdr:cNvSpPr txBox="1"/>
      </xdr:nvSpPr>
      <xdr:spPr>
        <a:xfrm>
          <a:off x="4219575" y="6191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9</xdr:row>
      <xdr:rowOff>0</xdr:rowOff>
    </xdr:from>
    <xdr:ext cx="784830" cy="392415"/>
    <xdr:sp macro="" textlink="">
      <xdr:nvSpPr>
        <xdr:cNvPr id="7" name="テキスト ボックス 6">
          <a:extLst>
            <a:ext uri="{FF2B5EF4-FFF2-40B4-BE49-F238E27FC236}">
              <a16:creationId xmlns:a16="http://schemas.microsoft.com/office/drawing/2014/main" id="{00000000-0008-0000-0300-000007000000}"/>
            </a:ext>
          </a:extLst>
        </xdr:cNvPr>
        <xdr:cNvSpPr txBox="1"/>
      </xdr:nvSpPr>
      <xdr:spPr>
        <a:xfrm>
          <a:off x="7829550" y="547687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8</xdr:col>
      <xdr:colOff>0</xdr:colOff>
      <xdr:row>10</xdr:row>
      <xdr:rowOff>0</xdr:rowOff>
    </xdr:from>
    <xdr:ext cx="1969385" cy="392415"/>
    <xdr:sp macro="" textlink="">
      <xdr:nvSpPr>
        <xdr:cNvPr id="8" name="テキスト ボックス 7">
          <a:extLst>
            <a:ext uri="{FF2B5EF4-FFF2-40B4-BE49-F238E27FC236}">
              <a16:creationId xmlns:a16="http://schemas.microsoft.com/office/drawing/2014/main" id="{00000000-0008-0000-0300-000008000000}"/>
            </a:ext>
          </a:extLst>
        </xdr:cNvPr>
        <xdr:cNvSpPr txBox="1"/>
      </xdr:nvSpPr>
      <xdr:spPr>
        <a:xfrm>
          <a:off x="5514975" y="5715000"/>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16</xdr:col>
      <xdr:colOff>0</xdr:colOff>
      <xdr:row>15</xdr:row>
      <xdr:rowOff>0</xdr:rowOff>
    </xdr:from>
    <xdr:ext cx="1183273" cy="392415"/>
    <xdr:sp macro="" textlink="">
      <xdr:nvSpPr>
        <xdr:cNvPr id="9" name="テキスト ボックス 8">
          <a:extLst>
            <a:ext uri="{FF2B5EF4-FFF2-40B4-BE49-F238E27FC236}">
              <a16:creationId xmlns:a16="http://schemas.microsoft.com/office/drawing/2014/main" id="{00000000-0008-0000-0300-000009000000}"/>
            </a:ext>
          </a:extLst>
        </xdr:cNvPr>
        <xdr:cNvSpPr txBox="1"/>
      </xdr:nvSpPr>
      <xdr:spPr>
        <a:xfrm>
          <a:off x="11439525" y="690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17</xdr:col>
      <xdr:colOff>0</xdr:colOff>
      <xdr:row>26</xdr:row>
      <xdr:rowOff>0</xdr:rowOff>
    </xdr:from>
    <xdr:ext cx="1615635" cy="392415"/>
    <xdr:sp macro="" textlink="">
      <xdr:nvSpPr>
        <xdr:cNvPr id="10" name="テキスト ボックス 9">
          <a:extLst>
            <a:ext uri="{FF2B5EF4-FFF2-40B4-BE49-F238E27FC236}">
              <a16:creationId xmlns:a16="http://schemas.microsoft.com/office/drawing/2014/main" id="{00000000-0008-0000-0300-00000A000000}"/>
            </a:ext>
          </a:extLst>
        </xdr:cNvPr>
        <xdr:cNvSpPr txBox="1"/>
      </xdr:nvSpPr>
      <xdr:spPr>
        <a:xfrm>
          <a:off x="11715750" y="6191250"/>
          <a:ext cx="161563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施設マスク</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を付与</a:t>
          </a:r>
        </a:p>
      </xdr:txBody>
    </xdr:sp>
    <xdr:clientData/>
  </xdr:oneCellAnchor>
  <xdr:oneCellAnchor>
    <xdr:from>
      <xdr:col>11</xdr:col>
      <xdr:colOff>0</xdr:colOff>
      <xdr:row>36</xdr:row>
      <xdr:rowOff>0</xdr:rowOff>
    </xdr:from>
    <xdr:ext cx="1183273" cy="392415"/>
    <xdr:sp macro="" textlink="">
      <xdr:nvSpPr>
        <xdr:cNvPr id="11" name="テキスト ボックス 10">
          <a:extLst>
            <a:ext uri="{FF2B5EF4-FFF2-40B4-BE49-F238E27FC236}">
              <a16:creationId xmlns:a16="http://schemas.microsoft.com/office/drawing/2014/main" id="{00000000-0008-0000-0300-00000B000000}"/>
            </a:ext>
          </a:extLst>
        </xdr:cNvPr>
        <xdr:cNvSpPr txBox="1"/>
      </xdr:nvSpPr>
      <xdr:spPr>
        <a:xfrm>
          <a:off x="7829550" y="8572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34</xdr:row>
      <xdr:rowOff>0</xdr:rowOff>
    </xdr:from>
    <xdr:ext cx="1969385" cy="392415"/>
    <xdr:sp macro="" textlink="">
      <xdr:nvSpPr>
        <xdr:cNvPr id="12" name="テキスト ボックス 11">
          <a:extLst>
            <a:ext uri="{FF2B5EF4-FFF2-40B4-BE49-F238E27FC236}">
              <a16:creationId xmlns:a16="http://schemas.microsoft.com/office/drawing/2014/main" id="{00000000-0008-0000-0300-00000F000000}"/>
            </a:ext>
          </a:extLst>
        </xdr:cNvPr>
        <xdr:cNvSpPr txBox="1"/>
      </xdr:nvSpPr>
      <xdr:spPr>
        <a:xfrm>
          <a:off x="4495800" y="8096250"/>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17</xdr:col>
      <xdr:colOff>0</xdr:colOff>
      <xdr:row>35</xdr:row>
      <xdr:rowOff>0</xdr:rowOff>
    </xdr:from>
    <xdr:ext cx="1307859" cy="392415"/>
    <xdr:sp macro="" textlink="">
      <xdr:nvSpPr>
        <xdr:cNvPr id="13" name="テキスト ボックス 12">
          <a:extLst>
            <a:ext uri="{FF2B5EF4-FFF2-40B4-BE49-F238E27FC236}">
              <a16:creationId xmlns:a16="http://schemas.microsoft.com/office/drawing/2014/main" id="{00000000-0008-0000-0300-000010000000}"/>
            </a:ext>
          </a:extLst>
        </xdr:cNvPr>
        <xdr:cNvSpPr txBox="1"/>
      </xdr:nvSpPr>
      <xdr:spPr>
        <a:xfrm>
          <a:off x="11715750" y="8334375"/>
          <a:ext cx="130785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マスク</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を付与</a:t>
          </a: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0</xdr:colOff>
      <xdr:row>213</xdr:row>
      <xdr:rowOff>0</xdr:rowOff>
    </xdr:from>
    <xdr:ext cx="784830" cy="392415"/>
    <xdr:sp macro="" textlink="">
      <xdr:nvSpPr>
        <xdr:cNvPr id="9" name="テキスト ボックス 8">
          <a:extLst>
            <a:ext uri="{FF2B5EF4-FFF2-40B4-BE49-F238E27FC236}">
              <a16:creationId xmlns:a16="http://schemas.microsoft.com/office/drawing/2014/main" id="{00000000-0008-0000-0400-000009000000}"/>
            </a:ext>
          </a:extLst>
        </xdr:cNvPr>
        <xdr:cNvSpPr txBox="1"/>
      </xdr:nvSpPr>
      <xdr:spPr>
        <a:xfrm>
          <a:off x="4219575" y="214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225</xdr:row>
      <xdr:rowOff>0</xdr:rowOff>
    </xdr:from>
    <xdr:ext cx="784830" cy="392415"/>
    <xdr:sp macro="" textlink="">
      <xdr:nvSpPr>
        <xdr:cNvPr id="14" name="テキスト ボックス 13">
          <a:extLst>
            <a:ext uri="{FF2B5EF4-FFF2-40B4-BE49-F238E27FC236}">
              <a16:creationId xmlns:a16="http://schemas.microsoft.com/office/drawing/2014/main" id="{00000000-0008-0000-0400-00000E000000}"/>
            </a:ext>
          </a:extLst>
        </xdr:cNvPr>
        <xdr:cNvSpPr txBox="1"/>
      </xdr:nvSpPr>
      <xdr:spPr>
        <a:xfrm>
          <a:off x="4219575"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237</xdr:row>
      <xdr:rowOff>0</xdr:rowOff>
    </xdr:from>
    <xdr:ext cx="784830" cy="392415"/>
    <xdr:sp macro="" textlink="">
      <xdr:nvSpPr>
        <xdr:cNvPr id="15" name="テキスト ボックス 14">
          <a:extLst>
            <a:ext uri="{FF2B5EF4-FFF2-40B4-BE49-F238E27FC236}">
              <a16:creationId xmlns:a16="http://schemas.microsoft.com/office/drawing/2014/main" id="{00000000-0008-0000-0400-00000F000000}"/>
            </a:ext>
          </a:extLst>
        </xdr:cNvPr>
        <xdr:cNvSpPr txBox="1"/>
      </xdr:nvSpPr>
      <xdr:spPr>
        <a:xfrm>
          <a:off x="4219575"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249</xdr:row>
      <xdr:rowOff>0</xdr:rowOff>
    </xdr:from>
    <xdr:ext cx="784830" cy="392415"/>
    <xdr:sp macro="" textlink="">
      <xdr:nvSpPr>
        <xdr:cNvPr id="16" name="テキスト ボックス 15">
          <a:extLst>
            <a:ext uri="{FF2B5EF4-FFF2-40B4-BE49-F238E27FC236}">
              <a16:creationId xmlns:a16="http://schemas.microsoft.com/office/drawing/2014/main" id="{00000000-0008-0000-0400-000010000000}"/>
            </a:ext>
          </a:extLst>
        </xdr:cNvPr>
        <xdr:cNvSpPr txBox="1"/>
      </xdr:nvSpPr>
      <xdr:spPr>
        <a:xfrm>
          <a:off x="4219575" y="1071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261</xdr:row>
      <xdr:rowOff>0</xdr:rowOff>
    </xdr:from>
    <xdr:ext cx="784830" cy="392415"/>
    <xdr:sp macro="" textlink="">
      <xdr:nvSpPr>
        <xdr:cNvPr id="17" name="テキスト ボックス 16">
          <a:extLst>
            <a:ext uri="{FF2B5EF4-FFF2-40B4-BE49-F238E27FC236}">
              <a16:creationId xmlns:a16="http://schemas.microsoft.com/office/drawing/2014/main" id="{00000000-0008-0000-0400-000011000000}"/>
            </a:ext>
          </a:extLst>
        </xdr:cNvPr>
        <xdr:cNvSpPr txBox="1"/>
      </xdr:nvSpPr>
      <xdr:spPr>
        <a:xfrm>
          <a:off x="4219575" y="1357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xdr:row>
      <xdr:rowOff>0</xdr:rowOff>
    </xdr:from>
    <xdr:ext cx="784830" cy="392415"/>
    <xdr:sp macro="" textlink="">
      <xdr:nvSpPr>
        <xdr:cNvPr id="7" name="テキスト ボックス 6">
          <a:extLst>
            <a:ext uri="{FF2B5EF4-FFF2-40B4-BE49-F238E27FC236}">
              <a16:creationId xmlns:a16="http://schemas.microsoft.com/office/drawing/2014/main" id="{00000000-0008-0000-0400-000007000000}"/>
            </a:ext>
          </a:extLst>
        </xdr:cNvPr>
        <xdr:cNvSpPr txBox="1"/>
      </xdr:nvSpPr>
      <xdr:spPr>
        <a:xfrm>
          <a:off x="3794760" y="4960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21</xdr:row>
      <xdr:rowOff>0</xdr:rowOff>
    </xdr:from>
    <xdr:ext cx="784830" cy="392415"/>
    <xdr:sp macro="" textlink="">
      <xdr:nvSpPr>
        <xdr:cNvPr id="8" name="テキスト ボックス 7">
          <a:extLst>
            <a:ext uri="{FF2B5EF4-FFF2-40B4-BE49-F238E27FC236}">
              <a16:creationId xmlns:a16="http://schemas.microsoft.com/office/drawing/2014/main" id="{00000000-0008-0000-0400-000008000000}"/>
            </a:ext>
          </a:extLst>
        </xdr:cNvPr>
        <xdr:cNvSpPr txBox="1"/>
      </xdr:nvSpPr>
      <xdr:spPr>
        <a:xfrm>
          <a:off x="3794760" y="21259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45</xdr:row>
      <xdr:rowOff>0</xdr:rowOff>
    </xdr:from>
    <xdr:ext cx="784830" cy="392415"/>
    <xdr:sp macro="" textlink="">
      <xdr:nvSpPr>
        <xdr:cNvPr id="10" name="テキスト ボックス 9">
          <a:extLst>
            <a:ext uri="{FF2B5EF4-FFF2-40B4-BE49-F238E27FC236}">
              <a16:creationId xmlns:a16="http://schemas.microsoft.com/office/drawing/2014/main" id="{00000000-0008-0000-0400-00000A000000}"/>
            </a:ext>
          </a:extLst>
        </xdr:cNvPr>
        <xdr:cNvSpPr txBox="1"/>
      </xdr:nvSpPr>
      <xdr:spPr>
        <a:xfrm>
          <a:off x="3794760" y="4960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57</xdr:row>
      <xdr:rowOff>0</xdr:rowOff>
    </xdr:from>
    <xdr:ext cx="784830" cy="392415"/>
    <xdr:sp macro="" textlink="">
      <xdr:nvSpPr>
        <xdr:cNvPr id="11" name="テキスト ボックス 10">
          <a:extLst>
            <a:ext uri="{FF2B5EF4-FFF2-40B4-BE49-F238E27FC236}">
              <a16:creationId xmlns:a16="http://schemas.microsoft.com/office/drawing/2014/main" id="{00000000-0008-0000-0400-00000B000000}"/>
            </a:ext>
          </a:extLst>
        </xdr:cNvPr>
        <xdr:cNvSpPr txBox="1"/>
      </xdr:nvSpPr>
      <xdr:spPr>
        <a:xfrm>
          <a:off x="3794760" y="7795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69</xdr:row>
      <xdr:rowOff>0</xdr:rowOff>
    </xdr:from>
    <xdr:ext cx="784830" cy="392415"/>
    <xdr:sp macro="" textlink="">
      <xdr:nvSpPr>
        <xdr:cNvPr id="12" name="テキスト ボックス 11">
          <a:extLst>
            <a:ext uri="{FF2B5EF4-FFF2-40B4-BE49-F238E27FC236}">
              <a16:creationId xmlns:a16="http://schemas.microsoft.com/office/drawing/2014/main" id="{00000000-0008-0000-0400-00000C000000}"/>
            </a:ext>
          </a:extLst>
        </xdr:cNvPr>
        <xdr:cNvSpPr txBox="1"/>
      </xdr:nvSpPr>
      <xdr:spPr>
        <a:xfrm>
          <a:off x="3794760" y="10629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81</xdr:row>
      <xdr:rowOff>0</xdr:rowOff>
    </xdr:from>
    <xdr:ext cx="784830" cy="392415"/>
    <xdr:sp macro="" textlink="">
      <xdr:nvSpPr>
        <xdr:cNvPr id="13" name="テキスト ボックス 12">
          <a:extLst>
            <a:ext uri="{FF2B5EF4-FFF2-40B4-BE49-F238E27FC236}">
              <a16:creationId xmlns:a16="http://schemas.microsoft.com/office/drawing/2014/main" id="{00000000-0008-0000-0400-00000D000000}"/>
            </a:ext>
          </a:extLst>
        </xdr:cNvPr>
        <xdr:cNvSpPr txBox="1"/>
      </xdr:nvSpPr>
      <xdr:spPr>
        <a:xfrm>
          <a:off x="3794760" y="13464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93</xdr:row>
      <xdr:rowOff>0</xdr:rowOff>
    </xdr:from>
    <xdr:ext cx="784830" cy="392415"/>
    <xdr:sp macro="" textlink="">
      <xdr:nvSpPr>
        <xdr:cNvPr id="18" name="テキスト ボックス 17">
          <a:extLst>
            <a:ext uri="{FF2B5EF4-FFF2-40B4-BE49-F238E27FC236}">
              <a16:creationId xmlns:a16="http://schemas.microsoft.com/office/drawing/2014/main" id="{00000000-0008-0000-0400-000012000000}"/>
            </a:ext>
          </a:extLst>
        </xdr:cNvPr>
        <xdr:cNvSpPr txBox="1"/>
      </xdr:nvSpPr>
      <xdr:spPr>
        <a:xfrm>
          <a:off x="3794760" y="16299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177</xdr:row>
      <xdr:rowOff>0</xdr:rowOff>
    </xdr:from>
    <xdr:ext cx="784830" cy="392415"/>
    <xdr:sp macro="" textlink="">
      <xdr:nvSpPr>
        <xdr:cNvPr id="19" name="テキスト ボックス 18">
          <a:extLst>
            <a:ext uri="{FF2B5EF4-FFF2-40B4-BE49-F238E27FC236}">
              <a16:creationId xmlns:a16="http://schemas.microsoft.com/office/drawing/2014/main" id="{00000000-0008-0000-0400-000013000000}"/>
            </a:ext>
          </a:extLst>
        </xdr:cNvPr>
        <xdr:cNvSpPr txBox="1"/>
      </xdr:nvSpPr>
      <xdr:spPr>
        <a:xfrm>
          <a:off x="3794760" y="19133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189</xdr:row>
      <xdr:rowOff>0</xdr:rowOff>
    </xdr:from>
    <xdr:ext cx="784830" cy="392415"/>
    <xdr:sp macro="" textlink="">
      <xdr:nvSpPr>
        <xdr:cNvPr id="20" name="テキスト ボックス 19">
          <a:extLst>
            <a:ext uri="{FF2B5EF4-FFF2-40B4-BE49-F238E27FC236}">
              <a16:creationId xmlns:a16="http://schemas.microsoft.com/office/drawing/2014/main" id="{00000000-0008-0000-0400-000014000000}"/>
            </a:ext>
          </a:extLst>
        </xdr:cNvPr>
        <xdr:cNvSpPr txBox="1"/>
      </xdr:nvSpPr>
      <xdr:spPr>
        <a:xfrm>
          <a:off x="3794760" y="21968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201</xdr:row>
      <xdr:rowOff>0</xdr:rowOff>
    </xdr:from>
    <xdr:ext cx="784830" cy="392415"/>
    <xdr:sp macro="" textlink="">
      <xdr:nvSpPr>
        <xdr:cNvPr id="21" name="テキスト ボックス 20">
          <a:extLst>
            <a:ext uri="{FF2B5EF4-FFF2-40B4-BE49-F238E27FC236}">
              <a16:creationId xmlns:a16="http://schemas.microsoft.com/office/drawing/2014/main" id="{00000000-0008-0000-0400-000015000000}"/>
            </a:ext>
          </a:extLst>
        </xdr:cNvPr>
        <xdr:cNvSpPr txBox="1"/>
      </xdr:nvSpPr>
      <xdr:spPr>
        <a:xfrm>
          <a:off x="3794760" y="24803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273</xdr:row>
      <xdr:rowOff>0</xdr:rowOff>
    </xdr:from>
    <xdr:ext cx="784830" cy="392415"/>
    <xdr:sp macro="" textlink="">
      <xdr:nvSpPr>
        <xdr:cNvPr id="22" name="テキスト ボックス 21">
          <a:extLst>
            <a:ext uri="{FF2B5EF4-FFF2-40B4-BE49-F238E27FC236}">
              <a16:creationId xmlns:a16="http://schemas.microsoft.com/office/drawing/2014/main" id="{00000000-0008-0000-0400-000016000000}"/>
            </a:ext>
          </a:extLst>
        </xdr:cNvPr>
        <xdr:cNvSpPr txBox="1"/>
      </xdr:nvSpPr>
      <xdr:spPr>
        <a:xfrm>
          <a:off x="3794760" y="27637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285</xdr:row>
      <xdr:rowOff>0</xdr:rowOff>
    </xdr:from>
    <xdr:ext cx="784830" cy="392415"/>
    <xdr:sp macro="" textlink="">
      <xdr:nvSpPr>
        <xdr:cNvPr id="23" name="テキスト ボックス 22">
          <a:extLst>
            <a:ext uri="{FF2B5EF4-FFF2-40B4-BE49-F238E27FC236}">
              <a16:creationId xmlns:a16="http://schemas.microsoft.com/office/drawing/2014/main" id="{00000000-0008-0000-0400-000017000000}"/>
            </a:ext>
          </a:extLst>
        </xdr:cNvPr>
        <xdr:cNvSpPr txBox="1"/>
      </xdr:nvSpPr>
      <xdr:spPr>
        <a:xfrm>
          <a:off x="3794760" y="446455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297</xdr:row>
      <xdr:rowOff>0</xdr:rowOff>
    </xdr:from>
    <xdr:ext cx="784830" cy="392415"/>
    <xdr:sp macro="" textlink="">
      <xdr:nvSpPr>
        <xdr:cNvPr id="24" name="テキスト ボックス 23">
          <a:extLst>
            <a:ext uri="{FF2B5EF4-FFF2-40B4-BE49-F238E27FC236}">
              <a16:creationId xmlns:a16="http://schemas.microsoft.com/office/drawing/2014/main" id="{00000000-0008-0000-0400-000018000000}"/>
            </a:ext>
          </a:extLst>
        </xdr:cNvPr>
        <xdr:cNvSpPr txBox="1"/>
      </xdr:nvSpPr>
      <xdr:spPr>
        <a:xfrm>
          <a:off x="3794760" y="474802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309</xdr:row>
      <xdr:rowOff>0</xdr:rowOff>
    </xdr:from>
    <xdr:ext cx="784830" cy="392415"/>
    <xdr:sp macro="" textlink="">
      <xdr:nvSpPr>
        <xdr:cNvPr id="25" name="テキスト ボックス 24">
          <a:extLst>
            <a:ext uri="{FF2B5EF4-FFF2-40B4-BE49-F238E27FC236}">
              <a16:creationId xmlns:a16="http://schemas.microsoft.com/office/drawing/2014/main" id="{00000000-0008-0000-0400-000019000000}"/>
            </a:ext>
          </a:extLst>
        </xdr:cNvPr>
        <xdr:cNvSpPr txBox="1"/>
      </xdr:nvSpPr>
      <xdr:spPr>
        <a:xfrm>
          <a:off x="3794760" y="50314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321</xdr:row>
      <xdr:rowOff>0</xdr:rowOff>
    </xdr:from>
    <xdr:ext cx="784830" cy="392415"/>
    <xdr:sp macro="" textlink="">
      <xdr:nvSpPr>
        <xdr:cNvPr id="26" name="テキスト ボックス 25">
          <a:extLst>
            <a:ext uri="{FF2B5EF4-FFF2-40B4-BE49-F238E27FC236}">
              <a16:creationId xmlns:a16="http://schemas.microsoft.com/office/drawing/2014/main" id="{00000000-0008-0000-0400-00001A000000}"/>
            </a:ext>
          </a:extLst>
        </xdr:cNvPr>
        <xdr:cNvSpPr txBox="1"/>
      </xdr:nvSpPr>
      <xdr:spPr>
        <a:xfrm>
          <a:off x="3794760" y="53149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333</xdr:row>
      <xdr:rowOff>0</xdr:rowOff>
    </xdr:from>
    <xdr:ext cx="784830" cy="392415"/>
    <xdr:sp macro="" textlink="">
      <xdr:nvSpPr>
        <xdr:cNvPr id="27" name="テキスト ボックス 26">
          <a:extLst>
            <a:ext uri="{FF2B5EF4-FFF2-40B4-BE49-F238E27FC236}">
              <a16:creationId xmlns:a16="http://schemas.microsoft.com/office/drawing/2014/main" id="{00000000-0008-0000-0400-00001B000000}"/>
            </a:ext>
          </a:extLst>
        </xdr:cNvPr>
        <xdr:cNvSpPr txBox="1"/>
      </xdr:nvSpPr>
      <xdr:spPr>
        <a:xfrm>
          <a:off x="3794760" y="55984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345</xdr:row>
      <xdr:rowOff>0</xdr:rowOff>
    </xdr:from>
    <xdr:ext cx="784830" cy="392415"/>
    <xdr:sp macro="" textlink="">
      <xdr:nvSpPr>
        <xdr:cNvPr id="28" name="テキスト ボックス 27">
          <a:extLst>
            <a:ext uri="{FF2B5EF4-FFF2-40B4-BE49-F238E27FC236}">
              <a16:creationId xmlns:a16="http://schemas.microsoft.com/office/drawing/2014/main" id="{00000000-0008-0000-0400-00001C000000}"/>
            </a:ext>
          </a:extLst>
        </xdr:cNvPr>
        <xdr:cNvSpPr txBox="1"/>
      </xdr:nvSpPr>
      <xdr:spPr>
        <a:xfrm>
          <a:off x="3794760" y="58818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357</xdr:row>
      <xdr:rowOff>0</xdr:rowOff>
    </xdr:from>
    <xdr:ext cx="784830" cy="392415"/>
    <xdr:sp macro="" textlink="">
      <xdr:nvSpPr>
        <xdr:cNvPr id="29" name="テキスト ボックス 28">
          <a:extLst>
            <a:ext uri="{FF2B5EF4-FFF2-40B4-BE49-F238E27FC236}">
              <a16:creationId xmlns:a16="http://schemas.microsoft.com/office/drawing/2014/main" id="{00000000-0008-0000-0400-00001D000000}"/>
            </a:ext>
          </a:extLst>
        </xdr:cNvPr>
        <xdr:cNvSpPr txBox="1"/>
      </xdr:nvSpPr>
      <xdr:spPr>
        <a:xfrm>
          <a:off x="3794760" y="61653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369</xdr:row>
      <xdr:rowOff>0</xdr:rowOff>
    </xdr:from>
    <xdr:ext cx="784830" cy="392415"/>
    <xdr:sp macro="" textlink="">
      <xdr:nvSpPr>
        <xdr:cNvPr id="30" name="テキスト ボックス 29">
          <a:extLst>
            <a:ext uri="{FF2B5EF4-FFF2-40B4-BE49-F238E27FC236}">
              <a16:creationId xmlns:a16="http://schemas.microsoft.com/office/drawing/2014/main" id="{00000000-0008-0000-0400-00001E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381</xdr:row>
      <xdr:rowOff>0</xdr:rowOff>
    </xdr:from>
    <xdr:ext cx="784830" cy="392415"/>
    <xdr:sp macro="" textlink="">
      <xdr:nvSpPr>
        <xdr:cNvPr id="31" name="テキスト ボックス 30">
          <a:extLst>
            <a:ext uri="{FF2B5EF4-FFF2-40B4-BE49-F238E27FC236}">
              <a16:creationId xmlns:a16="http://schemas.microsoft.com/office/drawing/2014/main" id="{00000000-0008-0000-0400-00001F000000}"/>
            </a:ext>
          </a:extLst>
        </xdr:cNvPr>
        <xdr:cNvSpPr txBox="1"/>
      </xdr:nvSpPr>
      <xdr:spPr>
        <a:xfrm>
          <a:off x="3794760" y="67322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393</xdr:row>
      <xdr:rowOff>0</xdr:rowOff>
    </xdr:from>
    <xdr:ext cx="784830" cy="392415"/>
    <xdr:sp macro="" textlink="">
      <xdr:nvSpPr>
        <xdr:cNvPr id="32" name="テキスト ボックス 31">
          <a:extLst>
            <a:ext uri="{FF2B5EF4-FFF2-40B4-BE49-F238E27FC236}">
              <a16:creationId xmlns:a16="http://schemas.microsoft.com/office/drawing/2014/main" id="{00000000-0008-0000-0400-000020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405</xdr:row>
      <xdr:rowOff>0</xdr:rowOff>
    </xdr:from>
    <xdr:ext cx="784830" cy="392415"/>
    <xdr:sp macro="" textlink="">
      <xdr:nvSpPr>
        <xdr:cNvPr id="33" name="テキスト ボックス 32">
          <a:extLst>
            <a:ext uri="{FF2B5EF4-FFF2-40B4-BE49-F238E27FC236}">
              <a16:creationId xmlns:a16="http://schemas.microsoft.com/office/drawing/2014/main" id="{00000000-0008-0000-0400-000021000000}"/>
            </a:ext>
          </a:extLst>
        </xdr:cNvPr>
        <xdr:cNvSpPr txBox="1"/>
      </xdr:nvSpPr>
      <xdr:spPr>
        <a:xfrm>
          <a:off x="3794760" y="729919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417</xdr:row>
      <xdr:rowOff>0</xdr:rowOff>
    </xdr:from>
    <xdr:ext cx="784830" cy="392415"/>
    <xdr:sp macro="" textlink="">
      <xdr:nvSpPr>
        <xdr:cNvPr id="34" name="テキスト ボックス 33">
          <a:extLst>
            <a:ext uri="{FF2B5EF4-FFF2-40B4-BE49-F238E27FC236}">
              <a16:creationId xmlns:a16="http://schemas.microsoft.com/office/drawing/2014/main" id="{00000000-0008-0000-0400-000022000000}"/>
            </a:ext>
          </a:extLst>
        </xdr:cNvPr>
        <xdr:cNvSpPr txBox="1"/>
      </xdr:nvSpPr>
      <xdr:spPr>
        <a:xfrm>
          <a:off x="3794760" y="75826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429</xdr:row>
      <xdr:rowOff>0</xdr:rowOff>
    </xdr:from>
    <xdr:ext cx="784830" cy="392415"/>
    <xdr:sp macro="" textlink="">
      <xdr:nvSpPr>
        <xdr:cNvPr id="35" name="テキスト ボックス 34">
          <a:extLst>
            <a:ext uri="{FF2B5EF4-FFF2-40B4-BE49-F238E27FC236}">
              <a16:creationId xmlns:a16="http://schemas.microsoft.com/office/drawing/2014/main" id="{00000000-0008-0000-0400-000023000000}"/>
            </a:ext>
          </a:extLst>
        </xdr:cNvPr>
        <xdr:cNvSpPr txBox="1"/>
      </xdr:nvSpPr>
      <xdr:spPr>
        <a:xfrm>
          <a:off x="3794760" y="78661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441</xdr:row>
      <xdr:rowOff>0</xdr:rowOff>
    </xdr:from>
    <xdr:ext cx="784830" cy="392415"/>
    <xdr:sp macro="" textlink="">
      <xdr:nvSpPr>
        <xdr:cNvPr id="36" name="テキスト ボックス 35">
          <a:extLst>
            <a:ext uri="{FF2B5EF4-FFF2-40B4-BE49-F238E27FC236}">
              <a16:creationId xmlns:a16="http://schemas.microsoft.com/office/drawing/2014/main" id="{00000000-0008-0000-0400-000024000000}"/>
            </a:ext>
          </a:extLst>
        </xdr:cNvPr>
        <xdr:cNvSpPr txBox="1"/>
      </xdr:nvSpPr>
      <xdr:spPr>
        <a:xfrm>
          <a:off x="3794760" y="81495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105</xdr:row>
      <xdr:rowOff>0</xdr:rowOff>
    </xdr:from>
    <xdr:ext cx="784830" cy="392415"/>
    <xdr:sp macro="" textlink="">
      <xdr:nvSpPr>
        <xdr:cNvPr id="37" name="テキスト ボックス 36">
          <a:extLst>
            <a:ext uri="{FF2B5EF4-FFF2-40B4-BE49-F238E27FC236}">
              <a16:creationId xmlns:a16="http://schemas.microsoft.com/office/drawing/2014/main" id="{00000000-0008-0000-0100-000017000000}"/>
            </a:ext>
          </a:extLst>
        </xdr:cNvPr>
        <xdr:cNvSpPr txBox="1"/>
      </xdr:nvSpPr>
      <xdr:spPr>
        <a:xfrm>
          <a:off x="3794760" y="87165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117</xdr:row>
      <xdr:rowOff>0</xdr:rowOff>
    </xdr:from>
    <xdr:ext cx="784830" cy="392415"/>
    <xdr:sp macro="" textlink="">
      <xdr:nvSpPr>
        <xdr:cNvPr id="38" name="テキスト ボックス 37">
          <a:extLst>
            <a:ext uri="{FF2B5EF4-FFF2-40B4-BE49-F238E27FC236}">
              <a16:creationId xmlns:a16="http://schemas.microsoft.com/office/drawing/2014/main" id="{00000000-0008-0000-0100-000017000000}"/>
            </a:ext>
          </a:extLst>
        </xdr:cNvPr>
        <xdr:cNvSpPr txBox="1"/>
      </xdr:nvSpPr>
      <xdr:spPr>
        <a:xfrm>
          <a:off x="3794760" y="89999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129</xdr:row>
      <xdr:rowOff>0</xdr:rowOff>
    </xdr:from>
    <xdr:ext cx="784830" cy="392415"/>
    <xdr:sp macro="" textlink="">
      <xdr:nvSpPr>
        <xdr:cNvPr id="39" name="テキスト ボックス 38">
          <a:extLst>
            <a:ext uri="{FF2B5EF4-FFF2-40B4-BE49-F238E27FC236}">
              <a16:creationId xmlns:a16="http://schemas.microsoft.com/office/drawing/2014/main" id="{00000000-0008-0000-0100-000017000000}"/>
            </a:ext>
          </a:extLst>
        </xdr:cNvPr>
        <xdr:cNvSpPr txBox="1"/>
      </xdr:nvSpPr>
      <xdr:spPr>
        <a:xfrm>
          <a:off x="3794760" y="92834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141</xdr:row>
      <xdr:rowOff>0</xdr:rowOff>
    </xdr:from>
    <xdr:ext cx="784830" cy="392415"/>
    <xdr:sp macro="" textlink="">
      <xdr:nvSpPr>
        <xdr:cNvPr id="40" name="テキスト ボックス 39">
          <a:extLst>
            <a:ext uri="{FF2B5EF4-FFF2-40B4-BE49-F238E27FC236}">
              <a16:creationId xmlns:a16="http://schemas.microsoft.com/office/drawing/2014/main" id="{00000000-0008-0000-0100-000017000000}"/>
            </a:ext>
          </a:extLst>
        </xdr:cNvPr>
        <xdr:cNvSpPr txBox="1"/>
      </xdr:nvSpPr>
      <xdr:spPr>
        <a:xfrm>
          <a:off x="3794760" y="95669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153</xdr:row>
      <xdr:rowOff>0</xdr:rowOff>
    </xdr:from>
    <xdr:ext cx="784830" cy="392415"/>
    <xdr:sp macro="" textlink="">
      <xdr:nvSpPr>
        <xdr:cNvPr id="41" name="テキスト ボックス 40">
          <a:extLst>
            <a:ext uri="{FF2B5EF4-FFF2-40B4-BE49-F238E27FC236}">
              <a16:creationId xmlns:a16="http://schemas.microsoft.com/office/drawing/2014/main" id="{00000000-0008-0000-0100-000017000000}"/>
            </a:ext>
          </a:extLst>
        </xdr:cNvPr>
        <xdr:cNvSpPr txBox="1"/>
      </xdr:nvSpPr>
      <xdr:spPr>
        <a:xfrm>
          <a:off x="3794760" y="98503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165</xdr:row>
      <xdr:rowOff>0</xdr:rowOff>
    </xdr:from>
    <xdr:ext cx="784830" cy="392415"/>
    <xdr:sp macro="" textlink="">
      <xdr:nvSpPr>
        <xdr:cNvPr id="42" name="テキスト ボックス 41">
          <a:extLst>
            <a:ext uri="{FF2B5EF4-FFF2-40B4-BE49-F238E27FC236}">
              <a16:creationId xmlns:a16="http://schemas.microsoft.com/office/drawing/2014/main" id="{00000000-0008-0000-0100-000017000000}"/>
            </a:ext>
          </a:extLst>
        </xdr:cNvPr>
        <xdr:cNvSpPr txBox="1"/>
      </xdr:nvSpPr>
      <xdr:spPr>
        <a:xfrm>
          <a:off x="3794760" y="101338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33</xdr:row>
      <xdr:rowOff>0</xdr:rowOff>
    </xdr:from>
    <xdr:ext cx="784830" cy="392415"/>
    <xdr:sp macro="" textlink="">
      <xdr:nvSpPr>
        <xdr:cNvPr id="43" name="テキスト ボックス 42">
          <a:extLst>
            <a:ext uri="{FF2B5EF4-FFF2-40B4-BE49-F238E27FC236}">
              <a16:creationId xmlns:a16="http://schemas.microsoft.com/office/drawing/2014/main" id="{00000000-0008-0000-0400-000008000000}"/>
            </a:ext>
          </a:extLst>
        </xdr:cNvPr>
        <xdr:cNvSpPr txBox="1"/>
      </xdr:nvSpPr>
      <xdr:spPr>
        <a:xfrm>
          <a:off x="4219575"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453</xdr:row>
      <xdr:rowOff>0</xdr:rowOff>
    </xdr:from>
    <xdr:ext cx="784830" cy="392415"/>
    <xdr:sp macro="" textlink="">
      <xdr:nvSpPr>
        <xdr:cNvPr id="44" name="テキスト ボックス 43">
          <a:extLst>
            <a:ext uri="{FF2B5EF4-FFF2-40B4-BE49-F238E27FC236}">
              <a16:creationId xmlns:a16="http://schemas.microsoft.com/office/drawing/2014/main" id="{00000000-0008-0000-0400-000024000000}"/>
            </a:ext>
          </a:extLst>
        </xdr:cNvPr>
        <xdr:cNvSpPr txBox="1"/>
      </xdr:nvSpPr>
      <xdr:spPr>
        <a:xfrm>
          <a:off x="4219575" y="10501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465</xdr:row>
      <xdr:rowOff>0</xdr:rowOff>
    </xdr:from>
    <xdr:ext cx="784830" cy="392415"/>
    <xdr:sp macro="" textlink="">
      <xdr:nvSpPr>
        <xdr:cNvPr id="45" name="テキスト ボックス 44">
          <a:extLst>
            <a:ext uri="{FF2B5EF4-FFF2-40B4-BE49-F238E27FC236}">
              <a16:creationId xmlns:a16="http://schemas.microsoft.com/office/drawing/2014/main" id="{00000000-0008-0000-0400-000024000000}"/>
            </a:ext>
          </a:extLst>
        </xdr:cNvPr>
        <xdr:cNvSpPr txBox="1"/>
      </xdr:nvSpPr>
      <xdr:spPr>
        <a:xfrm>
          <a:off x="4219575" y="10787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477</xdr:row>
      <xdr:rowOff>0</xdr:rowOff>
    </xdr:from>
    <xdr:ext cx="784830" cy="392415"/>
    <xdr:sp macro="" textlink="">
      <xdr:nvSpPr>
        <xdr:cNvPr id="46" name="テキスト ボックス 45">
          <a:extLst>
            <a:ext uri="{FF2B5EF4-FFF2-40B4-BE49-F238E27FC236}">
              <a16:creationId xmlns:a16="http://schemas.microsoft.com/office/drawing/2014/main" id="{00000000-0008-0000-0400-000024000000}"/>
            </a:ext>
          </a:extLst>
        </xdr:cNvPr>
        <xdr:cNvSpPr txBox="1"/>
      </xdr:nvSpPr>
      <xdr:spPr>
        <a:xfrm>
          <a:off x="4219575" y="11072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489</xdr:row>
      <xdr:rowOff>0</xdr:rowOff>
    </xdr:from>
    <xdr:ext cx="784830" cy="392415"/>
    <xdr:sp macro="" textlink="">
      <xdr:nvSpPr>
        <xdr:cNvPr id="47" name="テキスト ボックス 46">
          <a:extLst>
            <a:ext uri="{FF2B5EF4-FFF2-40B4-BE49-F238E27FC236}">
              <a16:creationId xmlns:a16="http://schemas.microsoft.com/office/drawing/2014/main" id="{00000000-0008-0000-0400-000024000000}"/>
            </a:ext>
          </a:extLst>
        </xdr:cNvPr>
        <xdr:cNvSpPr txBox="1"/>
      </xdr:nvSpPr>
      <xdr:spPr>
        <a:xfrm>
          <a:off x="4219575" y="11358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11</xdr:col>
      <xdr:colOff>0</xdr:colOff>
      <xdr:row>18</xdr:row>
      <xdr:rowOff>0</xdr:rowOff>
    </xdr:from>
    <xdr:ext cx="1106521" cy="392415"/>
    <xdr:sp macro="" textlink="">
      <xdr:nvSpPr>
        <xdr:cNvPr id="108" name="テキスト ボックス 107">
          <a:extLst>
            <a:ext uri="{FF2B5EF4-FFF2-40B4-BE49-F238E27FC236}">
              <a16:creationId xmlns:a16="http://schemas.microsoft.com/office/drawing/2014/main" id="{00000000-0008-0000-0400-000008000000}"/>
            </a:ext>
          </a:extLst>
        </xdr:cNvPr>
        <xdr:cNvSpPr txBox="1"/>
      </xdr:nvSpPr>
      <xdr:spPr>
        <a:xfrm>
          <a:off x="7829550" y="4286250"/>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16</xdr:row>
      <xdr:rowOff>0</xdr:rowOff>
    </xdr:from>
    <xdr:ext cx="2646878" cy="392415"/>
    <xdr:sp macro="" textlink="">
      <xdr:nvSpPr>
        <xdr:cNvPr id="121" name="テキスト ボックス 120">
          <a:extLst>
            <a:ext uri="{FF2B5EF4-FFF2-40B4-BE49-F238E27FC236}">
              <a16:creationId xmlns:a16="http://schemas.microsoft.com/office/drawing/2014/main" id="{00000000-0008-0000-0400-000008000000}"/>
            </a:ext>
          </a:extLst>
        </xdr:cNvPr>
        <xdr:cNvSpPr txBox="1"/>
      </xdr:nvSpPr>
      <xdr:spPr>
        <a:xfrm>
          <a:off x="4495800" y="3810000"/>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診療年月と実施年月日の年月が同一</a:t>
          </a:r>
        </a:p>
      </xdr:txBody>
    </xdr:sp>
    <xdr:clientData/>
  </xdr:oneCellAnchor>
  <xdr:oneCellAnchor>
    <xdr:from>
      <xdr:col>7</xdr:col>
      <xdr:colOff>0</xdr:colOff>
      <xdr:row>19</xdr:row>
      <xdr:rowOff>0</xdr:rowOff>
    </xdr:from>
    <xdr:ext cx="2646878" cy="392415"/>
    <xdr:sp macro="" textlink="">
      <xdr:nvSpPr>
        <xdr:cNvPr id="122" name="テキスト ボックス 121">
          <a:extLst>
            <a:ext uri="{FF2B5EF4-FFF2-40B4-BE49-F238E27FC236}">
              <a16:creationId xmlns:a16="http://schemas.microsoft.com/office/drawing/2014/main" id="{00000000-0008-0000-0400-000008000000}"/>
            </a:ext>
          </a:extLst>
        </xdr:cNvPr>
        <xdr:cNvSpPr txBox="1"/>
      </xdr:nvSpPr>
      <xdr:spPr>
        <a:xfrm>
          <a:off x="4495800" y="4524375"/>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診療年月と実施年月日の年月が同一</a:t>
          </a:r>
        </a:p>
      </xdr:txBody>
    </xdr:sp>
    <xdr:clientData/>
  </xdr:oneCellAnchor>
  <xdr:oneCellAnchor>
    <xdr:from>
      <xdr:col>11</xdr:col>
      <xdr:colOff>0</xdr:colOff>
      <xdr:row>30</xdr:row>
      <xdr:rowOff>0</xdr:rowOff>
    </xdr:from>
    <xdr:ext cx="1106521" cy="392415"/>
    <xdr:sp macro="" textlink="">
      <xdr:nvSpPr>
        <xdr:cNvPr id="123" name="テキスト ボックス 122">
          <a:extLst>
            <a:ext uri="{FF2B5EF4-FFF2-40B4-BE49-F238E27FC236}">
              <a16:creationId xmlns:a16="http://schemas.microsoft.com/office/drawing/2014/main" id="{00000000-0008-0000-0400-000008000000}"/>
            </a:ext>
          </a:extLst>
        </xdr:cNvPr>
        <xdr:cNvSpPr txBox="1"/>
      </xdr:nvSpPr>
      <xdr:spPr>
        <a:xfrm>
          <a:off x="7829550" y="7143750"/>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28</xdr:row>
      <xdr:rowOff>0</xdr:rowOff>
    </xdr:from>
    <xdr:ext cx="2646878" cy="392415"/>
    <xdr:sp macro="" textlink="">
      <xdr:nvSpPr>
        <xdr:cNvPr id="124" name="テキスト ボックス 123">
          <a:extLst>
            <a:ext uri="{FF2B5EF4-FFF2-40B4-BE49-F238E27FC236}">
              <a16:creationId xmlns:a16="http://schemas.microsoft.com/office/drawing/2014/main" id="{00000000-0008-0000-0400-000008000000}"/>
            </a:ext>
          </a:extLst>
        </xdr:cNvPr>
        <xdr:cNvSpPr txBox="1"/>
      </xdr:nvSpPr>
      <xdr:spPr>
        <a:xfrm>
          <a:off x="4495800" y="6667500"/>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7</xdr:col>
      <xdr:colOff>0</xdr:colOff>
      <xdr:row>31</xdr:row>
      <xdr:rowOff>0</xdr:rowOff>
    </xdr:from>
    <xdr:ext cx="2646878" cy="392415"/>
    <xdr:sp macro="" textlink="">
      <xdr:nvSpPr>
        <xdr:cNvPr id="125" name="テキスト ボックス 124">
          <a:extLst>
            <a:ext uri="{FF2B5EF4-FFF2-40B4-BE49-F238E27FC236}">
              <a16:creationId xmlns:a16="http://schemas.microsoft.com/office/drawing/2014/main" id="{00000000-0008-0000-0400-000008000000}"/>
            </a:ext>
          </a:extLst>
        </xdr:cNvPr>
        <xdr:cNvSpPr txBox="1"/>
      </xdr:nvSpPr>
      <xdr:spPr>
        <a:xfrm>
          <a:off x="4495800" y="7381875"/>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11</xdr:col>
      <xdr:colOff>0</xdr:colOff>
      <xdr:row>44</xdr:row>
      <xdr:rowOff>0</xdr:rowOff>
    </xdr:from>
    <xdr:ext cx="1106521" cy="392415"/>
    <xdr:sp macro="" textlink="">
      <xdr:nvSpPr>
        <xdr:cNvPr id="126" name="テキスト ボックス 125">
          <a:extLst>
            <a:ext uri="{FF2B5EF4-FFF2-40B4-BE49-F238E27FC236}">
              <a16:creationId xmlns:a16="http://schemas.microsoft.com/office/drawing/2014/main" id="{00000000-0008-0000-0500-000002000000}"/>
            </a:ext>
          </a:extLst>
        </xdr:cNvPr>
        <xdr:cNvSpPr txBox="1"/>
      </xdr:nvSpPr>
      <xdr:spPr>
        <a:xfrm>
          <a:off x="7829550" y="10477500"/>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41</xdr:row>
      <xdr:rowOff>0</xdr:rowOff>
    </xdr:from>
    <xdr:ext cx="1106521" cy="392415"/>
    <xdr:sp macro="" textlink="">
      <xdr:nvSpPr>
        <xdr:cNvPr id="127" name="テキスト ボックス 126">
          <a:extLst>
            <a:ext uri="{FF2B5EF4-FFF2-40B4-BE49-F238E27FC236}">
              <a16:creationId xmlns:a16="http://schemas.microsoft.com/office/drawing/2014/main" id="{00000000-0008-0000-0500-000003000000}"/>
            </a:ext>
          </a:extLst>
        </xdr:cNvPr>
        <xdr:cNvSpPr txBox="1"/>
      </xdr:nvSpPr>
      <xdr:spPr>
        <a:xfrm>
          <a:off x="7829550" y="976312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33</xdr:row>
      <xdr:rowOff>0</xdr:rowOff>
    </xdr:from>
    <xdr:ext cx="1106521" cy="392415"/>
    <xdr:sp macro="" textlink="">
      <xdr:nvSpPr>
        <xdr:cNvPr id="128" name="テキスト ボックス 127">
          <a:extLst>
            <a:ext uri="{FF2B5EF4-FFF2-40B4-BE49-F238E27FC236}">
              <a16:creationId xmlns:a16="http://schemas.microsoft.com/office/drawing/2014/main" id="{00000000-0008-0000-0500-000004000000}"/>
            </a:ext>
          </a:extLst>
        </xdr:cNvPr>
        <xdr:cNvSpPr txBox="1"/>
      </xdr:nvSpPr>
      <xdr:spPr>
        <a:xfrm>
          <a:off x="7829550" y="785812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31</xdr:row>
      <xdr:rowOff>0</xdr:rowOff>
    </xdr:from>
    <xdr:ext cx="2646878" cy="392415"/>
    <xdr:sp macro="" textlink="">
      <xdr:nvSpPr>
        <xdr:cNvPr id="129" name="テキスト ボックス 128">
          <a:extLst>
            <a:ext uri="{FF2B5EF4-FFF2-40B4-BE49-F238E27FC236}">
              <a16:creationId xmlns:a16="http://schemas.microsoft.com/office/drawing/2014/main" id="{00000000-0008-0000-0500-000008000000}"/>
            </a:ext>
          </a:extLst>
        </xdr:cNvPr>
        <xdr:cNvSpPr txBox="1"/>
      </xdr:nvSpPr>
      <xdr:spPr>
        <a:xfrm>
          <a:off x="4495800" y="7381875"/>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7</xdr:col>
      <xdr:colOff>0</xdr:colOff>
      <xdr:row>34</xdr:row>
      <xdr:rowOff>0</xdr:rowOff>
    </xdr:from>
    <xdr:ext cx="3416320" cy="1592744"/>
    <xdr:sp macro="" textlink="">
      <xdr:nvSpPr>
        <xdr:cNvPr id="130" name="テキスト ボックス 129">
          <a:extLst>
            <a:ext uri="{FF2B5EF4-FFF2-40B4-BE49-F238E27FC236}">
              <a16:creationId xmlns:a16="http://schemas.microsoft.com/office/drawing/2014/main" id="{00000000-0008-0000-0500-000009000000}"/>
            </a:ext>
          </a:extLst>
        </xdr:cNvPr>
        <xdr:cNvSpPr txBox="1"/>
      </xdr:nvSpPr>
      <xdr:spPr>
        <a:xfrm>
          <a:off x="4495800" y="8096250"/>
          <a:ext cx="3416320" cy="15927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以下の病名のうち「疑い」で終わるものを除く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・主傷病名</a:t>
          </a:r>
        </a:p>
        <a:p>
          <a:r>
            <a:rPr kumimoji="1" lang="ja-JP" altLang="en-US" sz="1200" b="1">
              <a:solidFill>
                <a:srgbClr val="FF0000"/>
              </a:solidFill>
              <a:latin typeface="メイリオ" panose="020B0604030504040204" pitchFamily="50" charset="-128"/>
              <a:ea typeface="メイリオ" panose="020B0604030504040204" pitchFamily="50" charset="-128"/>
            </a:rPr>
            <a:t>・入院の契機となった傷病名</a:t>
          </a:r>
        </a:p>
        <a:p>
          <a:r>
            <a:rPr kumimoji="1" lang="ja-JP" altLang="en-US" sz="1200" b="1">
              <a:solidFill>
                <a:srgbClr val="FF0000"/>
              </a:solidFill>
              <a:latin typeface="メイリオ" panose="020B0604030504040204" pitchFamily="50" charset="-128"/>
              <a:ea typeface="メイリオ" panose="020B0604030504040204" pitchFamily="50" charset="-128"/>
            </a:rPr>
            <a:t>・医療資源を最も投入した傷病名</a:t>
          </a:r>
        </a:p>
        <a:p>
          <a:r>
            <a:rPr kumimoji="1" lang="ja-JP" altLang="en-US" sz="1200" b="1">
              <a:solidFill>
                <a:srgbClr val="FF0000"/>
              </a:solidFill>
              <a:latin typeface="メイリオ" panose="020B0604030504040204" pitchFamily="50" charset="-128"/>
              <a:ea typeface="メイリオ" panose="020B0604030504040204" pitchFamily="50" charset="-128"/>
            </a:rPr>
            <a:t>・医療資源を</a:t>
          </a:r>
          <a:r>
            <a:rPr kumimoji="1" lang="en-US" altLang="ja-JP" sz="1200" b="1">
              <a:solidFill>
                <a:srgbClr val="FF0000"/>
              </a:solidFill>
              <a:latin typeface="メイリオ" panose="020B0604030504040204" pitchFamily="50" charset="-128"/>
              <a:ea typeface="メイリオ" panose="020B0604030504040204" pitchFamily="50" charset="-128"/>
            </a:rPr>
            <a:t>2</a:t>
          </a:r>
          <a:r>
            <a:rPr kumimoji="1" lang="ja-JP" altLang="en-US" sz="1200" b="1">
              <a:solidFill>
                <a:srgbClr val="FF0000"/>
              </a:solidFill>
              <a:latin typeface="メイリオ" panose="020B0604030504040204" pitchFamily="50" charset="-128"/>
              <a:ea typeface="メイリオ" panose="020B0604030504040204" pitchFamily="50" charset="-128"/>
            </a:rPr>
            <a:t>番目に投入した傷病名</a:t>
          </a:r>
        </a:p>
      </xdr:txBody>
    </xdr:sp>
    <xdr:clientData/>
  </xdr:oneCellAnchor>
  <xdr:oneCellAnchor>
    <xdr:from>
      <xdr:col>7</xdr:col>
      <xdr:colOff>0</xdr:colOff>
      <xdr:row>42</xdr:row>
      <xdr:rowOff>0</xdr:rowOff>
    </xdr:from>
    <xdr:ext cx="2646878" cy="392415"/>
    <xdr:sp macro="" textlink="">
      <xdr:nvSpPr>
        <xdr:cNvPr id="131" name="テキスト ボックス 130">
          <a:extLst>
            <a:ext uri="{FF2B5EF4-FFF2-40B4-BE49-F238E27FC236}">
              <a16:creationId xmlns:a16="http://schemas.microsoft.com/office/drawing/2014/main" id="{00000000-0008-0000-0500-00000A000000}"/>
            </a:ext>
          </a:extLst>
        </xdr:cNvPr>
        <xdr:cNvSpPr txBox="1"/>
      </xdr:nvSpPr>
      <xdr:spPr>
        <a:xfrm>
          <a:off x="4495800" y="10001250"/>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7</xdr:col>
      <xdr:colOff>0</xdr:colOff>
      <xdr:row>45</xdr:row>
      <xdr:rowOff>0</xdr:rowOff>
    </xdr:from>
    <xdr:ext cx="2646878" cy="392415"/>
    <xdr:sp macro="" textlink="">
      <xdr:nvSpPr>
        <xdr:cNvPr id="132" name="テキスト ボックス 131">
          <a:extLst>
            <a:ext uri="{FF2B5EF4-FFF2-40B4-BE49-F238E27FC236}">
              <a16:creationId xmlns:a16="http://schemas.microsoft.com/office/drawing/2014/main" id="{00000000-0008-0000-0500-00000B000000}"/>
            </a:ext>
          </a:extLst>
        </xdr:cNvPr>
        <xdr:cNvSpPr txBox="1"/>
      </xdr:nvSpPr>
      <xdr:spPr>
        <a:xfrm>
          <a:off x="4495800" y="10715625"/>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13</xdr:col>
      <xdr:colOff>0</xdr:colOff>
      <xdr:row>47</xdr:row>
      <xdr:rowOff>0</xdr:rowOff>
    </xdr:from>
    <xdr:ext cx="1183273" cy="392415"/>
    <xdr:sp macro="" textlink="">
      <xdr:nvSpPr>
        <xdr:cNvPr id="133" name="テキスト ボックス 132">
          <a:extLst>
            <a:ext uri="{FF2B5EF4-FFF2-40B4-BE49-F238E27FC236}">
              <a16:creationId xmlns:a16="http://schemas.microsoft.com/office/drawing/2014/main" id="{00000000-0008-0000-0500-000006000000}"/>
            </a:ext>
          </a:extLst>
        </xdr:cNvPr>
        <xdr:cNvSpPr txBox="1"/>
      </xdr:nvSpPr>
      <xdr:spPr>
        <a:xfrm>
          <a:off x="9124950" y="111918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79</xdr:row>
      <xdr:rowOff>152400</xdr:rowOff>
    </xdr:from>
    <xdr:ext cx="1183273" cy="392415"/>
    <xdr:sp macro="" textlink="">
      <xdr:nvSpPr>
        <xdr:cNvPr id="134" name="テキスト ボックス 133">
          <a:extLst>
            <a:ext uri="{FF2B5EF4-FFF2-40B4-BE49-F238E27FC236}">
              <a16:creationId xmlns:a16="http://schemas.microsoft.com/office/drawing/2014/main" id="{00000000-0008-0000-0400-000008000000}"/>
            </a:ext>
          </a:extLst>
        </xdr:cNvPr>
        <xdr:cNvSpPr txBox="1"/>
      </xdr:nvSpPr>
      <xdr:spPr>
        <a:xfrm>
          <a:off x="7829550" y="189642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83</xdr:row>
      <xdr:rowOff>0</xdr:rowOff>
    </xdr:from>
    <xdr:ext cx="1183273" cy="392415"/>
    <xdr:sp macro="" textlink="">
      <xdr:nvSpPr>
        <xdr:cNvPr id="135" name="テキスト ボックス 134">
          <a:extLst>
            <a:ext uri="{FF2B5EF4-FFF2-40B4-BE49-F238E27FC236}">
              <a16:creationId xmlns:a16="http://schemas.microsoft.com/office/drawing/2014/main" id="{00000000-0008-0000-0500-000012000000}"/>
            </a:ext>
          </a:extLst>
        </xdr:cNvPr>
        <xdr:cNvSpPr txBox="1"/>
      </xdr:nvSpPr>
      <xdr:spPr>
        <a:xfrm>
          <a:off x="11439525" y="19764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95</xdr:row>
      <xdr:rowOff>0</xdr:rowOff>
    </xdr:from>
    <xdr:ext cx="755913" cy="392415"/>
    <xdr:sp macro="" textlink="">
      <xdr:nvSpPr>
        <xdr:cNvPr id="136" name="テキスト ボックス 135">
          <a:extLst>
            <a:ext uri="{FF2B5EF4-FFF2-40B4-BE49-F238E27FC236}">
              <a16:creationId xmlns:a16="http://schemas.microsoft.com/office/drawing/2014/main" id="{00000000-0008-0000-0400-000008000000}"/>
            </a:ext>
          </a:extLst>
        </xdr:cNvPr>
        <xdr:cNvSpPr txBox="1"/>
      </xdr:nvSpPr>
      <xdr:spPr>
        <a:xfrm>
          <a:off x="11439525" y="22621875"/>
          <a:ext cx="7559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96</xdr:row>
      <xdr:rowOff>0</xdr:rowOff>
    </xdr:from>
    <xdr:ext cx="4952766" cy="392415"/>
    <xdr:sp macro="" textlink="">
      <xdr:nvSpPr>
        <xdr:cNvPr id="137" name="テキスト ボックス 136">
          <a:extLst>
            <a:ext uri="{FF2B5EF4-FFF2-40B4-BE49-F238E27FC236}">
              <a16:creationId xmlns:a16="http://schemas.microsoft.com/office/drawing/2014/main" id="{00000000-0008-0000-0500-000016000000}"/>
            </a:ext>
          </a:extLst>
        </xdr:cNvPr>
        <xdr:cNvSpPr txBox="1"/>
      </xdr:nvSpPr>
      <xdr:spPr>
        <a:xfrm>
          <a:off x="4495800" y="22860000"/>
          <a:ext cx="495276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数値で表記されるバイタルサインの値</a:t>
          </a:r>
          <a:r>
            <a:rPr kumimoji="1" lang="en-US" altLang="ja-JP" sz="1200" b="1">
              <a:solidFill>
                <a:srgbClr val="FF0000"/>
              </a:solidFill>
              <a:latin typeface="メイリオ" panose="020B0604030504040204" pitchFamily="50" charset="-128"/>
              <a:ea typeface="メイリオ" panose="020B0604030504040204" pitchFamily="50" charset="-128"/>
            </a:rPr>
            <a:t>(</a:t>
          </a:r>
          <a:r>
            <a:rPr kumimoji="1" lang="ja-JP" altLang="en-US" sz="1200" b="1">
              <a:solidFill>
                <a:srgbClr val="FF0000"/>
              </a:solidFill>
              <a:latin typeface="メイリオ" panose="020B0604030504040204" pitchFamily="50" charset="-128"/>
              <a:ea typeface="メイリオ" panose="020B0604030504040204" pitchFamily="50" charset="-128"/>
            </a:rPr>
            <a:t>身長・体重</a:t>
          </a:r>
          <a:r>
            <a:rPr kumimoji="1" lang="en-US" altLang="ja-JP" sz="1200" b="1">
              <a:solidFill>
                <a:srgbClr val="FF0000"/>
              </a:solidFill>
              <a:latin typeface="メイリオ" panose="020B0604030504040204" pitchFamily="50" charset="-128"/>
              <a:ea typeface="メイリオ" panose="020B0604030504040204" pitchFamily="50" charset="-128"/>
            </a:rPr>
            <a:t>)</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0</a:t>
          </a:r>
          <a:r>
            <a:rPr kumimoji="1" lang="ja-JP" altLang="en-US" sz="1200" b="1">
              <a:solidFill>
                <a:srgbClr val="FF0000"/>
              </a:solidFill>
              <a:latin typeface="メイリオ" panose="020B0604030504040204" pitchFamily="50" charset="-128"/>
              <a:ea typeface="メイリオ" panose="020B0604030504040204" pitchFamily="50" charset="-128"/>
            </a:rPr>
            <a:t>のものを除く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0</xdr:colOff>
      <xdr:row>107</xdr:row>
      <xdr:rowOff>0</xdr:rowOff>
    </xdr:from>
    <xdr:ext cx="1183273" cy="392415"/>
    <xdr:sp macro="" textlink="">
      <xdr:nvSpPr>
        <xdr:cNvPr id="138" name="テキスト ボックス 137">
          <a:extLst>
            <a:ext uri="{FF2B5EF4-FFF2-40B4-BE49-F238E27FC236}">
              <a16:creationId xmlns:a16="http://schemas.microsoft.com/office/drawing/2014/main" id="{00000000-0008-0000-0500-000006000000}"/>
            </a:ext>
          </a:extLst>
        </xdr:cNvPr>
        <xdr:cNvSpPr txBox="1"/>
      </xdr:nvSpPr>
      <xdr:spPr>
        <a:xfrm>
          <a:off x="9124950" y="25479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134</xdr:row>
      <xdr:rowOff>0</xdr:rowOff>
    </xdr:from>
    <xdr:ext cx="1183273" cy="392415"/>
    <xdr:sp macro="" textlink="">
      <xdr:nvSpPr>
        <xdr:cNvPr id="139" name="テキスト ボックス 138">
          <a:extLst>
            <a:ext uri="{FF2B5EF4-FFF2-40B4-BE49-F238E27FC236}">
              <a16:creationId xmlns:a16="http://schemas.microsoft.com/office/drawing/2014/main" id="{00000000-0008-0000-0500-000076000000}"/>
            </a:ext>
          </a:extLst>
        </xdr:cNvPr>
        <xdr:cNvSpPr txBox="1"/>
      </xdr:nvSpPr>
      <xdr:spPr>
        <a:xfrm>
          <a:off x="11439525" y="31908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135</xdr:row>
      <xdr:rowOff>0</xdr:rowOff>
    </xdr:from>
    <xdr:ext cx="1480213" cy="392415"/>
    <xdr:sp macro="" textlink="">
      <xdr:nvSpPr>
        <xdr:cNvPr id="140" name="テキスト ボックス 139">
          <a:extLst>
            <a:ext uri="{FF2B5EF4-FFF2-40B4-BE49-F238E27FC236}">
              <a16:creationId xmlns:a16="http://schemas.microsoft.com/office/drawing/2014/main" id="{00000000-0008-0000-0500-000077000000}"/>
            </a:ext>
          </a:extLst>
        </xdr:cNvPr>
        <xdr:cNvSpPr txBox="1"/>
      </xdr:nvSpPr>
      <xdr:spPr>
        <a:xfrm>
          <a:off x="9124950" y="32146875"/>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12</xdr:col>
      <xdr:colOff>891540</xdr:colOff>
      <xdr:row>118</xdr:row>
      <xdr:rowOff>175260</xdr:rowOff>
    </xdr:from>
    <xdr:ext cx="1183273" cy="392415"/>
    <xdr:sp macro="" textlink="">
      <xdr:nvSpPr>
        <xdr:cNvPr id="141" name="テキスト ボックス 140">
          <a:extLst>
            <a:ext uri="{FF2B5EF4-FFF2-40B4-BE49-F238E27FC236}">
              <a16:creationId xmlns:a16="http://schemas.microsoft.com/office/drawing/2014/main" id="{00000000-0008-0000-0500-000079000000}"/>
            </a:ext>
          </a:extLst>
        </xdr:cNvPr>
        <xdr:cNvSpPr txBox="1"/>
      </xdr:nvSpPr>
      <xdr:spPr>
        <a:xfrm>
          <a:off x="8997315" y="2827401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14</xdr:col>
      <xdr:colOff>0</xdr:colOff>
      <xdr:row>125</xdr:row>
      <xdr:rowOff>0</xdr:rowOff>
    </xdr:from>
    <xdr:ext cx="1183273" cy="392415"/>
    <xdr:sp macro="" textlink="">
      <xdr:nvSpPr>
        <xdr:cNvPr id="142" name="テキスト ボックス 141">
          <a:extLst>
            <a:ext uri="{FF2B5EF4-FFF2-40B4-BE49-F238E27FC236}">
              <a16:creationId xmlns:a16="http://schemas.microsoft.com/office/drawing/2014/main" id="{00000000-0008-0000-0500-00007B000000}"/>
            </a:ext>
          </a:extLst>
        </xdr:cNvPr>
        <xdr:cNvSpPr txBox="1"/>
      </xdr:nvSpPr>
      <xdr:spPr>
        <a:xfrm>
          <a:off x="10144125" y="2976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122</xdr:row>
      <xdr:rowOff>0</xdr:rowOff>
    </xdr:from>
    <xdr:ext cx="3139129" cy="392415"/>
    <xdr:sp macro="" textlink="">
      <xdr:nvSpPr>
        <xdr:cNvPr id="143" name="テキスト ボックス 142">
          <a:extLst>
            <a:ext uri="{FF2B5EF4-FFF2-40B4-BE49-F238E27FC236}">
              <a16:creationId xmlns:a16="http://schemas.microsoft.com/office/drawing/2014/main" id="{00000000-0008-0000-0500-00007D000000}"/>
            </a:ext>
          </a:extLst>
        </xdr:cNvPr>
        <xdr:cNvSpPr txBox="1"/>
      </xdr:nvSpPr>
      <xdr:spPr>
        <a:xfrm>
          <a:off x="7829550" y="29051250"/>
          <a:ext cx="313912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、検体名、検体コード）</a:t>
          </a:r>
        </a:p>
      </xdr:txBody>
    </xdr:sp>
    <xdr:clientData/>
  </xdr:oneCellAnchor>
  <xdr:oneCellAnchor>
    <xdr:from>
      <xdr:col>12</xdr:col>
      <xdr:colOff>891540</xdr:colOff>
      <xdr:row>148</xdr:row>
      <xdr:rowOff>175260</xdr:rowOff>
    </xdr:from>
    <xdr:ext cx="1183273" cy="392415"/>
    <xdr:sp macro="" textlink="">
      <xdr:nvSpPr>
        <xdr:cNvPr id="144" name="テキスト ボックス 143">
          <a:extLst>
            <a:ext uri="{FF2B5EF4-FFF2-40B4-BE49-F238E27FC236}">
              <a16:creationId xmlns:a16="http://schemas.microsoft.com/office/drawing/2014/main" id="{00000000-0008-0000-0500-000081000000}"/>
            </a:ext>
          </a:extLst>
        </xdr:cNvPr>
        <xdr:cNvSpPr txBox="1"/>
      </xdr:nvSpPr>
      <xdr:spPr>
        <a:xfrm>
          <a:off x="8997315" y="3541776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14</xdr:col>
      <xdr:colOff>0</xdr:colOff>
      <xdr:row>153</xdr:row>
      <xdr:rowOff>0</xdr:rowOff>
    </xdr:from>
    <xdr:ext cx="1183273" cy="392415"/>
    <xdr:sp macro="" textlink="">
      <xdr:nvSpPr>
        <xdr:cNvPr id="145" name="テキスト ボックス 144">
          <a:extLst>
            <a:ext uri="{FF2B5EF4-FFF2-40B4-BE49-F238E27FC236}">
              <a16:creationId xmlns:a16="http://schemas.microsoft.com/office/drawing/2014/main" id="{00000000-0008-0000-0500-000083000000}"/>
            </a:ext>
          </a:extLst>
        </xdr:cNvPr>
        <xdr:cNvSpPr txBox="1"/>
      </xdr:nvSpPr>
      <xdr:spPr>
        <a:xfrm>
          <a:off x="10144125" y="36433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9525</xdr:colOff>
      <xdr:row>173</xdr:row>
      <xdr:rowOff>19050</xdr:rowOff>
    </xdr:from>
    <xdr:ext cx="1106521" cy="392415"/>
    <xdr:sp macro="" textlink="">
      <xdr:nvSpPr>
        <xdr:cNvPr id="146" name="テキスト ボックス 145">
          <a:extLst>
            <a:ext uri="{FF2B5EF4-FFF2-40B4-BE49-F238E27FC236}">
              <a16:creationId xmlns:a16="http://schemas.microsoft.com/office/drawing/2014/main" id="{00000000-0008-0000-0500-000086000000}"/>
            </a:ext>
          </a:extLst>
        </xdr:cNvPr>
        <xdr:cNvSpPr txBox="1"/>
      </xdr:nvSpPr>
      <xdr:spPr>
        <a:xfrm>
          <a:off x="4229100" y="4121467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p>
      </xdr:txBody>
    </xdr:sp>
    <xdr:clientData/>
  </xdr:oneCellAnchor>
  <xdr:oneCellAnchor>
    <xdr:from>
      <xdr:col>11</xdr:col>
      <xdr:colOff>0</xdr:colOff>
      <xdr:row>128</xdr:row>
      <xdr:rowOff>0</xdr:rowOff>
    </xdr:from>
    <xdr:ext cx="3139129" cy="392415"/>
    <xdr:sp macro="" textlink="">
      <xdr:nvSpPr>
        <xdr:cNvPr id="147" name="テキスト ボックス 146">
          <a:extLst>
            <a:ext uri="{FF2B5EF4-FFF2-40B4-BE49-F238E27FC236}">
              <a16:creationId xmlns:a16="http://schemas.microsoft.com/office/drawing/2014/main" id="{00000000-0008-0000-0500-00007D000000}"/>
            </a:ext>
          </a:extLst>
        </xdr:cNvPr>
        <xdr:cNvSpPr txBox="1"/>
      </xdr:nvSpPr>
      <xdr:spPr>
        <a:xfrm>
          <a:off x="7829550" y="30480000"/>
          <a:ext cx="313912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、検査名、検査コード）</a:t>
          </a:r>
        </a:p>
      </xdr:txBody>
    </xdr:sp>
    <xdr:clientData/>
  </xdr:oneCellAnchor>
  <xdr:oneCellAnchor>
    <xdr:from>
      <xdr:col>11</xdr:col>
      <xdr:colOff>0</xdr:colOff>
      <xdr:row>151</xdr:row>
      <xdr:rowOff>0</xdr:rowOff>
    </xdr:from>
    <xdr:ext cx="3819122" cy="392415"/>
    <xdr:sp macro="" textlink="">
      <xdr:nvSpPr>
        <xdr:cNvPr id="148" name="テキスト ボックス 147">
          <a:extLst>
            <a:ext uri="{FF2B5EF4-FFF2-40B4-BE49-F238E27FC236}">
              <a16:creationId xmlns:a16="http://schemas.microsoft.com/office/drawing/2014/main" id="{00000000-0008-0000-0500-00007D000000}"/>
            </a:ext>
          </a:extLst>
        </xdr:cNvPr>
        <xdr:cNvSpPr txBox="1"/>
      </xdr:nvSpPr>
      <xdr:spPr>
        <a:xfrm>
          <a:off x="7829550" y="35956875"/>
          <a:ext cx="381912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）、検体名、検体コード）</a:t>
          </a:r>
        </a:p>
      </xdr:txBody>
    </xdr:sp>
    <xdr:clientData/>
  </xdr:oneCellAnchor>
  <xdr:oneCellAnchor>
    <xdr:from>
      <xdr:col>11</xdr:col>
      <xdr:colOff>9525</xdr:colOff>
      <xdr:row>154</xdr:row>
      <xdr:rowOff>209550</xdr:rowOff>
    </xdr:from>
    <xdr:ext cx="3819122" cy="392415"/>
    <xdr:sp macro="" textlink="">
      <xdr:nvSpPr>
        <xdr:cNvPr id="149" name="テキスト ボックス 148">
          <a:extLst>
            <a:ext uri="{FF2B5EF4-FFF2-40B4-BE49-F238E27FC236}">
              <a16:creationId xmlns:a16="http://schemas.microsoft.com/office/drawing/2014/main" id="{00000000-0008-0000-0500-00007D000000}"/>
            </a:ext>
          </a:extLst>
        </xdr:cNvPr>
        <xdr:cNvSpPr txBox="1"/>
      </xdr:nvSpPr>
      <xdr:spPr>
        <a:xfrm>
          <a:off x="7839075" y="36880800"/>
          <a:ext cx="381912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）、検査名、検査コード）</a:t>
          </a:r>
        </a:p>
      </xdr:txBody>
    </xdr:sp>
    <xdr:clientData/>
  </xdr:oneCellAnchor>
  <xdr:oneCellAnchor>
    <xdr:from>
      <xdr:col>11</xdr:col>
      <xdr:colOff>0</xdr:colOff>
      <xdr:row>132</xdr:row>
      <xdr:rowOff>0</xdr:rowOff>
    </xdr:from>
    <xdr:ext cx="5293565" cy="392415"/>
    <xdr:sp macro="" textlink="">
      <xdr:nvSpPr>
        <xdr:cNvPr id="150" name="テキスト ボックス 149">
          <a:extLst>
            <a:ext uri="{FF2B5EF4-FFF2-40B4-BE49-F238E27FC236}">
              <a16:creationId xmlns:a16="http://schemas.microsoft.com/office/drawing/2014/main" id="{00000000-0008-0000-0500-00007D000000}"/>
            </a:ext>
          </a:extLst>
        </xdr:cNvPr>
        <xdr:cNvSpPr txBox="1"/>
      </xdr:nvSpPr>
      <xdr:spPr>
        <a:xfrm>
          <a:off x="7829550" y="31432500"/>
          <a:ext cx="529356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、検体名、検体コード、検査名、検査コード、単位）</a:t>
          </a:r>
        </a:p>
      </xdr:txBody>
    </xdr:sp>
    <xdr:clientData/>
  </xdr:oneCellAnchor>
  <xdr:oneCellAnchor>
    <xdr:from>
      <xdr:col>8</xdr:col>
      <xdr:colOff>638175</xdr:colOff>
      <xdr:row>157</xdr:row>
      <xdr:rowOff>76200</xdr:rowOff>
    </xdr:from>
    <xdr:ext cx="5973558" cy="392415"/>
    <xdr:sp macro="" textlink="">
      <xdr:nvSpPr>
        <xdr:cNvPr id="151" name="テキスト ボックス 150">
          <a:extLst>
            <a:ext uri="{FF2B5EF4-FFF2-40B4-BE49-F238E27FC236}">
              <a16:creationId xmlns:a16="http://schemas.microsoft.com/office/drawing/2014/main" id="{00000000-0008-0000-0500-00007D000000}"/>
            </a:ext>
          </a:extLst>
        </xdr:cNvPr>
        <xdr:cNvSpPr txBox="1"/>
      </xdr:nvSpPr>
      <xdr:spPr>
        <a:xfrm>
          <a:off x="6153150" y="37461825"/>
          <a:ext cx="597355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）、検体名、検体コード、検査名、検査コード、単位）</a:t>
          </a:r>
        </a:p>
      </xdr:txBody>
    </xdr:sp>
    <xdr:clientData/>
  </xdr:oneCellAnchor>
  <xdr:oneCellAnchor>
    <xdr:from>
      <xdr:col>10</xdr:col>
      <xdr:colOff>272415</xdr:colOff>
      <xdr:row>145</xdr:row>
      <xdr:rowOff>175260</xdr:rowOff>
    </xdr:from>
    <xdr:ext cx="784830" cy="392415"/>
    <xdr:sp macro="" textlink="">
      <xdr:nvSpPr>
        <xdr:cNvPr id="152" name="テキスト ボックス 151">
          <a:extLst>
            <a:ext uri="{FF2B5EF4-FFF2-40B4-BE49-F238E27FC236}">
              <a16:creationId xmlns:a16="http://schemas.microsoft.com/office/drawing/2014/main" id="{00000000-0008-0000-0500-000081000000}"/>
            </a:ext>
          </a:extLst>
        </xdr:cNvPr>
        <xdr:cNvSpPr txBox="1"/>
      </xdr:nvSpPr>
      <xdr:spPr>
        <a:xfrm>
          <a:off x="7825740" y="3470338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0</xdr:colOff>
      <xdr:row>163</xdr:row>
      <xdr:rowOff>0</xdr:rowOff>
    </xdr:from>
    <xdr:ext cx="1480213" cy="392415"/>
    <xdr:sp macro="" textlink="">
      <xdr:nvSpPr>
        <xdr:cNvPr id="153" name="テキスト ボックス 152">
          <a:extLst>
            <a:ext uri="{FF2B5EF4-FFF2-40B4-BE49-F238E27FC236}">
              <a16:creationId xmlns:a16="http://schemas.microsoft.com/office/drawing/2014/main" id="{00000000-0008-0000-0500-000080000000}"/>
            </a:ext>
          </a:extLst>
        </xdr:cNvPr>
        <xdr:cNvSpPr txBox="1"/>
      </xdr:nvSpPr>
      <xdr:spPr>
        <a:xfrm>
          <a:off x="9124950" y="38814375"/>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16</xdr:col>
      <xdr:colOff>0</xdr:colOff>
      <xdr:row>162</xdr:row>
      <xdr:rowOff>0</xdr:rowOff>
    </xdr:from>
    <xdr:ext cx="1183273" cy="392415"/>
    <xdr:sp macro="" textlink="">
      <xdr:nvSpPr>
        <xdr:cNvPr id="154" name="テキスト ボックス 153">
          <a:extLst>
            <a:ext uri="{FF2B5EF4-FFF2-40B4-BE49-F238E27FC236}">
              <a16:creationId xmlns:a16="http://schemas.microsoft.com/office/drawing/2014/main" id="{00000000-0008-0000-0500-00007F000000}"/>
            </a:ext>
          </a:extLst>
        </xdr:cNvPr>
        <xdr:cNvSpPr txBox="1"/>
      </xdr:nvSpPr>
      <xdr:spPr>
        <a:xfrm>
          <a:off x="11439525" y="38576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7</xdr:col>
      <xdr:colOff>0</xdr:colOff>
      <xdr:row>117</xdr:row>
      <xdr:rowOff>0</xdr:rowOff>
    </xdr:from>
    <xdr:ext cx="1877437" cy="392415"/>
    <xdr:sp macro="" textlink="">
      <xdr:nvSpPr>
        <xdr:cNvPr id="155" name="テキスト ボックス 154">
          <a:extLst>
            <a:ext uri="{FF2B5EF4-FFF2-40B4-BE49-F238E27FC236}">
              <a16:creationId xmlns:a16="http://schemas.microsoft.com/office/drawing/2014/main" id="{00000000-0008-0000-0500-00007F000000}"/>
            </a:ext>
          </a:extLst>
        </xdr:cNvPr>
        <xdr:cNvSpPr txBox="1"/>
      </xdr:nvSpPr>
      <xdr:spPr>
        <a:xfrm>
          <a:off x="4495800" y="27860625"/>
          <a:ext cx="187743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報告状態が「最終報告」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144</xdr:row>
      <xdr:rowOff>0</xdr:rowOff>
    </xdr:from>
    <xdr:ext cx="1877437" cy="392415"/>
    <xdr:sp macro="" textlink="">
      <xdr:nvSpPr>
        <xdr:cNvPr id="156" name="テキスト ボックス 155">
          <a:extLst>
            <a:ext uri="{FF2B5EF4-FFF2-40B4-BE49-F238E27FC236}">
              <a16:creationId xmlns:a16="http://schemas.microsoft.com/office/drawing/2014/main" id="{00000000-0008-0000-0500-00007F000000}"/>
            </a:ext>
          </a:extLst>
        </xdr:cNvPr>
        <xdr:cNvSpPr txBox="1"/>
      </xdr:nvSpPr>
      <xdr:spPr>
        <a:xfrm>
          <a:off x="4495800" y="34290000"/>
          <a:ext cx="187743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報告状態が「最終報告」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147</xdr:row>
      <xdr:rowOff>0</xdr:rowOff>
    </xdr:from>
    <xdr:ext cx="3642985" cy="392415"/>
    <xdr:sp macro="" textlink="">
      <xdr:nvSpPr>
        <xdr:cNvPr id="157" name="テキスト ボックス 156">
          <a:extLst>
            <a:ext uri="{FF2B5EF4-FFF2-40B4-BE49-F238E27FC236}">
              <a16:creationId xmlns:a16="http://schemas.microsoft.com/office/drawing/2014/main" id="{00000000-0008-0000-0500-00007F000000}"/>
            </a:ext>
          </a:extLst>
        </xdr:cNvPr>
        <xdr:cNvSpPr txBox="1"/>
      </xdr:nvSpPr>
      <xdr:spPr>
        <a:xfrm>
          <a:off x="4495800" y="35004375"/>
          <a:ext cx="36429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モジュール種別が</a:t>
          </a:r>
          <a:r>
            <a:rPr kumimoji="1" lang="en-US" altLang="ja-JP" sz="1200" b="1">
              <a:solidFill>
                <a:srgbClr val="FF0000"/>
              </a:solidFill>
              <a:latin typeface="メイリオ" panose="020B0604030504040204" pitchFamily="50" charset="-128"/>
              <a:ea typeface="メイリオ" panose="020B0604030504040204" pitchFamily="50" charset="-128"/>
            </a:rPr>
            <a:t>mmlLb</a:t>
          </a:r>
          <a:r>
            <a:rPr kumimoji="1" lang="ja-JP" altLang="en-US" sz="1200" b="1">
              <a:solidFill>
                <a:srgbClr val="FF0000"/>
              </a:solidFill>
              <a:latin typeface="メイリオ" panose="020B0604030504040204" pitchFamily="50" charset="-128"/>
              <a:ea typeface="メイリオ" panose="020B0604030504040204" pitchFamily="50" charset="-128"/>
            </a:rPr>
            <a:t>かつ最新フラグが</a:t>
          </a:r>
          <a:r>
            <a:rPr kumimoji="1" lang="en-US" altLang="ja-JP" sz="1200" b="1">
              <a:solidFill>
                <a:srgbClr val="FF0000"/>
              </a:solidFill>
              <a:latin typeface="メイリオ" panose="020B0604030504040204" pitchFamily="50" charset="-128"/>
              <a:ea typeface="メイリオ" panose="020B0604030504040204" pitchFamily="50" charset="-128"/>
            </a:rPr>
            <a:t>TRUE</a:t>
          </a:r>
        </a:p>
      </xdr:txBody>
    </xdr:sp>
    <xdr:clientData/>
  </xdr:oneCellAnchor>
  <xdr:oneCellAnchor>
    <xdr:from>
      <xdr:col>6</xdr:col>
      <xdr:colOff>0</xdr:colOff>
      <xdr:row>159</xdr:row>
      <xdr:rowOff>0</xdr:rowOff>
    </xdr:from>
    <xdr:ext cx="1029769" cy="392415"/>
    <xdr:sp macro="" textlink="">
      <xdr:nvSpPr>
        <xdr:cNvPr id="158" name="テキスト ボックス 157">
          <a:extLst>
            <a:ext uri="{FF2B5EF4-FFF2-40B4-BE49-F238E27FC236}">
              <a16:creationId xmlns:a16="http://schemas.microsoft.com/office/drawing/2014/main" id="{00000000-0008-0000-0500-000083000000}"/>
            </a:ext>
          </a:extLst>
        </xdr:cNvPr>
        <xdr:cNvSpPr txBox="1"/>
      </xdr:nvSpPr>
      <xdr:spPr>
        <a:xfrm>
          <a:off x="4219575" y="37861875"/>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0</xdr:colOff>
      <xdr:row>59</xdr:row>
      <xdr:rowOff>0</xdr:rowOff>
    </xdr:from>
    <xdr:ext cx="1183273" cy="392415"/>
    <xdr:sp macro="" textlink="">
      <xdr:nvSpPr>
        <xdr:cNvPr id="159" name="テキスト ボックス 158">
          <a:extLst>
            <a:ext uri="{FF2B5EF4-FFF2-40B4-BE49-F238E27FC236}">
              <a16:creationId xmlns:a16="http://schemas.microsoft.com/office/drawing/2014/main" id="{00000000-0008-0000-0500-000006000000}"/>
            </a:ext>
          </a:extLst>
        </xdr:cNvPr>
        <xdr:cNvSpPr txBox="1"/>
      </xdr:nvSpPr>
      <xdr:spPr>
        <a:xfrm>
          <a:off x="9124950" y="14049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81</xdr:row>
      <xdr:rowOff>0</xdr:rowOff>
    </xdr:from>
    <xdr:ext cx="2428614" cy="392415"/>
    <xdr:sp macro="" textlink="">
      <xdr:nvSpPr>
        <xdr:cNvPr id="160" name="テキスト ボックス 159">
          <a:extLst>
            <a:ext uri="{FF2B5EF4-FFF2-40B4-BE49-F238E27FC236}">
              <a16:creationId xmlns:a16="http://schemas.microsoft.com/office/drawing/2014/main" id="{00000000-0008-0000-0400-000008000000}"/>
            </a:ext>
          </a:extLst>
        </xdr:cNvPr>
        <xdr:cNvSpPr txBox="1"/>
      </xdr:nvSpPr>
      <xdr:spPr>
        <a:xfrm>
          <a:off x="4495800" y="19288125"/>
          <a:ext cx="242861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項目名が</a:t>
          </a:r>
          <a:r>
            <a:rPr kumimoji="1" lang="en-US" altLang="ja-JP" sz="1200" b="1">
              <a:solidFill>
                <a:srgbClr val="FF0000"/>
              </a:solidFill>
              <a:latin typeface="メイリオ" panose="020B0604030504040204" pitchFamily="50" charset="-128"/>
              <a:ea typeface="メイリオ" panose="020B0604030504040204" pitchFamily="50" charset="-128"/>
            </a:rPr>
            <a:t>Height</a:t>
          </a:r>
          <a:r>
            <a:rPr kumimoji="1" lang="ja-JP" altLang="en-US" sz="1200" b="1">
              <a:solidFill>
                <a:srgbClr val="FF0000"/>
              </a:solidFill>
              <a:latin typeface="メイリオ" panose="020B0604030504040204" pitchFamily="50" charset="-128"/>
              <a:ea typeface="メイリオ" panose="020B0604030504040204" pitchFamily="50" charset="-128"/>
            </a:rPr>
            <a:t>または</a:t>
          </a:r>
          <a:r>
            <a:rPr kumimoji="1" lang="en-US" altLang="ja-JP" sz="1200" b="1">
              <a:solidFill>
                <a:srgbClr val="FF0000"/>
              </a:solidFill>
              <a:latin typeface="メイリオ" panose="020B0604030504040204" pitchFamily="50" charset="-128"/>
              <a:ea typeface="メイリオ" panose="020B0604030504040204" pitchFamily="50" charset="-128"/>
            </a:rPr>
            <a:t>Weight </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0</xdr:colOff>
      <xdr:row>78</xdr:row>
      <xdr:rowOff>0</xdr:rowOff>
    </xdr:from>
    <xdr:ext cx="1723549" cy="992579"/>
    <xdr:sp macro="" textlink="">
      <xdr:nvSpPr>
        <xdr:cNvPr id="162" name="テキスト ボックス 161">
          <a:extLst>
            <a:ext uri="{FF2B5EF4-FFF2-40B4-BE49-F238E27FC236}">
              <a16:creationId xmlns:a16="http://schemas.microsoft.com/office/drawing/2014/main" id="{00000000-0008-0000-0500-000016000000}"/>
            </a:ext>
          </a:extLst>
        </xdr:cNvPr>
        <xdr:cNvSpPr txBox="1"/>
      </xdr:nvSpPr>
      <xdr:spPr>
        <a:xfrm>
          <a:off x="9124950" y="18573750"/>
          <a:ext cx="1723549" cy="9925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数値で表記される</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バイタルサインの値が</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空のものを除く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12</xdr:col>
      <xdr:colOff>0</xdr:colOff>
      <xdr:row>84</xdr:row>
      <xdr:rowOff>0</xdr:rowOff>
    </xdr:from>
    <xdr:ext cx="1480213" cy="392415"/>
    <xdr:sp macro="" textlink="">
      <xdr:nvSpPr>
        <xdr:cNvPr id="163" name="テキスト ボックス 162">
          <a:extLst>
            <a:ext uri="{FF2B5EF4-FFF2-40B4-BE49-F238E27FC236}">
              <a16:creationId xmlns:a16="http://schemas.microsoft.com/office/drawing/2014/main" id="{00000000-0008-0000-0500-000013000000}"/>
            </a:ext>
          </a:extLst>
        </xdr:cNvPr>
        <xdr:cNvSpPr txBox="1"/>
      </xdr:nvSpPr>
      <xdr:spPr>
        <a:xfrm>
          <a:off x="8105775" y="2000250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7</xdr:col>
      <xdr:colOff>0</xdr:colOff>
      <xdr:row>93</xdr:row>
      <xdr:rowOff>0</xdr:rowOff>
    </xdr:from>
    <xdr:ext cx="3520451" cy="392415"/>
    <xdr:sp macro="" textlink="">
      <xdr:nvSpPr>
        <xdr:cNvPr id="164" name="テキスト ボックス 163">
          <a:extLst>
            <a:ext uri="{FF2B5EF4-FFF2-40B4-BE49-F238E27FC236}">
              <a16:creationId xmlns:a16="http://schemas.microsoft.com/office/drawing/2014/main" id="{00000000-0008-0000-0500-000016000000}"/>
            </a:ext>
          </a:extLst>
        </xdr:cNvPr>
        <xdr:cNvSpPr txBox="1"/>
      </xdr:nvSpPr>
      <xdr:spPr>
        <a:xfrm>
          <a:off x="4495800" y="22145625"/>
          <a:ext cx="352045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身長の値が</a:t>
          </a:r>
          <a:r>
            <a:rPr kumimoji="1" lang="en-US" altLang="ja-JP" sz="1200" b="1">
              <a:solidFill>
                <a:srgbClr val="FF0000"/>
              </a:solidFill>
              <a:latin typeface="メイリオ" panose="020B0604030504040204" pitchFamily="50" charset="-128"/>
              <a:ea typeface="メイリオ" panose="020B0604030504040204" pitchFamily="50" charset="-128"/>
            </a:rPr>
            <a:t>0</a:t>
          </a:r>
          <a:r>
            <a:rPr kumimoji="1" lang="ja-JP" altLang="en-US" sz="1200" b="1">
              <a:solidFill>
                <a:srgbClr val="FF0000"/>
              </a:solidFill>
              <a:latin typeface="メイリオ" panose="020B0604030504040204" pitchFamily="50" charset="-128"/>
              <a:ea typeface="メイリオ" panose="020B0604030504040204" pitchFamily="50" charset="-128"/>
            </a:rPr>
            <a:t>のもの、体重の値が</a:t>
          </a:r>
          <a:r>
            <a:rPr kumimoji="1" lang="en-US" altLang="ja-JP" sz="1200" b="1">
              <a:solidFill>
                <a:srgbClr val="FF0000"/>
              </a:solidFill>
              <a:latin typeface="メイリオ" panose="020B0604030504040204" pitchFamily="50" charset="-128"/>
              <a:ea typeface="メイリオ" panose="020B0604030504040204" pitchFamily="50" charset="-128"/>
            </a:rPr>
            <a:t>0</a:t>
          </a:r>
          <a:r>
            <a:rPr kumimoji="1" lang="ja-JP" altLang="en-US" sz="1200" b="1">
              <a:solidFill>
                <a:srgbClr val="FF0000"/>
              </a:solidFill>
              <a:latin typeface="メイリオ" panose="020B0604030504040204" pitchFamily="50" charset="-128"/>
              <a:ea typeface="メイリオ" panose="020B0604030504040204" pitchFamily="50" charset="-128"/>
            </a:rPr>
            <a:t>のものを除く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184</xdr:row>
      <xdr:rowOff>0</xdr:rowOff>
    </xdr:from>
    <xdr:ext cx="2308068" cy="392415"/>
    <xdr:sp macro="" textlink="">
      <xdr:nvSpPr>
        <xdr:cNvPr id="165" name="テキスト ボックス 164">
          <a:extLst>
            <a:ext uri="{FF2B5EF4-FFF2-40B4-BE49-F238E27FC236}">
              <a16:creationId xmlns:a16="http://schemas.microsoft.com/office/drawing/2014/main" id="{00000000-0008-0000-0500-000022000000}"/>
            </a:ext>
          </a:extLst>
        </xdr:cNvPr>
        <xdr:cNvSpPr txBox="1"/>
      </xdr:nvSpPr>
      <xdr:spPr>
        <a:xfrm>
          <a:off x="4219575" y="43815000"/>
          <a:ext cx="230806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自由記載が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193</xdr:row>
      <xdr:rowOff>0</xdr:rowOff>
    </xdr:from>
    <xdr:ext cx="2615844" cy="392415"/>
    <xdr:sp macro="" textlink="">
      <xdr:nvSpPr>
        <xdr:cNvPr id="166" name="テキスト ボックス 165">
          <a:extLst>
            <a:ext uri="{FF2B5EF4-FFF2-40B4-BE49-F238E27FC236}">
              <a16:creationId xmlns:a16="http://schemas.microsoft.com/office/drawing/2014/main" id="{00000000-0008-0000-0500-000029000000}"/>
            </a:ext>
          </a:extLst>
        </xdr:cNvPr>
        <xdr:cNvSpPr txBox="1"/>
      </xdr:nvSpPr>
      <xdr:spPr>
        <a:xfrm>
          <a:off x="4219575" y="45958125"/>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アセスメントが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202</xdr:row>
      <xdr:rowOff>0</xdr:rowOff>
    </xdr:from>
    <xdr:ext cx="2615844" cy="392415"/>
    <xdr:sp macro="" textlink="">
      <xdr:nvSpPr>
        <xdr:cNvPr id="167" name="テキスト ボックス 166">
          <a:extLst>
            <a:ext uri="{FF2B5EF4-FFF2-40B4-BE49-F238E27FC236}">
              <a16:creationId xmlns:a16="http://schemas.microsoft.com/office/drawing/2014/main" id="{00000000-0008-0000-0500-00002D000000}"/>
            </a:ext>
          </a:extLst>
        </xdr:cNvPr>
        <xdr:cNvSpPr txBox="1"/>
      </xdr:nvSpPr>
      <xdr:spPr>
        <a:xfrm>
          <a:off x="4219575" y="48101250"/>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外部参照内容が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211</xdr:row>
      <xdr:rowOff>0</xdr:rowOff>
    </xdr:from>
    <xdr:ext cx="3385286" cy="392415"/>
    <xdr:sp macro="" textlink="">
      <xdr:nvSpPr>
        <xdr:cNvPr id="168" name="テキスト ボックス 167">
          <a:extLst>
            <a:ext uri="{FF2B5EF4-FFF2-40B4-BE49-F238E27FC236}">
              <a16:creationId xmlns:a16="http://schemas.microsoft.com/office/drawing/2014/main" id="{00000000-0008-0000-0500-000031000000}"/>
            </a:ext>
          </a:extLst>
        </xdr:cNvPr>
        <xdr:cNvSpPr txBox="1"/>
      </xdr:nvSpPr>
      <xdr:spPr>
        <a:xfrm>
          <a:off x="4219575" y="50244375"/>
          <a:ext cx="338528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プロブレム名（疾病名）が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220</xdr:row>
      <xdr:rowOff>0</xdr:rowOff>
    </xdr:from>
    <xdr:ext cx="2615844" cy="392415"/>
    <xdr:sp macro="" textlink="">
      <xdr:nvSpPr>
        <xdr:cNvPr id="169" name="テキスト ボックス 168">
          <a:extLst>
            <a:ext uri="{FF2B5EF4-FFF2-40B4-BE49-F238E27FC236}">
              <a16:creationId xmlns:a16="http://schemas.microsoft.com/office/drawing/2014/main" id="{00000000-0008-0000-0500-000035000000}"/>
            </a:ext>
          </a:extLst>
        </xdr:cNvPr>
        <xdr:cNvSpPr txBox="1"/>
      </xdr:nvSpPr>
      <xdr:spPr>
        <a:xfrm>
          <a:off x="4219575" y="52387500"/>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自由文章表現が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229</xdr:row>
      <xdr:rowOff>0</xdr:rowOff>
    </xdr:from>
    <xdr:ext cx="2769733" cy="392415"/>
    <xdr:sp macro="" textlink="">
      <xdr:nvSpPr>
        <xdr:cNvPr id="170" name="テキスト ボックス 169">
          <a:extLst>
            <a:ext uri="{FF2B5EF4-FFF2-40B4-BE49-F238E27FC236}">
              <a16:creationId xmlns:a16="http://schemas.microsoft.com/office/drawing/2014/main" id="{00000000-0008-0000-0500-000039000000}"/>
            </a:ext>
          </a:extLst>
        </xdr:cNvPr>
        <xdr:cNvSpPr txBox="1"/>
      </xdr:nvSpPr>
      <xdr:spPr>
        <a:xfrm>
          <a:off x="4219575" y="54530625"/>
          <a:ext cx="276973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客観的自由記載が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238</xdr:row>
      <xdr:rowOff>0</xdr:rowOff>
    </xdr:from>
    <xdr:ext cx="2615844" cy="392415"/>
    <xdr:sp macro="" textlink="">
      <xdr:nvSpPr>
        <xdr:cNvPr id="171" name="テキスト ボックス 170">
          <a:extLst>
            <a:ext uri="{FF2B5EF4-FFF2-40B4-BE49-F238E27FC236}">
              <a16:creationId xmlns:a16="http://schemas.microsoft.com/office/drawing/2014/main" id="{00000000-0008-0000-0500-00003D000000}"/>
            </a:ext>
          </a:extLst>
        </xdr:cNvPr>
        <xdr:cNvSpPr txBox="1"/>
      </xdr:nvSpPr>
      <xdr:spPr>
        <a:xfrm>
          <a:off x="4219575" y="56673750"/>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方針自由記載が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247</xdr:row>
      <xdr:rowOff>0</xdr:rowOff>
    </xdr:from>
    <xdr:ext cx="2923621" cy="392415"/>
    <xdr:sp macro="" textlink="">
      <xdr:nvSpPr>
        <xdr:cNvPr id="172" name="テキスト ボックス 171">
          <a:extLst>
            <a:ext uri="{FF2B5EF4-FFF2-40B4-BE49-F238E27FC236}">
              <a16:creationId xmlns:a16="http://schemas.microsoft.com/office/drawing/2014/main" id="{00000000-0008-0000-0500-000041000000}"/>
            </a:ext>
          </a:extLst>
        </xdr:cNvPr>
        <xdr:cNvSpPr txBox="1"/>
      </xdr:nvSpPr>
      <xdr:spPr>
        <a:xfrm>
          <a:off x="4219575" y="58816875"/>
          <a:ext cx="29236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治療処置オーダーが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256</xdr:row>
      <xdr:rowOff>0</xdr:rowOff>
    </xdr:from>
    <xdr:ext cx="2000291" cy="392415"/>
    <xdr:sp macro="" textlink="">
      <xdr:nvSpPr>
        <xdr:cNvPr id="173" name="テキスト ボックス 172">
          <a:extLst>
            <a:ext uri="{FF2B5EF4-FFF2-40B4-BE49-F238E27FC236}">
              <a16:creationId xmlns:a16="http://schemas.microsoft.com/office/drawing/2014/main" id="{00000000-0008-0000-0500-000045000000}"/>
            </a:ext>
          </a:extLst>
        </xdr:cNvPr>
        <xdr:cNvSpPr txBox="1"/>
      </xdr:nvSpPr>
      <xdr:spPr>
        <a:xfrm>
          <a:off x="4219575" y="60960000"/>
          <a:ext cx="200029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主訴が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265</xdr:row>
      <xdr:rowOff>0</xdr:rowOff>
    </xdr:from>
    <xdr:ext cx="2923621" cy="392415"/>
    <xdr:sp macro="" textlink="">
      <xdr:nvSpPr>
        <xdr:cNvPr id="174" name="テキスト ボックス 173">
          <a:extLst>
            <a:ext uri="{FF2B5EF4-FFF2-40B4-BE49-F238E27FC236}">
              <a16:creationId xmlns:a16="http://schemas.microsoft.com/office/drawing/2014/main" id="{00000000-0008-0000-0500-000048000000}"/>
            </a:ext>
          </a:extLst>
        </xdr:cNvPr>
        <xdr:cNvSpPr txBox="1"/>
      </xdr:nvSpPr>
      <xdr:spPr>
        <a:xfrm>
          <a:off x="4219575" y="63103125"/>
          <a:ext cx="29236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患者プロフィールが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274</xdr:row>
      <xdr:rowOff>0</xdr:rowOff>
    </xdr:from>
    <xdr:ext cx="2769733" cy="392415"/>
    <xdr:sp macro="" textlink="">
      <xdr:nvSpPr>
        <xdr:cNvPr id="175" name="テキスト ボックス 174">
          <a:extLst>
            <a:ext uri="{FF2B5EF4-FFF2-40B4-BE49-F238E27FC236}">
              <a16:creationId xmlns:a16="http://schemas.microsoft.com/office/drawing/2014/main" id="{00000000-0008-0000-0500-000049000000}"/>
            </a:ext>
          </a:extLst>
        </xdr:cNvPr>
        <xdr:cNvSpPr txBox="1"/>
      </xdr:nvSpPr>
      <xdr:spPr>
        <a:xfrm>
          <a:off x="4219575" y="65246250"/>
          <a:ext cx="276973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入院までの経過が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283</xdr:row>
      <xdr:rowOff>0</xdr:rowOff>
    </xdr:from>
    <xdr:ext cx="2461956" cy="392415"/>
    <xdr:sp macro="" textlink="">
      <xdr:nvSpPr>
        <xdr:cNvPr id="176" name="テキスト ボックス 175">
          <a:extLst>
            <a:ext uri="{FF2B5EF4-FFF2-40B4-BE49-F238E27FC236}">
              <a16:creationId xmlns:a16="http://schemas.microsoft.com/office/drawing/2014/main" id="{00000000-0008-0000-0500-00004A000000}"/>
            </a:ext>
          </a:extLst>
        </xdr:cNvPr>
        <xdr:cNvSpPr txBox="1"/>
      </xdr:nvSpPr>
      <xdr:spPr>
        <a:xfrm>
          <a:off x="4219575" y="67389375"/>
          <a:ext cx="246195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退院時所見が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292</xdr:row>
      <xdr:rowOff>0</xdr:rowOff>
    </xdr:from>
    <xdr:ext cx="2308068" cy="392415"/>
    <xdr:sp macro="" textlink="">
      <xdr:nvSpPr>
        <xdr:cNvPr id="177" name="テキスト ボックス 176">
          <a:extLst>
            <a:ext uri="{FF2B5EF4-FFF2-40B4-BE49-F238E27FC236}">
              <a16:creationId xmlns:a16="http://schemas.microsoft.com/office/drawing/2014/main" id="{00000000-0008-0000-0500-00004B000000}"/>
            </a:ext>
          </a:extLst>
        </xdr:cNvPr>
        <xdr:cNvSpPr txBox="1"/>
      </xdr:nvSpPr>
      <xdr:spPr>
        <a:xfrm>
          <a:off x="4219575" y="69532500"/>
          <a:ext cx="230806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経過記録が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11</xdr:col>
      <xdr:colOff>0</xdr:colOff>
      <xdr:row>294</xdr:row>
      <xdr:rowOff>0</xdr:rowOff>
    </xdr:from>
    <xdr:ext cx="1183273" cy="392415"/>
    <xdr:sp macro="" textlink="">
      <xdr:nvSpPr>
        <xdr:cNvPr id="178" name="テキスト ボックス 177">
          <a:extLst>
            <a:ext uri="{FF2B5EF4-FFF2-40B4-BE49-F238E27FC236}">
              <a16:creationId xmlns:a16="http://schemas.microsoft.com/office/drawing/2014/main" id="{00000000-0008-0000-0500-00004F000000}"/>
            </a:ext>
          </a:extLst>
        </xdr:cNvPr>
        <xdr:cNvSpPr txBox="1"/>
      </xdr:nvSpPr>
      <xdr:spPr>
        <a:xfrm>
          <a:off x="7829550" y="70008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305</xdr:row>
      <xdr:rowOff>0</xdr:rowOff>
    </xdr:from>
    <xdr:ext cx="1183273" cy="392415"/>
    <xdr:sp macro="" textlink="">
      <xdr:nvSpPr>
        <xdr:cNvPr id="179" name="テキスト ボックス 178">
          <a:extLst>
            <a:ext uri="{FF2B5EF4-FFF2-40B4-BE49-F238E27FC236}">
              <a16:creationId xmlns:a16="http://schemas.microsoft.com/office/drawing/2014/main" id="{00000000-0008-0000-0500-000050000000}"/>
            </a:ext>
          </a:extLst>
        </xdr:cNvPr>
        <xdr:cNvSpPr txBox="1"/>
      </xdr:nvSpPr>
      <xdr:spPr>
        <a:xfrm>
          <a:off x="11439525" y="72628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306</xdr:row>
      <xdr:rowOff>0</xdr:rowOff>
    </xdr:from>
    <xdr:ext cx="1480213" cy="392415"/>
    <xdr:sp macro="" textlink="">
      <xdr:nvSpPr>
        <xdr:cNvPr id="180" name="テキスト ボックス 179">
          <a:extLst>
            <a:ext uri="{FF2B5EF4-FFF2-40B4-BE49-F238E27FC236}">
              <a16:creationId xmlns:a16="http://schemas.microsoft.com/office/drawing/2014/main" id="{00000000-0008-0000-0500-000051000000}"/>
            </a:ext>
          </a:extLst>
        </xdr:cNvPr>
        <xdr:cNvSpPr txBox="1"/>
      </xdr:nvSpPr>
      <xdr:spPr>
        <a:xfrm>
          <a:off x="9124950" y="7286625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13</xdr:col>
      <xdr:colOff>0</xdr:colOff>
      <xdr:row>316</xdr:row>
      <xdr:rowOff>0</xdr:rowOff>
    </xdr:from>
    <xdr:ext cx="784830" cy="392415"/>
    <xdr:sp macro="" textlink="">
      <xdr:nvSpPr>
        <xdr:cNvPr id="181" name="テキスト ボックス 180">
          <a:extLst>
            <a:ext uri="{FF2B5EF4-FFF2-40B4-BE49-F238E27FC236}">
              <a16:creationId xmlns:a16="http://schemas.microsoft.com/office/drawing/2014/main" id="{00000000-0008-0000-0500-000006000000}"/>
            </a:ext>
          </a:extLst>
        </xdr:cNvPr>
        <xdr:cNvSpPr txBox="1"/>
      </xdr:nvSpPr>
      <xdr:spPr>
        <a:xfrm>
          <a:off x="9124950" y="75247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9</xdr:col>
      <xdr:colOff>1009650</xdr:colOff>
      <xdr:row>315</xdr:row>
      <xdr:rowOff>104775</xdr:rowOff>
    </xdr:from>
    <xdr:ext cx="1723549" cy="392415"/>
    <xdr:sp macro="" textlink="">
      <xdr:nvSpPr>
        <xdr:cNvPr id="182" name="テキスト ボックス 181">
          <a:extLst>
            <a:ext uri="{FF2B5EF4-FFF2-40B4-BE49-F238E27FC236}">
              <a16:creationId xmlns:a16="http://schemas.microsoft.com/office/drawing/2014/main" id="{00000000-0008-0000-0500-00007F000000}"/>
            </a:ext>
          </a:extLst>
        </xdr:cNvPr>
        <xdr:cNvSpPr txBox="1"/>
      </xdr:nvSpPr>
      <xdr:spPr>
        <a:xfrm>
          <a:off x="7543800" y="75114150"/>
          <a:ext cx="172354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表示名が「ロケルマ」</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69</xdr:row>
      <xdr:rowOff>0</xdr:rowOff>
    </xdr:from>
    <xdr:ext cx="3570208" cy="392415"/>
    <xdr:sp macro="" textlink="">
      <xdr:nvSpPr>
        <xdr:cNvPr id="68" name="テキスト ボックス 67">
          <a:extLst>
            <a:ext uri="{FF2B5EF4-FFF2-40B4-BE49-F238E27FC236}">
              <a16:creationId xmlns:a16="http://schemas.microsoft.com/office/drawing/2014/main" id="{00000000-0008-0000-0500-000016000000}"/>
            </a:ext>
          </a:extLst>
        </xdr:cNvPr>
        <xdr:cNvSpPr txBox="1"/>
      </xdr:nvSpPr>
      <xdr:spPr>
        <a:xfrm>
          <a:off x="4495800" y="16430625"/>
          <a:ext cx="357020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身長の値が空のもの、体重の値が空のものを除く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0</xdr:colOff>
      <xdr:row>16</xdr:row>
      <xdr:rowOff>0</xdr:rowOff>
    </xdr:from>
    <xdr:ext cx="1261884" cy="392415"/>
    <xdr:sp macro="" textlink="">
      <xdr:nvSpPr>
        <xdr:cNvPr id="67" name="テキスト ボックス 66">
          <a:extLst>
            <a:ext uri="{FF2B5EF4-FFF2-40B4-BE49-F238E27FC236}">
              <a16:creationId xmlns:a16="http://schemas.microsoft.com/office/drawing/2014/main" id="{00000000-0008-0000-0400-000008000000}"/>
            </a:ext>
          </a:extLst>
        </xdr:cNvPr>
        <xdr:cNvSpPr txBox="1"/>
      </xdr:nvSpPr>
      <xdr:spPr>
        <a:xfrm>
          <a:off x="8206740" y="3779520"/>
          <a:ext cx="126188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患者ごとに集約</a:t>
          </a:r>
        </a:p>
      </xdr:txBody>
    </xdr:sp>
    <xdr:clientData/>
  </xdr:oneCellAnchor>
  <xdr:oneCellAnchor>
    <xdr:from>
      <xdr:col>10</xdr:col>
      <xdr:colOff>0</xdr:colOff>
      <xdr:row>7</xdr:row>
      <xdr:rowOff>0</xdr:rowOff>
    </xdr:from>
    <xdr:ext cx="1480213" cy="392415"/>
    <xdr:sp macro="" textlink="">
      <xdr:nvSpPr>
        <xdr:cNvPr id="69" name="テキスト ボックス 68">
          <a:extLst>
            <a:ext uri="{FF2B5EF4-FFF2-40B4-BE49-F238E27FC236}">
              <a16:creationId xmlns:a16="http://schemas.microsoft.com/office/drawing/2014/main" id="{00000000-0008-0000-0500-000016000000}"/>
            </a:ext>
          </a:extLst>
        </xdr:cNvPr>
        <xdr:cNvSpPr txBox="1"/>
      </xdr:nvSpPr>
      <xdr:spPr>
        <a:xfrm>
          <a:off x="6789420" y="165354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0</xdr:colOff>
      <xdr:row>23</xdr:row>
      <xdr:rowOff>0</xdr:rowOff>
    </xdr:from>
    <xdr:ext cx="1183273" cy="392415"/>
    <xdr:sp macro="" textlink="">
      <xdr:nvSpPr>
        <xdr:cNvPr id="61" name="テキスト ボックス 60">
          <a:extLst>
            <a:ext uri="{FF2B5EF4-FFF2-40B4-BE49-F238E27FC236}">
              <a16:creationId xmlns:a16="http://schemas.microsoft.com/office/drawing/2014/main" id="{00000000-0008-0000-0500-000075000000}"/>
            </a:ext>
          </a:extLst>
        </xdr:cNvPr>
        <xdr:cNvSpPr txBox="1"/>
      </xdr:nvSpPr>
      <xdr:spPr>
        <a:xfrm>
          <a:off x="4219575" y="2143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5</xdr:col>
      <xdr:colOff>180975</xdr:colOff>
      <xdr:row>58</xdr:row>
      <xdr:rowOff>171450</xdr:rowOff>
    </xdr:from>
    <xdr:ext cx="6195799" cy="392415"/>
    <xdr:sp macro="" textlink="">
      <xdr:nvSpPr>
        <xdr:cNvPr id="67" name="テキスト ボックス 66">
          <a:extLst>
            <a:ext uri="{FF2B5EF4-FFF2-40B4-BE49-F238E27FC236}">
              <a16:creationId xmlns:a16="http://schemas.microsoft.com/office/drawing/2014/main" id="{00000000-0008-0000-0500-000075000000}"/>
            </a:ext>
          </a:extLst>
        </xdr:cNvPr>
        <xdr:cNvSpPr txBox="1"/>
      </xdr:nvSpPr>
      <xdr:spPr>
        <a:xfrm>
          <a:off x="4124325" y="10648950"/>
          <a:ext cx="619579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採取日時が</a:t>
          </a:r>
          <a:r>
            <a:rPr kumimoji="1" lang="en-US" altLang="ja-JP" sz="1200" b="1">
              <a:solidFill>
                <a:srgbClr val="FF0000"/>
              </a:solidFill>
              <a:latin typeface="メイリオ" panose="020B0604030504040204" pitchFamily="50" charset="-128"/>
              <a:ea typeface="メイリオ" panose="020B0604030504040204" pitchFamily="50" charset="-128"/>
            </a:rPr>
            <a:t>((index_date+1) - look_back_term)</a:t>
          </a:r>
          <a:r>
            <a:rPr kumimoji="1" lang="ja-JP" altLang="en-US" sz="1200" b="1">
              <a:solidFill>
                <a:srgbClr val="FF0000"/>
              </a:solidFill>
              <a:latin typeface="メイリオ" panose="020B0604030504040204" pitchFamily="50" charset="-128"/>
              <a:ea typeface="メイリオ" panose="020B0604030504040204" pitchFamily="50" charset="-128"/>
            </a:rPr>
            <a:t>から</a:t>
          </a:r>
          <a:r>
            <a:rPr kumimoji="1" lang="en-US" altLang="ja-JP" sz="1200" b="1">
              <a:solidFill>
                <a:srgbClr val="FF0000"/>
              </a:solidFill>
              <a:latin typeface="メイリオ" panose="020B0604030504040204" pitchFamily="50" charset="-128"/>
              <a:ea typeface="メイリオ" panose="020B0604030504040204" pitchFamily="50" charset="-128"/>
            </a:rPr>
            <a:t>index_date</a:t>
          </a:r>
          <a:r>
            <a:rPr kumimoji="1" lang="ja-JP" altLang="en-US" sz="1200" b="1">
              <a:solidFill>
                <a:srgbClr val="FF0000"/>
              </a:solidFill>
              <a:latin typeface="メイリオ" panose="020B0604030504040204" pitchFamily="50" charset="-128"/>
              <a:ea typeface="メイリオ" panose="020B0604030504040204" pitchFamily="50" charset="-128"/>
            </a:rPr>
            <a:t>の期間内のもの</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5</xdr:col>
      <xdr:colOff>180975</xdr:colOff>
      <xdr:row>69</xdr:row>
      <xdr:rowOff>171450</xdr:rowOff>
    </xdr:from>
    <xdr:ext cx="2119298" cy="392415"/>
    <xdr:sp macro="" textlink="">
      <xdr:nvSpPr>
        <xdr:cNvPr id="9" name="テキスト ボックス 8">
          <a:extLst>
            <a:ext uri="{FF2B5EF4-FFF2-40B4-BE49-F238E27FC236}">
              <a16:creationId xmlns:a16="http://schemas.microsoft.com/office/drawing/2014/main" id="{00000000-0008-0000-0500-000075000000}"/>
            </a:ext>
          </a:extLst>
        </xdr:cNvPr>
        <xdr:cNvSpPr txBox="1"/>
      </xdr:nvSpPr>
      <xdr:spPr>
        <a:xfrm>
          <a:off x="4124325" y="12553950"/>
          <a:ext cx="211929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disp_time </a:t>
          </a:r>
          <a:r>
            <a:rPr kumimoji="1" lang="ja-JP" altLang="en-US" sz="1200" b="1">
              <a:solidFill>
                <a:srgbClr val="FF0000"/>
              </a:solidFill>
              <a:latin typeface="メイリオ" panose="020B0604030504040204" pitchFamily="50" charset="-128"/>
              <a:ea typeface="メイリオ" panose="020B0604030504040204" pitchFamily="50" charset="-128"/>
            </a:rPr>
            <a:t>が「カリウム」</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87</xdr:row>
      <xdr:rowOff>0</xdr:rowOff>
    </xdr:from>
    <xdr:ext cx="1029769" cy="392415"/>
    <xdr:sp macro="" textlink="">
      <xdr:nvSpPr>
        <xdr:cNvPr id="13" name="テキスト ボックス 12">
          <a:extLst>
            <a:ext uri="{FF2B5EF4-FFF2-40B4-BE49-F238E27FC236}">
              <a16:creationId xmlns:a16="http://schemas.microsoft.com/office/drawing/2014/main" id="{00000000-0008-0000-0500-000075000000}"/>
            </a:ext>
          </a:extLst>
        </xdr:cNvPr>
        <xdr:cNvSpPr txBox="1"/>
      </xdr:nvSpPr>
      <xdr:spPr>
        <a:xfrm>
          <a:off x="4219575" y="15240000"/>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11</xdr:col>
      <xdr:colOff>0</xdr:colOff>
      <xdr:row>84</xdr:row>
      <xdr:rowOff>0</xdr:rowOff>
    </xdr:from>
    <xdr:ext cx="1029769" cy="392415"/>
    <xdr:sp macro="" textlink="">
      <xdr:nvSpPr>
        <xdr:cNvPr id="14" name="テキスト ボックス 13">
          <a:extLst>
            <a:ext uri="{FF2B5EF4-FFF2-40B4-BE49-F238E27FC236}">
              <a16:creationId xmlns:a16="http://schemas.microsoft.com/office/drawing/2014/main" id="{00000000-0008-0000-0500-000075000000}"/>
            </a:ext>
          </a:extLst>
        </xdr:cNvPr>
        <xdr:cNvSpPr txBox="1"/>
      </xdr:nvSpPr>
      <xdr:spPr>
        <a:xfrm>
          <a:off x="7829550" y="15240000"/>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13</xdr:col>
      <xdr:colOff>0</xdr:colOff>
      <xdr:row>83</xdr:row>
      <xdr:rowOff>0</xdr:rowOff>
    </xdr:from>
    <xdr:ext cx="5603714" cy="3693319"/>
    <xdr:sp macro="" textlink="">
      <xdr:nvSpPr>
        <xdr:cNvPr id="15" name="テキスト ボックス 14">
          <a:extLst>
            <a:ext uri="{FF2B5EF4-FFF2-40B4-BE49-F238E27FC236}">
              <a16:creationId xmlns:a16="http://schemas.microsoft.com/office/drawing/2014/main" id="{00000000-0008-0000-0500-000075000000}"/>
            </a:ext>
          </a:extLst>
        </xdr:cNvPr>
        <xdr:cNvSpPr txBox="1"/>
      </xdr:nvSpPr>
      <xdr:spPr>
        <a:xfrm>
          <a:off x="9124950" y="15716250"/>
          <a:ext cx="5603714" cy="3693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以下の</a:t>
          </a:r>
          <a:r>
            <a:rPr kumimoji="1" lang="en-US" altLang="ja-JP" sz="1200" b="1">
              <a:solidFill>
                <a:srgbClr val="FF0000"/>
              </a:solidFill>
              <a:latin typeface="メイリオ" panose="020B0604030504040204" pitchFamily="50" charset="-128"/>
              <a:ea typeface="メイリオ" panose="020B0604030504040204" pitchFamily="50" charset="-128"/>
            </a:rPr>
            <a:t>disp_name</a:t>
          </a:r>
          <a:r>
            <a:rPr kumimoji="1" lang="ja-JP" altLang="en-US" sz="1200" b="1">
              <a:solidFill>
                <a:srgbClr val="FF0000"/>
              </a:solidFill>
              <a:latin typeface="メイリオ" panose="020B0604030504040204" pitchFamily="50" charset="-128"/>
              <a:ea typeface="メイリオ" panose="020B0604030504040204" pitchFamily="50" charset="-128"/>
            </a:rPr>
            <a:t>で</a:t>
          </a:r>
          <a:r>
            <a:rPr kumimoji="1" lang="en-US" altLang="ja-JP" sz="1200" b="1">
              <a:solidFill>
                <a:srgbClr val="FF0000"/>
              </a:solidFill>
              <a:latin typeface="メイリオ" panose="020B0604030504040204" pitchFamily="50" charset="-128"/>
              <a:ea typeface="メイリオ" panose="020B0604030504040204" pitchFamily="50" charset="-128"/>
            </a:rPr>
            <a:t>med_time</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1</a:t>
          </a:r>
          <a:r>
            <a:rPr kumimoji="1" lang="ja-JP" altLang="en-US" sz="1200" b="1">
              <a:solidFill>
                <a:srgbClr val="FF0000"/>
              </a:solidFill>
              <a:latin typeface="メイリオ" panose="020B0604030504040204" pitchFamily="50" charset="-128"/>
              <a:ea typeface="メイリオ" panose="020B0604030504040204" pitchFamily="50" charset="-128"/>
            </a:rPr>
            <a:t>以上の場合</a:t>
          </a:r>
          <a:r>
            <a:rPr kumimoji="1" lang="en-US" altLang="ja-JP" sz="1200" b="1">
              <a:solidFill>
                <a:srgbClr val="FF0000"/>
              </a:solidFill>
              <a:latin typeface="メイリオ" panose="020B0604030504040204" pitchFamily="50" charset="-128"/>
              <a:ea typeface="メイリオ" panose="020B0604030504040204" pitchFamily="50" charset="-128"/>
            </a:rPr>
            <a:t>1</a:t>
          </a:r>
          <a:r>
            <a:rPr kumimoji="1" lang="ja-JP" altLang="en-US" sz="1200" b="1">
              <a:solidFill>
                <a:srgbClr val="FF0000"/>
              </a:solidFill>
              <a:latin typeface="メイリオ" panose="020B0604030504040204" pitchFamily="50" charset="-128"/>
              <a:ea typeface="メイリオ" panose="020B0604030504040204" pitchFamily="50" charset="-128"/>
            </a:rPr>
            <a:t>、そうでない場合は</a:t>
          </a:r>
          <a:r>
            <a:rPr kumimoji="1" lang="en-US" altLang="ja-JP" sz="1200" b="1">
              <a:solidFill>
                <a:srgbClr val="FF0000"/>
              </a:solidFill>
              <a:latin typeface="メイリオ" panose="020B0604030504040204" pitchFamily="50" charset="-128"/>
              <a:ea typeface="メイリオ" panose="020B0604030504040204" pitchFamily="50" charset="-128"/>
            </a:rPr>
            <a:t>0</a:t>
          </a:r>
          <a:r>
            <a:rPr kumimoji="1" lang="ja-JP" altLang="en-US" sz="1200" b="1">
              <a:solidFill>
                <a:srgbClr val="FF0000"/>
              </a:solidFill>
              <a:latin typeface="メイリオ" panose="020B0604030504040204" pitchFamily="50" charset="-128"/>
              <a:ea typeface="メイリオ" panose="020B0604030504040204" pitchFamily="50" charset="-128"/>
            </a:rPr>
            <a:t>を設定</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c01</a:t>
          </a:r>
          <a:r>
            <a:rPr kumimoji="1" lang="ja-JP" altLang="en-US" sz="1200" b="1">
              <a:solidFill>
                <a:srgbClr val="FF0000"/>
              </a:solidFill>
              <a:latin typeface="メイリオ" panose="020B0604030504040204" pitchFamily="50" charset="-128"/>
              <a:ea typeface="メイリオ" panose="020B0604030504040204" pitchFamily="50" charset="-128"/>
            </a:rPr>
            <a:t>：利尿薬</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c02</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l-GR" altLang="ja-JP" sz="1200" b="1">
              <a:solidFill>
                <a:srgbClr val="FF0000"/>
              </a:solidFill>
              <a:latin typeface="メイリオ" panose="020B0604030504040204" pitchFamily="50" charset="-128"/>
              <a:ea typeface="メイリオ" panose="020B0604030504040204" pitchFamily="50" charset="-128"/>
            </a:rPr>
            <a:t>β</a:t>
          </a:r>
          <a:r>
            <a:rPr kumimoji="1" lang="ja-JP" altLang="en-US" sz="1200" b="1">
              <a:solidFill>
                <a:srgbClr val="FF0000"/>
              </a:solidFill>
              <a:latin typeface="メイリオ" panose="020B0604030504040204" pitchFamily="50" charset="-128"/>
              <a:ea typeface="メイリオ" panose="020B0604030504040204" pitchFamily="50" charset="-128"/>
            </a:rPr>
            <a:t>ブロッカー</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c03</a:t>
          </a:r>
          <a:r>
            <a:rPr kumimoji="1" lang="ja-JP" altLang="en-US" sz="1200" b="1">
              <a:solidFill>
                <a:srgbClr val="FF0000"/>
              </a:solidFill>
              <a:latin typeface="メイリオ" panose="020B0604030504040204" pitchFamily="50" charset="-128"/>
              <a:ea typeface="メイリオ" panose="020B0604030504040204" pitchFamily="50" charset="-128"/>
            </a:rPr>
            <a:t>：スピロノラクトン</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c04</a:t>
          </a:r>
          <a:r>
            <a:rPr kumimoji="1" lang="ja-JP" altLang="en-US" sz="1200" b="1">
              <a:solidFill>
                <a:srgbClr val="FF0000"/>
              </a:solidFill>
              <a:latin typeface="メイリオ" panose="020B0604030504040204" pitchFamily="50" charset="-128"/>
              <a:ea typeface="メイリオ" panose="020B0604030504040204" pitchFamily="50" charset="-128"/>
            </a:rPr>
            <a:t>：エプレレノン</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c05</a:t>
          </a:r>
          <a:r>
            <a:rPr kumimoji="1" lang="ja-JP" altLang="en-US" sz="1200" b="1">
              <a:solidFill>
                <a:srgbClr val="FF0000"/>
              </a:solidFill>
              <a:latin typeface="メイリオ" panose="020B0604030504040204" pitchFamily="50" charset="-128"/>
              <a:ea typeface="メイリオ" panose="020B0604030504040204" pitchFamily="50" charset="-128"/>
            </a:rPr>
            <a:t>：エサキセレノン</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c06</a:t>
          </a:r>
          <a:r>
            <a:rPr kumimoji="1" lang="ja-JP" altLang="en-US" sz="1200" b="1">
              <a:solidFill>
                <a:srgbClr val="FF0000"/>
              </a:solidFill>
              <a:latin typeface="メイリオ" panose="020B0604030504040204" pitchFamily="50" charset="-128"/>
              <a:ea typeface="メイリオ" panose="020B0604030504040204" pitchFamily="50" charset="-128"/>
            </a:rPr>
            <a:t>：フィネレノン</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c07</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ACE</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c08</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ARB</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c09</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ARNI</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c10</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SGLT-2</a:t>
          </a:r>
          <a:r>
            <a:rPr kumimoji="1" lang="ja-JP" altLang="en-US" sz="1200" b="1">
              <a:solidFill>
                <a:srgbClr val="FF0000"/>
              </a:solidFill>
              <a:latin typeface="メイリオ" panose="020B0604030504040204" pitchFamily="50" charset="-128"/>
              <a:ea typeface="メイリオ" panose="020B0604030504040204" pitchFamily="50" charset="-128"/>
            </a:rPr>
            <a:t>阻害薬（フォシーガ）</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c11</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SGLT-2</a:t>
          </a:r>
          <a:r>
            <a:rPr kumimoji="1" lang="ja-JP" altLang="en-US" sz="1200" b="1">
              <a:solidFill>
                <a:srgbClr val="FF0000"/>
              </a:solidFill>
              <a:latin typeface="メイリオ" panose="020B0604030504040204" pitchFamily="50" charset="-128"/>
              <a:ea typeface="メイリオ" panose="020B0604030504040204" pitchFamily="50" charset="-128"/>
            </a:rPr>
            <a:t>阻害薬（フォシーガ以外）</a:t>
          </a:r>
        </a:p>
      </xdr:txBody>
    </xdr:sp>
    <xdr:clientData/>
  </xdr:oneCellAnchor>
  <xdr:oneCellAnchor>
    <xdr:from>
      <xdr:col>13</xdr:col>
      <xdr:colOff>235324</xdr:colOff>
      <xdr:row>109</xdr:row>
      <xdr:rowOff>44825</xdr:rowOff>
    </xdr:from>
    <xdr:ext cx="1969385" cy="392415"/>
    <xdr:sp macro="" textlink="">
      <xdr:nvSpPr>
        <xdr:cNvPr id="16" name="テキスト ボックス 15">
          <a:extLst>
            <a:ext uri="{FF2B5EF4-FFF2-40B4-BE49-F238E27FC236}">
              <a16:creationId xmlns:a16="http://schemas.microsoft.com/office/drawing/2014/main" id="{00000000-0008-0000-0500-000075000000}"/>
            </a:ext>
          </a:extLst>
        </xdr:cNvPr>
        <xdr:cNvSpPr txBox="1"/>
      </xdr:nvSpPr>
      <xdr:spPr>
        <a:xfrm>
          <a:off x="8438030" y="25450801"/>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5</xdr:col>
      <xdr:colOff>238125</xdr:colOff>
      <xdr:row>107</xdr:row>
      <xdr:rowOff>95250</xdr:rowOff>
    </xdr:from>
    <xdr:ext cx="2379241" cy="692497"/>
    <xdr:sp macro="" textlink="">
      <xdr:nvSpPr>
        <xdr:cNvPr id="20" name="テキスト ボックス 19">
          <a:extLst>
            <a:ext uri="{FF2B5EF4-FFF2-40B4-BE49-F238E27FC236}">
              <a16:creationId xmlns:a16="http://schemas.microsoft.com/office/drawing/2014/main" id="{00000000-0008-0000-0500-000075000000}"/>
            </a:ext>
          </a:extLst>
        </xdr:cNvPr>
        <xdr:cNvSpPr txBox="1"/>
      </xdr:nvSpPr>
      <xdr:spPr>
        <a:xfrm>
          <a:off x="4181475" y="20812125"/>
          <a:ext cx="2379241"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disp_time</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eGFR</a:t>
          </a:r>
          <a:r>
            <a:rPr kumimoji="1" lang="ja-JP" altLang="en-US" sz="1200" b="1">
              <a:solidFill>
                <a:srgbClr val="FF0000"/>
              </a:solidFill>
              <a:latin typeface="メイリオ" panose="020B0604030504040204" pitchFamily="50" charset="-128"/>
              <a:ea typeface="メイリオ" panose="020B0604030504040204" pitchFamily="50" charset="-128"/>
            </a:rPr>
            <a:t>」</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かつ</a:t>
          </a:r>
          <a:r>
            <a:rPr kumimoji="1" lang="en-US" altLang="ja-JP" sz="1200" b="1">
              <a:solidFill>
                <a:srgbClr val="FF0000"/>
              </a:solidFill>
              <a:latin typeface="メイリオ" panose="020B0604030504040204" pitchFamily="50" charset="-128"/>
              <a:ea typeface="メイリオ" panose="020B0604030504040204" pitchFamily="50" charset="-128"/>
            </a:rPr>
            <a:t>num_value</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60</a:t>
          </a:r>
          <a:r>
            <a:rPr kumimoji="1" lang="ja-JP" altLang="en-US" sz="1200" b="1">
              <a:solidFill>
                <a:srgbClr val="FF0000"/>
              </a:solidFill>
              <a:latin typeface="メイリオ" panose="020B0604030504040204" pitchFamily="50" charset="-128"/>
              <a:ea typeface="メイリオ" panose="020B0604030504040204" pitchFamily="50" charset="-128"/>
            </a:rPr>
            <a:t>」未満</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108</xdr:row>
      <xdr:rowOff>0</xdr:rowOff>
    </xdr:from>
    <xdr:ext cx="1029769" cy="392415"/>
    <xdr:sp macro="" textlink="">
      <xdr:nvSpPr>
        <xdr:cNvPr id="22" name="テキスト ボックス 21">
          <a:extLst>
            <a:ext uri="{FF2B5EF4-FFF2-40B4-BE49-F238E27FC236}">
              <a16:creationId xmlns:a16="http://schemas.microsoft.com/office/drawing/2014/main" id="{00000000-0008-0000-0500-000075000000}"/>
            </a:ext>
          </a:extLst>
        </xdr:cNvPr>
        <xdr:cNvSpPr txBox="1"/>
      </xdr:nvSpPr>
      <xdr:spPr>
        <a:xfrm>
          <a:off x="11439525" y="20955000"/>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12</xdr:col>
      <xdr:colOff>361950</xdr:colOff>
      <xdr:row>69</xdr:row>
      <xdr:rowOff>123825</xdr:rowOff>
    </xdr:from>
    <xdr:ext cx="3177473" cy="392415"/>
    <xdr:sp macro="" textlink="">
      <xdr:nvSpPr>
        <xdr:cNvPr id="23" name="テキスト ボックス 22">
          <a:extLst>
            <a:ext uri="{FF2B5EF4-FFF2-40B4-BE49-F238E27FC236}">
              <a16:creationId xmlns:a16="http://schemas.microsoft.com/office/drawing/2014/main" id="{00000000-0008-0000-0500-000075000000}"/>
            </a:ext>
          </a:extLst>
        </xdr:cNvPr>
        <xdr:cNvSpPr txBox="1"/>
      </xdr:nvSpPr>
      <xdr:spPr>
        <a:xfrm>
          <a:off x="8467725" y="12506325"/>
          <a:ext cx="31774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sample_time</a:t>
          </a:r>
          <a:r>
            <a:rPr kumimoji="1" lang="ja-JP" altLang="en-US" sz="1200" b="1">
              <a:solidFill>
                <a:srgbClr val="FF0000"/>
              </a:solidFill>
              <a:latin typeface="メイリオ" panose="020B0604030504040204" pitchFamily="50" charset="-128"/>
              <a:ea typeface="メイリオ" panose="020B0604030504040204" pitchFamily="50" charset="-128"/>
            </a:rPr>
            <a:t>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4</xdr:col>
      <xdr:colOff>990600</xdr:colOff>
      <xdr:row>83</xdr:row>
      <xdr:rowOff>152400</xdr:rowOff>
    </xdr:from>
    <xdr:ext cx="2929585" cy="392415"/>
    <xdr:sp macro="" textlink="">
      <xdr:nvSpPr>
        <xdr:cNvPr id="24" name="テキスト ボックス 23">
          <a:extLst>
            <a:ext uri="{FF2B5EF4-FFF2-40B4-BE49-F238E27FC236}">
              <a16:creationId xmlns:a16="http://schemas.microsoft.com/office/drawing/2014/main" id="{00000000-0008-0000-0500-000075000000}"/>
            </a:ext>
          </a:extLst>
        </xdr:cNvPr>
        <xdr:cNvSpPr txBox="1"/>
      </xdr:nvSpPr>
      <xdr:spPr>
        <a:xfrm>
          <a:off x="3914775" y="15154275"/>
          <a:ext cx="29295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disp_time</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9</xdr:col>
      <xdr:colOff>0</xdr:colOff>
      <xdr:row>85</xdr:row>
      <xdr:rowOff>0</xdr:rowOff>
    </xdr:from>
    <xdr:ext cx="1969385" cy="392415"/>
    <xdr:sp macro="" textlink="">
      <xdr:nvSpPr>
        <xdr:cNvPr id="25" name="テキスト ボックス 24">
          <a:extLst>
            <a:ext uri="{FF2B5EF4-FFF2-40B4-BE49-F238E27FC236}">
              <a16:creationId xmlns:a16="http://schemas.microsoft.com/office/drawing/2014/main" id="{00000000-0008-0000-0500-000075000000}"/>
            </a:ext>
          </a:extLst>
        </xdr:cNvPr>
        <xdr:cNvSpPr txBox="1"/>
      </xdr:nvSpPr>
      <xdr:spPr>
        <a:xfrm>
          <a:off x="6534150" y="16906875"/>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10</xdr:col>
      <xdr:colOff>0</xdr:colOff>
      <xdr:row>60</xdr:row>
      <xdr:rowOff>19050</xdr:rowOff>
    </xdr:from>
    <xdr:ext cx="4226798" cy="392415"/>
    <xdr:sp macro="" textlink="">
      <xdr:nvSpPr>
        <xdr:cNvPr id="26" name="テキスト ボックス 25">
          <a:extLst>
            <a:ext uri="{FF2B5EF4-FFF2-40B4-BE49-F238E27FC236}">
              <a16:creationId xmlns:a16="http://schemas.microsoft.com/office/drawing/2014/main" id="{00000000-0008-0000-0500-000075000000}"/>
            </a:ext>
          </a:extLst>
        </xdr:cNvPr>
        <xdr:cNvSpPr txBox="1"/>
      </xdr:nvSpPr>
      <xdr:spPr>
        <a:xfrm>
          <a:off x="7553325" y="10972800"/>
          <a:ext cx="422679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disp_name</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sample_time</a:t>
          </a:r>
          <a:r>
            <a:rPr kumimoji="1" lang="ja-JP" altLang="en-US" sz="1200" b="1">
              <a:solidFill>
                <a:srgbClr val="FF0000"/>
              </a:solidFill>
              <a:latin typeface="メイリオ" panose="020B0604030504040204" pitchFamily="50" charset="-128"/>
              <a:ea typeface="メイリオ" panose="020B0604030504040204" pitchFamily="50" charset="-128"/>
            </a:rPr>
            <a:t>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126</xdr:row>
      <xdr:rowOff>0</xdr:rowOff>
    </xdr:from>
    <xdr:ext cx="1183273" cy="392415"/>
    <xdr:sp macro="" textlink="">
      <xdr:nvSpPr>
        <xdr:cNvPr id="39" name="テキスト ボックス 38">
          <a:extLst>
            <a:ext uri="{FF2B5EF4-FFF2-40B4-BE49-F238E27FC236}">
              <a16:creationId xmlns:a16="http://schemas.microsoft.com/office/drawing/2014/main" id="{00000000-0008-0000-0500-000075000000}"/>
            </a:ext>
          </a:extLst>
        </xdr:cNvPr>
        <xdr:cNvSpPr txBox="1"/>
      </xdr:nvSpPr>
      <xdr:spPr>
        <a:xfrm>
          <a:off x="3792071" y="29368376"/>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121</xdr:row>
      <xdr:rowOff>0</xdr:rowOff>
    </xdr:from>
    <xdr:ext cx="5603714" cy="1292662"/>
    <xdr:sp macro="" textlink="">
      <xdr:nvSpPr>
        <xdr:cNvPr id="41" name="テキスト ボックス 40">
          <a:extLst>
            <a:ext uri="{FF2B5EF4-FFF2-40B4-BE49-F238E27FC236}">
              <a16:creationId xmlns:a16="http://schemas.microsoft.com/office/drawing/2014/main" id="{00000000-0008-0000-0500-000075000000}"/>
            </a:ext>
          </a:extLst>
        </xdr:cNvPr>
        <xdr:cNvSpPr txBox="1"/>
      </xdr:nvSpPr>
      <xdr:spPr>
        <a:xfrm>
          <a:off x="9124950" y="24765000"/>
          <a:ext cx="5603714" cy="12926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以下の</a:t>
          </a:r>
          <a:r>
            <a:rPr kumimoji="1" lang="en-US" altLang="ja-JP" sz="1200" b="1">
              <a:solidFill>
                <a:srgbClr val="FF0000"/>
              </a:solidFill>
              <a:latin typeface="メイリオ" panose="020B0604030504040204" pitchFamily="50" charset="-128"/>
              <a:ea typeface="メイリオ" panose="020B0604030504040204" pitchFamily="50" charset="-128"/>
            </a:rPr>
            <a:t>disp_name</a:t>
          </a:r>
          <a:r>
            <a:rPr kumimoji="1" lang="ja-JP" altLang="en-US" sz="1200" b="1">
              <a:solidFill>
                <a:srgbClr val="FF0000"/>
              </a:solidFill>
              <a:latin typeface="メイリオ" panose="020B0604030504040204" pitchFamily="50" charset="-128"/>
              <a:ea typeface="メイリオ" panose="020B0604030504040204" pitchFamily="50" charset="-128"/>
            </a:rPr>
            <a:t>で</a:t>
          </a:r>
          <a:r>
            <a:rPr kumimoji="1" lang="en-US" altLang="ja-JP" sz="1200" b="1">
              <a:solidFill>
                <a:srgbClr val="FF0000"/>
              </a:solidFill>
              <a:latin typeface="メイリオ" panose="020B0604030504040204" pitchFamily="50" charset="-128"/>
              <a:ea typeface="メイリオ" panose="020B0604030504040204" pitchFamily="50" charset="-128"/>
            </a:rPr>
            <a:t>med_time</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1</a:t>
          </a:r>
          <a:r>
            <a:rPr kumimoji="1" lang="ja-JP" altLang="en-US" sz="1200" b="1">
              <a:solidFill>
                <a:srgbClr val="FF0000"/>
              </a:solidFill>
              <a:latin typeface="メイリオ" panose="020B0604030504040204" pitchFamily="50" charset="-128"/>
              <a:ea typeface="メイリオ" panose="020B0604030504040204" pitchFamily="50" charset="-128"/>
            </a:rPr>
            <a:t>以上の場合</a:t>
          </a:r>
          <a:r>
            <a:rPr kumimoji="1" lang="en-US" altLang="ja-JP" sz="1200" b="1">
              <a:solidFill>
                <a:srgbClr val="FF0000"/>
              </a:solidFill>
              <a:latin typeface="メイリオ" panose="020B0604030504040204" pitchFamily="50" charset="-128"/>
              <a:ea typeface="メイリオ" panose="020B0604030504040204" pitchFamily="50" charset="-128"/>
            </a:rPr>
            <a:t>1</a:t>
          </a:r>
          <a:r>
            <a:rPr kumimoji="1" lang="ja-JP" altLang="en-US" sz="1200" b="1">
              <a:solidFill>
                <a:srgbClr val="FF0000"/>
              </a:solidFill>
              <a:latin typeface="メイリオ" panose="020B0604030504040204" pitchFamily="50" charset="-128"/>
              <a:ea typeface="メイリオ" panose="020B0604030504040204" pitchFamily="50" charset="-128"/>
            </a:rPr>
            <a:t>、そうでない場合は</a:t>
          </a:r>
          <a:r>
            <a:rPr kumimoji="1" lang="en-US" altLang="ja-JP" sz="1200" b="1">
              <a:solidFill>
                <a:srgbClr val="FF0000"/>
              </a:solidFill>
              <a:latin typeface="メイリオ" panose="020B0604030504040204" pitchFamily="50" charset="-128"/>
              <a:ea typeface="メイリオ" panose="020B0604030504040204" pitchFamily="50" charset="-128"/>
            </a:rPr>
            <a:t>0</a:t>
          </a:r>
          <a:r>
            <a:rPr kumimoji="1" lang="ja-JP" altLang="en-US" sz="1200" b="1">
              <a:solidFill>
                <a:srgbClr val="FF0000"/>
              </a:solidFill>
              <a:latin typeface="メイリオ" panose="020B0604030504040204" pitchFamily="50" charset="-128"/>
              <a:ea typeface="メイリオ" panose="020B0604030504040204" pitchFamily="50" charset="-128"/>
            </a:rPr>
            <a:t>を設定</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d02</a:t>
          </a:r>
          <a:r>
            <a:rPr kumimoji="1" lang="ja-JP" altLang="en-US" sz="1200" b="1">
              <a:solidFill>
                <a:srgbClr val="FF0000"/>
              </a:solidFill>
              <a:latin typeface="メイリオ" panose="020B0604030504040204" pitchFamily="50" charset="-128"/>
              <a:ea typeface="メイリオ" panose="020B0604030504040204" pitchFamily="50" charset="-128"/>
            </a:rPr>
            <a:t>：慢性心不全 </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d03</a:t>
          </a:r>
          <a:r>
            <a:rPr kumimoji="1" lang="ja-JP" altLang="en-US" sz="1200" b="1">
              <a:solidFill>
                <a:srgbClr val="FF0000"/>
              </a:solidFill>
              <a:latin typeface="メイリオ" panose="020B0604030504040204" pitchFamily="50" charset="-128"/>
              <a:ea typeface="メイリオ" panose="020B0604030504040204" pitchFamily="50" charset="-128"/>
            </a:rPr>
            <a:t>：糖尿病 </a:t>
          </a:r>
        </a:p>
        <a:p>
          <a:r>
            <a:rPr kumimoji="1" lang="ja-JP" altLang="en-US" sz="1200" b="1">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d04</a:t>
          </a:r>
          <a:r>
            <a:rPr kumimoji="1" lang="ja-JP" altLang="en-US" sz="1200" b="1">
              <a:solidFill>
                <a:srgbClr val="FF0000"/>
              </a:solidFill>
              <a:latin typeface="メイリオ" panose="020B0604030504040204" pitchFamily="50" charset="-128"/>
              <a:ea typeface="メイリオ" panose="020B0604030504040204" pitchFamily="50" charset="-128"/>
            </a:rPr>
            <a:t>：高血圧</a:t>
          </a:r>
        </a:p>
      </xdr:txBody>
    </xdr:sp>
    <xdr:clientData/>
  </xdr:oneCellAnchor>
  <xdr:oneCellAnchor>
    <xdr:from>
      <xdr:col>11</xdr:col>
      <xdr:colOff>0</xdr:colOff>
      <xdr:row>122</xdr:row>
      <xdr:rowOff>0</xdr:rowOff>
    </xdr:from>
    <xdr:ext cx="1029769" cy="392415"/>
    <xdr:sp macro="" textlink="">
      <xdr:nvSpPr>
        <xdr:cNvPr id="47" name="テキスト ボックス 46">
          <a:extLst>
            <a:ext uri="{FF2B5EF4-FFF2-40B4-BE49-F238E27FC236}">
              <a16:creationId xmlns:a16="http://schemas.microsoft.com/office/drawing/2014/main" id="{00000000-0008-0000-0500-000075000000}"/>
            </a:ext>
          </a:extLst>
        </xdr:cNvPr>
        <xdr:cNvSpPr txBox="1"/>
      </xdr:nvSpPr>
      <xdr:spPr>
        <a:xfrm>
          <a:off x="7829550" y="25003125"/>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7</xdr:col>
      <xdr:colOff>0</xdr:colOff>
      <xdr:row>21</xdr:row>
      <xdr:rowOff>0</xdr:rowOff>
    </xdr:from>
    <xdr:ext cx="1709314" cy="392415"/>
    <xdr:sp macro="" textlink="">
      <xdr:nvSpPr>
        <xdr:cNvPr id="42" name="テキスト ボックス 41">
          <a:extLst>
            <a:ext uri="{FF2B5EF4-FFF2-40B4-BE49-F238E27FC236}">
              <a16:creationId xmlns:a16="http://schemas.microsoft.com/office/drawing/2014/main" id="{00000000-0008-0000-0500-000075000000}"/>
            </a:ext>
          </a:extLst>
        </xdr:cNvPr>
        <xdr:cNvSpPr txBox="1"/>
      </xdr:nvSpPr>
      <xdr:spPr>
        <a:xfrm>
          <a:off x="4495800" y="5000625"/>
          <a:ext cx="170931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num_value</a:t>
          </a:r>
          <a:r>
            <a:rPr kumimoji="1" lang="ja-JP" altLang="en-US" sz="1200" b="1">
              <a:solidFill>
                <a:srgbClr val="FF0000"/>
              </a:solidFill>
              <a:latin typeface="メイリオ" panose="020B0604030504040204" pitchFamily="50" charset="-128"/>
              <a:ea typeface="メイリオ" panose="020B0604030504040204" pitchFamily="50" charset="-128"/>
            </a:rPr>
            <a:t>が空以外</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49</xdr:row>
      <xdr:rowOff>0</xdr:rowOff>
    </xdr:from>
    <xdr:ext cx="1316258" cy="392415"/>
    <xdr:sp macro="" textlink="">
      <xdr:nvSpPr>
        <xdr:cNvPr id="43" name="テキスト ボックス 42">
          <a:extLst>
            <a:ext uri="{FF2B5EF4-FFF2-40B4-BE49-F238E27FC236}">
              <a16:creationId xmlns:a16="http://schemas.microsoft.com/office/drawing/2014/main" id="{00000000-0008-0000-0500-000075000000}"/>
            </a:ext>
          </a:extLst>
        </xdr:cNvPr>
        <xdr:cNvSpPr txBox="1"/>
      </xdr:nvSpPr>
      <xdr:spPr>
        <a:xfrm>
          <a:off x="4219575" y="8334375"/>
          <a:ext cx="131625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年齢が</a:t>
          </a:r>
          <a:r>
            <a:rPr kumimoji="1" lang="en-US" altLang="ja-JP" sz="1200" b="1">
              <a:solidFill>
                <a:srgbClr val="FF0000"/>
              </a:solidFill>
              <a:latin typeface="メイリオ" panose="020B0604030504040204" pitchFamily="50" charset="-128"/>
              <a:ea typeface="メイリオ" panose="020B0604030504040204" pitchFamily="50" charset="-128"/>
            </a:rPr>
            <a:t>18</a:t>
          </a:r>
          <a:r>
            <a:rPr kumimoji="1" lang="ja-JP" altLang="en-US" sz="1200" b="1">
              <a:solidFill>
                <a:srgbClr val="FF0000"/>
              </a:solidFill>
              <a:latin typeface="メイリオ" panose="020B0604030504040204" pitchFamily="50" charset="-128"/>
              <a:ea typeface="メイリオ" panose="020B0604030504040204" pitchFamily="50" charset="-128"/>
            </a:rPr>
            <a:t>歳以上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46</xdr:row>
      <xdr:rowOff>0</xdr:rowOff>
    </xdr:from>
    <xdr:ext cx="2031325" cy="392415"/>
    <xdr:sp macro="" textlink="">
      <xdr:nvSpPr>
        <xdr:cNvPr id="44" name="テキスト ボックス 43">
          <a:extLst>
            <a:ext uri="{FF2B5EF4-FFF2-40B4-BE49-F238E27FC236}">
              <a16:creationId xmlns:a16="http://schemas.microsoft.com/office/drawing/2014/main" id="{00000000-0008-0000-0500-000075000000}"/>
            </a:ext>
          </a:extLst>
        </xdr:cNvPr>
        <xdr:cNvSpPr txBox="1"/>
      </xdr:nvSpPr>
      <xdr:spPr>
        <a:xfrm>
          <a:off x="4219575" y="7620000"/>
          <a:ext cx="203132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表示名が血清クレアチニン</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48</xdr:row>
      <xdr:rowOff>0</xdr:rowOff>
    </xdr:from>
    <xdr:ext cx="1183273" cy="392415"/>
    <xdr:sp macro="" textlink="">
      <xdr:nvSpPr>
        <xdr:cNvPr id="45" name="テキスト ボックス 44">
          <a:extLst>
            <a:ext uri="{FF2B5EF4-FFF2-40B4-BE49-F238E27FC236}">
              <a16:creationId xmlns:a16="http://schemas.microsoft.com/office/drawing/2014/main" id="{00000000-0008-0000-0500-000075000000}"/>
            </a:ext>
          </a:extLst>
        </xdr:cNvPr>
        <xdr:cNvSpPr txBox="1"/>
      </xdr:nvSpPr>
      <xdr:spPr>
        <a:xfrm>
          <a:off x="7829550" y="8096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6</xdr:col>
      <xdr:colOff>0</xdr:colOff>
      <xdr:row>9</xdr:row>
      <xdr:rowOff>0</xdr:rowOff>
    </xdr:from>
    <xdr:ext cx="1183273" cy="392415"/>
    <xdr:sp macro="" textlink="">
      <xdr:nvSpPr>
        <xdr:cNvPr id="53" name="テキスト ボックス 52">
          <a:extLst>
            <a:ext uri="{FF2B5EF4-FFF2-40B4-BE49-F238E27FC236}">
              <a16:creationId xmlns:a16="http://schemas.microsoft.com/office/drawing/2014/main" id="{00000000-0008-0000-0500-000075000000}"/>
            </a:ext>
          </a:extLst>
        </xdr:cNvPr>
        <xdr:cNvSpPr txBox="1"/>
      </xdr:nvSpPr>
      <xdr:spPr>
        <a:xfrm>
          <a:off x="4219575" y="2143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11</xdr:col>
      <xdr:colOff>0</xdr:colOff>
      <xdr:row>12</xdr:row>
      <xdr:rowOff>0</xdr:rowOff>
    </xdr:from>
    <xdr:ext cx="1183273" cy="392415"/>
    <xdr:sp macro="" textlink="">
      <xdr:nvSpPr>
        <xdr:cNvPr id="54" name="テキスト ボックス 53">
          <a:extLst>
            <a:ext uri="{FF2B5EF4-FFF2-40B4-BE49-F238E27FC236}">
              <a16:creationId xmlns:a16="http://schemas.microsoft.com/office/drawing/2014/main" id="{00000000-0008-0000-0500-000075000000}"/>
            </a:ext>
          </a:extLst>
        </xdr:cNvPr>
        <xdr:cNvSpPr txBox="1"/>
      </xdr:nvSpPr>
      <xdr:spPr>
        <a:xfrm>
          <a:off x="7829550" y="2857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6</xdr:col>
      <xdr:colOff>0</xdr:colOff>
      <xdr:row>62</xdr:row>
      <xdr:rowOff>0</xdr:rowOff>
    </xdr:from>
    <xdr:ext cx="1183273" cy="392415"/>
    <xdr:sp macro="" textlink="">
      <xdr:nvSpPr>
        <xdr:cNvPr id="58" name="テキスト ボックス 57">
          <a:extLst>
            <a:ext uri="{FF2B5EF4-FFF2-40B4-BE49-F238E27FC236}">
              <a16:creationId xmlns:a16="http://schemas.microsoft.com/office/drawing/2014/main" id="{00000000-0008-0000-0500-000075000000}"/>
            </a:ext>
          </a:extLst>
        </xdr:cNvPr>
        <xdr:cNvSpPr txBox="1"/>
      </xdr:nvSpPr>
      <xdr:spPr>
        <a:xfrm>
          <a:off x="4219575" y="11430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6</xdr:col>
      <xdr:colOff>0</xdr:colOff>
      <xdr:row>73</xdr:row>
      <xdr:rowOff>0</xdr:rowOff>
    </xdr:from>
    <xdr:ext cx="1183273" cy="392415"/>
    <xdr:sp macro="" textlink="">
      <xdr:nvSpPr>
        <xdr:cNvPr id="60" name="テキスト ボックス 59">
          <a:extLst>
            <a:ext uri="{FF2B5EF4-FFF2-40B4-BE49-F238E27FC236}">
              <a16:creationId xmlns:a16="http://schemas.microsoft.com/office/drawing/2014/main" id="{00000000-0008-0000-0500-000075000000}"/>
            </a:ext>
          </a:extLst>
        </xdr:cNvPr>
        <xdr:cNvSpPr txBox="1"/>
      </xdr:nvSpPr>
      <xdr:spPr>
        <a:xfrm>
          <a:off x="4219575" y="11430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10</xdr:col>
      <xdr:colOff>257175</xdr:colOff>
      <xdr:row>148</xdr:row>
      <xdr:rowOff>142875</xdr:rowOff>
    </xdr:from>
    <xdr:ext cx="3048142" cy="392415"/>
    <xdr:sp macro="" textlink="">
      <xdr:nvSpPr>
        <xdr:cNvPr id="62" name="テキスト ボックス 61">
          <a:extLst>
            <a:ext uri="{FF2B5EF4-FFF2-40B4-BE49-F238E27FC236}">
              <a16:creationId xmlns:a16="http://schemas.microsoft.com/office/drawing/2014/main" id="{00000000-0008-0000-0500-000075000000}"/>
            </a:ext>
          </a:extLst>
        </xdr:cNvPr>
        <xdr:cNvSpPr txBox="1"/>
      </xdr:nvSpPr>
      <xdr:spPr>
        <a:xfrm>
          <a:off x="7810500" y="28479750"/>
          <a:ext cx="304814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item_name</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152</xdr:row>
      <xdr:rowOff>0</xdr:rowOff>
    </xdr:from>
    <xdr:ext cx="1183273" cy="392415"/>
    <xdr:sp macro="" textlink="">
      <xdr:nvSpPr>
        <xdr:cNvPr id="63" name="テキスト ボックス 62">
          <a:extLst>
            <a:ext uri="{FF2B5EF4-FFF2-40B4-BE49-F238E27FC236}">
              <a16:creationId xmlns:a16="http://schemas.microsoft.com/office/drawing/2014/main" id="{00000000-0008-0000-0500-000075000000}"/>
            </a:ext>
          </a:extLst>
        </xdr:cNvPr>
        <xdr:cNvSpPr txBox="1"/>
      </xdr:nvSpPr>
      <xdr:spPr>
        <a:xfrm>
          <a:off x="4219575" y="29289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8</xdr:col>
      <xdr:colOff>76200</xdr:colOff>
      <xdr:row>148</xdr:row>
      <xdr:rowOff>133350</xdr:rowOff>
    </xdr:from>
    <xdr:ext cx="2046651" cy="392415"/>
    <xdr:sp macro="" textlink="">
      <xdr:nvSpPr>
        <xdr:cNvPr id="64" name="テキスト ボックス 63">
          <a:extLst>
            <a:ext uri="{FF2B5EF4-FFF2-40B4-BE49-F238E27FC236}">
              <a16:creationId xmlns:a16="http://schemas.microsoft.com/office/drawing/2014/main" id="{00000000-0008-0000-0500-000075000000}"/>
            </a:ext>
          </a:extLst>
        </xdr:cNvPr>
        <xdr:cNvSpPr txBox="1"/>
      </xdr:nvSpPr>
      <xdr:spPr>
        <a:xfrm>
          <a:off x="5591175" y="32042100"/>
          <a:ext cx="204665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date_rank</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1</a:t>
          </a:r>
          <a:r>
            <a:rPr kumimoji="1" lang="ja-JP" altLang="en-US" sz="1200" b="1">
              <a:solidFill>
                <a:srgbClr val="FF0000"/>
              </a:solidFill>
              <a:latin typeface="メイリオ" panose="020B0604030504040204" pitchFamily="50" charset="-128"/>
              <a:ea typeface="メイリオ" panose="020B0604030504040204" pitchFamily="50" charset="-128"/>
            </a:rPr>
            <a:t>」のもの</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137</xdr:row>
      <xdr:rowOff>0</xdr:rowOff>
    </xdr:from>
    <xdr:ext cx="1029769" cy="392415"/>
    <xdr:sp macro="" textlink="">
      <xdr:nvSpPr>
        <xdr:cNvPr id="69" name="テキスト ボックス 68">
          <a:extLst>
            <a:ext uri="{FF2B5EF4-FFF2-40B4-BE49-F238E27FC236}">
              <a16:creationId xmlns:a16="http://schemas.microsoft.com/office/drawing/2014/main" id="{00000000-0008-0000-0500-000075000000}"/>
            </a:ext>
          </a:extLst>
        </xdr:cNvPr>
        <xdr:cNvSpPr txBox="1"/>
      </xdr:nvSpPr>
      <xdr:spPr>
        <a:xfrm>
          <a:off x="7829550" y="25717500"/>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9</xdr:col>
      <xdr:colOff>0</xdr:colOff>
      <xdr:row>123</xdr:row>
      <xdr:rowOff>0</xdr:rowOff>
    </xdr:from>
    <xdr:ext cx="1969385" cy="392415"/>
    <xdr:sp macro="" textlink="">
      <xdr:nvSpPr>
        <xdr:cNvPr id="71" name="テキスト ボックス 70">
          <a:extLst>
            <a:ext uri="{FF2B5EF4-FFF2-40B4-BE49-F238E27FC236}">
              <a16:creationId xmlns:a16="http://schemas.microsoft.com/office/drawing/2014/main" id="{00000000-0008-0000-0500-000075000000}"/>
            </a:ext>
          </a:extLst>
        </xdr:cNvPr>
        <xdr:cNvSpPr txBox="1"/>
      </xdr:nvSpPr>
      <xdr:spPr>
        <a:xfrm>
          <a:off x="6534150" y="25955625"/>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9</xdr:col>
      <xdr:colOff>0</xdr:colOff>
      <xdr:row>21</xdr:row>
      <xdr:rowOff>0</xdr:rowOff>
    </xdr:from>
    <xdr:ext cx="4202176" cy="392415"/>
    <xdr:sp macro="" textlink="">
      <xdr:nvSpPr>
        <xdr:cNvPr id="35" name="テキスト ボックス 34">
          <a:extLst>
            <a:ext uri="{FF2B5EF4-FFF2-40B4-BE49-F238E27FC236}">
              <a16:creationId xmlns:a16="http://schemas.microsoft.com/office/drawing/2014/main" id="{00000000-0008-0000-0500-000075000000}"/>
            </a:ext>
          </a:extLst>
        </xdr:cNvPr>
        <xdr:cNvSpPr txBox="1"/>
      </xdr:nvSpPr>
      <xdr:spPr>
        <a:xfrm>
          <a:off x="5875020" y="4960620"/>
          <a:ext cx="420217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PK</a:t>
          </a:r>
          <a:r>
            <a:rPr kumimoji="1" lang="ja-JP" altLang="en-US" sz="1200" b="1">
              <a:solidFill>
                <a:srgbClr val="FF0000"/>
              </a:solidFill>
              <a:latin typeface="メイリオ" panose="020B0604030504040204" pitchFamily="50" charset="-128"/>
              <a:ea typeface="メイリオ" panose="020B0604030504040204" pitchFamily="50" charset="-128"/>
            </a:rPr>
            <a:t>項目ごとに行番号を採番し、行番号が</a:t>
          </a:r>
          <a:r>
            <a:rPr kumimoji="1" lang="en-US" altLang="ja-JP" sz="1200" b="1">
              <a:solidFill>
                <a:srgbClr val="FF0000"/>
              </a:solidFill>
              <a:latin typeface="メイリオ" panose="020B0604030504040204" pitchFamily="50" charset="-128"/>
              <a:ea typeface="メイリオ" panose="020B0604030504040204" pitchFamily="50" charset="-128"/>
            </a:rPr>
            <a:t>1</a:t>
          </a:r>
          <a:r>
            <a:rPr kumimoji="1" lang="ja-JP" altLang="en-US" sz="1200" b="1">
              <a:solidFill>
                <a:srgbClr val="FF0000"/>
              </a:solidFill>
              <a:latin typeface="メイリオ" panose="020B0604030504040204" pitchFamily="50" charset="-128"/>
              <a:ea typeface="メイリオ" panose="020B0604030504040204" pitchFamily="50" charset="-128"/>
            </a:rPr>
            <a:t>のもののみ抽出</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35</xdr:row>
      <xdr:rowOff>0</xdr:rowOff>
    </xdr:from>
    <xdr:ext cx="1316258" cy="392415"/>
    <xdr:sp macro="" textlink="">
      <xdr:nvSpPr>
        <xdr:cNvPr id="36" name="テキスト ボックス 35">
          <a:extLst>
            <a:ext uri="{FF2B5EF4-FFF2-40B4-BE49-F238E27FC236}">
              <a16:creationId xmlns:a16="http://schemas.microsoft.com/office/drawing/2014/main" id="{00000000-0008-0000-0500-000075000000}"/>
            </a:ext>
          </a:extLst>
        </xdr:cNvPr>
        <xdr:cNvSpPr txBox="1"/>
      </xdr:nvSpPr>
      <xdr:spPr>
        <a:xfrm>
          <a:off x="3792071" y="8157882"/>
          <a:ext cx="131625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年齢が</a:t>
          </a:r>
          <a:r>
            <a:rPr kumimoji="1" lang="en-US" altLang="ja-JP" sz="1200" b="1">
              <a:solidFill>
                <a:srgbClr val="FF0000"/>
              </a:solidFill>
              <a:latin typeface="メイリオ" panose="020B0604030504040204" pitchFamily="50" charset="-128"/>
              <a:ea typeface="メイリオ" panose="020B0604030504040204" pitchFamily="50" charset="-128"/>
            </a:rPr>
            <a:t>18</a:t>
          </a:r>
          <a:r>
            <a:rPr kumimoji="1" lang="ja-JP" altLang="en-US" sz="1200" b="1">
              <a:solidFill>
                <a:srgbClr val="FF0000"/>
              </a:solidFill>
              <a:latin typeface="メイリオ" panose="020B0604030504040204" pitchFamily="50" charset="-128"/>
              <a:ea typeface="メイリオ" panose="020B0604030504040204" pitchFamily="50" charset="-128"/>
            </a:rPr>
            <a:t>歳未満</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32</xdr:row>
      <xdr:rowOff>0</xdr:rowOff>
    </xdr:from>
    <xdr:ext cx="2031325" cy="392415"/>
    <xdr:sp macro="" textlink="">
      <xdr:nvSpPr>
        <xdr:cNvPr id="37" name="テキスト ボックス 36">
          <a:extLst>
            <a:ext uri="{FF2B5EF4-FFF2-40B4-BE49-F238E27FC236}">
              <a16:creationId xmlns:a16="http://schemas.microsoft.com/office/drawing/2014/main" id="{00000000-0008-0000-0500-000075000000}"/>
            </a:ext>
          </a:extLst>
        </xdr:cNvPr>
        <xdr:cNvSpPr txBox="1"/>
      </xdr:nvSpPr>
      <xdr:spPr>
        <a:xfrm>
          <a:off x="3794760" y="10866120"/>
          <a:ext cx="203132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表示名が血清クレアチニン</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34</xdr:row>
      <xdr:rowOff>0</xdr:rowOff>
    </xdr:from>
    <xdr:ext cx="1183273" cy="392415"/>
    <xdr:sp macro="" textlink="">
      <xdr:nvSpPr>
        <xdr:cNvPr id="38" name="テキスト ボックス 37">
          <a:extLst>
            <a:ext uri="{FF2B5EF4-FFF2-40B4-BE49-F238E27FC236}">
              <a16:creationId xmlns:a16="http://schemas.microsoft.com/office/drawing/2014/main" id="{00000000-0008-0000-0500-000075000000}"/>
            </a:ext>
          </a:extLst>
        </xdr:cNvPr>
        <xdr:cNvSpPr txBox="1"/>
      </xdr:nvSpPr>
      <xdr:spPr>
        <a:xfrm>
          <a:off x="7040880" y="1133856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11</xdr:col>
      <xdr:colOff>0</xdr:colOff>
      <xdr:row>111</xdr:row>
      <xdr:rowOff>0</xdr:rowOff>
    </xdr:from>
    <xdr:ext cx="1183273" cy="392415"/>
    <xdr:sp macro="" textlink="">
      <xdr:nvSpPr>
        <xdr:cNvPr id="40" name="テキスト ボックス 39">
          <a:extLst>
            <a:ext uri="{FF2B5EF4-FFF2-40B4-BE49-F238E27FC236}">
              <a16:creationId xmlns:a16="http://schemas.microsoft.com/office/drawing/2014/main" id="{00000000-0008-0000-0500-000075000000}"/>
            </a:ext>
          </a:extLst>
        </xdr:cNvPr>
        <xdr:cNvSpPr txBox="1"/>
      </xdr:nvSpPr>
      <xdr:spPr>
        <a:xfrm>
          <a:off x="7037294" y="25872141"/>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10</xdr:col>
      <xdr:colOff>233083</xdr:colOff>
      <xdr:row>107</xdr:row>
      <xdr:rowOff>161364</xdr:rowOff>
    </xdr:from>
    <xdr:ext cx="2325495" cy="392415"/>
    <xdr:sp macro="" textlink="">
      <xdr:nvSpPr>
        <xdr:cNvPr id="46" name="テキスト ボックス 45">
          <a:extLst>
            <a:ext uri="{FF2B5EF4-FFF2-40B4-BE49-F238E27FC236}">
              <a16:creationId xmlns:a16="http://schemas.microsoft.com/office/drawing/2014/main" id="{00000000-0008-0000-0500-000075000000}"/>
            </a:ext>
          </a:extLst>
        </xdr:cNvPr>
        <xdr:cNvSpPr txBox="1"/>
      </xdr:nvSpPr>
      <xdr:spPr>
        <a:xfrm>
          <a:off x="7019365" y="25101176"/>
          <a:ext cx="232549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採取日時がロケルマ処方期間内</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5</xdr:col>
      <xdr:colOff>206188</xdr:colOff>
      <xdr:row>121</xdr:row>
      <xdr:rowOff>116541</xdr:rowOff>
    </xdr:from>
    <xdr:ext cx="2492990" cy="392415"/>
    <xdr:sp macro="" textlink="">
      <xdr:nvSpPr>
        <xdr:cNvPr id="48" name="テキスト ボックス 47">
          <a:extLst>
            <a:ext uri="{FF2B5EF4-FFF2-40B4-BE49-F238E27FC236}">
              <a16:creationId xmlns:a16="http://schemas.microsoft.com/office/drawing/2014/main" id="{00000000-0008-0000-0500-000075000000}"/>
            </a:ext>
          </a:extLst>
        </xdr:cNvPr>
        <xdr:cNvSpPr txBox="1"/>
      </xdr:nvSpPr>
      <xdr:spPr>
        <a:xfrm>
          <a:off x="3747247" y="28319506"/>
          <a:ext cx="249299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疾患開始日がロケルマ処方期間内</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140</xdr:row>
      <xdr:rowOff>57630</xdr:rowOff>
    </xdr:from>
    <xdr:ext cx="1183273" cy="392415"/>
    <xdr:sp macro="" textlink="">
      <xdr:nvSpPr>
        <xdr:cNvPr id="49" name="テキスト ボックス 48">
          <a:extLst>
            <a:ext uri="{FF2B5EF4-FFF2-40B4-BE49-F238E27FC236}">
              <a16:creationId xmlns:a16="http://schemas.microsoft.com/office/drawing/2014/main" id="{00000000-0008-0000-0500-000075000000}"/>
            </a:ext>
          </a:extLst>
        </xdr:cNvPr>
        <xdr:cNvSpPr txBox="1"/>
      </xdr:nvSpPr>
      <xdr:spPr>
        <a:xfrm>
          <a:off x="3792071" y="32689159"/>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5</xdr:col>
      <xdr:colOff>80043</xdr:colOff>
      <xdr:row>136</xdr:row>
      <xdr:rowOff>125506</xdr:rowOff>
    </xdr:from>
    <xdr:ext cx="2492990" cy="392415"/>
    <xdr:sp macro="" textlink="">
      <xdr:nvSpPr>
        <xdr:cNvPr id="50" name="テキスト ボックス 49">
          <a:extLst>
            <a:ext uri="{FF2B5EF4-FFF2-40B4-BE49-F238E27FC236}">
              <a16:creationId xmlns:a16="http://schemas.microsoft.com/office/drawing/2014/main" id="{00000000-0008-0000-0500-000075000000}"/>
            </a:ext>
          </a:extLst>
        </xdr:cNvPr>
        <xdr:cNvSpPr txBox="1"/>
      </xdr:nvSpPr>
      <xdr:spPr>
        <a:xfrm>
          <a:off x="3621102" y="31824706"/>
          <a:ext cx="249299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実施年月日がロケルマ処方期間内</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885586</xdr:colOff>
      <xdr:row>138</xdr:row>
      <xdr:rowOff>62753</xdr:rowOff>
    </xdr:from>
    <xdr:ext cx="2277162" cy="392415"/>
    <xdr:sp macro="" textlink="">
      <xdr:nvSpPr>
        <xdr:cNvPr id="51" name="テキスト ボックス 50">
          <a:extLst>
            <a:ext uri="{FF2B5EF4-FFF2-40B4-BE49-F238E27FC236}">
              <a16:creationId xmlns:a16="http://schemas.microsoft.com/office/drawing/2014/main" id="{00000000-0008-0000-0500-000075000000}"/>
            </a:ext>
          </a:extLst>
        </xdr:cNvPr>
        <xdr:cNvSpPr txBox="1"/>
      </xdr:nvSpPr>
      <xdr:spPr>
        <a:xfrm>
          <a:off x="4928668" y="32228118"/>
          <a:ext cx="227716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、紐付け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ごとに集約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6</xdr:col>
      <xdr:colOff>0</xdr:colOff>
      <xdr:row>17</xdr:row>
      <xdr:rowOff>0</xdr:rowOff>
    </xdr:from>
    <xdr:ext cx="1029769" cy="392415"/>
    <xdr:sp macro="" textlink="">
      <xdr:nvSpPr>
        <xdr:cNvPr id="2" name="テキスト ボックス 1">
          <a:extLst>
            <a:ext uri="{FF2B5EF4-FFF2-40B4-BE49-F238E27FC236}">
              <a16:creationId xmlns:a16="http://schemas.microsoft.com/office/drawing/2014/main" id="{00000000-0008-0000-0500-000075000000}"/>
            </a:ext>
          </a:extLst>
        </xdr:cNvPr>
        <xdr:cNvSpPr txBox="1"/>
      </xdr:nvSpPr>
      <xdr:spPr>
        <a:xfrm>
          <a:off x="4219575" y="4048125"/>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7</xdr:col>
      <xdr:colOff>0</xdr:colOff>
      <xdr:row>5</xdr:row>
      <xdr:rowOff>114300</xdr:rowOff>
    </xdr:from>
    <xdr:ext cx="6022418" cy="392415"/>
    <xdr:sp macro="" textlink="">
      <xdr:nvSpPr>
        <xdr:cNvPr id="36" name="テキスト ボックス 35">
          <a:extLst>
            <a:ext uri="{FF2B5EF4-FFF2-40B4-BE49-F238E27FC236}">
              <a16:creationId xmlns:a16="http://schemas.microsoft.com/office/drawing/2014/main" id="{00000000-0008-0000-0500-000075000000}"/>
            </a:ext>
          </a:extLst>
        </xdr:cNvPr>
        <xdr:cNvSpPr txBox="1"/>
      </xdr:nvSpPr>
      <xdr:spPr>
        <a:xfrm>
          <a:off x="4495800" y="1304925"/>
          <a:ext cx="602241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表示名が「カリウム」「血清クレアチニン」「</a:t>
          </a:r>
          <a:r>
            <a:rPr kumimoji="1" lang="en-US" altLang="ja-JP" sz="1200" b="1">
              <a:solidFill>
                <a:srgbClr val="FF0000"/>
              </a:solidFill>
              <a:latin typeface="メイリオ" panose="020B0604030504040204" pitchFamily="50" charset="-128"/>
              <a:ea typeface="メイリオ" panose="020B0604030504040204" pitchFamily="50" charset="-128"/>
            </a:rPr>
            <a:t>eGFR </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NT-proBNP </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BNP </a:t>
          </a:r>
          <a:r>
            <a:rPr kumimoji="1" lang="ja-JP" altLang="en-US" sz="1200" b="1">
              <a:solidFill>
                <a:srgbClr val="FF0000"/>
              </a:solidFill>
              <a:latin typeface="メイリオ" panose="020B0604030504040204" pitchFamily="50" charset="-128"/>
              <a:ea typeface="メイリオ" panose="020B0604030504040204" pitchFamily="50" charset="-128"/>
            </a:rPr>
            <a:t>」</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21</xdr:row>
      <xdr:rowOff>0</xdr:rowOff>
    </xdr:from>
    <xdr:ext cx="1029769" cy="392415"/>
    <xdr:sp macro="" textlink="">
      <xdr:nvSpPr>
        <xdr:cNvPr id="42" name="テキスト ボックス 41">
          <a:extLst>
            <a:ext uri="{FF2B5EF4-FFF2-40B4-BE49-F238E27FC236}">
              <a16:creationId xmlns:a16="http://schemas.microsoft.com/office/drawing/2014/main" id="{00000000-0008-0000-0500-000075000000}"/>
            </a:ext>
          </a:extLst>
        </xdr:cNvPr>
        <xdr:cNvSpPr txBox="1"/>
      </xdr:nvSpPr>
      <xdr:spPr>
        <a:xfrm>
          <a:off x="4495800" y="5000625"/>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8</xdr:col>
      <xdr:colOff>0</xdr:colOff>
      <xdr:row>24</xdr:row>
      <xdr:rowOff>0</xdr:rowOff>
    </xdr:from>
    <xdr:ext cx="1029769" cy="392415"/>
    <xdr:sp macro="" textlink="">
      <xdr:nvSpPr>
        <xdr:cNvPr id="43" name="テキスト ボックス 42">
          <a:extLst>
            <a:ext uri="{FF2B5EF4-FFF2-40B4-BE49-F238E27FC236}">
              <a16:creationId xmlns:a16="http://schemas.microsoft.com/office/drawing/2014/main" id="{00000000-0008-0000-0500-000075000000}"/>
            </a:ext>
          </a:extLst>
        </xdr:cNvPr>
        <xdr:cNvSpPr txBox="1"/>
      </xdr:nvSpPr>
      <xdr:spPr>
        <a:xfrm>
          <a:off x="5514975" y="5715000"/>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9</xdr:col>
      <xdr:colOff>0</xdr:colOff>
      <xdr:row>27</xdr:row>
      <xdr:rowOff>0</xdr:rowOff>
    </xdr:from>
    <xdr:ext cx="1029769" cy="392415"/>
    <xdr:sp macro="" textlink="">
      <xdr:nvSpPr>
        <xdr:cNvPr id="44" name="テキスト ボックス 43">
          <a:extLst>
            <a:ext uri="{FF2B5EF4-FFF2-40B4-BE49-F238E27FC236}">
              <a16:creationId xmlns:a16="http://schemas.microsoft.com/office/drawing/2014/main" id="{00000000-0008-0000-0500-000075000000}"/>
            </a:ext>
          </a:extLst>
        </xdr:cNvPr>
        <xdr:cNvSpPr txBox="1"/>
      </xdr:nvSpPr>
      <xdr:spPr>
        <a:xfrm>
          <a:off x="6534150" y="6429375"/>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12</xdr:col>
      <xdr:colOff>0</xdr:colOff>
      <xdr:row>29</xdr:row>
      <xdr:rowOff>0</xdr:rowOff>
    </xdr:from>
    <xdr:ext cx="1029769" cy="392415"/>
    <xdr:sp macro="" textlink="">
      <xdr:nvSpPr>
        <xdr:cNvPr id="45" name="テキスト ボックス 44">
          <a:extLst>
            <a:ext uri="{FF2B5EF4-FFF2-40B4-BE49-F238E27FC236}">
              <a16:creationId xmlns:a16="http://schemas.microsoft.com/office/drawing/2014/main" id="{00000000-0008-0000-0500-000075000000}"/>
            </a:ext>
          </a:extLst>
        </xdr:cNvPr>
        <xdr:cNvSpPr txBox="1"/>
      </xdr:nvSpPr>
      <xdr:spPr>
        <a:xfrm>
          <a:off x="8105775" y="6905625"/>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10</xdr:col>
      <xdr:colOff>0</xdr:colOff>
      <xdr:row>7</xdr:row>
      <xdr:rowOff>0</xdr:rowOff>
    </xdr:from>
    <xdr:ext cx="3724096" cy="392415"/>
    <xdr:sp macro="" textlink="">
      <xdr:nvSpPr>
        <xdr:cNvPr id="9" name="テキスト ボックス 8">
          <a:extLst>
            <a:ext uri="{FF2B5EF4-FFF2-40B4-BE49-F238E27FC236}">
              <a16:creationId xmlns:a16="http://schemas.microsoft.com/office/drawing/2014/main" id="{00000000-0008-0000-0500-000075000000}"/>
            </a:ext>
          </a:extLst>
        </xdr:cNvPr>
        <xdr:cNvSpPr txBox="1"/>
      </xdr:nvSpPr>
      <xdr:spPr>
        <a:xfrm>
          <a:off x="6789420" y="1653540"/>
          <a:ext cx="372409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同一患者で複数の検査値がある場合は最大値を参照</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39</xdr:row>
      <xdr:rowOff>144780</xdr:rowOff>
    </xdr:from>
    <xdr:ext cx="2007281" cy="392415"/>
    <xdr:sp macro="" textlink="">
      <xdr:nvSpPr>
        <xdr:cNvPr id="14" name="テキスト ボックス 13">
          <a:extLst>
            <a:ext uri="{FF2B5EF4-FFF2-40B4-BE49-F238E27FC236}">
              <a16:creationId xmlns:a16="http://schemas.microsoft.com/office/drawing/2014/main" id="{00000000-0008-0000-0500-000075000000}"/>
            </a:ext>
          </a:extLst>
        </xdr:cNvPr>
        <xdr:cNvSpPr txBox="1"/>
      </xdr:nvSpPr>
      <xdr:spPr>
        <a:xfrm>
          <a:off x="3794760" y="9357360"/>
          <a:ext cx="20072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cate_egfr</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42</xdr:row>
      <xdr:rowOff>152400</xdr:rowOff>
    </xdr:from>
    <xdr:ext cx="854593" cy="392415"/>
    <xdr:sp macro="" textlink="">
      <xdr:nvSpPr>
        <xdr:cNvPr id="16" name="テキスト ボックス 15">
          <a:extLst>
            <a:ext uri="{FF2B5EF4-FFF2-40B4-BE49-F238E27FC236}">
              <a16:creationId xmlns:a16="http://schemas.microsoft.com/office/drawing/2014/main" id="{00000000-0008-0000-0500-000075000000}"/>
            </a:ext>
          </a:extLst>
        </xdr:cNvPr>
        <xdr:cNvSpPr txBox="1"/>
      </xdr:nvSpPr>
      <xdr:spPr>
        <a:xfrm>
          <a:off x="3794760" y="10073640"/>
          <a:ext cx="85459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18</a:t>
          </a:r>
          <a:r>
            <a:rPr kumimoji="1" lang="ja-JP" altLang="en-US" sz="1200" b="1">
              <a:solidFill>
                <a:srgbClr val="FF0000"/>
              </a:solidFill>
              <a:latin typeface="メイリオ" panose="020B0604030504040204" pitchFamily="50" charset="-128"/>
              <a:ea typeface="メイリオ" panose="020B0604030504040204" pitchFamily="50" charset="-128"/>
            </a:rPr>
            <a:t>歳以上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9</xdr:col>
      <xdr:colOff>0</xdr:colOff>
      <xdr:row>40</xdr:row>
      <xdr:rowOff>0</xdr:rowOff>
    </xdr:from>
    <xdr:ext cx="1183273" cy="392415"/>
    <xdr:sp macro="" textlink="">
      <xdr:nvSpPr>
        <xdr:cNvPr id="17" name="テキスト ボックス 16">
          <a:extLst>
            <a:ext uri="{FF2B5EF4-FFF2-40B4-BE49-F238E27FC236}">
              <a16:creationId xmlns:a16="http://schemas.microsoft.com/office/drawing/2014/main" id="{00000000-0008-0000-0500-000075000000}"/>
            </a:ext>
          </a:extLst>
        </xdr:cNvPr>
        <xdr:cNvSpPr txBox="1"/>
      </xdr:nvSpPr>
      <xdr:spPr>
        <a:xfrm>
          <a:off x="5875020" y="94488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12</xdr:col>
      <xdr:colOff>0</xdr:colOff>
      <xdr:row>43</xdr:row>
      <xdr:rowOff>0</xdr:rowOff>
    </xdr:from>
    <xdr:ext cx="784830" cy="392415"/>
    <xdr:sp macro="" textlink="">
      <xdr:nvSpPr>
        <xdr:cNvPr id="18" name="テキスト ボックス 17">
          <a:extLst>
            <a:ext uri="{FF2B5EF4-FFF2-40B4-BE49-F238E27FC236}">
              <a16:creationId xmlns:a16="http://schemas.microsoft.com/office/drawing/2014/main" id="{00000000-0008-0000-0500-000075000000}"/>
            </a:ext>
          </a:extLst>
        </xdr:cNvPr>
        <xdr:cNvSpPr txBox="1"/>
      </xdr:nvSpPr>
      <xdr:spPr>
        <a:xfrm>
          <a:off x="7292340" y="10157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11</xdr:col>
      <xdr:colOff>243840</xdr:colOff>
      <xdr:row>36</xdr:row>
      <xdr:rowOff>121920</xdr:rowOff>
    </xdr:from>
    <xdr:ext cx="2148345" cy="392415"/>
    <xdr:sp macro="" textlink="">
      <xdr:nvSpPr>
        <xdr:cNvPr id="19" name="テキスト ボックス 18">
          <a:extLst>
            <a:ext uri="{FF2B5EF4-FFF2-40B4-BE49-F238E27FC236}">
              <a16:creationId xmlns:a16="http://schemas.microsoft.com/office/drawing/2014/main" id="{00000000-0008-0000-0500-000075000000}"/>
            </a:ext>
          </a:extLst>
        </xdr:cNvPr>
        <xdr:cNvSpPr txBox="1"/>
      </xdr:nvSpPr>
      <xdr:spPr>
        <a:xfrm>
          <a:off x="7284720" y="8625840"/>
          <a:ext cx="214834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eGFR</a:t>
          </a:r>
          <a:r>
            <a:rPr kumimoji="1" lang="ja-JP" altLang="en-US" sz="1200" b="1">
              <a:solidFill>
                <a:srgbClr val="FF0000"/>
              </a:solidFill>
              <a:latin typeface="メイリオ" panose="020B0604030504040204" pitchFamily="50" charset="-128"/>
              <a:ea typeface="メイリオ" panose="020B0604030504040204" pitchFamily="50" charset="-128"/>
            </a:rPr>
            <a:t>サマリ、経過日で集約</a:t>
          </a:r>
        </a:p>
      </xdr:txBody>
    </xdr:sp>
    <xdr:clientData/>
  </xdr:oneCellAnchor>
  <xdr:oneCellAnchor>
    <xdr:from>
      <xdr:col>6</xdr:col>
      <xdr:colOff>0</xdr:colOff>
      <xdr:row>53</xdr:row>
      <xdr:rowOff>144780</xdr:rowOff>
    </xdr:from>
    <xdr:ext cx="2007281" cy="392415"/>
    <xdr:sp macro="" textlink="">
      <xdr:nvSpPr>
        <xdr:cNvPr id="20" name="テキスト ボックス 19">
          <a:extLst>
            <a:ext uri="{FF2B5EF4-FFF2-40B4-BE49-F238E27FC236}">
              <a16:creationId xmlns:a16="http://schemas.microsoft.com/office/drawing/2014/main" id="{00000000-0008-0000-0500-000075000000}"/>
            </a:ext>
          </a:extLst>
        </xdr:cNvPr>
        <xdr:cNvSpPr txBox="1"/>
      </xdr:nvSpPr>
      <xdr:spPr>
        <a:xfrm>
          <a:off x="3794760" y="9357360"/>
          <a:ext cx="20072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cate_egfr</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56</xdr:row>
      <xdr:rowOff>152400</xdr:rowOff>
    </xdr:from>
    <xdr:ext cx="2912720" cy="392415"/>
    <xdr:sp macro="" textlink="">
      <xdr:nvSpPr>
        <xdr:cNvPr id="21" name="テキスト ボックス 20">
          <a:extLst>
            <a:ext uri="{FF2B5EF4-FFF2-40B4-BE49-F238E27FC236}">
              <a16:creationId xmlns:a16="http://schemas.microsoft.com/office/drawing/2014/main" id="{00000000-0008-0000-0500-000075000000}"/>
            </a:ext>
          </a:extLst>
        </xdr:cNvPr>
        <xdr:cNvSpPr txBox="1"/>
      </xdr:nvSpPr>
      <xdr:spPr>
        <a:xfrm>
          <a:off x="3794760" y="13380720"/>
          <a:ext cx="291272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18</a:t>
          </a:r>
          <a:r>
            <a:rPr kumimoji="1" lang="ja-JP" altLang="en-US" sz="1200" b="1">
              <a:solidFill>
                <a:srgbClr val="FF0000"/>
              </a:solidFill>
              <a:latin typeface="メイリオ" panose="020B0604030504040204" pitchFamily="50" charset="-128"/>
              <a:ea typeface="メイリオ" panose="020B0604030504040204" pitchFamily="50" charset="-128"/>
            </a:rPr>
            <a:t>歳以上かつ</a:t>
          </a:r>
          <a:r>
            <a:rPr kumimoji="1" lang="en-US" altLang="ja-JP" sz="1200" b="1">
              <a:solidFill>
                <a:srgbClr val="FF0000"/>
              </a:solidFill>
              <a:latin typeface="メイリオ" panose="020B0604030504040204" pitchFamily="50" charset="-128"/>
              <a:ea typeface="メイリオ" panose="020B0604030504040204" pitchFamily="50" charset="-128"/>
            </a:rPr>
            <a:t>look_back</a:t>
          </a:r>
          <a:r>
            <a:rPr kumimoji="1" lang="ja-JP" altLang="en-US" sz="1200" b="1">
              <a:solidFill>
                <a:srgbClr val="FF0000"/>
              </a:solidFill>
              <a:latin typeface="メイリオ" panose="020B0604030504040204" pitchFamily="50" charset="-128"/>
              <a:ea typeface="メイリオ" panose="020B0604030504040204" pitchFamily="50" charset="-128"/>
            </a:rPr>
            <a:t>期間</a:t>
          </a:r>
          <a:r>
            <a:rPr kumimoji="1" lang="en-US" altLang="ja-JP" sz="1200" b="1">
              <a:solidFill>
                <a:srgbClr val="FF0000"/>
              </a:solidFill>
              <a:latin typeface="メイリオ" panose="020B0604030504040204" pitchFamily="50" charset="-128"/>
              <a:ea typeface="メイリオ" panose="020B0604030504040204" pitchFamily="50" charset="-128"/>
            </a:rPr>
            <a:t>30</a:t>
          </a:r>
          <a:r>
            <a:rPr kumimoji="1" lang="ja-JP" altLang="en-US" sz="1200" b="1">
              <a:solidFill>
                <a:srgbClr val="FF0000"/>
              </a:solidFill>
              <a:latin typeface="メイリオ" panose="020B0604030504040204" pitchFamily="50" charset="-128"/>
              <a:ea typeface="メイリオ" panose="020B0604030504040204" pitchFamily="50" charset="-128"/>
            </a:rPr>
            <a:t>以上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9</xdr:col>
      <xdr:colOff>0</xdr:colOff>
      <xdr:row>54</xdr:row>
      <xdr:rowOff>0</xdr:rowOff>
    </xdr:from>
    <xdr:ext cx="1183273" cy="392415"/>
    <xdr:sp macro="" textlink="">
      <xdr:nvSpPr>
        <xdr:cNvPr id="22" name="テキスト ボックス 21">
          <a:extLst>
            <a:ext uri="{FF2B5EF4-FFF2-40B4-BE49-F238E27FC236}">
              <a16:creationId xmlns:a16="http://schemas.microsoft.com/office/drawing/2014/main" id="{00000000-0008-0000-0500-000075000000}"/>
            </a:ext>
          </a:extLst>
        </xdr:cNvPr>
        <xdr:cNvSpPr txBox="1"/>
      </xdr:nvSpPr>
      <xdr:spPr>
        <a:xfrm>
          <a:off x="5875020" y="94488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12</xdr:col>
      <xdr:colOff>0</xdr:colOff>
      <xdr:row>57</xdr:row>
      <xdr:rowOff>0</xdr:rowOff>
    </xdr:from>
    <xdr:ext cx="784830" cy="392415"/>
    <xdr:sp macro="" textlink="">
      <xdr:nvSpPr>
        <xdr:cNvPr id="23" name="テキスト ボックス 22">
          <a:extLst>
            <a:ext uri="{FF2B5EF4-FFF2-40B4-BE49-F238E27FC236}">
              <a16:creationId xmlns:a16="http://schemas.microsoft.com/office/drawing/2014/main" id="{00000000-0008-0000-0500-000075000000}"/>
            </a:ext>
          </a:extLst>
        </xdr:cNvPr>
        <xdr:cNvSpPr txBox="1"/>
      </xdr:nvSpPr>
      <xdr:spPr>
        <a:xfrm>
          <a:off x="7292340" y="10157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11</xdr:col>
      <xdr:colOff>243840</xdr:colOff>
      <xdr:row>50</xdr:row>
      <xdr:rowOff>121920</xdr:rowOff>
    </xdr:from>
    <xdr:ext cx="2148345" cy="392415"/>
    <xdr:sp macro="" textlink="">
      <xdr:nvSpPr>
        <xdr:cNvPr id="24" name="テキスト ボックス 23">
          <a:extLst>
            <a:ext uri="{FF2B5EF4-FFF2-40B4-BE49-F238E27FC236}">
              <a16:creationId xmlns:a16="http://schemas.microsoft.com/office/drawing/2014/main" id="{00000000-0008-0000-0500-000075000000}"/>
            </a:ext>
          </a:extLst>
        </xdr:cNvPr>
        <xdr:cNvSpPr txBox="1"/>
      </xdr:nvSpPr>
      <xdr:spPr>
        <a:xfrm>
          <a:off x="7284720" y="8625840"/>
          <a:ext cx="214834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eGFR</a:t>
          </a:r>
          <a:r>
            <a:rPr kumimoji="1" lang="ja-JP" altLang="en-US" sz="1200" b="1">
              <a:solidFill>
                <a:srgbClr val="FF0000"/>
              </a:solidFill>
              <a:latin typeface="メイリオ" panose="020B0604030504040204" pitchFamily="50" charset="-128"/>
              <a:ea typeface="メイリオ" panose="020B0604030504040204" pitchFamily="50" charset="-128"/>
            </a:rPr>
            <a:t>サマリ、経過日で集約</a:t>
          </a:r>
        </a:p>
      </xdr:txBody>
    </xdr:sp>
    <xdr:clientData/>
  </xdr:oneCellAnchor>
  <xdr:oneCellAnchor>
    <xdr:from>
      <xdr:col>6</xdr:col>
      <xdr:colOff>0</xdr:colOff>
      <xdr:row>67</xdr:row>
      <xdr:rowOff>144780</xdr:rowOff>
    </xdr:from>
    <xdr:ext cx="2007281" cy="392415"/>
    <xdr:sp macro="" textlink="">
      <xdr:nvSpPr>
        <xdr:cNvPr id="25" name="テキスト ボックス 24">
          <a:extLst>
            <a:ext uri="{FF2B5EF4-FFF2-40B4-BE49-F238E27FC236}">
              <a16:creationId xmlns:a16="http://schemas.microsoft.com/office/drawing/2014/main" id="{00000000-0008-0000-0500-000075000000}"/>
            </a:ext>
          </a:extLst>
        </xdr:cNvPr>
        <xdr:cNvSpPr txBox="1"/>
      </xdr:nvSpPr>
      <xdr:spPr>
        <a:xfrm>
          <a:off x="3794760" y="9357360"/>
          <a:ext cx="20072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cate_egfr</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70</xdr:row>
      <xdr:rowOff>152400</xdr:rowOff>
    </xdr:from>
    <xdr:ext cx="854593" cy="392415"/>
    <xdr:sp macro="" textlink="">
      <xdr:nvSpPr>
        <xdr:cNvPr id="26" name="テキスト ボックス 25">
          <a:extLst>
            <a:ext uri="{FF2B5EF4-FFF2-40B4-BE49-F238E27FC236}">
              <a16:creationId xmlns:a16="http://schemas.microsoft.com/office/drawing/2014/main" id="{00000000-0008-0000-0500-000075000000}"/>
            </a:ext>
          </a:extLst>
        </xdr:cNvPr>
        <xdr:cNvSpPr txBox="1"/>
      </xdr:nvSpPr>
      <xdr:spPr>
        <a:xfrm>
          <a:off x="3794760" y="10073640"/>
          <a:ext cx="85459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18</a:t>
          </a:r>
          <a:r>
            <a:rPr kumimoji="1" lang="ja-JP" altLang="en-US" sz="1200" b="1">
              <a:solidFill>
                <a:srgbClr val="FF0000"/>
              </a:solidFill>
              <a:latin typeface="メイリオ" panose="020B0604030504040204" pitchFamily="50" charset="-128"/>
              <a:ea typeface="メイリオ" panose="020B0604030504040204" pitchFamily="50" charset="-128"/>
            </a:rPr>
            <a:t>歳以上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9</xdr:col>
      <xdr:colOff>0</xdr:colOff>
      <xdr:row>68</xdr:row>
      <xdr:rowOff>0</xdr:rowOff>
    </xdr:from>
    <xdr:ext cx="1183273" cy="392415"/>
    <xdr:sp macro="" textlink="">
      <xdr:nvSpPr>
        <xdr:cNvPr id="27" name="テキスト ボックス 26">
          <a:extLst>
            <a:ext uri="{FF2B5EF4-FFF2-40B4-BE49-F238E27FC236}">
              <a16:creationId xmlns:a16="http://schemas.microsoft.com/office/drawing/2014/main" id="{00000000-0008-0000-0500-000075000000}"/>
            </a:ext>
          </a:extLst>
        </xdr:cNvPr>
        <xdr:cNvSpPr txBox="1"/>
      </xdr:nvSpPr>
      <xdr:spPr>
        <a:xfrm>
          <a:off x="5875020" y="94488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12</xdr:col>
      <xdr:colOff>0</xdr:colOff>
      <xdr:row>71</xdr:row>
      <xdr:rowOff>0</xdr:rowOff>
    </xdr:from>
    <xdr:ext cx="784830" cy="392415"/>
    <xdr:sp macro="" textlink="">
      <xdr:nvSpPr>
        <xdr:cNvPr id="28" name="テキスト ボックス 27">
          <a:extLst>
            <a:ext uri="{FF2B5EF4-FFF2-40B4-BE49-F238E27FC236}">
              <a16:creationId xmlns:a16="http://schemas.microsoft.com/office/drawing/2014/main" id="{00000000-0008-0000-0500-000075000000}"/>
            </a:ext>
          </a:extLst>
        </xdr:cNvPr>
        <xdr:cNvSpPr txBox="1"/>
      </xdr:nvSpPr>
      <xdr:spPr>
        <a:xfrm>
          <a:off x="7292340" y="10157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13</xdr:col>
      <xdr:colOff>198120</xdr:colOff>
      <xdr:row>66</xdr:row>
      <xdr:rowOff>53340</xdr:rowOff>
    </xdr:from>
    <xdr:ext cx="2148345" cy="392415"/>
    <xdr:sp macro="" textlink="">
      <xdr:nvSpPr>
        <xdr:cNvPr id="29" name="テキスト ボックス 28">
          <a:extLst>
            <a:ext uri="{FF2B5EF4-FFF2-40B4-BE49-F238E27FC236}">
              <a16:creationId xmlns:a16="http://schemas.microsoft.com/office/drawing/2014/main" id="{00000000-0008-0000-0500-000075000000}"/>
            </a:ext>
          </a:extLst>
        </xdr:cNvPr>
        <xdr:cNvSpPr txBox="1"/>
      </xdr:nvSpPr>
      <xdr:spPr>
        <a:xfrm>
          <a:off x="8404860" y="15643860"/>
          <a:ext cx="214834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eGFR</a:t>
          </a:r>
          <a:r>
            <a:rPr kumimoji="1" lang="ja-JP" altLang="en-US" sz="1200" b="1">
              <a:solidFill>
                <a:srgbClr val="FF0000"/>
              </a:solidFill>
              <a:latin typeface="メイリオ" panose="020B0604030504040204" pitchFamily="50" charset="-128"/>
              <a:ea typeface="メイリオ" panose="020B0604030504040204" pitchFamily="50" charset="-128"/>
            </a:rPr>
            <a:t>サマリ、経過週で集約</a:t>
          </a:r>
        </a:p>
      </xdr:txBody>
    </xdr:sp>
    <xdr:clientData/>
  </xdr:oneCellAnchor>
  <xdr:oneCellAnchor>
    <xdr:from>
      <xdr:col>9</xdr:col>
      <xdr:colOff>670560</xdr:colOff>
      <xdr:row>64</xdr:row>
      <xdr:rowOff>137160</xdr:rowOff>
    </xdr:from>
    <xdr:ext cx="3625288" cy="392415"/>
    <xdr:sp macro="" textlink="">
      <xdr:nvSpPr>
        <xdr:cNvPr id="30" name="テキスト ボックス 29">
          <a:extLst>
            <a:ext uri="{FF2B5EF4-FFF2-40B4-BE49-F238E27FC236}">
              <a16:creationId xmlns:a16="http://schemas.microsoft.com/office/drawing/2014/main" id="{00000000-0008-0000-0500-000075000000}"/>
            </a:ext>
          </a:extLst>
        </xdr:cNvPr>
        <xdr:cNvSpPr txBox="1"/>
      </xdr:nvSpPr>
      <xdr:spPr>
        <a:xfrm>
          <a:off x="6545580" y="15255240"/>
          <a:ext cx="362528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eGFR</a:t>
          </a:r>
          <a:r>
            <a:rPr kumimoji="1" lang="ja-JP" altLang="en-US" sz="1200" b="1">
              <a:solidFill>
                <a:srgbClr val="FF0000"/>
              </a:solidFill>
              <a:latin typeface="メイリオ" panose="020B0604030504040204" pitchFamily="50" charset="-128"/>
              <a:ea typeface="メイリオ" panose="020B0604030504040204" pitchFamily="50" charset="-128"/>
            </a:rPr>
            <a:t>サマリ、経過週で集約</a:t>
          </a:r>
        </a:p>
      </xdr:txBody>
    </xdr:sp>
    <xdr:clientData/>
  </xdr:oneCellAnchor>
  <xdr:oneCellAnchor>
    <xdr:from>
      <xdr:col>6</xdr:col>
      <xdr:colOff>0</xdr:colOff>
      <xdr:row>81</xdr:row>
      <xdr:rowOff>144780</xdr:rowOff>
    </xdr:from>
    <xdr:ext cx="2007281" cy="392415"/>
    <xdr:sp macro="" textlink="">
      <xdr:nvSpPr>
        <xdr:cNvPr id="31" name="テキスト ボックス 30">
          <a:extLst>
            <a:ext uri="{FF2B5EF4-FFF2-40B4-BE49-F238E27FC236}">
              <a16:creationId xmlns:a16="http://schemas.microsoft.com/office/drawing/2014/main" id="{00000000-0008-0000-0500-000075000000}"/>
            </a:ext>
          </a:extLst>
        </xdr:cNvPr>
        <xdr:cNvSpPr txBox="1"/>
      </xdr:nvSpPr>
      <xdr:spPr>
        <a:xfrm>
          <a:off x="3794760" y="15971520"/>
          <a:ext cx="20072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cate_egfr</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9</xdr:col>
      <xdr:colOff>0</xdr:colOff>
      <xdr:row>82</xdr:row>
      <xdr:rowOff>0</xdr:rowOff>
    </xdr:from>
    <xdr:ext cx="1183273" cy="392415"/>
    <xdr:sp macro="" textlink="">
      <xdr:nvSpPr>
        <xdr:cNvPr id="33" name="テキスト ボックス 32">
          <a:extLst>
            <a:ext uri="{FF2B5EF4-FFF2-40B4-BE49-F238E27FC236}">
              <a16:creationId xmlns:a16="http://schemas.microsoft.com/office/drawing/2014/main" id="{00000000-0008-0000-0500-000075000000}"/>
            </a:ext>
          </a:extLst>
        </xdr:cNvPr>
        <xdr:cNvSpPr txBox="1"/>
      </xdr:nvSpPr>
      <xdr:spPr>
        <a:xfrm>
          <a:off x="5875020" y="1606296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12</xdr:col>
      <xdr:colOff>0</xdr:colOff>
      <xdr:row>85</xdr:row>
      <xdr:rowOff>0</xdr:rowOff>
    </xdr:from>
    <xdr:ext cx="784830" cy="392415"/>
    <xdr:sp macro="" textlink="">
      <xdr:nvSpPr>
        <xdr:cNvPr id="34" name="テキスト ボックス 33">
          <a:extLst>
            <a:ext uri="{FF2B5EF4-FFF2-40B4-BE49-F238E27FC236}">
              <a16:creationId xmlns:a16="http://schemas.microsoft.com/office/drawing/2014/main" id="{00000000-0008-0000-0500-000075000000}"/>
            </a:ext>
          </a:extLst>
        </xdr:cNvPr>
        <xdr:cNvSpPr txBox="1"/>
      </xdr:nvSpPr>
      <xdr:spPr>
        <a:xfrm>
          <a:off x="7292340" y="16771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13</xdr:col>
      <xdr:colOff>198120</xdr:colOff>
      <xdr:row>80</xdr:row>
      <xdr:rowOff>53340</xdr:rowOff>
    </xdr:from>
    <xdr:ext cx="2148345" cy="392415"/>
    <xdr:sp macro="" textlink="">
      <xdr:nvSpPr>
        <xdr:cNvPr id="35" name="テキスト ボックス 34">
          <a:extLst>
            <a:ext uri="{FF2B5EF4-FFF2-40B4-BE49-F238E27FC236}">
              <a16:creationId xmlns:a16="http://schemas.microsoft.com/office/drawing/2014/main" id="{00000000-0008-0000-0500-000075000000}"/>
            </a:ext>
          </a:extLst>
        </xdr:cNvPr>
        <xdr:cNvSpPr txBox="1"/>
      </xdr:nvSpPr>
      <xdr:spPr>
        <a:xfrm>
          <a:off x="8404860" y="15643860"/>
          <a:ext cx="214834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eGFR</a:t>
          </a:r>
          <a:r>
            <a:rPr kumimoji="1" lang="ja-JP" altLang="en-US" sz="1200" b="1">
              <a:solidFill>
                <a:srgbClr val="FF0000"/>
              </a:solidFill>
              <a:latin typeface="メイリオ" panose="020B0604030504040204" pitchFamily="50" charset="-128"/>
              <a:ea typeface="メイリオ" panose="020B0604030504040204" pitchFamily="50" charset="-128"/>
            </a:rPr>
            <a:t>サマリ、経過週で集約</a:t>
          </a:r>
        </a:p>
      </xdr:txBody>
    </xdr:sp>
    <xdr:clientData/>
  </xdr:oneCellAnchor>
  <xdr:oneCellAnchor>
    <xdr:from>
      <xdr:col>9</xdr:col>
      <xdr:colOff>670560</xdr:colOff>
      <xdr:row>78</xdr:row>
      <xdr:rowOff>137160</xdr:rowOff>
    </xdr:from>
    <xdr:ext cx="3625288" cy="392415"/>
    <xdr:sp macro="" textlink="">
      <xdr:nvSpPr>
        <xdr:cNvPr id="37" name="テキスト ボックス 36">
          <a:extLst>
            <a:ext uri="{FF2B5EF4-FFF2-40B4-BE49-F238E27FC236}">
              <a16:creationId xmlns:a16="http://schemas.microsoft.com/office/drawing/2014/main" id="{00000000-0008-0000-0500-000075000000}"/>
            </a:ext>
          </a:extLst>
        </xdr:cNvPr>
        <xdr:cNvSpPr txBox="1"/>
      </xdr:nvSpPr>
      <xdr:spPr>
        <a:xfrm>
          <a:off x="6545580" y="15255240"/>
          <a:ext cx="362528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eGFR</a:t>
          </a:r>
          <a:r>
            <a:rPr kumimoji="1" lang="ja-JP" altLang="en-US" sz="1200" b="1">
              <a:solidFill>
                <a:srgbClr val="FF0000"/>
              </a:solidFill>
              <a:latin typeface="メイリオ" panose="020B0604030504040204" pitchFamily="50" charset="-128"/>
              <a:ea typeface="メイリオ" panose="020B0604030504040204" pitchFamily="50" charset="-128"/>
            </a:rPr>
            <a:t>サマリ、経過週で集約</a:t>
          </a:r>
        </a:p>
      </xdr:txBody>
    </xdr:sp>
    <xdr:clientData/>
  </xdr:oneCellAnchor>
  <xdr:oneCellAnchor>
    <xdr:from>
      <xdr:col>5</xdr:col>
      <xdr:colOff>228600</xdr:colOff>
      <xdr:row>84</xdr:row>
      <xdr:rowOff>160020</xdr:rowOff>
    </xdr:from>
    <xdr:ext cx="2912720" cy="392415"/>
    <xdr:sp macro="" textlink="">
      <xdr:nvSpPr>
        <xdr:cNvPr id="38" name="テキスト ボックス 37">
          <a:extLst>
            <a:ext uri="{FF2B5EF4-FFF2-40B4-BE49-F238E27FC236}">
              <a16:creationId xmlns:a16="http://schemas.microsoft.com/office/drawing/2014/main" id="{00000000-0008-0000-0500-000075000000}"/>
            </a:ext>
          </a:extLst>
        </xdr:cNvPr>
        <xdr:cNvSpPr txBox="1"/>
      </xdr:nvSpPr>
      <xdr:spPr>
        <a:xfrm>
          <a:off x="3771900" y="20002500"/>
          <a:ext cx="291272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18</a:t>
          </a:r>
          <a:r>
            <a:rPr kumimoji="1" lang="ja-JP" altLang="en-US" sz="1200" b="1">
              <a:solidFill>
                <a:srgbClr val="FF0000"/>
              </a:solidFill>
              <a:latin typeface="メイリオ" panose="020B0604030504040204" pitchFamily="50" charset="-128"/>
              <a:ea typeface="メイリオ" panose="020B0604030504040204" pitchFamily="50" charset="-128"/>
            </a:rPr>
            <a:t>歳以上かつ</a:t>
          </a:r>
          <a:r>
            <a:rPr kumimoji="1" lang="en-US" altLang="ja-JP" sz="1200" b="1">
              <a:solidFill>
                <a:srgbClr val="FF0000"/>
              </a:solidFill>
              <a:latin typeface="メイリオ" panose="020B0604030504040204" pitchFamily="50" charset="-128"/>
              <a:ea typeface="メイリオ" panose="020B0604030504040204" pitchFamily="50" charset="-128"/>
            </a:rPr>
            <a:t>look_back</a:t>
          </a:r>
          <a:r>
            <a:rPr kumimoji="1" lang="ja-JP" altLang="en-US" sz="1200" b="1">
              <a:solidFill>
                <a:srgbClr val="FF0000"/>
              </a:solidFill>
              <a:latin typeface="メイリオ" panose="020B0604030504040204" pitchFamily="50" charset="-128"/>
              <a:ea typeface="メイリオ" panose="020B0604030504040204" pitchFamily="50" charset="-128"/>
            </a:rPr>
            <a:t>期間</a:t>
          </a:r>
          <a:r>
            <a:rPr kumimoji="1" lang="en-US" altLang="ja-JP" sz="1200" b="1">
              <a:solidFill>
                <a:srgbClr val="FF0000"/>
              </a:solidFill>
              <a:latin typeface="メイリオ" panose="020B0604030504040204" pitchFamily="50" charset="-128"/>
              <a:ea typeface="メイリオ" panose="020B0604030504040204" pitchFamily="50" charset="-128"/>
            </a:rPr>
            <a:t>30</a:t>
          </a:r>
          <a:r>
            <a:rPr kumimoji="1" lang="ja-JP" altLang="en-US" sz="1200" b="1">
              <a:solidFill>
                <a:srgbClr val="FF0000"/>
              </a:solidFill>
              <a:latin typeface="メイリオ" panose="020B0604030504040204" pitchFamily="50" charset="-128"/>
              <a:ea typeface="メイリオ" panose="020B0604030504040204" pitchFamily="50" charset="-128"/>
            </a:rPr>
            <a:t>以上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95</xdr:row>
      <xdr:rowOff>144780</xdr:rowOff>
    </xdr:from>
    <xdr:ext cx="2007281" cy="392415"/>
    <xdr:sp macro="" textlink="">
      <xdr:nvSpPr>
        <xdr:cNvPr id="39" name="テキスト ボックス 38">
          <a:extLst>
            <a:ext uri="{FF2B5EF4-FFF2-40B4-BE49-F238E27FC236}">
              <a16:creationId xmlns:a16="http://schemas.microsoft.com/office/drawing/2014/main" id="{00000000-0008-0000-0500-000075000000}"/>
            </a:ext>
          </a:extLst>
        </xdr:cNvPr>
        <xdr:cNvSpPr txBox="1"/>
      </xdr:nvSpPr>
      <xdr:spPr>
        <a:xfrm>
          <a:off x="3794760" y="15971520"/>
          <a:ext cx="20072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cate_egfr</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98</xdr:row>
      <xdr:rowOff>152400</xdr:rowOff>
    </xdr:from>
    <xdr:ext cx="854593" cy="392415"/>
    <xdr:sp macro="" textlink="">
      <xdr:nvSpPr>
        <xdr:cNvPr id="40" name="テキスト ボックス 39">
          <a:extLst>
            <a:ext uri="{FF2B5EF4-FFF2-40B4-BE49-F238E27FC236}">
              <a16:creationId xmlns:a16="http://schemas.microsoft.com/office/drawing/2014/main" id="{00000000-0008-0000-0500-000075000000}"/>
            </a:ext>
          </a:extLst>
        </xdr:cNvPr>
        <xdr:cNvSpPr txBox="1"/>
      </xdr:nvSpPr>
      <xdr:spPr>
        <a:xfrm>
          <a:off x="3794760" y="16687800"/>
          <a:ext cx="85459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18</a:t>
          </a:r>
          <a:r>
            <a:rPr kumimoji="1" lang="ja-JP" altLang="en-US" sz="1200" b="1">
              <a:solidFill>
                <a:srgbClr val="FF0000"/>
              </a:solidFill>
              <a:latin typeface="メイリオ" panose="020B0604030504040204" pitchFamily="50" charset="-128"/>
              <a:ea typeface="メイリオ" panose="020B0604030504040204" pitchFamily="50" charset="-128"/>
            </a:rPr>
            <a:t>歳以上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9</xdr:col>
      <xdr:colOff>0</xdr:colOff>
      <xdr:row>96</xdr:row>
      <xdr:rowOff>0</xdr:rowOff>
    </xdr:from>
    <xdr:ext cx="1183273" cy="392415"/>
    <xdr:sp macro="" textlink="">
      <xdr:nvSpPr>
        <xdr:cNvPr id="41" name="テキスト ボックス 40">
          <a:extLst>
            <a:ext uri="{FF2B5EF4-FFF2-40B4-BE49-F238E27FC236}">
              <a16:creationId xmlns:a16="http://schemas.microsoft.com/office/drawing/2014/main" id="{00000000-0008-0000-0500-000075000000}"/>
            </a:ext>
          </a:extLst>
        </xdr:cNvPr>
        <xdr:cNvSpPr txBox="1"/>
      </xdr:nvSpPr>
      <xdr:spPr>
        <a:xfrm>
          <a:off x="5875020" y="1606296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12</xdr:col>
      <xdr:colOff>0</xdr:colOff>
      <xdr:row>99</xdr:row>
      <xdr:rowOff>0</xdr:rowOff>
    </xdr:from>
    <xdr:ext cx="784830" cy="392415"/>
    <xdr:sp macro="" textlink="">
      <xdr:nvSpPr>
        <xdr:cNvPr id="46" name="テキスト ボックス 45">
          <a:extLst>
            <a:ext uri="{FF2B5EF4-FFF2-40B4-BE49-F238E27FC236}">
              <a16:creationId xmlns:a16="http://schemas.microsoft.com/office/drawing/2014/main" id="{00000000-0008-0000-0500-000075000000}"/>
            </a:ext>
          </a:extLst>
        </xdr:cNvPr>
        <xdr:cNvSpPr txBox="1"/>
      </xdr:nvSpPr>
      <xdr:spPr>
        <a:xfrm>
          <a:off x="7292340" y="16771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13</xdr:col>
      <xdr:colOff>198120</xdr:colOff>
      <xdr:row>94</xdr:row>
      <xdr:rowOff>53340</xdr:rowOff>
    </xdr:from>
    <xdr:ext cx="2148345" cy="392415"/>
    <xdr:sp macro="" textlink="">
      <xdr:nvSpPr>
        <xdr:cNvPr id="47" name="テキスト ボックス 46">
          <a:extLst>
            <a:ext uri="{FF2B5EF4-FFF2-40B4-BE49-F238E27FC236}">
              <a16:creationId xmlns:a16="http://schemas.microsoft.com/office/drawing/2014/main" id="{00000000-0008-0000-0500-000075000000}"/>
            </a:ext>
          </a:extLst>
        </xdr:cNvPr>
        <xdr:cNvSpPr txBox="1"/>
      </xdr:nvSpPr>
      <xdr:spPr>
        <a:xfrm>
          <a:off x="8404860" y="22258020"/>
          <a:ext cx="214834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eGFR</a:t>
          </a:r>
          <a:r>
            <a:rPr kumimoji="1" lang="ja-JP" altLang="en-US" sz="1200" b="1">
              <a:solidFill>
                <a:srgbClr val="FF0000"/>
              </a:solidFill>
              <a:latin typeface="メイリオ" panose="020B0604030504040204" pitchFamily="50" charset="-128"/>
              <a:ea typeface="メイリオ" panose="020B0604030504040204" pitchFamily="50" charset="-128"/>
            </a:rPr>
            <a:t>サマリ、経過月で集約</a:t>
          </a:r>
        </a:p>
      </xdr:txBody>
    </xdr:sp>
    <xdr:clientData/>
  </xdr:oneCellAnchor>
  <xdr:oneCellAnchor>
    <xdr:from>
      <xdr:col>9</xdr:col>
      <xdr:colOff>670560</xdr:colOff>
      <xdr:row>92</xdr:row>
      <xdr:rowOff>137160</xdr:rowOff>
    </xdr:from>
    <xdr:ext cx="3625288" cy="392415"/>
    <xdr:sp macro="" textlink="">
      <xdr:nvSpPr>
        <xdr:cNvPr id="48" name="テキスト ボックス 47">
          <a:extLst>
            <a:ext uri="{FF2B5EF4-FFF2-40B4-BE49-F238E27FC236}">
              <a16:creationId xmlns:a16="http://schemas.microsoft.com/office/drawing/2014/main" id="{00000000-0008-0000-0500-000075000000}"/>
            </a:ext>
          </a:extLst>
        </xdr:cNvPr>
        <xdr:cNvSpPr txBox="1"/>
      </xdr:nvSpPr>
      <xdr:spPr>
        <a:xfrm>
          <a:off x="6545580" y="21869400"/>
          <a:ext cx="362528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eGFR</a:t>
          </a:r>
          <a:r>
            <a:rPr kumimoji="1" lang="ja-JP" altLang="en-US" sz="1200" b="1">
              <a:solidFill>
                <a:srgbClr val="FF0000"/>
              </a:solidFill>
              <a:latin typeface="メイリオ" panose="020B0604030504040204" pitchFamily="50" charset="-128"/>
              <a:ea typeface="メイリオ" panose="020B0604030504040204" pitchFamily="50" charset="-128"/>
            </a:rPr>
            <a:t>サマリ、経過月で集約</a:t>
          </a:r>
        </a:p>
      </xdr:txBody>
    </xdr:sp>
    <xdr:clientData/>
  </xdr:oneCellAnchor>
  <xdr:oneCellAnchor>
    <xdr:from>
      <xdr:col>6</xdr:col>
      <xdr:colOff>0</xdr:colOff>
      <xdr:row>109</xdr:row>
      <xdr:rowOff>144780</xdr:rowOff>
    </xdr:from>
    <xdr:ext cx="2007281" cy="392415"/>
    <xdr:sp macro="" textlink="">
      <xdr:nvSpPr>
        <xdr:cNvPr id="49" name="テキスト ボックス 48">
          <a:extLst>
            <a:ext uri="{FF2B5EF4-FFF2-40B4-BE49-F238E27FC236}">
              <a16:creationId xmlns:a16="http://schemas.microsoft.com/office/drawing/2014/main" id="{00000000-0008-0000-0500-000075000000}"/>
            </a:ext>
          </a:extLst>
        </xdr:cNvPr>
        <xdr:cNvSpPr txBox="1"/>
      </xdr:nvSpPr>
      <xdr:spPr>
        <a:xfrm>
          <a:off x="3794760" y="22585680"/>
          <a:ext cx="20072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cate_egfr</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9</xdr:col>
      <xdr:colOff>0</xdr:colOff>
      <xdr:row>110</xdr:row>
      <xdr:rowOff>0</xdr:rowOff>
    </xdr:from>
    <xdr:ext cx="1183273" cy="392415"/>
    <xdr:sp macro="" textlink="">
      <xdr:nvSpPr>
        <xdr:cNvPr id="51" name="テキスト ボックス 50">
          <a:extLst>
            <a:ext uri="{FF2B5EF4-FFF2-40B4-BE49-F238E27FC236}">
              <a16:creationId xmlns:a16="http://schemas.microsoft.com/office/drawing/2014/main" id="{00000000-0008-0000-0500-000075000000}"/>
            </a:ext>
          </a:extLst>
        </xdr:cNvPr>
        <xdr:cNvSpPr txBox="1"/>
      </xdr:nvSpPr>
      <xdr:spPr>
        <a:xfrm>
          <a:off x="5875020" y="2267712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12</xdr:col>
      <xdr:colOff>0</xdr:colOff>
      <xdr:row>113</xdr:row>
      <xdr:rowOff>0</xdr:rowOff>
    </xdr:from>
    <xdr:ext cx="784830" cy="392415"/>
    <xdr:sp macro="" textlink="">
      <xdr:nvSpPr>
        <xdr:cNvPr id="52" name="テキスト ボックス 51">
          <a:extLst>
            <a:ext uri="{FF2B5EF4-FFF2-40B4-BE49-F238E27FC236}">
              <a16:creationId xmlns:a16="http://schemas.microsoft.com/office/drawing/2014/main" id="{00000000-0008-0000-0500-000075000000}"/>
            </a:ext>
          </a:extLst>
        </xdr:cNvPr>
        <xdr:cNvSpPr txBox="1"/>
      </xdr:nvSpPr>
      <xdr:spPr>
        <a:xfrm>
          <a:off x="7292340" y="23385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13</xdr:col>
      <xdr:colOff>198120</xdr:colOff>
      <xdr:row>108</xdr:row>
      <xdr:rowOff>53340</xdr:rowOff>
    </xdr:from>
    <xdr:ext cx="2148345" cy="392415"/>
    <xdr:sp macro="" textlink="">
      <xdr:nvSpPr>
        <xdr:cNvPr id="53" name="テキスト ボックス 52">
          <a:extLst>
            <a:ext uri="{FF2B5EF4-FFF2-40B4-BE49-F238E27FC236}">
              <a16:creationId xmlns:a16="http://schemas.microsoft.com/office/drawing/2014/main" id="{00000000-0008-0000-0500-000075000000}"/>
            </a:ext>
          </a:extLst>
        </xdr:cNvPr>
        <xdr:cNvSpPr txBox="1"/>
      </xdr:nvSpPr>
      <xdr:spPr>
        <a:xfrm>
          <a:off x="8404860" y="22258020"/>
          <a:ext cx="214834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eGFR</a:t>
          </a:r>
          <a:r>
            <a:rPr kumimoji="1" lang="ja-JP" altLang="en-US" sz="1200" b="1">
              <a:solidFill>
                <a:srgbClr val="FF0000"/>
              </a:solidFill>
              <a:latin typeface="メイリオ" panose="020B0604030504040204" pitchFamily="50" charset="-128"/>
              <a:ea typeface="メイリオ" panose="020B0604030504040204" pitchFamily="50" charset="-128"/>
            </a:rPr>
            <a:t>サマリ、経過月で集約</a:t>
          </a:r>
        </a:p>
      </xdr:txBody>
    </xdr:sp>
    <xdr:clientData/>
  </xdr:oneCellAnchor>
  <xdr:oneCellAnchor>
    <xdr:from>
      <xdr:col>9</xdr:col>
      <xdr:colOff>670560</xdr:colOff>
      <xdr:row>106</xdr:row>
      <xdr:rowOff>137160</xdr:rowOff>
    </xdr:from>
    <xdr:ext cx="3625288" cy="392415"/>
    <xdr:sp macro="" textlink="">
      <xdr:nvSpPr>
        <xdr:cNvPr id="54" name="テキスト ボックス 53">
          <a:extLst>
            <a:ext uri="{FF2B5EF4-FFF2-40B4-BE49-F238E27FC236}">
              <a16:creationId xmlns:a16="http://schemas.microsoft.com/office/drawing/2014/main" id="{00000000-0008-0000-0500-000075000000}"/>
            </a:ext>
          </a:extLst>
        </xdr:cNvPr>
        <xdr:cNvSpPr txBox="1"/>
      </xdr:nvSpPr>
      <xdr:spPr>
        <a:xfrm>
          <a:off x="6545580" y="21869400"/>
          <a:ext cx="362528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eGFR</a:t>
          </a:r>
          <a:r>
            <a:rPr kumimoji="1" lang="ja-JP" altLang="en-US" sz="1200" b="1">
              <a:solidFill>
                <a:srgbClr val="FF0000"/>
              </a:solidFill>
              <a:latin typeface="メイリオ" panose="020B0604030504040204" pitchFamily="50" charset="-128"/>
              <a:ea typeface="メイリオ" panose="020B0604030504040204" pitchFamily="50" charset="-128"/>
            </a:rPr>
            <a:t>サマリ、経過月で集約</a:t>
          </a:r>
        </a:p>
      </xdr:txBody>
    </xdr:sp>
    <xdr:clientData/>
  </xdr:oneCellAnchor>
  <xdr:oneCellAnchor>
    <xdr:from>
      <xdr:col>6</xdr:col>
      <xdr:colOff>0</xdr:colOff>
      <xdr:row>112</xdr:row>
      <xdr:rowOff>160020</xdr:rowOff>
    </xdr:from>
    <xdr:ext cx="2912720" cy="392415"/>
    <xdr:sp macro="" textlink="">
      <xdr:nvSpPr>
        <xdr:cNvPr id="55" name="テキスト ボックス 54">
          <a:extLst>
            <a:ext uri="{FF2B5EF4-FFF2-40B4-BE49-F238E27FC236}">
              <a16:creationId xmlns:a16="http://schemas.microsoft.com/office/drawing/2014/main" id="{00000000-0008-0000-0500-000075000000}"/>
            </a:ext>
          </a:extLst>
        </xdr:cNvPr>
        <xdr:cNvSpPr txBox="1"/>
      </xdr:nvSpPr>
      <xdr:spPr>
        <a:xfrm>
          <a:off x="3794760" y="26616660"/>
          <a:ext cx="291272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18</a:t>
          </a:r>
          <a:r>
            <a:rPr kumimoji="1" lang="ja-JP" altLang="en-US" sz="1200" b="1">
              <a:solidFill>
                <a:srgbClr val="FF0000"/>
              </a:solidFill>
              <a:latin typeface="メイリオ" panose="020B0604030504040204" pitchFamily="50" charset="-128"/>
              <a:ea typeface="メイリオ" panose="020B0604030504040204" pitchFamily="50" charset="-128"/>
            </a:rPr>
            <a:t>歳以上かつ</a:t>
          </a:r>
          <a:r>
            <a:rPr kumimoji="1" lang="en-US" altLang="ja-JP" sz="1200" b="1">
              <a:solidFill>
                <a:srgbClr val="FF0000"/>
              </a:solidFill>
              <a:latin typeface="メイリオ" panose="020B0604030504040204" pitchFamily="50" charset="-128"/>
              <a:ea typeface="メイリオ" panose="020B0604030504040204" pitchFamily="50" charset="-128"/>
            </a:rPr>
            <a:t>look_back</a:t>
          </a:r>
          <a:r>
            <a:rPr kumimoji="1" lang="ja-JP" altLang="en-US" sz="1200" b="1">
              <a:solidFill>
                <a:srgbClr val="FF0000"/>
              </a:solidFill>
              <a:latin typeface="メイリオ" panose="020B0604030504040204" pitchFamily="50" charset="-128"/>
              <a:ea typeface="メイリオ" panose="020B0604030504040204" pitchFamily="50" charset="-128"/>
            </a:rPr>
            <a:t>期間</a:t>
          </a:r>
          <a:r>
            <a:rPr kumimoji="1" lang="en-US" altLang="ja-JP" sz="1200" b="1">
              <a:solidFill>
                <a:srgbClr val="FF0000"/>
              </a:solidFill>
              <a:latin typeface="メイリオ" panose="020B0604030504040204" pitchFamily="50" charset="-128"/>
              <a:ea typeface="メイリオ" panose="020B0604030504040204" pitchFamily="50" charset="-128"/>
            </a:rPr>
            <a:t>30</a:t>
          </a:r>
          <a:r>
            <a:rPr kumimoji="1" lang="ja-JP" altLang="en-US" sz="1200" b="1">
              <a:solidFill>
                <a:srgbClr val="FF0000"/>
              </a:solidFill>
              <a:latin typeface="メイリオ" panose="020B0604030504040204" pitchFamily="50" charset="-128"/>
              <a:ea typeface="メイリオ" panose="020B0604030504040204" pitchFamily="50" charset="-128"/>
            </a:rPr>
            <a:t>以上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123</xdr:row>
      <xdr:rowOff>144780</xdr:rowOff>
    </xdr:from>
    <xdr:ext cx="2007281" cy="392415"/>
    <xdr:sp macro="" textlink="">
      <xdr:nvSpPr>
        <xdr:cNvPr id="56" name="テキスト ボックス 55">
          <a:extLst>
            <a:ext uri="{FF2B5EF4-FFF2-40B4-BE49-F238E27FC236}">
              <a16:creationId xmlns:a16="http://schemas.microsoft.com/office/drawing/2014/main" id="{00000000-0008-0000-0500-000075000000}"/>
            </a:ext>
          </a:extLst>
        </xdr:cNvPr>
        <xdr:cNvSpPr txBox="1"/>
      </xdr:nvSpPr>
      <xdr:spPr>
        <a:xfrm>
          <a:off x="3794760" y="9357360"/>
          <a:ext cx="20072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cate_egfr</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126</xdr:row>
      <xdr:rowOff>152400</xdr:rowOff>
    </xdr:from>
    <xdr:ext cx="854593" cy="392415"/>
    <xdr:sp macro="" textlink="">
      <xdr:nvSpPr>
        <xdr:cNvPr id="57" name="テキスト ボックス 56">
          <a:extLst>
            <a:ext uri="{FF2B5EF4-FFF2-40B4-BE49-F238E27FC236}">
              <a16:creationId xmlns:a16="http://schemas.microsoft.com/office/drawing/2014/main" id="{00000000-0008-0000-0500-000075000000}"/>
            </a:ext>
          </a:extLst>
        </xdr:cNvPr>
        <xdr:cNvSpPr txBox="1"/>
      </xdr:nvSpPr>
      <xdr:spPr>
        <a:xfrm>
          <a:off x="3794760" y="10073640"/>
          <a:ext cx="85459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18</a:t>
          </a:r>
          <a:r>
            <a:rPr kumimoji="1" lang="ja-JP" altLang="en-US" sz="1200" b="1">
              <a:solidFill>
                <a:srgbClr val="FF0000"/>
              </a:solidFill>
              <a:latin typeface="メイリオ" panose="020B0604030504040204" pitchFamily="50" charset="-128"/>
              <a:ea typeface="メイリオ" panose="020B0604030504040204" pitchFamily="50" charset="-128"/>
            </a:rPr>
            <a:t>歳以上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9</xdr:col>
      <xdr:colOff>0</xdr:colOff>
      <xdr:row>124</xdr:row>
      <xdr:rowOff>0</xdr:rowOff>
    </xdr:from>
    <xdr:ext cx="784830" cy="392415"/>
    <xdr:sp macro="" textlink="">
      <xdr:nvSpPr>
        <xdr:cNvPr id="58" name="テキスト ボックス 57">
          <a:extLst>
            <a:ext uri="{FF2B5EF4-FFF2-40B4-BE49-F238E27FC236}">
              <a16:creationId xmlns:a16="http://schemas.microsoft.com/office/drawing/2014/main" id="{00000000-0008-0000-0500-000075000000}"/>
            </a:ext>
          </a:extLst>
        </xdr:cNvPr>
        <xdr:cNvSpPr txBox="1"/>
      </xdr:nvSpPr>
      <xdr:spPr>
        <a:xfrm>
          <a:off x="5875020" y="292912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12</xdr:col>
      <xdr:colOff>0</xdr:colOff>
      <xdr:row>127</xdr:row>
      <xdr:rowOff>0</xdr:rowOff>
    </xdr:from>
    <xdr:ext cx="784830" cy="392415"/>
    <xdr:sp macro="" textlink="">
      <xdr:nvSpPr>
        <xdr:cNvPr id="59" name="テキスト ボックス 58">
          <a:extLst>
            <a:ext uri="{FF2B5EF4-FFF2-40B4-BE49-F238E27FC236}">
              <a16:creationId xmlns:a16="http://schemas.microsoft.com/office/drawing/2014/main" id="{00000000-0008-0000-0500-000075000000}"/>
            </a:ext>
          </a:extLst>
        </xdr:cNvPr>
        <xdr:cNvSpPr txBox="1"/>
      </xdr:nvSpPr>
      <xdr:spPr>
        <a:xfrm>
          <a:off x="7292340" y="10157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11</xdr:col>
      <xdr:colOff>243840</xdr:colOff>
      <xdr:row>120</xdr:row>
      <xdr:rowOff>121920</xdr:rowOff>
    </xdr:from>
    <xdr:ext cx="1107996" cy="392415"/>
    <xdr:sp macro="" textlink="">
      <xdr:nvSpPr>
        <xdr:cNvPr id="60" name="テキスト ボックス 59">
          <a:extLst>
            <a:ext uri="{FF2B5EF4-FFF2-40B4-BE49-F238E27FC236}">
              <a16:creationId xmlns:a16="http://schemas.microsoft.com/office/drawing/2014/main" id="{00000000-0008-0000-0500-000075000000}"/>
            </a:ext>
          </a:extLst>
        </xdr:cNvPr>
        <xdr:cNvSpPr txBox="1"/>
      </xdr:nvSpPr>
      <xdr:spPr>
        <a:xfrm>
          <a:off x="7284720" y="28468320"/>
          <a:ext cx="110799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経過日で集約</a:t>
          </a:r>
        </a:p>
      </xdr:txBody>
    </xdr:sp>
    <xdr:clientData/>
  </xdr:oneCellAnchor>
  <xdr:oneCellAnchor>
    <xdr:from>
      <xdr:col>6</xdr:col>
      <xdr:colOff>0</xdr:colOff>
      <xdr:row>137</xdr:row>
      <xdr:rowOff>144780</xdr:rowOff>
    </xdr:from>
    <xdr:ext cx="2007281" cy="392415"/>
    <xdr:sp macro="" textlink="">
      <xdr:nvSpPr>
        <xdr:cNvPr id="61" name="テキスト ボックス 60">
          <a:extLst>
            <a:ext uri="{FF2B5EF4-FFF2-40B4-BE49-F238E27FC236}">
              <a16:creationId xmlns:a16="http://schemas.microsoft.com/office/drawing/2014/main" id="{00000000-0008-0000-0500-000075000000}"/>
            </a:ext>
          </a:extLst>
        </xdr:cNvPr>
        <xdr:cNvSpPr txBox="1"/>
      </xdr:nvSpPr>
      <xdr:spPr>
        <a:xfrm>
          <a:off x="3794760" y="29199840"/>
          <a:ext cx="20072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cate_egfr</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9</xdr:col>
      <xdr:colOff>0</xdr:colOff>
      <xdr:row>138</xdr:row>
      <xdr:rowOff>0</xdr:rowOff>
    </xdr:from>
    <xdr:ext cx="784830" cy="392415"/>
    <xdr:sp macro="" textlink="">
      <xdr:nvSpPr>
        <xdr:cNvPr id="63" name="テキスト ボックス 62">
          <a:extLst>
            <a:ext uri="{FF2B5EF4-FFF2-40B4-BE49-F238E27FC236}">
              <a16:creationId xmlns:a16="http://schemas.microsoft.com/office/drawing/2014/main" id="{00000000-0008-0000-0500-000075000000}"/>
            </a:ext>
          </a:extLst>
        </xdr:cNvPr>
        <xdr:cNvSpPr txBox="1"/>
      </xdr:nvSpPr>
      <xdr:spPr>
        <a:xfrm>
          <a:off x="5875020" y="292912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12</xdr:col>
      <xdr:colOff>0</xdr:colOff>
      <xdr:row>141</xdr:row>
      <xdr:rowOff>0</xdr:rowOff>
    </xdr:from>
    <xdr:ext cx="784830" cy="392415"/>
    <xdr:sp macro="" textlink="">
      <xdr:nvSpPr>
        <xdr:cNvPr id="64" name="テキスト ボックス 63">
          <a:extLst>
            <a:ext uri="{FF2B5EF4-FFF2-40B4-BE49-F238E27FC236}">
              <a16:creationId xmlns:a16="http://schemas.microsoft.com/office/drawing/2014/main" id="{00000000-0008-0000-0500-000075000000}"/>
            </a:ext>
          </a:extLst>
        </xdr:cNvPr>
        <xdr:cNvSpPr txBox="1"/>
      </xdr:nvSpPr>
      <xdr:spPr>
        <a:xfrm>
          <a:off x="7292340" y="29999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11</xdr:col>
      <xdr:colOff>243840</xdr:colOff>
      <xdr:row>134</xdr:row>
      <xdr:rowOff>121920</xdr:rowOff>
    </xdr:from>
    <xdr:ext cx="1107996" cy="392415"/>
    <xdr:sp macro="" textlink="">
      <xdr:nvSpPr>
        <xdr:cNvPr id="65" name="テキスト ボックス 64">
          <a:extLst>
            <a:ext uri="{FF2B5EF4-FFF2-40B4-BE49-F238E27FC236}">
              <a16:creationId xmlns:a16="http://schemas.microsoft.com/office/drawing/2014/main" id="{00000000-0008-0000-0500-000075000000}"/>
            </a:ext>
          </a:extLst>
        </xdr:cNvPr>
        <xdr:cNvSpPr txBox="1"/>
      </xdr:nvSpPr>
      <xdr:spPr>
        <a:xfrm>
          <a:off x="7284720" y="28468320"/>
          <a:ext cx="110799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経過日で集約</a:t>
          </a:r>
        </a:p>
      </xdr:txBody>
    </xdr:sp>
    <xdr:clientData/>
  </xdr:oneCellAnchor>
  <xdr:oneCellAnchor>
    <xdr:from>
      <xdr:col>6</xdr:col>
      <xdr:colOff>0</xdr:colOff>
      <xdr:row>140</xdr:row>
      <xdr:rowOff>175260</xdr:rowOff>
    </xdr:from>
    <xdr:ext cx="2912720" cy="392415"/>
    <xdr:sp macro="" textlink="">
      <xdr:nvSpPr>
        <xdr:cNvPr id="67" name="テキスト ボックス 66">
          <a:extLst>
            <a:ext uri="{FF2B5EF4-FFF2-40B4-BE49-F238E27FC236}">
              <a16:creationId xmlns:a16="http://schemas.microsoft.com/office/drawing/2014/main" id="{00000000-0008-0000-0500-000075000000}"/>
            </a:ext>
          </a:extLst>
        </xdr:cNvPr>
        <xdr:cNvSpPr txBox="1"/>
      </xdr:nvSpPr>
      <xdr:spPr>
        <a:xfrm>
          <a:off x="3794760" y="33246060"/>
          <a:ext cx="291272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18</a:t>
          </a:r>
          <a:r>
            <a:rPr kumimoji="1" lang="ja-JP" altLang="en-US" sz="1200" b="1">
              <a:solidFill>
                <a:srgbClr val="FF0000"/>
              </a:solidFill>
              <a:latin typeface="メイリオ" panose="020B0604030504040204" pitchFamily="50" charset="-128"/>
              <a:ea typeface="メイリオ" panose="020B0604030504040204" pitchFamily="50" charset="-128"/>
            </a:rPr>
            <a:t>歳以上かつ</a:t>
          </a:r>
          <a:r>
            <a:rPr kumimoji="1" lang="en-US" altLang="ja-JP" sz="1200" b="1">
              <a:solidFill>
                <a:srgbClr val="FF0000"/>
              </a:solidFill>
              <a:latin typeface="メイリオ" panose="020B0604030504040204" pitchFamily="50" charset="-128"/>
              <a:ea typeface="メイリオ" panose="020B0604030504040204" pitchFamily="50" charset="-128"/>
            </a:rPr>
            <a:t>look_back</a:t>
          </a:r>
          <a:r>
            <a:rPr kumimoji="1" lang="ja-JP" altLang="en-US" sz="1200" b="1">
              <a:solidFill>
                <a:srgbClr val="FF0000"/>
              </a:solidFill>
              <a:latin typeface="メイリオ" panose="020B0604030504040204" pitchFamily="50" charset="-128"/>
              <a:ea typeface="メイリオ" panose="020B0604030504040204" pitchFamily="50" charset="-128"/>
            </a:rPr>
            <a:t>期間</a:t>
          </a:r>
          <a:r>
            <a:rPr kumimoji="1" lang="en-US" altLang="ja-JP" sz="1200" b="1">
              <a:solidFill>
                <a:srgbClr val="FF0000"/>
              </a:solidFill>
              <a:latin typeface="メイリオ" panose="020B0604030504040204" pitchFamily="50" charset="-128"/>
              <a:ea typeface="メイリオ" panose="020B0604030504040204" pitchFamily="50" charset="-128"/>
            </a:rPr>
            <a:t>30</a:t>
          </a:r>
          <a:r>
            <a:rPr kumimoji="1" lang="ja-JP" altLang="en-US" sz="1200" b="1">
              <a:solidFill>
                <a:srgbClr val="FF0000"/>
              </a:solidFill>
              <a:latin typeface="メイリオ" panose="020B0604030504040204" pitchFamily="50" charset="-128"/>
              <a:ea typeface="メイリオ" panose="020B0604030504040204" pitchFamily="50" charset="-128"/>
            </a:rPr>
            <a:t>以上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151</xdr:row>
      <xdr:rowOff>144780</xdr:rowOff>
    </xdr:from>
    <xdr:ext cx="2007281" cy="392415"/>
    <xdr:sp macro="" textlink="">
      <xdr:nvSpPr>
        <xdr:cNvPr id="68" name="テキスト ボックス 67">
          <a:extLst>
            <a:ext uri="{FF2B5EF4-FFF2-40B4-BE49-F238E27FC236}">
              <a16:creationId xmlns:a16="http://schemas.microsoft.com/office/drawing/2014/main" id="{00000000-0008-0000-0500-000075000000}"/>
            </a:ext>
          </a:extLst>
        </xdr:cNvPr>
        <xdr:cNvSpPr txBox="1"/>
      </xdr:nvSpPr>
      <xdr:spPr>
        <a:xfrm>
          <a:off x="3794760" y="15971520"/>
          <a:ext cx="20072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cate_egfr</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154</xdr:row>
      <xdr:rowOff>152400</xdr:rowOff>
    </xdr:from>
    <xdr:ext cx="854593" cy="392415"/>
    <xdr:sp macro="" textlink="">
      <xdr:nvSpPr>
        <xdr:cNvPr id="69" name="テキスト ボックス 68">
          <a:extLst>
            <a:ext uri="{FF2B5EF4-FFF2-40B4-BE49-F238E27FC236}">
              <a16:creationId xmlns:a16="http://schemas.microsoft.com/office/drawing/2014/main" id="{00000000-0008-0000-0500-000075000000}"/>
            </a:ext>
          </a:extLst>
        </xdr:cNvPr>
        <xdr:cNvSpPr txBox="1"/>
      </xdr:nvSpPr>
      <xdr:spPr>
        <a:xfrm>
          <a:off x="3794760" y="16687800"/>
          <a:ext cx="85459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18</a:t>
          </a:r>
          <a:r>
            <a:rPr kumimoji="1" lang="ja-JP" altLang="en-US" sz="1200" b="1">
              <a:solidFill>
                <a:srgbClr val="FF0000"/>
              </a:solidFill>
              <a:latin typeface="メイリオ" panose="020B0604030504040204" pitchFamily="50" charset="-128"/>
              <a:ea typeface="メイリオ" panose="020B0604030504040204" pitchFamily="50" charset="-128"/>
            </a:rPr>
            <a:t>歳以上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9</xdr:col>
      <xdr:colOff>0</xdr:colOff>
      <xdr:row>152</xdr:row>
      <xdr:rowOff>0</xdr:rowOff>
    </xdr:from>
    <xdr:ext cx="784830" cy="392415"/>
    <xdr:sp macro="" textlink="">
      <xdr:nvSpPr>
        <xdr:cNvPr id="70" name="テキスト ボックス 69">
          <a:extLst>
            <a:ext uri="{FF2B5EF4-FFF2-40B4-BE49-F238E27FC236}">
              <a16:creationId xmlns:a16="http://schemas.microsoft.com/office/drawing/2014/main" id="{00000000-0008-0000-0500-000075000000}"/>
            </a:ext>
          </a:extLst>
        </xdr:cNvPr>
        <xdr:cNvSpPr txBox="1"/>
      </xdr:nvSpPr>
      <xdr:spPr>
        <a:xfrm>
          <a:off x="5875020" y="359054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12</xdr:col>
      <xdr:colOff>0</xdr:colOff>
      <xdr:row>155</xdr:row>
      <xdr:rowOff>0</xdr:rowOff>
    </xdr:from>
    <xdr:ext cx="784830" cy="392415"/>
    <xdr:sp macro="" textlink="">
      <xdr:nvSpPr>
        <xdr:cNvPr id="71" name="テキスト ボックス 70">
          <a:extLst>
            <a:ext uri="{FF2B5EF4-FFF2-40B4-BE49-F238E27FC236}">
              <a16:creationId xmlns:a16="http://schemas.microsoft.com/office/drawing/2014/main" id="{00000000-0008-0000-0500-000075000000}"/>
            </a:ext>
          </a:extLst>
        </xdr:cNvPr>
        <xdr:cNvSpPr txBox="1"/>
      </xdr:nvSpPr>
      <xdr:spPr>
        <a:xfrm>
          <a:off x="7292340" y="16771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14</xdr:col>
      <xdr:colOff>373380</xdr:colOff>
      <xdr:row>149</xdr:row>
      <xdr:rowOff>213360</xdr:rowOff>
    </xdr:from>
    <xdr:ext cx="1107996" cy="392415"/>
    <xdr:sp macro="" textlink="">
      <xdr:nvSpPr>
        <xdr:cNvPr id="72" name="テキスト ボックス 71">
          <a:extLst>
            <a:ext uri="{FF2B5EF4-FFF2-40B4-BE49-F238E27FC236}">
              <a16:creationId xmlns:a16="http://schemas.microsoft.com/office/drawing/2014/main" id="{00000000-0008-0000-0500-000075000000}"/>
            </a:ext>
          </a:extLst>
        </xdr:cNvPr>
        <xdr:cNvSpPr txBox="1"/>
      </xdr:nvSpPr>
      <xdr:spPr>
        <a:xfrm>
          <a:off x="9494520" y="35410140"/>
          <a:ext cx="110799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経過週で集約</a:t>
          </a:r>
        </a:p>
      </xdr:txBody>
    </xdr:sp>
    <xdr:clientData/>
  </xdr:oneCellAnchor>
  <xdr:oneCellAnchor>
    <xdr:from>
      <xdr:col>11</xdr:col>
      <xdr:colOff>182880</xdr:colOff>
      <xdr:row>148</xdr:row>
      <xdr:rowOff>137160</xdr:rowOff>
    </xdr:from>
    <xdr:ext cx="2584938" cy="392415"/>
    <xdr:sp macro="" textlink="">
      <xdr:nvSpPr>
        <xdr:cNvPr id="73" name="テキスト ボックス 72">
          <a:extLst>
            <a:ext uri="{FF2B5EF4-FFF2-40B4-BE49-F238E27FC236}">
              <a16:creationId xmlns:a16="http://schemas.microsoft.com/office/drawing/2014/main" id="{00000000-0008-0000-0500-000075000000}"/>
            </a:ext>
          </a:extLst>
        </xdr:cNvPr>
        <xdr:cNvSpPr txBox="1"/>
      </xdr:nvSpPr>
      <xdr:spPr>
        <a:xfrm>
          <a:off x="7223760" y="35097720"/>
          <a:ext cx="258493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、経過週で集約</a:t>
          </a:r>
        </a:p>
      </xdr:txBody>
    </xdr:sp>
    <xdr:clientData/>
  </xdr:oneCellAnchor>
  <xdr:oneCellAnchor>
    <xdr:from>
      <xdr:col>6</xdr:col>
      <xdr:colOff>0</xdr:colOff>
      <xdr:row>165</xdr:row>
      <xdr:rowOff>144780</xdr:rowOff>
    </xdr:from>
    <xdr:ext cx="2007281" cy="392415"/>
    <xdr:sp macro="" textlink="">
      <xdr:nvSpPr>
        <xdr:cNvPr id="74" name="テキスト ボックス 73">
          <a:extLst>
            <a:ext uri="{FF2B5EF4-FFF2-40B4-BE49-F238E27FC236}">
              <a16:creationId xmlns:a16="http://schemas.microsoft.com/office/drawing/2014/main" id="{00000000-0008-0000-0500-000075000000}"/>
            </a:ext>
          </a:extLst>
        </xdr:cNvPr>
        <xdr:cNvSpPr txBox="1"/>
      </xdr:nvSpPr>
      <xdr:spPr>
        <a:xfrm>
          <a:off x="3794760" y="35814000"/>
          <a:ext cx="20072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cate_egfr</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9</xdr:col>
      <xdr:colOff>0</xdr:colOff>
      <xdr:row>166</xdr:row>
      <xdr:rowOff>0</xdr:rowOff>
    </xdr:from>
    <xdr:ext cx="784830" cy="392415"/>
    <xdr:sp macro="" textlink="">
      <xdr:nvSpPr>
        <xdr:cNvPr id="76" name="テキスト ボックス 75">
          <a:extLst>
            <a:ext uri="{FF2B5EF4-FFF2-40B4-BE49-F238E27FC236}">
              <a16:creationId xmlns:a16="http://schemas.microsoft.com/office/drawing/2014/main" id="{00000000-0008-0000-0500-000075000000}"/>
            </a:ext>
          </a:extLst>
        </xdr:cNvPr>
        <xdr:cNvSpPr txBox="1"/>
      </xdr:nvSpPr>
      <xdr:spPr>
        <a:xfrm>
          <a:off x="5875020" y="359054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12</xdr:col>
      <xdr:colOff>0</xdr:colOff>
      <xdr:row>169</xdr:row>
      <xdr:rowOff>0</xdr:rowOff>
    </xdr:from>
    <xdr:ext cx="784830" cy="392415"/>
    <xdr:sp macro="" textlink="">
      <xdr:nvSpPr>
        <xdr:cNvPr id="77" name="テキスト ボックス 76">
          <a:extLst>
            <a:ext uri="{FF2B5EF4-FFF2-40B4-BE49-F238E27FC236}">
              <a16:creationId xmlns:a16="http://schemas.microsoft.com/office/drawing/2014/main" id="{00000000-0008-0000-0500-000075000000}"/>
            </a:ext>
          </a:extLst>
        </xdr:cNvPr>
        <xdr:cNvSpPr txBox="1"/>
      </xdr:nvSpPr>
      <xdr:spPr>
        <a:xfrm>
          <a:off x="7292340" y="36614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14</xdr:col>
      <xdr:colOff>373380</xdr:colOff>
      <xdr:row>163</xdr:row>
      <xdr:rowOff>213360</xdr:rowOff>
    </xdr:from>
    <xdr:ext cx="1107996" cy="392415"/>
    <xdr:sp macro="" textlink="">
      <xdr:nvSpPr>
        <xdr:cNvPr id="78" name="テキスト ボックス 77">
          <a:extLst>
            <a:ext uri="{FF2B5EF4-FFF2-40B4-BE49-F238E27FC236}">
              <a16:creationId xmlns:a16="http://schemas.microsoft.com/office/drawing/2014/main" id="{00000000-0008-0000-0500-000075000000}"/>
            </a:ext>
          </a:extLst>
        </xdr:cNvPr>
        <xdr:cNvSpPr txBox="1"/>
      </xdr:nvSpPr>
      <xdr:spPr>
        <a:xfrm>
          <a:off x="9494520" y="35410140"/>
          <a:ext cx="110799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経過週で集約</a:t>
          </a:r>
        </a:p>
      </xdr:txBody>
    </xdr:sp>
    <xdr:clientData/>
  </xdr:oneCellAnchor>
  <xdr:oneCellAnchor>
    <xdr:from>
      <xdr:col>11</xdr:col>
      <xdr:colOff>182880</xdr:colOff>
      <xdr:row>162</xdr:row>
      <xdr:rowOff>137160</xdr:rowOff>
    </xdr:from>
    <xdr:ext cx="2584938" cy="392415"/>
    <xdr:sp macro="" textlink="">
      <xdr:nvSpPr>
        <xdr:cNvPr id="79" name="テキスト ボックス 78">
          <a:extLst>
            <a:ext uri="{FF2B5EF4-FFF2-40B4-BE49-F238E27FC236}">
              <a16:creationId xmlns:a16="http://schemas.microsoft.com/office/drawing/2014/main" id="{00000000-0008-0000-0500-000075000000}"/>
            </a:ext>
          </a:extLst>
        </xdr:cNvPr>
        <xdr:cNvSpPr txBox="1"/>
      </xdr:nvSpPr>
      <xdr:spPr>
        <a:xfrm>
          <a:off x="7223760" y="35097720"/>
          <a:ext cx="258493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、経過週で集約</a:t>
          </a:r>
        </a:p>
      </xdr:txBody>
    </xdr:sp>
    <xdr:clientData/>
  </xdr:oneCellAnchor>
  <xdr:oneCellAnchor>
    <xdr:from>
      <xdr:col>6</xdr:col>
      <xdr:colOff>7620</xdr:colOff>
      <xdr:row>168</xdr:row>
      <xdr:rowOff>160020</xdr:rowOff>
    </xdr:from>
    <xdr:ext cx="2912720" cy="392415"/>
    <xdr:sp macro="" textlink="">
      <xdr:nvSpPr>
        <xdr:cNvPr id="81" name="テキスト ボックス 80">
          <a:extLst>
            <a:ext uri="{FF2B5EF4-FFF2-40B4-BE49-F238E27FC236}">
              <a16:creationId xmlns:a16="http://schemas.microsoft.com/office/drawing/2014/main" id="{00000000-0008-0000-0500-000075000000}"/>
            </a:ext>
          </a:extLst>
        </xdr:cNvPr>
        <xdr:cNvSpPr txBox="1"/>
      </xdr:nvSpPr>
      <xdr:spPr>
        <a:xfrm>
          <a:off x="3802380" y="39844980"/>
          <a:ext cx="291272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18</a:t>
          </a:r>
          <a:r>
            <a:rPr kumimoji="1" lang="ja-JP" altLang="en-US" sz="1200" b="1">
              <a:solidFill>
                <a:srgbClr val="FF0000"/>
              </a:solidFill>
              <a:latin typeface="メイリオ" panose="020B0604030504040204" pitchFamily="50" charset="-128"/>
              <a:ea typeface="メイリオ" panose="020B0604030504040204" pitchFamily="50" charset="-128"/>
            </a:rPr>
            <a:t>歳以上かつ</a:t>
          </a:r>
          <a:r>
            <a:rPr kumimoji="1" lang="en-US" altLang="ja-JP" sz="1200" b="1">
              <a:solidFill>
                <a:srgbClr val="FF0000"/>
              </a:solidFill>
              <a:latin typeface="メイリオ" panose="020B0604030504040204" pitchFamily="50" charset="-128"/>
              <a:ea typeface="メイリオ" panose="020B0604030504040204" pitchFamily="50" charset="-128"/>
            </a:rPr>
            <a:t>look_back</a:t>
          </a:r>
          <a:r>
            <a:rPr kumimoji="1" lang="ja-JP" altLang="en-US" sz="1200" b="1">
              <a:solidFill>
                <a:srgbClr val="FF0000"/>
              </a:solidFill>
              <a:latin typeface="メイリオ" panose="020B0604030504040204" pitchFamily="50" charset="-128"/>
              <a:ea typeface="メイリオ" panose="020B0604030504040204" pitchFamily="50" charset="-128"/>
            </a:rPr>
            <a:t>期間</a:t>
          </a:r>
          <a:r>
            <a:rPr kumimoji="1" lang="en-US" altLang="ja-JP" sz="1200" b="1">
              <a:solidFill>
                <a:srgbClr val="FF0000"/>
              </a:solidFill>
              <a:latin typeface="メイリオ" panose="020B0604030504040204" pitchFamily="50" charset="-128"/>
              <a:ea typeface="メイリオ" panose="020B0604030504040204" pitchFamily="50" charset="-128"/>
            </a:rPr>
            <a:t>30</a:t>
          </a:r>
          <a:r>
            <a:rPr kumimoji="1" lang="ja-JP" altLang="en-US" sz="1200" b="1">
              <a:solidFill>
                <a:srgbClr val="FF0000"/>
              </a:solidFill>
              <a:latin typeface="メイリオ" panose="020B0604030504040204" pitchFamily="50" charset="-128"/>
              <a:ea typeface="メイリオ" panose="020B0604030504040204" pitchFamily="50" charset="-128"/>
            </a:rPr>
            <a:t>以上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179</xdr:row>
      <xdr:rowOff>144780</xdr:rowOff>
    </xdr:from>
    <xdr:ext cx="2007281" cy="392415"/>
    <xdr:sp macro="" textlink="">
      <xdr:nvSpPr>
        <xdr:cNvPr id="82" name="テキスト ボックス 81">
          <a:extLst>
            <a:ext uri="{FF2B5EF4-FFF2-40B4-BE49-F238E27FC236}">
              <a16:creationId xmlns:a16="http://schemas.microsoft.com/office/drawing/2014/main" id="{00000000-0008-0000-0500-000075000000}"/>
            </a:ext>
          </a:extLst>
        </xdr:cNvPr>
        <xdr:cNvSpPr txBox="1"/>
      </xdr:nvSpPr>
      <xdr:spPr>
        <a:xfrm>
          <a:off x="3794760" y="35814000"/>
          <a:ext cx="20072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cate_egfr</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182</xdr:row>
      <xdr:rowOff>152400</xdr:rowOff>
    </xdr:from>
    <xdr:ext cx="854593" cy="392415"/>
    <xdr:sp macro="" textlink="">
      <xdr:nvSpPr>
        <xdr:cNvPr id="83" name="テキスト ボックス 82">
          <a:extLst>
            <a:ext uri="{FF2B5EF4-FFF2-40B4-BE49-F238E27FC236}">
              <a16:creationId xmlns:a16="http://schemas.microsoft.com/office/drawing/2014/main" id="{00000000-0008-0000-0500-000075000000}"/>
            </a:ext>
          </a:extLst>
        </xdr:cNvPr>
        <xdr:cNvSpPr txBox="1"/>
      </xdr:nvSpPr>
      <xdr:spPr>
        <a:xfrm>
          <a:off x="3794760" y="36530280"/>
          <a:ext cx="85459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18</a:t>
          </a:r>
          <a:r>
            <a:rPr kumimoji="1" lang="ja-JP" altLang="en-US" sz="1200" b="1">
              <a:solidFill>
                <a:srgbClr val="FF0000"/>
              </a:solidFill>
              <a:latin typeface="メイリオ" panose="020B0604030504040204" pitchFamily="50" charset="-128"/>
              <a:ea typeface="メイリオ" panose="020B0604030504040204" pitchFamily="50" charset="-128"/>
            </a:rPr>
            <a:t>歳以上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9</xdr:col>
      <xdr:colOff>0</xdr:colOff>
      <xdr:row>180</xdr:row>
      <xdr:rowOff>0</xdr:rowOff>
    </xdr:from>
    <xdr:ext cx="784830" cy="392415"/>
    <xdr:sp macro="" textlink="">
      <xdr:nvSpPr>
        <xdr:cNvPr id="84" name="テキスト ボックス 83">
          <a:extLst>
            <a:ext uri="{FF2B5EF4-FFF2-40B4-BE49-F238E27FC236}">
              <a16:creationId xmlns:a16="http://schemas.microsoft.com/office/drawing/2014/main" id="{00000000-0008-0000-0500-000075000000}"/>
            </a:ext>
          </a:extLst>
        </xdr:cNvPr>
        <xdr:cNvSpPr txBox="1"/>
      </xdr:nvSpPr>
      <xdr:spPr>
        <a:xfrm>
          <a:off x="5875020" y="359054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12</xdr:col>
      <xdr:colOff>0</xdr:colOff>
      <xdr:row>183</xdr:row>
      <xdr:rowOff>0</xdr:rowOff>
    </xdr:from>
    <xdr:ext cx="784830" cy="392415"/>
    <xdr:sp macro="" textlink="">
      <xdr:nvSpPr>
        <xdr:cNvPr id="85" name="テキスト ボックス 84">
          <a:extLst>
            <a:ext uri="{FF2B5EF4-FFF2-40B4-BE49-F238E27FC236}">
              <a16:creationId xmlns:a16="http://schemas.microsoft.com/office/drawing/2014/main" id="{00000000-0008-0000-0500-000075000000}"/>
            </a:ext>
          </a:extLst>
        </xdr:cNvPr>
        <xdr:cNvSpPr txBox="1"/>
      </xdr:nvSpPr>
      <xdr:spPr>
        <a:xfrm>
          <a:off x="7292340" y="36614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14</xdr:col>
      <xdr:colOff>373380</xdr:colOff>
      <xdr:row>177</xdr:row>
      <xdr:rowOff>213360</xdr:rowOff>
    </xdr:from>
    <xdr:ext cx="1107996" cy="392415"/>
    <xdr:sp macro="" textlink="">
      <xdr:nvSpPr>
        <xdr:cNvPr id="86" name="テキスト ボックス 85">
          <a:extLst>
            <a:ext uri="{FF2B5EF4-FFF2-40B4-BE49-F238E27FC236}">
              <a16:creationId xmlns:a16="http://schemas.microsoft.com/office/drawing/2014/main" id="{00000000-0008-0000-0500-000075000000}"/>
            </a:ext>
          </a:extLst>
        </xdr:cNvPr>
        <xdr:cNvSpPr txBox="1"/>
      </xdr:nvSpPr>
      <xdr:spPr>
        <a:xfrm>
          <a:off x="9494520" y="42024300"/>
          <a:ext cx="110799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経過月で集約</a:t>
          </a:r>
        </a:p>
      </xdr:txBody>
    </xdr:sp>
    <xdr:clientData/>
  </xdr:oneCellAnchor>
  <xdr:oneCellAnchor>
    <xdr:from>
      <xdr:col>11</xdr:col>
      <xdr:colOff>182880</xdr:colOff>
      <xdr:row>176</xdr:row>
      <xdr:rowOff>137160</xdr:rowOff>
    </xdr:from>
    <xdr:ext cx="2584938" cy="392415"/>
    <xdr:sp macro="" textlink="">
      <xdr:nvSpPr>
        <xdr:cNvPr id="87" name="テキスト ボックス 86">
          <a:extLst>
            <a:ext uri="{FF2B5EF4-FFF2-40B4-BE49-F238E27FC236}">
              <a16:creationId xmlns:a16="http://schemas.microsoft.com/office/drawing/2014/main" id="{00000000-0008-0000-0500-000075000000}"/>
            </a:ext>
          </a:extLst>
        </xdr:cNvPr>
        <xdr:cNvSpPr txBox="1"/>
      </xdr:nvSpPr>
      <xdr:spPr>
        <a:xfrm>
          <a:off x="7223760" y="41711880"/>
          <a:ext cx="258493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、経過月で集約</a:t>
          </a:r>
        </a:p>
      </xdr:txBody>
    </xdr:sp>
    <xdr:clientData/>
  </xdr:oneCellAnchor>
  <xdr:oneCellAnchor>
    <xdr:from>
      <xdr:col>6</xdr:col>
      <xdr:colOff>0</xdr:colOff>
      <xdr:row>193</xdr:row>
      <xdr:rowOff>144780</xdr:rowOff>
    </xdr:from>
    <xdr:ext cx="2007281" cy="392415"/>
    <xdr:sp macro="" textlink="">
      <xdr:nvSpPr>
        <xdr:cNvPr id="88" name="テキスト ボックス 87">
          <a:extLst>
            <a:ext uri="{FF2B5EF4-FFF2-40B4-BE49-F238E27FC236}">
              <a16:creationId xmlns:a16="http://schemas.microsoft.com/office/drawing/2014/main" id="{00000000-0008-0000-0500-000075000000}"/>
            </a:ext>
          </a:extLst>
        </xdr:cNvPr>
        <xdr:cNvSpPr txBox="1"/>
      </xdr:nvSpPr>
      <xdr:spPr>
        <a:xfrm>
          <a:off x="3794760" y="42428160"/>
          <a:ext cx="20072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cate_egfr</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9</xdr:col>
      <xdr:colOff>0</xdr:colOff>
      <xdr:row>194</xdr:row>
      <xdr:rowOff>0</xdr:rowOff>
    </xdr:from>
    <xdr:ext cx="784830" cy="392415"/>
    <xdr:sp macro="" textlink="">
      <xdr:nvSpPr>
        <xdr:cNvPr id="90" name="テキスト ボックス 89">
          <a:extLst>
            <a:ext uri="{FF2B5EF4-FFF2-40B4-BE49-F238E27FC236}">
              <a16:creationId xmlns:a16="http://schemas.microsoft.com/office/drawing/2014/main" id="{00000000-0008-0000-0500-000075000000}"/>
            </a:ext>
          </a:extLst>
        </xdr:cNvPr>
        <xdr:cNvSpPr txBox="1"/>
      </xdr:nvSpPr>
      <xdr:spPr>
        <a:xfrm>
          <a:off x="5875020" y="425196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12</xdr:col>
      <xdr:colOff>0</xdr:colOff>
      <xdr:row>197</xdr:row>
      <xdr:rowOff>0</xdr:rowOff>
    </xdr:from>
    <xdr:ext cx="784830" cy="392415"/>
    <xdr:sp macro="" textlink="">
      <xdr:nvSpPr>
        <xdr:cNvPr id="91" name="テキスト ボックス 90">
          <a:extLst>
            <a:ext uri="{FF2B5EF4-FFF2-40B4-BE49-F238E27FC236}">
              <a16:creationId xmlns:a16="http://schemas.microsoft.com/office/drawing/2014/main" id="{00000000-0008-0000-0500-000075000000}"/>
            </a:ext>
          </a:extLst>
        </xdr:cNvPr>
        <xdr:cNvSpPr txBox="1"/>
      </xdr:nvSpPr>
      <xdr:spPr>
        <a:xfrm>
          <a:off x="7292340" y="43228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14</xdr:col>
      <xdr:colOff>373380</xdr:colOff>
      <xdr:row>191</xdr:row>
      <xdr:rowOff>213360</xdr:rowOff>
    </xdr:from>
    <xdr:ext cx="1107996" cy="392415"/>
    <xdr:sp macro="" textlink="">
      <xdr:nvSpPr>
        <xdr:cNvPr id="92" name="テキスト ボックス 91">
          <a:extLst>
            <a:ext uri="{FF2B5EF4-FFF2-40B4-BE49-F238E27FC236}">
              <a16:creationId xmlns:a16="http://schemas.microsoft.com/office/drawing/2014/main" id="{00000000-0008-0000-0500-000075000000}"/>
            </a:ext>
          </a:extLst>
        </xdr:cNvPr>
        <xdr:cNvSpPr txBox="1"/>
      </xdr:nvSpPr>
      <xdr:spPr>
        <a:xfrm>
          <a:off x="9494520" y="42024300"/>
          <a:ext cx="110799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経過月で集約</a:t>
          </a:r>
        </a:p>
      </xdr:txBody>
    </xdr:sp>
    <xdr:clientData/>
  </xdr:oneCellAnchor>
  <xdr:oneCellAnchor>
    <xdr:from>
      <xdr:col>11</xdr:col>
      <xdr:colOff>182880</xdr:colOff>
      <xdr:row>190</xdr:row>
      <xdr:rowOff>137160</xdr:rowOff>
    </xdr:from>
    <xdr:ext cx="2584938" cy="392415"/>
    <xdr:sp macro="" textlink="">
      <xdr:nvSpPr>
        <xdr:cNvPr id="93" name="テキスト ボックス 92">
          <a:extLst>
            <a:ext uri="{FF2B5EF4-FFF2-40B4-BE49-F238E27FC236}">
              <a16:creationId xmlns:a16="http://schemas.microsoft.com/office/drawing/2014/main" id="{00000000-0008-0000-0500-000075000000}"/>
            </a:ext>
          </a:extLst>
        </xdr:cNvPr>
        <xdr:cNvSpPr txBox="1"/>
      </xdr:nvSpPr>
      <xdr:spPr>
        <a:xfrm>
          <a:off x="7223760" y="41711880"/>
          <a:ext cx="258493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、経過月で集約</a:t>
          </a:r>
        </a:p>
      </xdr:txBody>
    </xdr:sp>
    <xdr:clientData/>
  </xdr:oneCellAnchor>
  <xdr:oneCellAnchor>
    <xdr:from>
      <xdr:col>6</xdr:col>
      <xdr:colOff>0</xdr:colOff>
      <xdr:row>196</xdr:row>
      <xdr:rowOff>175260</xdr:rowOff>
    </xdr:from>
    <xdr:ext cx="2912720" cy="392415"/>
    <xdr:sp macro="" textlink="">
      <xdr:nvSpPr>
        <xdr:cNvPr id="94" name="テキスト ボックス 93">
          <a:extLst>
            <a:ext uri="{FF2B5EF4-FFF2-40B4-BE49-F238E27FC236}">
              <a16:creationId xmlns:a16="http://schemas.microsoft.com/office/drawing/2014/main" id="{00000000-0008-0000-0500-000075000000}"/>
            </a:ext>
          </a:extLst>
        </xdr:cNvPr>
        <xdr:cNvSpPr txBox="1"/>
      </xdr:nvSpPr>
      <xdr:spPr>
        <a:xfrm>
          <a:off x="3794760" y="46474380"/>
          <a:ext cx="291272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18</a:t>
          </a:r>
          <a:r>
            <a:rPr kumimoji="1" lang="ja-JP" altLang="en-US" sz="1200" b="1">
              <a:solidFill>
                <a:srgbClr val="FF0000"/>
              </a:solidFill>
              <a:latin typeface="メイリオ" panose="020B0604030504040204" pitchFamily="50" charset="-128"/>
              <a:ea typeface="メイリオ" panose="020B0604030504040204" pitchFamily="50" charset="-128"/>
            </a:rPr>
            <a:t>歳以上かつ</a:t>
          </a:r>
          <a:r>
            <a:rPr kumimoji="1" lang="en-US" altLang="ja-JP" sz="1200" b="1">
              <a:solidFill>
                <a:srgbClr val="FF0000"/>
              </a:solidFill>
              <a:latin typeface="メイリオ" panose="020B0604030504040204" pitchFamily="50" charset="-128"/>
              <a:ea typeface="メイリオ" panose="020B0604030504040204" pitchFamily="50" charset="-128"/>
            </a:rPr>
            <a:t>look_back</a:t>
          </a:r>
          <a:r>
            <a:rPr kumimoji="1" lang="ja-JP" altLang="en-US" sz="1200" b="1">
              <a:solidFill>
                <a:srgbClr val="FF0000"/>
              </a:solidFill>
              <a:latin typeface="メイリオ" panose="020B0604030504040204" pitchFamily="50" charset="-128"/>
              <a:ea typeface="メイリオ" panose="020B0604030504040204" pitchFamily="50" charset="-128"/>
            </a:rPr>
            <a:t>期間</a:t>
          </a:r>
          <a:r>
            <a:rPr kumimoji="1" lang="en-US" altLang="ja-JP" sz="1200" b="1">
              <a:solidFill>
                <a:srgbClr val="FF0000"/>
              </a:solidFill>
              <a:latin typeface="メイリオ" panose="020B0604030504040204" pitchFamily="50" charset="-128"/>
              <a:ea typeface="メイリオ" panose="020B0604030504040204" pitchFamily="50" charset="-128"/>
            </a:rPr>
            <a:t>30</a:t>
          </a:r>
          <a:r>
            <a:rPr kumimoji="1" lang="ja-JP" altLang="en-US" sz="1200" b="1">
              <a:solidFill>
                <a:srgbClr val="FF0000"/>
              </a:solidFill>
              <a:latin typeface="メイリオ" panose="020B0604030504040204" pitchFamily="50" charset="-128"/>
              <a:ea typeface="メイリオ" panose="020B0604030504040204" pitchFamily="50" charset="-128"/>
            </a:rPr>
            <a:t>以上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207</xdr:row>
      <xdr:rowOff>144780</xdr:rowOff>
    </xdr:from>
    <xdr:ext cx="2007281" cy="392415"/>
    <xdr:sp macro="" textlink="">
      <xdr:nvSpPr>
        <xdr:cNvPr id="95" name="テキスト ボックス 94">
          <a:extLst>
            <a:ext uri="{FF2B5EF4-FFF2-40B4-BE49-F238E27FC236}">
              <a16:creationId xmlns:a16="http://schemas.microsoft.com/office/drawing/2014/main" id="{00000000-0008-0000-0500-000075000000}"/>
            </a:ext>
          </a:extLst>
        </xdr:cNvPr>
        <xdr:cNvSpPr txBox="1"/>
      </xdr:nvSpPr>
      <xdr:spPr>
        <a:xfrm>
          <a:off x="3794760" y="15971520"/>
          <a:ext cx="20072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cate_egfr</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210</xdr:row>
      <xdr:rowOff>152400</xdr:rowOff>
    </xdr:from>
    <xdr:ext cx="3013646" cy="392415"/>
    <xdr:sp macro="" textlink="">
      <xdr:nvSpPr>
        <xdr:cNvPr id="96" name="テキスト ボックス 95">
          <a:extLst>
            <a:ext uri="{FF2B5EF4-FFF2-40B4-BE49-F238E27FC236}">
              <a16:creationId xmlns:a16="http://schemas.microsoft.com/office/drawing/2014/main" id="{00000000-0008-0000-0500-000075000000}"/>
            </a:ext>
          </a:extLst>
        </xdr:cNvPr>
        <xdr:cNvSpPr txBox="1"/>
      </xdr:nvSpPr>
      <xdr:spPr>
        <a:xfrm>
          <a:off x="3794760" y="49758600"/>
          <a:ext cx="301364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18</a:t>
          </a:r>
          <a:r>
            <a:rPr kumimoji="1" lang="ja-JP" altLang="en-US" sz="1200" b="1">
              <a:solidFill>
                <a:srgbClr val="FF0000"/>
              </a:solidFill>
              <a:latin typeface="メイリオ" panose="020B0604030504040204" pitchFamily="50" charset="-128"/>
              <a:ea typeface="メイリオ" panose="020B0604030504040204" pitchFamily="50" charset="-128"/>
            </a:rPr>
            <a:t>歳以上かつロケルマ処方期間が</a:t>
          </a:r>
          <a:r>
            <a:rPr kumimoji="1" lang="en-US" altLang="ja-JP" sz="1200" b="1">
              <a:solidFill>
                <a:srgbClr val="FF0000"/>
              </a:solidFill>
              <a:latin typeface="メイリオ" panose="020B0604030504040204" pitchFamily="50" charset="-128"/>
              <a:ea typeface="メイリオ" panose="020B0604030504040204" pitchFamily="50" charset="-128"/>
            </a:rPr>
            <a:t>0</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60</a:t>
          </a:r>
        </a:p>
      </xdr:txBody>
    </xdr:sp>
    <xdr:clientData/>
  </xdr:oneCellAnchor>
  <xdr:oneCellAnchor>
    <xdr:from>
      <xdr:col>9</xdr:col>
      <xdr:colOff>0</xdr:colOff>
      <xdr:row>208</xdr:row>
      <xdr:rowOff>0</xdr:rowOff>
    </xdr:from>
    <xdr:ext cx="1183273" cy="392415"/>
    <xdr:sp macro="" textlink="">
      <xdr:nvSpPr>
        <xdr:cNvPr id="97" name="テキスト ボックス 96">
          <a:extLst>
            <a:ext uri="{FF2B5EF4-FFF2-40B4-BE49-F238E27FC236}">
              <a16:creationId xmlns:a16="http://schemas.microsoft.com/office/drawing/2014/main" id="{00000000-0008-0000-0500-000075000000}"/>
            </a:ext>
          </a:extLst>
        </xdr:cNvPr>
        <xdr:cNvSpPr txBox="1"/>
      </xdr:nvSpPr>
      <xdr:spPr>
        <a:xfrm>
          <a:off x="5875020" y="1606296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12</xdr:col>
      <xdr:colOff>0</xdr:colOff>
      <xdr:row>211</xdr:row>
      <xdr:rowOff>0</xdr:rowOff>
    </xdr:from>
    <xdr:ext cx="784830" cy="392415"/>
    <xdr:sp macro="" textlink="">
      <xdr:nvSpPr>
        <xdr:cNvPr id="98" name="テキスト ボックス 97">
          <a:extLst>
            <a:ext uri="{FF2B5EF4-FFF2-40B4-BE49-F238E27FC236}">
              <a16:creationId xmlns:a16="http://schemas.microsoft.com/office/drawing/2014/main" id="{00000000-0008-0000-0500-000075000000}"/>
            </a:ext>
          </a:extLst>
        </xdr:cNvPr>
        <xdr:cNvSpPr txBox="1"/>
      </xdr:nvSpPr>
      <xdr:spPr>
        <a:xfrm>
          <a:off x="7292340" y="16771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13</xdr:col>
      <xdr:colOff>198120</xdr:colOff>
      <xdr:row>206</xdr:row>
      <xdr:rowOff>53340</xdr:rowOff>
    </xdr:from>
    <xdr:ext cx="2148345" cy="392415"/>
    <xdr:sp macro="" textlink="">
      <xdr:nvSpPr>
        <xdr:cNvPr id="99" name="テキスト ボックス 98">
          <a:extLst>
            <a:ext uri="{FF2B5EF4-FFF2-40B4-BE49-F238E27FC236}">
              <a16:creationId xmlns:a16="http://schemas.microsoft.com/office/drawing/2014/main" id="{00000000-0008-0000-0500-000075000000}"/>
            </a:ext>
          </a:extLst>
        </xdr:cNvPr>
        <xdr:cNvSpPr txBox="1"/>
      </xdr:nvSpPr>
      <xdr:spPr>
        <a:xfrm>
          <a:off x="8404860" y="15643860"/>
          <a:ext cx="214834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eGFR</a:t>
          </a:r>
          <a:r>
            <a:rPr kumimoji="1" lang="ja-JP" altLang="en-US" sz="1200" b="1">
              <a:solidFill>
                <a:srgbClr val="FF0000"/>
              </a:solidFill>
              <a:latin typeface="メイリオ" panose="020B0604030504040204" pitchFamily="50" charset="-128"/>
              <a:ea typeface="メイリオ" panose="020B0604030504040204" pitchFamily="50" charset="-128"/>
            </a:rPr>
            <a:t>サマリ、経過週で集約</a:t>
          </a:r>
        </a:p>
      </xdr:txBody>
    </xdr:sp>
    <xdr:clientData/>
  </xdr:oneCellAnchor>
  <xdr:oneCellAnchor>
    <xdr:from>
      <xdr:col>9</xdr:col>
      <xdr:colOff>670560</xdr:colOff>
      <xdr:row>204</xdr:row>
      <xdr:rowOff>137160</xdr:rowOff>
    </xdr:from>
    <xdr:ext cx="3625288" cy="392415"/>
    <xdr:sp macro="" textlink="">
      <xdr:nvSpPr>
        <xdr:cNvPr id="100" name="テキスト ボックス 99">
          <a:extLst>
            <a:ext uri="{FF2B5EF4-FFF2-40B4-BE49-F238E27FC236}">
              <a16:creationId xmlns:a16="http://schemas.microsoft.com/office/drawing/2014/main" id="{00000000-0008-0000-0500-000075000000}"/>
            </a:ext>
          </a:extLst>
        </xdr:cNvPr>
        <xdr:cNvSpPr txBox="1"/>
      </xdr:nvSpPr>
      <xdr:spPr>
        <a:xfrm>
          <a:off x="6545580" y="15255240"/>
          <a:ext cx="362528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eGFR</a:t>
          </a:r>
          <a:r>
            <a:rPr kumimoji="1" lang="ja-JP" altLang="en-US" sz="1200" b="1">
              <a:solidFill>
                <a:srgbClr val="FF0000"/>
              </a:solidFill>
              <a:latin typeface="メイリオ" panose="020B0604030504040204" pitchFamily="50" charset="-128"/>
              <a:ea typeface="メイリオ" panose="020B0604030504040204" pitchFamily="50" charset="-128"/>
            </a:rPr>
            <a:t>サマリ、経過週で集約</a:t>
          </a:r>
        </a:p>
      </xdr:txBody>
    </xdr:sp>
    <xdr:clientData/>
  </xdr:oneCellAnchor>
  <xdr:oneCellAnchor>
    <xdr:from>
      <xdr:col>6</xdr:col>
      <xdr:colOff>0</xdr:colOff>
      <xdr:row>221</xdr:row>
      <xdr:rowOff>144780</xdr:rowOff>
    </xdr:from>
    <xdr:ext cx="2007281" cy="392415"/>
    <xdr:sp macro="" textlink="">
      <xdr:nvSpPr>
        <xdr:cNvPr id="101" name="テキスト ボックス 100">
          <a:extLst>
            <a:ext uri="{FF2B5EF4-FFF2-40B4-BE49-F238E27FC236}">
              <a16:creationId xmlns:a16="http://schemas.microsoft.com/office/drawing/2014/main" id="{00000000-0008-0000-0500-000075000000}"/>
            </a:ext>
          </a:extLst>
        </xdr:cNvPr>
        <xdr:cNvSpPr txBox="1"/>
      </xdr:nvSpPr>
      <xdr:spPr>
        <a:xfrm>
          <a:off x="3794760" y="49042320"/>
          <a:ext cx="20072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cate_egfr</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224</xdr:row>
      <xdr:rowOff>152400</xdr:rowOff>
    </xdr:from>
    <xdr:ext cx="854593" cy="392415"/>
    <xdr:sp macro="" textlink="">
      <xdr:nvSpPr>
        <xdr:cNvPr id="102" name="テキスト ボックス 101">
          <a:extLst>
            <a:ext uri="{FF2B5EF4-FFF2-40B4-BE49-F238E27FC236}">
              <a16:creationId xmlns:a16="http://schemas.microsoft.com/office/drawing/2014/main" id="{00000000-0008-0000-0500-000075000000}"/>
            </a:ext>
          </a:extLst>
        </xdr:cNvPr>
        <xdr:cNvSpPr txBox="1"/>
      </xdr:nvSpPr>
      <xdr:spPr>
        <a:xfrm>
          <a:off x="3794760" y="53065680"/>
          <a:ext cx="85459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18</a:t>
          </a:r>
          <a:r>
            <a:rPr kumimoji="1" lang="ja-JP" altLang="en-US" sz="1200" b="1">
              <a:solidFill>
                <a:srgbClr val="FF0000"/>
              </a:solidFill>
              <a:latin typeface="メイリオ" panose="020B0604030504040204" pitchFamily="50" charset="-128"/>
              <a:ea typeface="メイリオ" panose="020B0604030504040204" pitchFamily="50" charset="-128"/>
            </a:rPr>
            <a:t>歳以上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9</xdr:col>
      <xdr:colOff>0</xdr:colOff>
      <xdr:row>222</xdr:row>
      <xdr:rowOff>0</xdr:rowOff>
    </xdr:from>
    <xdr:ext cx="1183273" cy="392415"/>
    <xdr:sp macro="" textlink="">
      <xdr:nvSpPr>
        <xdr:cNvPr id="103" name="テキスト ボックス 102">
          <a:extLst>
            <a:ext uri="{FF2B5EF4-FFF2-40B4-BE49-F238E27FC236}">
              <a16:creationId xmlns:a16="http://schemas.microsoft.com/office/drawing/2014/main" id="{00000000-0008-0000-0500-000075000000}"/>
            </a:ext>
          </a:extLst>
        </xdr:cNvPr>
        <xdr:cNvSpPr txBox="1"/>
      </xdr:nvSpPr>
      <xdr:spPr>
        <a:xfrm>
          <a:off x="5875020" y="4913376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12</xdr:col>
      <xdr:colOff>0</xdr:colOff>
      <xdr:row>225</xdr:row>
      <xdr:rowOff>0</xdr:rowOff>
    </xdr:from>
    <xdr:ext cx="784830" cy="392415"/>
    <xdr:sp macro="" textlink="">
      <xdr:nvSpPr>
        <xdr:cNvPr id="104" name="テキスト ボックス 103">
          <a:extLst>
            <a:ext uri="{FF2B5EF4-FFF2-40B4-BE49-F238E27FC236}">
              <a16:creationId xmlns:a16="http://schemas.microsoft.com/office/drawing/2014/main" id="{00000000-0008-0000-0500-000075000000}"/>
            </a:ext>
          </a:extLst>
        </xdr:cNvPr>
        <xdr:cNvSpPr txBox="1"/>
      </xdr:nvSpPr>
      <xdr:spPr>
        <a:xfrm>
          <a:off x="7292340" y="49842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8</xdr:col>
      <xdr:colOff>845820</xdr:colOff>
      <xdr:row>218</xdr:row>
      <xdr:rowOff>144780</xdr:rowOff>
    </xdr:from>
    <xdr:ext cx="3625288" cy="392415"/>
    <xdr:sp macro="" textlink="">
      <xdr:nvSpPr>
        <xdr:cNvPr id="106" name="テキスト ボックス 105">
          <a:extLst>
            <a:ext uri="{FF2B5EF4-FFF2-40B4-BE49-F238E27FC236}">
              <a16:creationId xmlns:a16="http://schemas.microsoft.com/office/drawing/2014/main" id="{00000000-0008-0000-0500-000075000000}"/>
            </a:ext>
          </a:extLst>
        </xdr:cNvPr>
        <xdr:cNvSpPr txBox="1"/>
      </xdr:nvSpPr>
      <xdr:spPr>
        <a:xfrm>
          <a:off x="5806440" y="51640740"/>
          <a:ext cx="362528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eGFR</a:t>
          </a:r>
          <a:r>
            <a:rPr kumimoji="1" lang="ja-JP" altLang="en-US" sz="1200" b="1">
              <a:solidFill>
                <a:srgbClr val="FF0000"/>
              </a:solidFill>
              <a:latin typeface="メイリオ" panose="020B0604030504040204" pitchFamily="50" charset="-128"/>
              <a:ea typeface="メイリオ" panose="020B0604030504040204" pitchFamily="50" charset="-128"/>
            </a:rPr>
            <a:t>サマリ、経過週で集約</a:t>
          </a:r>
        </a:p>
      </xdr:txBody>
    </xdr:sp>
    <xdr:clientData/>
  </xdr:oneCellAnchor>
  <xdr:oneCellAnchor>
    <xdr:from>
      <xdr:col>13</xdr:col>
      <xdr:colOff>0</xdr:colOff>
      <xdr:row>228</xdr:row>
      <xdr:rowOff>0</xdr:rowOff>
    </xdr:from>
    <xdr:ext cx="1029769" cy="392415"/>
    <xdr:sp macro="" textlink="">
      <xdr:nvSpPr>
        <xdr:cNvPr id="109" name="テキスト ボックス 108">
          <a:extLst>
            <a:ext uri="{FF2B5EF4-FFF2-40B4-BE49-F238E27FC236}">
              <a16:creationId xmlns:a16="http://schemas.microsoft.com/office/drawing/2014/main" id="{00000000-0008-0000-0500-000075000000}"/>
            </a:ext>
          </a:extLst>
        </xdr:cNvPr>
        <xdr:cNvSpPr txBox="1"/>
      </xdr:nvSpPr>
      <xdr:spPr>
        <a:xfrm>
          <a:off x="8206740" y="53858160"/>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13</xdr:col>
      <xdr:colOff>106680</xdr:colOff>
      <xdr:row>220</xdr:row>
      <xdr:rowOff>220980</xdr:rowOff>
    </xdr:from>
    <xdr:ext cx="3225563" cy="392415"/>
    <xdr:sp macro="" textlink="">
      <xdr:nvSpPr>
        <xdr:cNvPr id="111" name="テキスト ボックス 110">
          <a:extLst>
            <a:ext uri="{FF2B5EF4-FFF2-40B4-BE49-F238E27FC236}">
              <a16:creationId xmlns:a16="http://schemas.microsoft.com/office/drawing/2014/main" id="{00000000-0008-0000-0500-000075000000}"/>
            </a:ext>
          </a:extLst>
        </xdr:cNvPr>
        <xdr:cNvSpPr txBox="1"/>
      </xdr:nvSpPr>
      <xdr:spPr>
        <a:xfrm>
          <a:off x="8313420" y="52189380"/>
          <a:ext cx="322556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eGFR</a:t>
          </a:r>
          <a:r>
            <a:rPr kumimoji="1" lang="ja-JP" altLang="en-US" sz="1200" b="1">
              <a:solidFill>
                <a:srgbClr val="FF0000"/>
              </a:solidFill>
              <a:latin typeface="メイリオ" panose="020B0604030504040204" pitchFamily="50" charset="-128"/>
              <a:ea typeface="メイリオ" panose="020B0604030504040204" pitchFamily="50" charset="-128"/>
            </a:rPr>
            <a:t>サマリ、処方カテゴリ、経過週で集約</a:t>
          </a:r>
        </a:p>
      </xdr:txBody>
    </xdr:sp>
    <xdr:clientData/>
  </xdr:oneCellAnchor>
  <xdr:oneCellAnchor>
    <xdr:from>
      <xdr:col>6</xdr:col>
      <xdr:colOff>0</xdr:colOff>
      <xdr:row>238</xdr:row>
      <xdr:rowOff>144780</xdr:rowOff>
    </xdr:from>
    <xdr:ext cx="2007281" cy="392415"/>
    <xdr:sp macro="" textlink="">
      <xdr:nvSpPr>
        <xdr:cNvPr id="112" name="テキスト ボックス 111">
          <a:extLst>
            <a:ext uri="{FF2B5EF4-FFF2-40B4-BE49-F238E27FC236}">
              <a16:creationId xmlns:a16="http://schemas.microsoft.com/office/drawing/2014/main" id="{00000000-0008-0000-0500-000075000000}"/>
            </a:ext>
          </a:extLst>
        </xdr:cNvPr>
        <xdr:cNvSpPr txBox="1"/>
      </xdr:nvSpPr>
      <xdr:spPr>
        <a:xfrm>
          <a:off x="3794760" y="52349400"/>
          <a:ext cx="20072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cate_egfr</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9</xdr:col>
      <xdr:colOff>0</xdr:colOff>
      <xdr:row>239</xdr:row>
      <xdr:rowOff>0</xdr:rowOff>
    </xdr:from>
    <xdr:ext cx="1183273" cy="392415"/>
    <xdr:sp macro="" textlink="">
      <xdr:nvSpPr>
        <xdr:cNvPr id="114" name="テキスト ボックス 113">
          <a:extLst>
            <a:ext uri="{FF2B5EF4-FFF2-40B4-BE49-F238E27FC236}">
              <a16:creationId xmlns:a16="http://schemas.microsoft.com/office/drawing/2014/main" id="{00000000-0008-0000-0500-000075000000}"/>
            </a:ext>
          </a:extLst>
        </xdr:cNvPr>
        <xdr:cNvSpPr txBox="1"/>
      </xdr:nvSpPr>
      <xdr:spPr>
        <a:xfrm>
          <a:off x="5875020" y="5244084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12</xdr:col>
      <xdr:colOff>0</xdr:colOff>
      <xdr:row>242</xdr:row>
      <xdr:rowOff>0</xdr:rowOff>
    </xdr:from>
    <xdr:ext cx="784830" cy="392415"/>
    <xdr:sp macro="" textlink="">
      <xdr:nvSpPr>
        <xdr:cNvPr id="115" name="テキスト ボックス 114">
          <a:extLst>
            <a:ext uri="{FF2B5EF4-FFF2-40B4-BE49-F238E27FC236}">
              <a16:creationId xmlns:a16="http://schemas.microsoft.com/office/drawing/2014/main" id="{00000000-0008-0000-0500-000075000000}"/>
            </a:ext>
          </a:extLst>
        </xdr:cNvPr>
        <xdr:cNvSpPr txBox="1"/>
      </xdr:nvSpPr>
      <xdr:spPr>
        <a:xfrm>
          <a:off x="7292340" y="53149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8</xdr:col>
      <xdr:colOff>845820</xdr:colOff>
      <xdr:row>235</xdr:row>
      <xdr:rowOff>144780</xdr:rowOff>
    </xdr:from>
    <xdr:ext cx="3625288" cy="392415"/>
    <xdr:sp macro="" textlink="">
      <xdr:nvSpPr>
        <xdr:cNvPr id="116" name="テキスト ボックス 115">
          <a:extLst>
            <a:ext uri="{FF2B5EF4-FFF2-40B4-BE49-F238E27FC236}">
              <a16:creationId xmlns:a16="http://schemas.microsoft.com/office/drawing/2014/main" id="{00000000-0008-0000-0500-000075000000}"/>
            </a:ext>
          </a:extLst>
        </xdr:cNvPr>
        <xdr:cNvSpPr txBox="1"/>
      </xdr:nvSpPr>
      <xdr:spPr>
        <a:xfrm>
          <a:off x="5806440" y="51640740"/>
          <a:ext cx="362528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eGFR</a:t>
          </a:r>
          <a:r>
            <a:rPr kumimoji="1" lang="ja-JP" altLang="en-US" sz="1200" b="1">
              <a:solidFill>
                <a:srgbClr val="FF0000"/>
              </a:solidFill>
              <a:latin typeface="メイリオ" panose="020B0604030504040204" pitchFamily="50" charset="-128"/>
              <a:ea typeface="メイリオ" panose="020B0604030504040204" pitchFamily="50" charset="-128"/>
            </a:rPr>
            <a:t>サマリ、経過週で集約</a:t>
          </a:r>
        </a:p>
      </xdr:txBody>
    </xdr:sp>
    <xdr:clientData/>
  </xdr:oneCellAnchor>
  <xdr:oneCellAnchor>
    <xdr:from>
      <xdr:col>13</xdr:col>
      <xdr:colOff>0</xdr:colOff>
      <xdr:row>245</xdr:row>
      <xdr:rowOff>0</xdr:rowOff>
    </xdr:from>
    <xdr:ext cx="1029769" cy="392415"/>
    <xdr:sp macro="" textlink="">
      <xdr:nvSpPr>
        <xdr:cNvPr id="117" name="テキスト ボックス 116">
          <a:extLst>
            <a:ext uri="{FF2B5EF4-FFF2-40B4-BE49-F238E27FC236}">
              <a16:creationId xmlns:a16="http://schemas.microsoft.com/office/drawing/2014/main" id="{00000000-0008-0000-0500-000075000000}"/>
            </a:ext>
          </a:extLst>
        </xdr:cNvPr>
        <xdr:cNvSpPr txBox="1"/>
      </xdr:nvSpPr>
      <xdr:spPr>
        <a:xfrm>
          <a:off x="8206740" y="53858160"/>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13</xdr:col>
      <xdr:colOff>106680</xdr:colOff>
      <xdr:row>237</xdr:row>
      <xdr:rowOff>220980</xdr:rowOff>
    </xdr:from>
    <xdr:ext cx="3225563" cy="392415"/>
    <xdr:sp macro="" textlink="">
      <xdr:nvSpPr>
        <xdr:cNvPr id="118" name="テキスト ボックス 117">
          <a:extLst>
            <a:ext uri="{FF2B5EF4-FFF2-40B4-BE49-F238E27FC236}">
              <a16:creationId xmlns:a16="http://schemas.microsoft.com/office/drawing/2014/main" id="{00000000-0008-0000-0500-000075000000}"/>
            </a:ext>
          </a:extLst>
        </xdr:cNvPr>
        <xdr:cNvSpPr txBox="1"/>
      </xdr:nvSpPr>
      <xdr:spPr>
        <a:xfrm>
          <a:off x="8313420" y="52189380"/>
          <a:ext cx="322556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eGFR</a:t>
          </a:r>
          <a:r>
            <a:rPr kumimoji="1" lang="ja-JP" altLang="en-US" sz="1200" b="1">
              <a:solidFill>
                <a:srgbClr val="FF0000"/>
              </a:solidFill>
              <a:latin typeface="メイリオ" panose="020B0604030504040204" pitchFamily="50" charset="-128"/>
              <a:ea typeface="メイリオ" panose="020B0604030504040204" pitchFamily="50" charset="-128"/>
            </a:rPr>
            <a:t>サマリ、処方カテゴリ、経過週で集約</a:t>
          </a:r>
        </a:p>
      </xdr:txBody>
    </xdr:sp>
    <xdr:clientData/>
  </xdr:oneCellAnchor>
  <xdr:oneCellAnchor>
    <xdr:from>
      <xdr:col>6</xdr:col>
      <xdr:colOff>7620</xdr:colOff>
      <xdr:row>241</xdr:row>
      <xdr:rowOff>129540</xdr:rowOff>
    </xdr:from>
    <xdr:ext cx="2912720" cy="392415"/>
    <xdr:sp macro="" textlink="">
      <xdr:nvSpPr>
        <xdr:cNvPr id="119" name="テキスト ボックス 118">
          <a:extLst>
            <a:ext uri="{FF2B5EF4-FFF2-40B4-BE49-F238E27FC236}">
              <a16:creationId xmlns:a16="http://schemas.microsoft.com/office/drawing/2014/main" id="{00000000-0008-0000-0500-000075000000}"/>
            </a:ext>
          </a:extLst>
        </xdr:cNvPr>
        <xdr:cNvSpPr txBox="1"/>
      </xdr:nvSpPr>
      <xdr:spPr>
        <a:xfrm>
          <a:off x="3802380" y="57058560"/>
          <a:ext cx="291272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18</a:t>
          </a:r>
          <a:r>
            <a:rPr kumimoji="1" lang="ja-JP" altLang="en-US" sz="1200" b="1">
              <a:solidFill>
                <a:srgbClr val="FF0000"/>
              </a:solidFill>
              <a:latin typeface="メイリオ" panose="020B0604030504040204" pitchFamily="50" charset="-128"/>
              <a:ea typeface="メイリオ" panose="020B0604030504040204" pitchFamily="50" charset="-128"/>
            </a:rPr>
            <a:t>歳以上かつ</a:t>
          </a:r>
          <a:r>
            <a:rPr kumimoji="1" lang="en-US" altLang="ja-JP" sz="1200" b="1">
              <a:solidFill>
                <a:srgbClr val="FF0000"/>
              </a:solidFill>
              <a:latin typeface="メイリオ" panose="020B0604030504040204" pitchFamily="50" charset="-128"/>
              <a:ea typeface="メイリオ" panose="020B0604030504040204" pitchFamily="50" charset="-128"/>
            </a:rPr>
            <a:t>look_back</a:t>
          </a:r>
          <a:r>
            <a:rPr kumimoji="1" lang="ja-JP" altLang="en-US" sz="1200" b="1">
              <a:solidFill>
                <a:srgbClr val="FF0000"/>
              </a:solidFill>
              <a:latin typeface="メイリオ" panose="020B0604030504040204" pitchFamily="50" charset="-128"/>
              <a:ea typeface="メイリオ" panose="020B0604030504040204" pitchFamily="50" charset="-128"/>
            </a:rPr>
            <a:t>期間</a:t>
          </a:r>
          <a:r>
            <a:rPr kumimoji="1" lang="en-US" altLang="ja-JP" sz="1200" b="1">
              <a:solidFill>
                <a:srgbClr val="FF0000"/>
              </a:solidFill>
              <a:latin typeface="メイリオ" panose="020B0604030504040204" pitchFamily="50" charset="-128"/>
              <a:ea typeface="メイリオ" panose="020B0604030504040204" pitchFamily="50" charset="-128"/>
            </a:rPr>
            <a:t>30</a:t>
          </a:r>
          <a:r>
            <a:rPr kumimoji="1" lang="ja-JP" altLang="en-US" sz="1200" b="1">
              <a:solidFill>
                <a:srgbClr val="FF0000"/>
              </a:solidFill>
              <a:latin typeface="メイリオ" panose="020B0604030504040204" pitchFamily="50" charset="-128"/>
              <a:ea typeface="メイリオ" panose="020B0604030504040204" pitchFamily="50" charset="-128"/>
            </a:rPr>
            <a:t>以上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9</xdr:col>
      <xdr:colOff>60960</xdr:colOff>
      <xdr:row>286</xdr:row>
      <xdr:rowOff>152400</xdr:rowOff>
    </xdr:from>
    <xdr:ext cx="1969385" cy="392415"/>
    <xdr:sp macro="" textlink="">
      <xdr:nvSpPr>
        <xdr:cNvPr id="122" name="テキスト ボックス 121">
          <a:extLst>
            <a:ext uri="{FF2B5EF4-FFF2-40B4-BE49-F238E27FC236}">
              <a16:creationId xmlns:a16="http://schemas.microsoft.com/office/drawing/2014/main" id="{00000000-0008-0000-0500-000075000000}"/>
            </a:ext>
          </a:extLst>
        </xdr:cNvPr>
        <xdr:cNvSpPr txBox="1"/>
      </xdr:nvSpPr>
      <xdr:spPr>
        <a:xfrm>
          <a:off x="5935980" y="59679840"/>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11</xdr:col>
      <xdr:colOff>76200</xdr:colOff>
      <xdr:row>288</xdr:row>
      <xdr:rowOff>0</xdr:rowOff>
    </xdr:from>
    <xdr:ext cx="3416320" cy="392415"/>
    <xdr:sp macro="" textlink="">
      <xdr:nvSpPr>
        <xdr:cNvPr id="123" name="テキスト ボックス 122">
          <a:extLst>
            <a:ext uri="{FF2B5EF4-FFF2-40B4-BE49-F238E27FC236}">
              <a16:creationId xmlns:a16="http://schemas.microsoft.com/office/drawing/2014/main" id="{00000000-0008-0000-0500-000075000000}"/>
            </a:ext>
          </a:extLst>
        </xdr:cNvPr>
        <xdr:cNvSpPr txBox="1"/>
      </xdr:nvSpPr>
      <xdr:spPr>
        <a:xfrm>
          <a:off x="7117080" y="59999880"/>
          <a:ext cx="341632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同一患者で複数の値がある場合は最大値を参照</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255</xdr:row>
      <xdr:rowOff>144780</xdr:rowOff>
    </xdr:from>
    <xdr:ext cx="2007281" cy="392415"/>
    <xdr:sp macro="" textlink="">
      <xdr:nvSpPr>
        <xdr:cNvPr id="105" name="テキスト ボックス 104">
          <a:extLst>
            <a:ext uri="{FF2B5EF4-FFF2-40B4-BE49-F238E27FC236}">
              <a16:creationId xmlns:a16="http://schemas.microsoft.com/office/drawing/2014/main" id="{00000000-0008-0000-0500-000075000000}"/>
            </a:ext>
          </a:extLst>
        </xdr:cNvPr>
        <xdr:cNvSpPr txBox="1"/>
      </xdr:nvSpPr>
      <xdr:spPr>
        <a:xfrm>
          <a:off x="3794760" y="52349400"/>
          <a:ext cx="20072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cate_egfr</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258</xdr:row>
      <xdr:rowOff>152400</xdr:rowOff>
    </xdr:from>
    <xdr:ext cx="854593" cy="392415"/>
    <xdr:sp macro="" textlink="">
      <xdr:nvSpPr>
        <xdr:cNvPr id="107" name="テキスト ボックス 106">
          <a:extLst>
            <a:ext uri="{FF2B5EF4-FFF2-40B4-BE49-F238E27FC236}">
              <a16:creationId xmlns:a16="http://schemas.microsoft.com/office/drawing/2014/main" id="{00000000-0008-0000-0500-000075000000}"/>
            </a:ext>
          </a:extLst>
        </xdr:cNvPr>
        <xdr:cNvSpPr txBox="1"/>
      </xdr:nvSpPr>
      <xdr:spPr>
        <a:xfrm>
          <a:off x="3794760" y="53065680"/>
          <a:ext cx="85459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18</a:t>
          </a:r>
          <a:r>
            <a:rPr kumimoji="1" lang="ja-JP" altLang="en-US" sz="1200" b="1">
              <a:solidFill>
                <a:srgbClr val="FF0000"/>
              </a:solidFill>
              <a:latin typeface="メイリオ" panose="020B0604030504040204" pitchFamily="50" charset="-128"/>
              <a:ea typeface="メイリオ" panose="020B0604030504040204" pitchFamily="50" charset="-128"/>
            </a:rPr>
            <a:t>歳以上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9</xdr:col>
      <xdr:colOff>0</xdr:colOff>
      <xdr:row>256</xdr:row>
      <xdr:rowOff>0</xdr:rowOff>
    </xdr:from>
    <xdr:ext cx="1183273" cy="392415"/>
    <xdr:sp macro="" textlink="">
      <xdr:nvSpPr>
        <xdr:cNvPr id="108" name="テキスト ボックス 107">
          <a:extLst>
            <a:ext uri="{FF2B5EF4-FFF2-40B4-BE49-F238E27FC236}">
              <a16:creationId xmlns:a16="http://schemas.microsoft.com/office/drawing/2014/main" id="{00000000-0008-0000-0500-000075000000}"/>
            </a:ext>
          </a:extLst>
        </xdr:cNvPr>
        <xdr:cNvSpPr txBox="1"/>
      </xdr:nvSpPr>
      <xdr:spPr>
        <a:xfrm>
          <a:off x="5875020" y="5244084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12</xdr:col>
      <xdr:colOff>0</xdr:colOff>
      <xdr:row>259</xdr:row>
      <xdr:rowOff>0</xdr:rowOff>
    </xdr:from>
    <xdr:ext cx="784830" cy="392415"/>
    <xdr:sp macro="" textlink="">
      <xdr:nvSpPr>
        <xdr:cNvPr id="110" name="テキスト ボックス 109">
          <a:extLst>
            <a:ext uri="{FF2B5EF4-FFF2-40B4-BE49-F238E27FC236}">
              <a16:creationId xmlns:a16="http://schemas.microsoft.com/office/drawing/2014/main" id="{00000000-0008-0000-0500-000075000000}"/>
            </a:ext>
          </a:extLst>
        </xdr:cNvPr>
        <xdr:cNvSpPr txBox="1"/>
      </xdr:nvSpPr>
      <xdr:spPr>
        <a:xfrm>
          <a:off x="7292340" y="53149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11</xdr:col>
      <xdr:colOff>175260</xdr:colOff>
      <xdr:row>252</xdr:row>
      <xdr:rowOff>121920</xdr:rowOff>
    </xdr:from>
    <xdr:ext cx="2584938" cy="392415"/>
    <xdr:sp macro="" textlink="">
      <xdr:nvSpPr>
        <xdr:cNvPr id="113" name="テキスト ボックス 112">
          <a:extLst>
            <a:ext uri="{FF2B5EF4-FFF2-40B4-BE49-F238E27FC236}">
              <a16:creationId xmlns:a16="http://schemas.microsoft.com/office/drawing/2014/main" id="{00000000-0008-0000-0500-000075000000}"/>
            </a:ext>
          </a:extLst>
        </xdr:cNvPr>
        <xdr:cNvSpPr txBox="1"/>
      </xdr:nvSpPr>
      <xdr:spPr>
        <a:xfrm>
          <a:off x="7216140" y="59649360"/>
          <a:ext cx="258493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、経過週で集約</a:t>
          </a:r>
        </a:p>
      </xdr:txBody>
    </xdr:sp>
    <xdr:clientData/>
  </xdr:oneCellAnchor>
  <xdr:oneCellAnchor>
    <xdr:from>
      <xdr:col>13</xdr:col>
      <xdr:colOff>0</xdr:colOff>
      <xdr:row>262</xdr:row>
      <xdr:rowOff>0</xdr:rowOff>
    </xdr:from>
    <xdr:ext cx="1029769" cy="392415"/>
    <xdr:sp macro="" textlink="">
      <xdr:nvSpPr>
        <xdr:cNvPr id="120" name="テキスト ボックス 119">
          <a:extLst>
            <a:ext uri="{FF2B5EF4-FFF2-40B4-BE49-F238E27FC236}">
              <a16:creationId xmlns:a16="http://schemas.microsoft.com/office/drawing/2014/main" id="{00000000-0008-0000-0500-000075000000}"/>
            </a:ext>
          </a:extLst>
        </xdr:cNvPr>
        <xdr:cNvSpPr txBox="1"/>
      </xdr:nvSpPr>
      <xdr:spPr>
        <a:xfrm>
          <a:off x="8206740" y="53858160"/>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13</xdr:col>
      <xdr:colOff>76200</xdr:colOff>
      <xdr:row>254</xdr:row>
      <xdr:rowOff>45720</xdr:rowOff>
    </xdr:from>
    <xdr:ext cx="2185214" cy="392415"/>
    <xdr:sp macro="" textlink="">
      <xdr:nvSpPr>
        <xdr:cNvPr id="121" name="テキスト ボックス 120">
          <a:extLst>
            <a:ext uri="{FF2B5EF4-FFF2-40B4-BE49-F238E27FC236}">
              <a16:creationId xmlns:a16="http://schemas.microsoft.com/office/drawing/2014/main" id="{00000000-0008-0000-0500-000075000000}"/>
            </a:ext>
          </a:extLst>
        </xdr:cNvPr>
        <xdr:cNvSpPr txBox="1"/>
      </xdr:nvSpPr>
      <xdr:spPr>
        <a:xfrm>
          <a:off x="8282940" y="60045600"/>
          <a:ext cx="218521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処方カテゴリ、経過週で集約</a:t>
          </a:r>
        </a:p>
      </xdr:txBody>
    </xdr:sp>
    <xdr:clientData/>
  </xdr:oneCellAnchor>
  <xdr:oneCellAnchor>
    <xdr:from>
      <xdr:col>6</xdr:col>
      <xdr:colOff>0</xdr:colOff>
      <xdr:row>272</xdr:row>
      <xdr:rowOff>144780</xdr:rowOff>
    </xdr:from>
    <xdr:ext cx="2007281" cy="392415"/>
    <xdr:sp macro="" textlink="">
      <xdr:nvSpPr>
        <xdr:cNvPr id="124" name="テキスト ボックス 123">
          <a:extLst>
            <a:ext uri="{FF2B5EF4-FFF2-40B4-BE49-F238E27FC236}">
              <a16:creationId xmlns:a16="http://schemas.microsoft.com/office/drawing/2014/main" id="{00000000-0008-0000-0500-000075000000}"/>
            </a:ext>
          </a:extLst>
        </xdr:cNvPr>
        <xdr:cNvSpPr txBox="1"/>
      </xdr:nvSpPr>
      <xdr:spPr>
        <a:xfrm>
          <a:off x="3794760" y="56365140"/>
          <a:ext cx="20072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cate_egfr</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9</xdr:col>
      <xdr:colOff>0</xdr:colOff>
      <xdr:row>273</xdr:row>
      <xdr:rowOff>0</xdr:rowOff>
    </xdr:from>
    <xdr:ext cx="1183273" cy="392415"/>
    <xdr:sp macro="" textlink="">
      <xdr:nvSpPr>
        <xdr:cNvPr id="125" name="テキスト ボックス 124">
          <a:extLst>
            <a:ext uri="{FF2B5EF4-FFF2-40B4-BE49-F238E27FC236}">
              <a16:creationId xmlns:a16="http://schemas.microsoft.com/office/drawing/2014/main" id="{00000000-0008-0000-0500-000075000000}"/>
            </a:ext>
          </a:extLst>
        </xdr:cNvPr>
        <xdr:cNvSpPr txBox="1"/>
      </xdr:nvSpPr>
      <xdr:spPr>
        <a:xfrm>
          <a:off x="5875020" y="5645658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12</xdr:col>
      <xdr:colOff>0</xdr:colOff>
      <xdr:row>276</xdr:row>
      <xdr:rowOff>0</xdr:rowOff>
    </xdr:from>
    <xdr:ext cx="784830" cy="392415"/>
    <xdr:sp macro="" textlink="">
      <xdr:nvSpPr>
        <xdr:cNvPr id="126" name="テキスト ボックス 125">
          <a:extLst>
            <a:ext uri="{FF2B5EF4-FFF2-40B4-BE49-F238E27FC236}">
              <a16:creationId xmlns:a16="http://schemas.microsoft.com/office/drawing/2014/main" id="{00000000-0008-0000-0500-000075000000}"/>
            </a:ext>
          </a:extLst>
        </xdr:cNvPr>
        <xdr:cNvSpPr txBox="1"/>
      </xdr:nvSpPr>
      <xdr:spPr>
        <a:xfrm>
          <a:off x="7292340" y="571652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13</xdr:col>
      <xdr:colOff>0</xdr:colOff>
      <xdr:row>279</xdr:row>
      <xdr:rowOff>0</xdr:rowOff>
    </xdr:from>
    <xdr:ext cx="1029769" cy="392415"/>
    <xdr:sp macro="" textlink="">
      <xdr:nvSpPr>
        <xdr:cNvPr id="128" name="テキスト ボックス 127">
          <a:extLst>
            <a:ext uri="{FF2B5EF4-FFF2-40B4-BE49-F238E27FC236}">
              <a16:creationId xmlns:a16="http://schemas.microsoft.com/office/drawing/2014/main" id="{00000000-0008-0000-0500-000075000000}"/>
            </a:ext>
          </a:extLst>
        </xdr:cNvPr>
        <xdr:cNvSpPr txBox="1"/>
      </xdr:nvSpPr>
      <xdr:spPr>
        <a:xfrm>
          <a:off x="8206740" y="57873900"/>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13</xdr:col>
      <xdr:colOff>91440</xdr:colOff>
      <xdr:row>271</xdr:row>
      <xdr:rowOff>68580</xdr:rowOff>
    </xdr:from>
    <xdr:ext cx="2185214" cy="392415"/>
    <xdr:sp macro="" textlink="">
      <xdr:nvSpPr>
        <xdr:cNvPr id="129" name="テキスト ボックス 128">
          <a:extLst>
            <a:ext uri="{FF2B5EF4-FFF2-40B4-BE49-F238E27FC236}">
              <a16:creationId xmlns:a16="http://schemas.microsoft.com/office/drawing/2014/main" id="{00000000-0008-0000-0500-000075000000}"/>
            </a:ext>
          </a:extLst>
        </xdr:cNvPr>
        <xdr:cNvSpPr txBox="1"/>
      </xdr:nvSpPr>
      <xdr:spPr>
        <a:xfrm>
          <a:off x="8298180" y="64084200"/>
          <a:ext cx="218521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処方カテゴリ、経過週で集約</a:t>
          </a:r>
        </a:p>
      </xdr:txBody>
    </xdr:sp>
    <xdr:clientData/>
  </xdr:oneCellAnchor>
  <xdr:oneCellAnchor>
    <xdr:from>
      <xdr:col>6</xdr:col>
      <xdr:colOff>7620</xdr:colOff>
      <xdr:row>275</xdr:row>
      <xdr:rowOff>129540</xdr:rowOff>
    </xdr:from>
    <xdr:ext cx="2912720" cy="392415"/>
    <xdr:sp macro="" textlink="">
      <xdr:nvSpPr>
        <xdr:cNvPr id="130" name="テキスト ボックス 129">
          <a:extLst>
            <a:ext uri="{FF2B5EF4-FFF2-40B4-BE49-F238E27FC236}">
              <a16:creationId xmlns:a16="http://schemas.microsoft.com/office/drawing/2014/main" id="{00000000-0008-0000-0500-000075000000}"/>
            </a:ext>
          </a:extLst>
        </xdr:cNvPr>
        <xdr:cNvSpPr txBox="1"/>
      </xdr:nvSpPr>
      <xdr:spPr>
        <a:xfrm>
          <a:off x="3802380" y="57058560"/>
          <a:ext cx="291272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18</a:t>
          </a:r>
          <a:r>
            <a:rPr kumimoji="1" lang="ja-JP" altLang="en-US" sz="1200" b="1">
              <a:solidFill>
                <a:srgbClr val="FF0000"/>
              </a:solidFill>
              <a:latin typeface="メイリオ" panose="020B0604030504040204" pitchFamily="50" charset="-128"/>
              <a:ea typeface="メイリオ" panose="020B0604030504040204" pitchFamily="50" charset="-128"/>
            </a:rPr>
            <a:t>歳以上かつ</a:t>
          </a:r>
          <a:r>
            <a:rPr kumimoji="1" lang="en-US" altLang="ja-JP" sz="1200" b="1">
              <a:solidFill>
                <a:srgbClr val="FF0000"/>
              </a:solidFill>
              <a:latin typeface="メイリオ" panose="020B0604030504040204" pitchFamily="50" charset="-128"/>
              <a:ea typeface="メイリオ" panose="020B0604030504040204" pitchFamily="50" charset="-128"/>
            </a:rPr>
            <a:t>look_back</a:t>
          </a:r>
          <a:r>
            <a:rPr kumimoji="1" lang="ja-JP" altLang="en-US" sz="1200" b="1">
              <a:solidFill>
                <a:srgbClr val="FF0000"/>
              </a:solidFill>
              <a:latin typeface="メイリオ" panose="020B0604030504040204" pitchFamily="50" charset="-128"/>
              <a:ea typeface="メイリオ" panose="020B0604030504040204" pitchFamily="50" charset="-128"/>
            </a:rPr>
            <a:t>期間</a:t>
          </a:r>
          <a:r>
            <a:rPr kumimoji="1" lang="en-US" altLang="ja-JP" sz="1200" b="1">
              <a:solidFill>
                <a:srgbClr val="FF0000"/>
              </a:solidFill>
              <a:latin typeface="メイリオ" panose="020B0604030504040204" pitchFamily="50" charset="-128"/>
              <a:ea typeface="メイリオ" panose="020B0604030504040204" pitchFamily="50" charset="-128"/>
            </a:rPr>
            <a:t>30</a:t>
          </a:r>
          <a:r>
            <a:rPr kumimoji="1" lang="ja-JP" altLang="en-US" sz="1200" b="1">
              <a:solidFill>
                <a:srgbClr val="FF0000"/>
              </a:solidFill>
              <a:latin typeface="メイリオ" panose="020B0604030504040204" pitchFamily="50" charset="-128"/>
              <a:ea typeface="メイリオ" panose="020B0604030504040204" pitchFamily="50" charset="-128"/>
            </a:rPr>
            <a:t>以上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12</xdr:col>
      <xdr:colOff>0</xdr:colOff>
      <xdr:row>269</xdr:row>
      <xdr:rowOff>175260</xdr:rowOff>
    </xdr:from>
    <xdr:ext cx="2584938" cy="392415"/>
    <xdr:sp macro="" textlink="">
      <xdr:nvSpPr>
        <xdr:cNvPr id="132" name="テキスト ボックス 131">
          <a:extLst>
            <a:ext uri="{FF2B5EF4-FFF2-40B4-BE49-F238E27FC236}">
              <a16:creationId xmlns:a16="http://schemas.microsoft.com/office/drawing/2014/main" id="{00000000-0008-0000-0500-000075000000}"/>
            </a:ext>
          </a:extLst>
        </xdr:cNvPr>
        <xdr:cNvSpPr txBox="1"/>
      </xdr:nvSpPr>
      <xdr:spPr>
        <a:xfrm>
          <a:off x="7292340" y="63718440"/>
          <a:ext cx="258493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、経過週で集約</a:t>
          </a:r>
        </a:p>
      </xdr:txBody>
    </xdr:sp>
    <xdr:clientData/>
  </xdr:one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20</xdr:row>
      <xdr:rowOff>0</xdr:rowOff>
    </xdr:from>
    <xdr:to>
      <xdr:col>7</xdr:col>
      <xdr:colOff>1015939</xdr:colOff>
      <xdr:row>26</xdr:row>
      <xdr:rowOff>35678</xdr:rowOff>
    </xdr:to>
    <xdr:pic>
      <xdr:nvPicPr>
        <xdr:cNvPr id="2" name="図 1">
          <a:extLst>
            <a:ext uri="{FF2B5EF4-FFF2-40B4-BE49-F238E27FC236}">
              <a16:creationId xmlns:a16="http://schemas.microsoft.com/office/drawing/2014/main" id="{61149C4E-56C7-4A7E-89D4-A2505495477B}"/>
            </a:ext>
          </a:extLst>
        </xdr:cNvPr>
        <xdr:cNvPicPr>
          <a:picLocks noChangeAspect="1"/>
        </xdr:cNvPicPr>
      </xdr:nvPicPr>
      <xdr:blipFill>
        <a:blip xmlns:r="http://schemas.openxmlformats.org/officeDocument/2006/relationships" r:embed="rId1"/>
        <a:stretch>
          <a:fillRect/>
        </a:stretch>
      </xdr:blipFill>
      <xdr:spPr>
        <a:xfrm>
          <a:off x="1770529" y="5715000"/>
          <a:ext cx="7952381" cy="1447619"/>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37.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139.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47.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48.bin"/></Relationships>
</file>

<file path=xl/worksheets/_rels/sheet149.xml.rels><?xml version="1.0" encoding="UTF-8" standalone="yes"?>
<Relationships xmlns="http://schemas.openxmlformats.org/package/2006/relationships"><Relationship Id="rId1" Type="http://schemas.openxmlformats.org/officeDocument/2006/relationships/printerSettings" Target="../printerSettings/printerSettings149.bin"/></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150.bin"/></Relationships>
</file>

<file path=xl/worksheets/_rels/sheet151.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152.xml.rels><?xml version="1.0" encoding="UTF-8" standalone="yes"?>
<Relationships xmlns="http://schemas.openxmlformats.org/package/2006/relationships"><Relationship Id="rId1" Type="http://schemas.openxmlformats.org/officeDocument/2006/relationships/printerSettings" Target="../printerSettings/printerSettings152.bin"/></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154.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156.bin"/></Relationships>
</file>

<file path=xl/worksheets/_rels/sheet157.xml.rels><?xml version="1.0" encoding="UTF-8" standalone="yes"?>
<Relationships xmlns="http://schemas.openxmlformats.org/package/2006/relationships"><Relationship Id="rId1" Type="http://schemas.openxmlformats.org/officeDocument/2006/relationships/printerSettings" Target="../printerSettings/printerSettings157.bin"/></Relationships>
</file>

<file path=xl/worksheets/_rels/sheet158.xml.rels><?xml version="1.0" encoding="UTF-8" standalone="yes"?>
<Relationships xmlns="http://schemas.openxmlformats.org/package/2006/relationships"><Relationship Id="rId1" Type="http://schemas.openxmlformats.org/officeDocument/2006/relationships/printerSettings" Target="../printerSettings/printerSettings158.bin"/></Relationships>
</file>

<file path=xl/worksheets/_rels/sheet159.xml.rels><?xml version="1.0" encoding="UTF-8" standalone="yes"?>
<Relationships xmlns="http://schemas.openxmlformats.org/package/2006/relationships"><Relationship Id="rId1" Type="http://schemas.openxmlformats.org/officeDocument/2006/relationships/printerSettings" Target="../printerSettings/printerSettings159.bin"/></Relationships>
</file>

<file path=xl/worksheets/_rels/sheet160.xml.rels><?xml version="1.0" encoding="UTF-8" standalone="yes"?>
<Relationships xmlns="http://schemas.openxmlformats.org/package/2006/relationships"><Relationship Id="rId1" Type="http://schemas.openxmlformats.org/officeDocument/2006/relationships/printerSettings" Target="../printerSettings/printerSettings160.bin"/></Relationships>
</file>

<file path=xl/worksheets/_rels/sheet161.xml.rels><?xml version="1.0" encoding="UTF-8" standalone="yes"?>
<Relationships xmlns="http://schemas.openxmlformats.org/package/2006/relationships"><Relationship Id="rId1" Type="http://schemas.openxmlformats.org/officeDocument/2006/relationships/printerSettings" Target="../printerSettings/printerSettings161.bin"/></Relationships>
</file>

<file path=xl/worksheets/_rels/sheet162.xml.rels><?xml version="1.0" encoding="UTF-8" standalone="yes"?>
<Relationships xmlns="http://schemas.openxmlformats.org/package/2006/relationships"><Relationship Id="rId1" Type="http://schemas.openxmlformats.org/officeDocument/2006/relationships/printerSettings" Target="../printerSettings/printerSettings162.bin"/></Relationships>
</file>

<file path=xl/worksheets/_rels/sheet163.xml.rels><?xml version="1.0" encoding="UTF-8" standalone="yes"?>
<Relationships xmlns="http://schemas.openxmlformats.org/package/2006/relationships"><Relationship Id="rId1" Type="http://schemas.openxmlformats.org/officeDocument/2006/relationships/printerSettings" Target="../printerSettings/printerSettings163.bin"/></Relationships>
</file>

<file path=xl/worksheets/_rels/sheet164.xml.rels><?xml version="1.0" encoding="UTF-8" standalone="yes"?>
<Relationships xmlns="http://schemas.openxmlformats.org/package/2006/relationships"><Relationship Id="rId1" Type="http://schemas.openxmlformats.org/officeDocument/2006/relationships/printerSettings" Target="../printerSettings/printerSettings164.bin"/></Relationships>
</file>

<file path=xl/worksheets/_rels/sheet165.xml.rels><?xml version="1.0" encoding="UTF-8" standalone="yes"?>
<Relationships xmlns="http://schemas.openxmlformats.org/package/2006/relationships"><Relationship Id="rId1" Type="http://schemas.openxmlformats.org/officeDocument/2006/relationships/printerSettings" Target="../printerSettings/printerSettings165.bin"/></Relationships>
</file>

<file path=xl/worksheets/_rels/sheet166.xml.rels><?xml version="1.0" encoding="UTF-8" standalone="yes"?>
<Relationships xmlns="http://schemas.openxmlformats.org/package/2006/relationships"><Relationship Id="rId1" Type="http://schemas.openxmlformats.org/officeDocument/2006/relationships/printerSettings" Target="../printerSettings/printerSettings166.bin"/></Relationships>
</file>

<file path=xl/worksheets/_rels/sheet167.xml.rels><?xml version="1.0" encoding="UTF-8" standalone="yes"?>
<Relationships xmlns="http://schemas.openxmlformats.org/package/2006/relationships"><Relationship Id="rId1" Type="http://schemas.openxmlformats.org/officeDocument/2006/relationships/printerSettings" Target="../printerSettings/printerSettings167.bin"/></Relationships>
</file>

<file path=xl/worksheets/_rels/sheet168.xml.rels><?xml version="1.0" encoding="UTF-8" standalone="yes"?>
<Relationships xmlns="http://schemas.openxmlformats.org/package/2006/relationships"><Relationship Id="rId1" Type="http://schemas.openxmlformats.org/officeDocument/2006/relationships/printerSettings" Target="../printerSettings/printerSettings168.bin"/></Relationships>
</file>

<file path=xl/worksheets/_rels/sheet169.xml.rels><?xml version="1.0" encoding="UTF-8" standalone="yes"?>
<Relationships xmlns="http://schemas.openxmlformats.org/package/2006/relationships"><Relationship Id="rId1" Type="http://schemas.openxmlformats.org/officeDocument/2006/relationships/printerSettings" Target="../printerSettings/printerSettings169.bin"/></Relationships>
</file>

<file path=xl/worksheets/_rels/sheet170.xml.rels><?xml version="1.0" encoding="UTF-8" standalone="yes"?>
<Relationships xmlns="http://schemas.openxmlformats.org/package/2006/relationships"><Relationship Id="rId1" Type="http://schemas.openxmlformats.org/officeDocument/2006/relationships/printerSettings" Target="../printerSettings/printerSettings170.bin"/></Relationships>
</file>

<file path=xl/worksheets/_rels/sheet171.xml.rels><?xml version="1.0" encoding="UTF-8" standalone="yes"?>
<Relationships xmlns="http://schemas.openxmlformats.org/package/2006/relationships"><Relationship Id="rId1" Type="http://schemas.openxmlformats.org/officeDocument/2006/relationships/printerSettings" Target="../printerSettings/printerSettings171.bin"/></Relationships>
</file>

<file path=xl/worksheets/_rels/sheet172.xml.rels><?xml version="1.0" encoding="UTF-8" standalone="yes"?>
<Relationships xmlns="http://schemas.openxmlformats.org/package/2006/relationships"><Relationship Id="rId1" Type="http://schemas.openxmlformats.org/officeDocument/2006/relationships/printerSettings" Target="../printerSettings/printerSettings172.bin"/></Relationships>
</file>

<file path=xl/worksheets/_rels/sheet173.xml.rels><?xml version="1.0" encoding="UTF-8" standalone="yes"?>
<Relationships xmlns="http://schemas.openxmlformats.org/package/2006/relationships"><Relationship Id="rId1" Type="http://schemas.openxmlformats.org/officeDocument/2006/relationships/printerSettings" Target="../printerSettings/printerSettings173.bin"/></Relationships>
</file>

<file path=xl/worksheets/_rels/sheet174.xml.rels><?xml version="1.0" encoding="UTF-8" standalone="yes"?>
<Relationships xmlns="http://schemas.openxmlformats.org/package/2006/relationships"><Relationship Id="rId1" Type="http://schemas.openxmlformats.org/officeDocument/2006/relationships/printerSettings" Target="../printerSettings/printerSettings174.bin"/></Relationships>
</file>

<file path=xl/worksheets/_rels/sheet175.xml.rels><?xml version="1.0" encoding="UTF-8" standalone="yes"?>
<Relationships xmlns="http://schemas.openxmlformats.org/package/2006/relationships"><Relationship Id="rId1" Type="http://schemas.openxmlformats.org/officeDocument/2006/relationships/printerSettings" Target="../printerSettings/printerSettings175.bin"/></Relationships>
</file>

<file path=xl/worksheets/_rels/sheet176.xml.rels><?xml version="1.0" encoding="UTF-8" standalone="yes"?>
<Relationships xmlns="http://schemas.openxmlformats.org/package/2006/relationships"><Relationship Id="rId1" Type="http://schemas.openxmlformats.org/officeDocument/2006/relationships/printerSettings" Target="../printerSettings/printerSettings176.bin"/></Relationships>
</file>

<file path=xl/worksheets/_rels/sheet177.xml.rels><?xml version="1.0" encoding="UTF-8" standalone="yes"?>
<Relationships xmlns="http://schemas.openxmlformats.org/package/2006/relationships"><Relationship Id="rId1" Type="http://schemas.openxmlformats.org/officeDocument/2006/relationships/printerSettings" Target="../printerSettings/printerSettings177.bin"/></Relationships>
</file>

<file path=xl/worksheets/_rels/sheet178.xml.rels><?xml version="1.0" encoding="UTF-8" standalone="yes"?>
<Relationships xmlns="http://schemas.openxmlformats.org/package/2006/relationships"><Relationship Id="rId1" Type="http://schemas.openxmlformats.org/officeDocument/2006/relationships/printerSettings" Target="../printerSettings/printerSettings178.bin"/></Relationships>
</file>

<file path=xl/worksheets/_rels/sheet179.xml.rels><?xml version="1.0" encoding="UTF-8" standalone="yes"?>
<Relationships xmlns="http://schemas.openxmlformats.org/package/2006/relationships"><Relationship Id="rId1" Type="http://schemas.openxmlformats.org/officeDocument/2006/relationships/printerSettings" Target="../printerSettings/printerSettings179.bin"/></Relationships>
</file>

<file path=xl/worksheets/_rels/sheet180.xml.rels><?xml version="1.0" encoding="UTF-8" standalone="yes"?>
<Relationships xmlns="http://schemas.openxmlformats.org/package/2006/relationships"><Relationship Id="rId1" Type="http://schemas.openxmlformats.org/officeDocument/2006/relationships/printerSettings" Target="../printerSettings/printerSettings180.bin"/></Relationships>
</file>

<file path=xl/worksheets/_rels/sheet181.xml.rels><?xml version="1.0" encoding="UTF-8" standalone="yes"?>
<Relationships xmlns="http://schemas.openxmlformats.org/package/2006/relationships"><Relationship Id="rId1" Type="http://schemas.openxmlformats.org/officeDocument/2006/relationships/printerSettings" Target="../printerSettings/printerSettings181.bin"/></Relationships>
</file>

<file path=xl/worksheets/_rels/sheet182.xml.rels><?xml version="1.0" encoding="UTF-8" standalone="yes"?>
<Relationships xmlns="http://schemas.openxmlformats.org/package/2006/relationships"><Relationship Id="rId1" Type="http://schemas.openxmlformats.org/officeDocument/2006/relationships/printerSettings" Target="../printerSettings/printerSettings182.bin"/></Relationships>
</file>

<file path=xl/worksheets/_rels/sheet183.xml.rels><?xml version="1.0" encoding="UTF-8" standalone="yes"?>
<Relationships xmlns="http://schemas.openxmlformats.org/package/2006/relationships"><Relationship Id="rId1" Type="http://schemas.openxmlformats.org/officeDocument/2006/relationships/printerSettings" Target="../printerSettings/printerSettings183.bin"/></Relationships>
</file>

<file path=xl/worksheets/_rels/sheet184.xml.rels><?xml version="1.0" encoding="UTF-8" standalone="yes"?>
<Relationships xmlns="http://schemas.openxmlformats.org/package/2006/relationships"><Relationship Id="rId1" Type="http://schemas.openxmlformats.org/officeDocument/2006/relationships/printerSettings" Target="../printerSettings/printerSettings184.bin"/></Relationships>
</file>

<file path=xl/worksheets/_rels/sheet185.xml.rels><?xml version="1.0" encoding="UTF-8" standalone="yes"?>
<Relationships xmlns="http://schemas.openxmlformats.org/package/2006/relationships"><Relationship Id="rId1" Type="http://schemas.openxmlformats.org/officeDocument/2006/relationships/printerSettings" Target="../printerSettings/printerSettings185.bin"/></Relationships>
</file>

<file path=xl/worksheets/_rels/sheet186.xml.rels><?xml version="1.0" encoding="UTF-8" standalone="yes"?>
<Relationships xmlns="http://schemas.openxmlformats.org/package/2006/relationships"><Relationship Id="rId1" Type="http://schemas.openxmlformats.org/officeDocument/2006/relationships/printerSettings" Target="../printerSettings/printerSettings186.bin"/></Relationships>
</file>

<file path=xl/worksheets/_rels/sheet187.xml.rels><?xml version="1.0" encoding="UTF-8" standalone="yes"?>
<Relationships xmlns="http://schemas.openxmlformats.org/package/2006/relationships"><Relationship Id="rId1" Type="http://schemas.openxmlformats.org/officeDocument/2006/relationships/printerSettings" Target="../printerSettings/printerSettings187.bin"/></Relationships>
</file>

<file path=xl/worksheets/_rels/sheet188.xml.rels><?xml version="1.0" encoding="UTF-8" standalone="yes"?>
<Relationships xmlns="http://schemas.openxmlformats.org/package/2006/relationships"><Relationship Id="rId1" Type="http://schemas.openxmlformats.org/officeDocument/2006/relationships/printerSettings" Target="../printerSettings/printerSettings188.bin"/></Relationships>
</file>

<file path=xl/worksheets/_rels/sheet189.xml.rels><?xml version="1.0" encoding="UTF-8" standalone="yes"?>
<Relationships xmlns="http://schemas.openxmlformats.org/package/2006/relationships"><Relationship Id="rId1" Type="http://schemas.openxmlformats.org/officeDocument/2006/relationships/printerSettings" Target="../printerSettings/printerSettings189.bin"/></Relationships>
</file>

<file path=xl/worksheets/_rels/sheet190.xml.rels><?xml version="1.0" encoding="UTF-8" standalone="yes"?>
<Relationships xmlns="http://schemas.openxmlformats.org/package/2006/relationships"><Relationship Id="rId1" Type="http://schemas.openxmlformats.org/officeDocument/2006/relationships/printerSettings" Target="../printerSettings/printerSettings190.bin"/></Relationships>
</file>

<file path=xl/worksheets/_rels/sheet191.xml.rels><?xml version="1.0" encoding="UTF-8" standalone="yes"?>
<Relationships xmlns="http://schemas.openxmlformats.org/package/2006/relationships"><Relationship Id="rId1" Type="http://schemas.openxmlformats.org/officeDocument/2006/relationships/printerSettings" Target="../printerSettings/printerSettings191.bin"/></Relationships>
</file>

<file path=xl/worksheets/_rels/sheet192.xml.rels><?xml version="1.0" encoding="UTF-8" standalone="yes"?>
<Relationships xmlns="http://schemas.openxmlformats.org/package/2006/relationships"><Relationship Id="rId1" Type="http://schemas.openxmlformats.org/officeDocument/2006/relationships/printerSettings" Target="../printerSettings/printerSettings192.bin"/></Relationships>
</file>

<file path=xl/worksheets/_rels/sheet193.xml.rels><?xml version="1.0" encoding="UTF-8" standalone="yes"?>
<Relationships xmlns="http://schemas.openxmlformats.org/package/2006/relationships"><Relationship Id="rId1" Type="http://schemas.openxmlformats.org/officeDocument/2006/relationships/printerSettings" Target="../printerSettings/printerSettings193.bin"/></Relationships>
</file>

<file path=xl/worksheets/_rels/sheet194.xml.rels><?xml version="1.0" encoding="UTF-8" standalone="yes"?>
<Relationships xmlns="http://schemas.openxmlformats.org/package/2006/relationships"><Relationship Id="rId1" Type="http://schemas.openxmlformats.org/officeDocument/2006/relationships/printerSettings" Target="../printerSettings/printerSettings194.bin"/></Relationships>
</file>

<file path=xl/worksheets/_rels/sheet195.xml.rels><?xml version="1.0" encoding="UTF-8" standalone="yes"?>
<Relationships xmlns="http://schemas.openxmlformats.org/package/2006/relationships"><Relationship Id="rId1" Type="http://schemas.openxmlformats.org/officeDocument/2006/relationships/printerSettings" Target="../printerSettings/printerSettings195.bin"/></Relationships>
</file>

<file path=xl/worksheets/_rels/sheet196.xml.rels><?xml version="1.0" encoding="UTF-8" standalone="yes"?>
<Relationships xmlns="http://schemas.openxmlformats.org/package/2006/relationships"><Relationship Id="rId1" Type="http://schemas.openxmlformats.org/officeDocument/2006/relationships/printerSettings" Target="../printerSettings/printerSettings196.bin"/></Relationships>
</file>

<file path=xl/worksheets/_rels/sheet197.xml.rels><?xml version="1.0" encoding="UTF-8" standalone="yes"?>
<Relationships xmlns="http://schemas.openxmlformats.org/package/2006/relationships"><Relationship Id="rId1" Type="http://schemas.openxmlformats.org/officeDocument/2006/relationships/printerSettings" Target="../printerSettings/printerSettings197.bin"/></Relationships>
</file>

<file path=xl/worksheets/_rels/sheet198.xml.rels><?xml version="1.0" encoding="UTF-8" standalone="yes"?>
<Relationships xmlns="http://schemas.openxmlformats.org/package/2006/relationships"><Relationship Id="rId1" Type="http://schemas.openxmlformats.org/officeDocument/2006/relationships/printerSettings" Target="../printerSettings/printerSettings198.bin"/></Relationships>
</file>

<file path=xl/worksheets/_rels/sheet199.xml.rels><?xml version="1.0" encoding="UTF-8" standalone="yes"?>
<Relationships xmlns="http://schemas.openxmlformats.org/package/2006/relationships"><Relationship Id="rId1" Type="http://schemas.openxmlformats.org/officeDocument/2006/relationships/printerSettings" Target="../printerSettings/printerSettings199.bin"/></Relationships>
</file>

<file path=xl/worksheets/_rels/sheet200.xml.rels><?xml version="1.0" encoding="UTF-8" standalone="yes"?>
<Relationships xmlns="http://schemas.openxmlformats.org/package/2006/relationships"><Relationship Id="rId1" Type="http://schemas.openxmlformats.org/officeDocument/2006/relationships/printerSettings" Target="../printerSettings/printerSettings200.bin"/></Relationships>
</file>

<file path=xl/worksheets/_rels/sheet201.xml.rels><?xml version="1.0" encoding="UTF-8" standalone="yes"?>
<Relationships xmlns="http://schemas.openxmlformats.org/package/2006/relationships"><Relationship Id="rId1" Type="http://schemas.openxmlformats.org/officeDocument/2006/relationships/printerSettings" Target="../printerSettings/printerSettings201.bin"/></Relationships>
</file>

<file path=xl/worksheets/_rels/sheet202.xml.rels><?xml version="1.0" encoding="UTF-8" standalone="yes"?>
<Relationships xmlns="http://schemas.openxmlformats.org/package/2006/relationships"><Relationship Id="rId1" Type="http://schemas.openxmlformats.org/officeDocument/2006/relationships/printerSettings" Target="../printerSettings/printerSettings202.bin"/></Relationships>
</file>

<file path=xl/worksheets/_rels/sheet203.xml.rels><?xml version="1.0" encoding="UTF-8" standalone="yes"?>
<Relationships xmlns="http://schemas.openxmlformats.org/package/2006/relationships"><Relationship Id="rId1" Type="http://schemas.openxmlformats.org/officeDocument/2006/relationships/printerSettings" Target="../printerSettings/printerSettings203.bin"/></Relationships>
</file>

<file path=xl/worksheets/_rels/sheet204.xml.rels><?xml version="1.0" encoding="UTF-8" standalone="yes"?>
<Relationships xmlns="http://schemas.openxmlformats.org/package/2006/relationships"><Relationship Id="rId1" Type="http://schemas.openxmlformats.org/officeDocument/2006/relationships/printerSettings" Target="../printerSettings/printerSettings204.bin"/></Relationships>
</file>

<file path=xl/worksheets/_rels/sheet205.xml.rels><?xml version="1.0" encoding="UTF-8" standalone="yes"?>
<Relationships xmlns="http://schemas.openxmlformats.org/package/2006/relationships"><Relationship Id="rId1" Type="http://schemas.openxmlformats.org/officeDocument/2006/relationships/printerSettings" Target="../printerSettings/printerSettings205.bin"/></Relationships>
</file>

<file path=xl/worksheets/_rels/sheet206.xml.rels><?xml version="1.0" encoding="UTF-8" standalone="yes"?>
<Relationships xmlns="http://schemas.openxmlformats.org/package/2006/relationships"><Relationship Id="rId1" Type="http://schemas.openxmlformats.org/officeDocument/2006/relationships/printerSettings" Target="../printerSettings/printerSettings206.bin"/></Relationships>
</file>

<file path=xl/worksheets/_rels/sheet207.xml.rels><?xml version="1.0" encoding="UTF-8" standalone="yes"?>
<Relationships xmlns="http://schemas.openxmlformats.org/package/2006/relationships"><Relationship Id="rId1" Type="http://schemas.openxmlformats.org/officeDocument/2006/relationships/printerSettings" Target="../printerSettings/printerSettings207.bin"/></Relationships>
</file>

<file path=xl/worksheets/_rels/sheet208.xml.rels><?xml version="1.0" encoding="UTF-8" standalone="yes"?>
<Relationships xmlns="http://schemas.openxmlformats.org/package/2006/relationships"><Relationship Id="rId1" Type="http://schemas.openxmlformats.org/officeDocument/2006/relationships/printerSettings" Target="../printerSettings/printerSettings208.bin"/></Relationships>
</file>

<file path=xl/worksheets/_rels/sheet209.xml.rels><?xml version="1.0" encoding="UTF-8" standalone="yes"?>
<Relationships xmlns="http://schemas.openxmlformats.org/package/2006/relationships"><Relationship Id="rId1" Type="http://schemas.openxmlformats.org/officeDocument/2006/relationships/printerSettings" Target="../printerSettings/printerSettings209.bin"/></Relationships>
</file>

<file path=xl/worksheets/_rels/sheet210.xml.rels><?xml version="1.0" encoding="UTF-8" standalone="yes"?>
<Relationships xmlns="http://schemas.openxmlformats.org/package/2006/relationships"><Relationship Id="rId1" Type="http://schemas.openxmlformats.org/officeDocument/2006/relationships/printerSettings" Target="../printerSettings/printerSettings210.bin"/></Relationships>
</file>

<file path=xl/worksheets/_rels/sheet211.xml.rels><?xml version="1.0" encoding="UTF-8" standalone="yes"?>
<Relationships xmlns="http://schemas.openxmlformats.org/package/2006/relationships"><Relationship Id="rId1" Type="http://schemas.openxmlformats.org/officeDocument/2006/relationships/printerSettings" Target="../printerSettings/printerSettings211.bin"/></Relationships>
</file>

<file path=xl/worksheets/_rels/sheet212.xml.rels><?xml version="1.0" encoding="UTF-8" standalone="yes"?>
<Relationships xmlns="http://schemas.openxmlformats.org/package/2006/relationships"><Relationship Id="rId1" Type="http://schemas.openxmlformats.org/officeDocument/2006/relationships/printerSettings" Target="../printerSettings/printerSettings212.bin"/></Relationships>
</file>

<file path=xl/worksheets/_rels/sheet213.xml.rels><?xml version="1.0" encoding="UTF-8" standalone="yes"?>
<Relationships xmlns="http://schemas.openxmlformats.org/package/2006/relationships"><Relationship Id="rId1" Type="http://schemas.openxmlformats.org/officeDocument/2006/relationships/printerSettings" Target="../printerSettings/printerSettings213.bin"/></Relationships>
</file>

<file path=xl/worksheets/_rels/sheet214.xml.rels><?xml version="1.0" encoding="UTF-8" standalone="yes"?>
<Relationships xmlns="http://schemas.openxmlformats.org/package/2006/relationships"><Relationship Id="rId1" Type="http://schemas.openxmlformats.org/officeDocument/2006/relationships/printerSettings" Target="../printerSettings/printerSettings214.bin"/></Relationships>
</file>

<file path=xl/worksheets/_rels/sheet215.xml.rels><?xml version="1.0" encoding="UTF-8" standalone="yes"?>
<Relationships xmlns="http://schemas.openxmlformats.org/package/2006/relationships"><Relationship Id="rId1" Type="http://schemas.openxmlformats.org/officeDocument/2006/relationships/printerSettings" Target="../printerSettings/printerSettings215.bin"/></Relationships>
</file>

<file path=xl/worksheets/_rels/sheet216.xml.rels><?xml version="1.0" encoding="UTF-8" standalone="yes"?>
<Relationships xmlns="http://schemas.openxmlformats.org/package/2006/relationships"><Relationship Id="rId1" Type="http://schemas.openxmlformats.org/officeDocument/2006/relationships/printerSettings" Target="../printerSettings/printerSettings216.bin"/></Relationships>
</file>

<file path=xl/worksheets/_rels/sheet217.xml.rels><?xml version="1.0" encoding="UTF-8" standalone="yes"?>
<Relationships xmlns="http://schemas.openxmlformats.org/package/2006/relationships"><Relationship Id="rId1" Type="http://schemas.openxmlformats.org/officeDocument/2006/relationships/printerSettings" Target="../printerSettings/printerSettings217.bin"/></Relationships>
</file>

<file path=xl/worksheets/_rels/sheet218.xml.rels><?xml version="1.0" encoding="UTF-8" standalone="yes"?>
<Relationships xmlns="http://schemas.openxmlformats.org/package/2006/relationships"><Relationship Id="rId1" Type="http://schemas.openxmlformats.org/officeDocument/2006/relationships/printerSettings" Target="../printerSettings/printerSettings218.bin"/></Relationships>
</file>

<file path=xl/worksheets/_rels/sheet219.xml.rels><?xml version="1.0" encoding="UTF-8" standalone="yes"?>
<Relationships xmlns="http://schemas.openxmlformats.org/package/2006/relationships"><Relationship Id="rId1" Type="http://schemas.openxmlformats.org/officeDocument/2006/relationships/printerSettings" Target="../printerSettings/printerSettings219.bin"/></Relationships>
</file>

<file path=xl/worksheets/_rels/sheet220.xml.rels><?xml version="1.0" encoding="UTF-8" standalone="yes"?>
<Relationships xmlns="http://schemas.openxmlformats.org/package/2006/relationships"><Relationship Id="rId1" Type="http://schemas.openxmlformats.org/officeDocument/2006/relationships/printerSettings" Target="../printerSettings/printerSettings220.bin"/></Relationships>
</file>

<file path=xl/worksheets/_rels/sheet221.xml.rels><?xml version="1.0" encoding="UTF-8" standalone="yes"?>
<Relationships xmlns="http://schemas.openxmlformats.org/package/2006/relationships"><Relationship Id="rId1" Type="http://schemas.openxmlformats.org/officeDocument/2006/relationships/printerSettings" Target="../printerSettings/printerSettings221.bin"/></Relationships>
</file>

<file path=xl/worksheets/_rels/sheet222.xml.rels><?xml version="1.0" encoding="UTF-8" standalone="yes"?>
<Relationships xmlns="http://schemas.openxmlformats.org/package/2006/relationships"><Relationship Id="rId1" Type="http://schemas.openxmlformats.org/officeDocument/2006/relationships/printerSettings" Target="../printerSettings/printerSettings222.bin"/></Relationships>
</file>

<file path=xl/worksheets/_rels/sheet223.xml.rels><?xml version="1.0" encoding="UTF-8" standalone="yes"?>
<Relationships xmlns="http://schemas.openxmlformats.org/package/2006/relationships"><Relationship Id="rId1" Type="http://schemas.openxmlformats.org/officeDocument/2006/relationships/printerSettings" Target="../printerSettings/printerSettings223.bin"/></Relationships>
</file>

<file path=xl/worksheets/_rels/sheet22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24.bin"/></Relationships>
</file>

<file path=xl/worksheets/_rels/sheet225.xml.rels><?xml version="1.0" encoding="UTF-8" standalone="yes"?>
<Relationships xmlns="http://schemas.openxmlformats.org/package/2006/relationships"><Relationship Id="rId1" Type="http://schemas.openxmlformats.org/officeDocument/2006/relationships/printerSettings" Target="../printerSettings/printerSettings225.bin"/></Relationships>
</file>

<file path=xl/worksheets/_rels/sheet226.xml.rels><?xml version="1.0" encoding="UTF-8" standalone="yes"?>
<Relationships xmlns="http://schemas.openxmlformats.org/package/2006/relationships"><Relationship Id="rId1" Type="http://schemas.openxmlformats.org/officeDocument/2006/relationships/printerSettings" Target="../printerSettings/printerSettings226.bin"/></Relationships>
</file>

<file path=xl/worksheets/_rels/sheet227.xml.rels><?xml version="1.0" encoding="UTF-8" standalone="yes"?>
<Relationships xmlns="http://schemas.openxmlformats.org/package/2006/relationships"><Relationship Id="rId1" Type="http://schemas.openxmlformats.org/officeDocument/2006/relationships/printerSettings" Target="../printerSettings/printerSettings227.bin"/></Relationships>
</file>

<file path=xl/worksheets/_rels/sheet228.xml.rels><?xml version="1.0" encoding="UTF-8" standalone="yes"?>
<Relationships xmlns="http://schemas.openxmlformats.org/package/2006/relationships"><Relationship Id="rId1" Type="http://schemas.openxmlformats.org/officeDocument/2006/relationships/printerSettings" Target="../printerSettings/printerSettings228.bin"/></Relationships>
</file>

<file path=xl/worksheets/_rels/sheet229.xml.rels><?xml version="1.0" encoding="UTF-8" standalone="yes"?>
<Relationships xmlns="http://schemas.openxmlformats.org/package/2006/relationships"><Relationship Id="rId1" Type="http://schemas.openxmlformats.org/officeDocument/2006/relationships/printerSettings" Target="../printerSettings/printerSettings229.bin"/></Relationships>
</file>

<file path=xl/worksheets/_rels/sheet230.xml.rels><?xml version="1.0" encoding="UTF-8" standalone="yes"?>
<Relationships xmlns="http://schemas.openxmlformats.org/package/2006/relationships"><Relationship Id="rId1" Type="http://schemas.openxmlformats.org/officeDocument/2006/relationships/printerSettings" Target="../printerSettings/printerSettings230.bin"/></Relationships>
</file>

<file path=xl/worksheets/_rels/sheet231.xml.rels><?xml version="1.0" encoding="UTF-8" standalone="yes"?>
<Relationships xmlns="http://schemas.openxmlformats.org/package/2006/relationships"><Relationship Id="rId1" Type="http://schemas.openxmlformats.org/officeDocument/2006/relationships/printerSettings" Target="../printerSettings/printerSettings231.bin"/></Relationships>
</file>

<file path=xl/worksheets/_rels/sheet232.xml.rels><?xml version="1.0" encoding="UTF-8" standalone="yes"?>
<Relationships xmlns="http://schemas.openxmlformats.org/package/2006/relationships"><Relationship Id="rId1" Type="http://schemas.openxmlformats.org/officeDocument/2006/relationships/printerSettings" Target="../printerSettings/printerSettings232.bin"/></Relationships>
</file>

<file path=xl/worksheets/_rels/sheet233.xml.rels><?xml version="1.0" encoding="UTF-8" standalone="yes"?>
<Relationships xmlns="http://schemas.openxmlformats.org/package/2006/relationships"><Relationship Id="rId1" Type="http://schemas.openxmlformats.org/officeDocument/2006/relationships/printerSettings" Target="../printerSettings/printerSettings233.bin"/></Relationships>
</file>

<file path=xl/worksheets/_rels/sheet234.xml.rels><?xml version="1.0" encoding="UTF-8" standalone="yes"?>
<Relationships xmlns="http://schemas.openxmlformats.org/package/2006/relationships"><Relationship Id="rId1" Type="http://schemas.openxmlformats.org/officeDocument/2006/relationships/printerSettings" Target="../printerSettings/printerSettings234.bin"/></Relationships>
</file>

<file path=xl/worksheets/_rels/sheet235.xml.rels><?xml version="1.0" encoding="UTF-8" standalone="yes"?>
<Relationships xmlns="http://schemas.openxmlformats.org/package/2006/relationships"><Relationship Id="rId1" Type="http://schemas.openxmlformats.org/officeDocument/2006/relationships/printerSettings" Target="../printerSettings/printerSettings235.bin"/></Relationships>
</file>

<file path=xl/worksheets/_rels/sheet236.xml.rels><?xml version="1.0" encoding="UTF-8" standalone="yes"?>
<Relationships xmlns="http://schemas.openxmlformats.org/package/2006/relationships"><Relationship Id="rId1" Type="http://schemas.openxmlformats.org/officeDocument/2006/relationships/printerSettings" Target="../printerSettings/printerSettings236.bin"/></Relationships>
</file>

<file path=xl/worksheets/_rels/sheet237.xml.rels><?xml version="1.0" encoding="UTF-8" standalone="yes"?>
<Relationships xmlns="http://schemas.openxmlformats.org/package/2006/relationships"><Relationship Id="rId1" Type="http://schemas.openxmlformats.org/officeDocument/2006/relationships/printerSettings" Target="../printerSettings/printerSettings237.bin"/></Relationships>
</file>

<file path=xl/worksheets/_rels/sheet238.xml.rels><?xml version="1.0" encoding="UTF-8" standalone="yes"?>
<Relationships xmlns="http://schemas.openxmlformats.org/package/2006/relationships"><Relationship Id="rId1" Type="http://schemas.openxmlformats.org/officeDocument/2006/relationships/printerSettings" Target="../printerSettings/printerSettings238.bin"/></Relationships>
</file>

<file path=xl/worksheets/_rels/sheet239.xml.rels><?xml version="1.0" encoding="UTF-8" standalone="yes"?>
<Relationships xmlns="http://schemas.openxmlformats.org/package/2006/relationships"><Relationship Id="rId1" Type="http://schemas.openxmlformats.org/officeDocument/2006/relationships/printerSettings" Target="../printerSettings/printerSettings239.bin"/></Relationships>
</file>

<file path=xl/worksheets/_rels/sheet240.xml.rels><?xml version="1.0" encoding="UTF-8" standalone="yes"?>
<Relationships xmlns="http://schemas.openxmlformats.org/package/2006/relationships"><Relationship Id="rId1" Type="http://schemas.openxmlformats.org/officeDocument/2006/relationships/printerSettings" Target="../printerSettings/printerSettings240.bin"/></Relationships>
</file>

<file path=xl/worksheets/_rels/sheet241.xml.rels><?xml version="1.0" encoding="UTF-8" standalone="yes"?>
<Relationships xmlns="http://schemas.openxmlformats.org/package/2006/relationships"><Relationship Id="rId1" Type="http://schemas.openxmlformats.org/officeDocument/2006/relationships/printerSettings" Target="../printerSettings/printerSettings241.bin"/></Relationships>
</file>

<file path=xl/worksheets/_rels/sheet242.xml.rels><?xml version="1.0" encoding="UTF-8" standalone="yes"?>
<Relationships xmlns="http://schemas.openxmlformats.org/package/2006/relationships"><Relationship Id="rId1" Type="http://schemas.openxmlformats.org/officeDocument/2006/relationships/printerSettings" Target="../printerSettings/printerSettings242.bin"/></Relationships>
</file>

<file path=xl/worksheets/_rels/sheet243.xml.rels><?xml version="1.0" encoding="UTF-8" standalone="yes"?>
<Relationships xmlns="http://schemas.openxmlformats.org/package/2006/relationships"><Relationship Id="rId1" Type="http://schemas.openxmlformats.org/officeDocument/2006/relationships/printerSettings" Target="../printerSettings/printerSettings243.bin"/></Relationships>
</file>

<file path=xl/worksheets/_rels/sheet244.xml.rels><?xml version="1.0" encoding="UTF-8" standalone="yes"?>
<Relationships xmlns="http://schemas.openxmlformats.org/package/2006/relationships"><Relationship Id="rId1" Type="http://schemas.openxmlformats.org/officeDocument/2006/relationships/printerSettings" Target="../printerSettings/printerSettings244.bin"/></Relationships>
</file>

<file path=xl/worksheets/_rels/sheet245.xml.rels><?xml version="1.0" encoding="UTF-8" standalone="yes"?>
<Relationships xmlns="http://schemas.openxmlformats.org/package/2006/relationships"><Relationship Id="rId1" Type="http://schemas.openxmlformats.org/officeDocument/2006/relationships/printerSettings" Target="../printerSettings/printerSettings245.bin"/></Relationships>
</file>

<file path=xl/worksheets/_rels/sheet246.xml.rels><?xml version="1.0" encoding="UTF-8" standalone="yes"?>
<Relationships xmlns="http://schemas.openxmlformats.org/package/2006/relationships"><Relationship Id="rId1" Type="http://schemas.openxmlformats.org/officeDocument/2006/relationships/printerSettings" Target="../printerSettings/printerSettings246.bin"/></Relationships>
</file>

<file path=xl/worksheets/_rels/sheet247.xml.rels><?xml version="1.0" encoding="UTF-8" standalone="yes"?>
<Relationships xmlns="http://schemas.openxmlformats.org/package/2006/relationships"><Relationship Id="rId1" Type="http://schemas.openxmlformats.org/officeDocument/2006/relationships/printerSettings" Target="../printerSettings/printerSettings247.bin"/></Relationships>
</file>

<file path=xl/worksheets/_rels/sheet248.xml.rels><?xml version="1.0" encoding="UTF-8" standalone="yes"?>
<Relationships xmlns="http://schemas.openxmlformats.org/package/2006/relationships"><Relationship Id="rId1" Type="http://schemas.openxmlformats.org/officeDocument/2006/relationships/printerSettings" Target="../printerSettings/printerSettings248.bin"/></Relationships>
</file>

<file path=xl/worksheets/_rels/sheet249.xml.rels><?xml version="1.0" encoding="UTF-8" standalone="yes"?>
<Relationships xmlns="http://schemas.openxmlformats.org/package/2006/relationships"><Relationship Id="rId1" Type="http://schemas.openxmlformats.org/officeDocument/2006/relationships/printerSettings" Target="../printerSettings/printerSettings249.bin"/></Relationships>
</file>

<file path=xl/worksheets/_rels/sheet250.xml.rels><?xml version="1.0" encoding="UTF-8" standalone="yes"?>
<Relationships xmlns="http://schemas.openxmlformats.org/package/2006/relationships"><Relationship Id="rId1" Type="http://schemas.openxmlformats.org/officeDocument/2006/relationships/printerSettings" Target="../printerSettings/printerSettings250.bin"/></Relationships>
</file>

<file path=xl/worksheets/_rels/sheet251.xml.rels><?xml version="1.0" encoding="UTF-8" standalone="yes"?>
<Relationships xmlns="http://schemas.openxmlformats.org/package/2006/relationships"><Relationship Id="rId1" Type="http://schemas.openxmlformats.org/officeDocument/2006/relationships/printerSettings" Target="../printerSettings/printerSettings25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3:K41"/>
  <sheetViews>
    <sheetView topLeftCell="A10" workbookViewId="0">
      <selection activeCell="K19" sqref="K19"/>
    </sheetView>
  </sheetViews>
  <sheetFormatPr defaultRowHeight="13.5"/>
  <cols>
    <col min="2" max="2" width="32.875" customWidth="1"/>
    <col min="3" max="3" width="17.375" customWidth="1"/>
    <col min="4" max="4" width="51.125" bestFit="1" customWidth="1"/>
  </cols>
  <sheetData>
    <row r="3" spans="2:11">
      <c r="I3" t="s">
        <v>105</v>
      </c>
    </row>
    <row r="4" spans="2:11" ht="14.25">
      <c r="B4" s="1" t="s">
        <v>0</v>
      </c>
      <c r="C4" s="1" t="s">
        <v>1</v>
      </c>
      <c r="D4" s="1" t="s">
        <v>2</v>
      </c>
    </row>
    <row r="5" spans="2:11" ht="14.25">
      <c r="B5" s="2" t="s">
        <v>3</v>
      </c>
      <c r="C5" s="2" t="s">
        <v>76</v>
      </c>
      <c r="D5" s="3" t="s">
        <v>4</v>
      </c>
      <c r="I5" t="s">
        <v>93</v>
      </c>
      <c r="K5" t="s">
        <v>108</v>
      </c>
    </row>
    <row r="6" spans="2:11" ht="14.25">
      <c r="B6" s="2" t="s">
        <v>5</v>
      </c>
      <c r="C6" s="2" t="s">
        <v>77</v>
      </c>
      <c r="D6" s="3" t="s">
        <v>6</v>
      </c>
    </row>
    <row r="7" spans="2:11" ht="14.25">
      <c r="B7" s="2" t="s">
        <v>7</v>
      </c>
      <c r="C7" s="3"/>
      <c r="D7" s="3" t="s">
        <v>8</v>
      </c>
      <c r="I7" t="s">
        <v>94</v>
      </c>
    </row>
    <row r="8" spans="2:11" ht="14.25">
      <c r="B8" s="2" t="s">
        <v>9</v>
      </c>
      <c r="C8" s="2" t="s">
        <v>78</v>
      </c>
      <c r="D8" s="3" t="s">
        <v>10</v>
      </c>
      <c r="I8" t="s">
        <v>95</v>
      </c>
    </row>
    <row r="9" spans="2:11" ht="14.25">
      <c r="B9" s="2" t="s">
        <v>11</v>
      </c>
      <c r="C9" s="2" t="s">
        <v>79</v>
      </c>
      <c r="D9" s="3" t="s">
        <v>12</v>
      </c>
      <c r="I9" t="s">
        <v>96</v>
      </c>
    </row>
    <row r="10" spans="2:11" ht="14.25">
      <c r="B10" s="2" t="s">
        <v>13</v>
      </c>
      <c r="C10" s="3"/>
      <c r="D10" s="3" t="s">
        <v>14</v>
      </c>
    </row>
    <row r="11" spans="2:11" ht="14.25">
      <c r="B11" s="2" t="s">
        <v>15</v>
      </c>
      <c r="C11" s="3"/>
      <c r="D11" s="3" t="s">
        <v>16</v>
      </c>
    </row>
    <row r="12" spans="2:11" ht="14.25">
      <c r="B12" s="2" t="s">
        <v>17</v>
      </c>
      <c r="C12" s="2" t="s">
        <v>80</v>
      </c>
      <c r="D12" s="3" t="s">
        <v>18</v>
      </c>
      <c r="I12" t="s">
        <v>98</v>
      </c>
      <c r="J12" t="s">
        <v>91</v>
      </c>
    </row>
    <row r="13" spans="2:11" ht="14.25">
      <c r="B13" s="2" t="s">
        <v>19</v>
      </c>
      <c r="C13" s="2" t="s">
        <v>81</v>
      </c>
      <c r="D13" s="3" t="s">
        <v>20</v>
      </c>
      <c r="I13" t="s">
        <v>90</v>
      </c>
      <c r="J13" t="s">
        <v>97</v>
      </c>
    </row>
    <row r="14" spans="2:11" ht="14.25">
      <c r="B14" s="2" t="s">
        <v>21</v>
      </c>
      <c r="C14" s="3"/>
      <c r="D14" s="3" t="s">
        <v>22</v>
      </c>
    </row>
    <row r="15" spans="2:11" ht="14.25">
      <c r="B15" s="2" t="s">
        <v>23</v>
      </c>
      <c r="C15" s="3"/>
      <c r="D15" s="3" t="s">
        <v>24</v>
      </c>
    </row>
    <row r="16" spans="2:11" ht="14.25">
      <c r="B16" s="2" t="s">
        <v>25</v>
      </c>
      <c r="C16" s="3"/>
      <c r="D16" s="3" t="s">
        <v>26</v>
      </c>
      <c r="I16" t="s">
        <v>99</v>
      </c>
    </row>
    <row r="17" spans="2:11" ht="14.25">
      <c r="B17" s="2" t="s">
        <v>27</v>
      </c>
      <c r="C17" s="2" t="s">
        <v>82</v>
      </c>
      <c r="D17" s="3" t="s">
        <v>28</v>
      </c>
      <c r="I17" t="s">
        <v>27</v>
      </c>
    </row>
    <row r="18" spans="2:11" ht="14.25">
      <c r="B18" s="2" t="s">
        <v>29</v>
      </c>
      <c r="C18" s="3"/>
      <c r="D18" s="3" t="s">
        <v>30</v>
      </c>
    </row>
    <row r="19" spans="2:11" ht="14.25">
      <c r="B19" s="2" t="s">
        <v>31</v>
      </c>
      <c r="C19" s="2" t="s">
        <v>83</v>
      </c>
      <c r="D19" s="3" t="s">
        <v>32</v>
      </c>
      <c r="I19" t="s">
        <v>107</v>
      </c>
      <c r="K19" t="s">
        <v>106</v>
      </c>
    </row>
    <row r="20" spans="2:11" ht="14.25">
      <c r="B20" s="2" t="s">
        <v>33</v>
      </c>
      <c r="C20" s="3"/>
      <c r="D20" s="3" t="s">
        <v>34</v>
      </c>
      <c r="I20" t="s">
        <v>100</v>
      </c>
    </row>
    <row r="21" spans="2:11" ht="14.25">
      <c r="B21" s="2" t="s">
        <v>35</v>
      </c>
      <c r="C21" s="3"/>
      <c r="D21" s="3" t="s">
        <v>36</v>
      </c>
    </row>
    <row r="22" spans="2:11" ht="14.25">
      <c r="B22" s="2" t="s">
        <v>37</v>
      </c>
      <c r="C22" s="3"/>
      <c r="D22" s="3" t="s">
        <v>38</v>
      </c>
    </row>
    <row r="23" spans="2:11" ht="14.25">
      <c r="B23" s="2" t="s">
        <v>39</v>
      </c>
      <c r="C23" s="3"/>
      <c r="D23" s="3" t="s">
        <v>40</v>
      </c>
    </row>
    <row r="24" spans="2:11" ht="14.25">
      <c r="B24" s="2" t="s">
        <v>41</v>
      </c>
      <c r="C24" s="3"/>
      <c r="D24" s="3" t="s">
        <v>42</v>
      </c>
    </row>
    <row r="25" spans="2:11" ht="14.25">
      <c r="B25" s="2" t="s">
        <v>43</v>
      </c>
      <c r="C25" s="2" t="s">
        <v>84</v>
      </c>
      <c r="D25" s="3" t="s">
        <v>44</v>
      </c>
      <c r="I25" t="s">
        <v>101</v>
      </c>
      <c r="J25" t="s">
        <v>92</v>
      </c>
    </row>
    <row r="26" spans="2:11" ht="14.25">
      <c r="B26" s="2" t="s">
        <v>45</v>
      </c>
      <c r="C26" s="3"/>
      <c r="D26" s="3" t="s">
        <v>46</v>
      </c>
    </row>
    <row r="27" spans="2:11" ht="14.25">
      <c r="B27" s="2" t="s">
        <v>47</v>
      </c>
      <c r="C27" s="3"/>
      <c r="D27" s="3" t="s">
        <v>48</v>
      </c>
    </row>
    <row r="28" spans="2:11" ht="14.25">
      <c r="B28" s="2" t="s">
        <v>49</v>
      </c>
      <c r="C28" s="3"/>
      <c r="D28" s="3" t="s">
        <v>50</v>
      </c>
    </row>
    <row r="29" spans="2:11" ht="14.25">
      <c r="B29" s="2" t="s">
        <v>51</v>
      </c>
      <c r="C29" s="2" t="s">
        <v>85</v>
      </c>
      <c r="D29" s="3" t="s">
        <v>52</v>
      </c>
      <c r="I29" t="s">
        <v>51</v>
      </c>
    </row>
    <row r="30" spans="2:11" ht="14.25">
      <c r="B30" s="2" t="s">
        <v>53</v>
      </c>
      <c r="C30" s="2" t="s">
        <v>86</v>
      </c>
      <c r="D30" s="3" t="s">
        <v>54</v>
      </c>
      <c r="I30" t="s">
        <v>102</v>
      </c>
    </row>
    <row r="31" spans="2:11" ht="14.25">
      <c r="B31" s="2" t="s">
        <v>55</v>
      </c>
      <c r="C31" s="2" t="s">
        <v>87</v>
      </c>
      <c r="D31" s="3" t="s">
        <v>56</v>
      </c>
    </row>
    <row r="32" spans="2:11" ht="14.25">
      <c r="B32" s="2" t="s">
        <v>57</v>
      </c>
      <c r="C32" s="3"/>
      <c r="D32" s="3" t="s">
        <v>18</v>
      </c>
      <c r="K32" t="s">
        <v>109</v>
      </c>
    </row>
    <row r="33" spans="2:9" ht="14.25">
      <c r="B33" s="2" t="s">
        <v>58</v>
      </c>
      <c r="C33" s="3"/>
      <c r="D33" s="3" t="s">
        <v>59</v>
      </c>
      <c r="I33" t="s">
        <v>103</v>
      </c>
    </row>
    <row r="34" spans="2:9" ht="14.25">
      <c r="B34" s="2" t="s">
        <v>60</v>
      </c>
      <c r="C34" s="2" t="s">
        <v>88</v>
      </c>
      <c r="D34" s="3" t="s">
        <v>61</v>
      </c>
      <c r="I34" t="s">
        <v>103</v>
      </c>
    </row>
    <row r="35" spans="2:9" ht="24">
      <c r="B35" s="2" t="s">
        <v>62</v>
      </c>
      <c r="C35" s="3"/>
      <c r="D35" s="3" t="s">
        <v>63</v>
      </c>
      <c r="I35" t="s">
        <v>104</v>
      </c>
    </row>
    <row r="36" spans="2:9" ht="14.25">
      <c r="B36" s="2" t="s">
        <v>64</v>
      </c>
      <c r="C36" s="2" t="s">
        <v>89</v>
      </c>
      <c r="D36" s="3" t="s">
        <v>65</v>
      </c>
      <c r="I36" t="s">
        <v>104</v>
      </c>
    </row>
    <row r="37" spans="2:9" ht="14.25">
      <c r="B37" s="2" t="s">
        <v>66</v>
      </c>
      <c r="C37" s="3"/>
      <c r="D37" s="3" t="s">
        <v>67</v>
      </c>
    </row>
    <row r="38" spans="2:9" ht="14.25">
      <c r="B38" s="2" t="s">
        <v>68</v>
      </c>
      <c r="C38" s="3"/>
      <c r="D38" s="3" t="s">
        <v>69</v>
      </c>
    </row>
    <row r="39" spans="2:9" ht="14.25">
      <c r="B39" s="2" t="s">
        <v>70</v>
      </c>
      <c r="C39" s="3"/>
      <c r="D39" s="3" t="s">
        <v>71</v>
      </c>
    </row>
    <row r="40" spans="2:9" ht="14.25">
      <c r="B40" s="2" t="s">
        <v>72</v>
      </c>
      <c r="C40" s="3"/>
      <c r="D40" s="3" t="s">
        <v>73</v>
      </c>
    </row>
    <row r="41" spans="2:9" ht="14.25">
      <c r="B41" s="2" t="s">
        <v>74</v>
      </c>
      <c r="C41" s="3"/>
      <c r="D41" s="3" t="s">
        <v>75</v>
      </c>
      <c r="I41" t="s">
        <v>74</v>
      </c>
    </row>
  </sheetData>
  <phoneticPr fontId="9"/>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B3:W1610"/>
  <sheetViews>
    <sheetView showGridLines="0" zoomScaleNormal="100" workbookViewId="0"/>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2:23" ht="18.75" customHeight="1">
      <c r="B3" s="43" t="s">
        <v>163</v>
      </c>
      <c r="C3" s="51" t="s">
        <v>3177</v>
      </c>
      <c r="D3" s="78"/>
      <c r="W3" s="35" t="str">
        <f>"-- "&amp;B3&amp;" : "&amp;C3</f>
        <v>-- SQL_ID : 01_01</v>
      </c>
    </row>
    <row r="4" spans="2:23" ht="18.75" customHeight="1">
      <c r="B4" s="43" t="s">
        <v>158</v>
      </c>
      <c r="C4" s="145" t="str">
        <f>R7&amp;"登録"</f>
        <v>バックアップ_処方データ_組入れ第一条件登録</v>
      </c>
      <c r="D4" s="146"/>
      <c r="E4" s="146"/>
      <c r="F4" s="146"/>
      <c r="G4" s="146"/>
      <c r="H4" s="146"/>
      <c r="I4" s="146"/>
      <c r="J4" s="146"/>
      <c r="K4" s="146"/>
      <c r="L4" s="146"/>
      <c r="M4" s="146"/>
      <c r="N4" s="146"/>
      <c r="O4" s="146"/>
      <c r="P4" s="146"/>
      <c r="Q4" s="146"/>
      <c r="R4" s="146"/>
      <c r="S4" s="146"/>
      <c r="T4" s="146"/>
      <c r="U4" s="147"/>
      <c r="W4" s="35" t="str">
        <f>"-- "&amp;C4</f>
        <v>-- バックアップ_処方データ_組入れ第一条件登録</v>
      </c>
    </row>
    <row r="5" spans="2:23" ht="18.75" customHeight="1">
      <c r="B5" s="43" t="s">
        <v>159</v>
      </c>
      <c r="C5" s="134" t="s">
        <v>3179</v>
      </c>
      <c r="D5" s="135"/>
      <c r="E5" s="135"/>
      <c r="F5" s="135"/>
      <c r="G5" s="135"/>
      <c r="H5" s="135"/>
      <c r="I5" s="135"/>
      <c r="J5" s="135"/>
      <c r="K5" s="135"/>
      <c r="L5" s="135"/>
      <c r="M5" s="135"/>
      <c r="N5" s="135"/>
      <c r="O5" s="135"/>
      <c r="P5" s="135"/>
      <c r="Q5" s="135"/>
      <c r="R5" s="135"/>
      <c r="S5" s="135"/>
      <c r="T5" s="135"/>
      <c r="U5" s="136"/>
      <c r="W5" s="35" t="str">
        <f>"-- "&amp;C5</f>
        <v>-- 処方データテーブルから組入れ条件の第一条件で絞り込んだ結果の患者IDの一覧をバックアップ_処方データ_組み入れ第一条件テーブルに格納する。</v>
      </c>
    </row>
    <row r="7" spans="2:23" ht="18.75" customHeight="1">
      <c r="C7" s="137" t="s">
        <v>3178</v>
      </c>
      <c r="D7" s="138"/>
      <c r="E7" s="141" t="s">
        <v>162</v>
      </c>
      <c r="F7" s="36"/>
      <c r="G7" s="36"/>
      <c r="H7" s="36"/>
      <c r="I7" s="36"/>
      <c r="J7" s="36"/>
      <c r="K7" s="36"/>
      <c r="L7" s="36"/>
      <c r="M7" s="36"/>
      <c r="N7" s="36"/>
      <c r="O7" s="36"/>
      <c r="P7" s="36"/>
      <c r="Q7" s="36"/>
      <c r="R7" s="137" t="str">
        <f>"バックアップ_"&amp;C7&amp;"_組入れ第一条件"</f>
        <v>バックアップ_処方データ_組入れ第一条件</v>
      </c>
      <c r="S7" s="138"/>
      <c r="T7" s="143" t="str">
        <f>エンティティ一覧!$O$2</f>
        <v>milscm_2023_010</v>
      </c>
    </row>
    <row r="8" spans="2:23" ht="18.75" customHeight="1">
      <c r="C8" s="139"/>
      <c r="D8" s="140"/>
      <c r="E8" s="142"/>
      <c r="F8" s="37"/>
      <c r="G8" s="37"/>
      <c r="H8" s="37"/>
      <c r="I8" s="37"/>
      <c r="J8" s="37"/>
      <c r="K8" s="37"/>
      <c r="L8" s="37"/>
      <c r="M8" s="37"/>
      <c r="N8" s="37"/>
      <c r="O8" s="37"/>
      <c r="P8" s="37"/>
      <c r="Q8" s="37"/>
      <c r="R8" s="139"/>
      <c r="S8" s="140"/>
      <c r="T8" s="144"/>
    </row>
    <row r="10" spans="2:23" ht="18.75" customHeight="1" thickBot="1">
      <c r="B10" s="42"/>
      <c r="C10" s="42"/>
      <c r="D10" s="42"/>
      <c r="E10" s="42"/>
      <c r="F10" s="42"/>
      <c r="G10" s="42"/>
      <c r="H10" s="42"/>
      <c r="I10" s="42"/>
      <c r="J10" s="42"/>
      <c r="K10" s="42"/>
      <c r="L10" s="42"/>
      <c r="M10" s="42"/>
      <c r="N10" s="42"/>
      <c r="O10" s="42"/>
      <c r="P10" s="42"/>
      <c r="Q10" s="42"/>
      <c r="R10" s="42"/>
      <c r="S10" s="42"/>
      <c r="T10" s="42"/>
      <c r="U10" s="42"/>
    </row>
    <row r="12" spans="2:23" ht="18.75" customHeight="1">
      <c r="B12" s="43" t="s">
        <v>163</v>
      </c>
      <c r="C12" s="51" t="s">
        <v>3183</v>
      </c>
      <c r="D12" s="78"/>
      <c r="W12" s="35" t="str">
        <f>"-- "&amp;B12&amp;" : "&amp;C12</f>
        <v>-- SQL_ID : 01_02</v>
      </c>
    </row>
    <row r="13" spans="2:23" ht="18.75" customHeight="1">
      <c r="B13" s="43" t="s">
        <v>158</v>
      </c>
      <c r="C13" s="145" t="str">
        <f>R16&amp;"登録"</f>
        <v>バックアップ_患者マスタ_組入れ第一条件登録</v>
      </c>
      <c r="D13" s="146"/>
      <c r="E13" s="146"/>
      <c r="F13" s="146"/>
      <c r="G13" s="146"/>
      <c r="H13" s="146"/>
      <c r="I13" s="146"/>
      <c r="J13" s="146"/>
      <c r="K13" s="146"/>
      <c r="L13" s="146"/>
      <c r="M13" s="146"/>
      <c r="N13" s="146"/>
      <c r="O13" s="146"/>
      <c r="P13" s="146"/>
      <c r="Q13" s="146"/>
      <c r="R13" s="146"/>
      <c r="S13" s="146"/>
      <c r="T13" s="146"/>
      <c r="U13" s="147"/>
      <c r="W13" s="35" t="str">
        <f>"-- "&amp;C13</f>
        <v>-- バックアップ_患者マスタ_組入れ第一条件登録</v>
      </c>
    </row>
    <row r="14" spans="2:23" ht="18.75" customHeight="1">
      <c r="B14" s="43" t="s">
        <v>159</v>
      </c>
      <c r="C14" s="134" t="str">
        <f>C19&amp;"テーブルから"&amp;C22&amp;"テーブルに存在する患者IDで絞り込んだ結果を"&amp;R16&amp;"テーブルに格納する。"</f>
        <v>二次利用DB登録患者紐付けデータテーブルからバックアップ_処方データ_組み入れ第一条件テーブルに存在する患者IDで絞り込んだ結果をバックアップ_患者マスタ_組入れ第一条件テーブルに格納する。</v>
      </c>
      <c r="D14" s="135"/>
      <c r="E14" s="135"/>
      <c r="F14" s="135"/>
      <c r="G14" s="135"/>
      <c r="H14" s="135"/>
      <c r="I14" s="135"/>
      <c r="J14" s="135"/>
      <c r="K14" s="135"/>
      <c r="L14" s="135"/>
      <c r="M14" s="135"/>
      <c r="N14" s="135"/>
      <c r="O14" s="135"/>
      <c r="P14" s="135"/>
      <c r="Q14" s="135"/>
      <c r="R14" s="135"/>
      <c r="S14" s="135"/>
      <c r="T14" s="135"/>
      <c r="U14" s="136"/>
      <c r="W14" s="35" t="str">
        <f>"-- "&amp;C14</f>
        <v>-- 二次利用DB登録患者紐付けデータテーブルからバックアップ_処方データ_組み入れ第一条件テーブルに存在する患者IDで絞り込んだ結果をバックアップ_患者マスタ_組入れ第一条件テーブルに格納する。</v>
      </c>
    </row>
    <row r="16" spans="2:23" ht="18.75" customHeight="1">
      <c r="H16" s="137" t="s">
        <v>3181</v>
      </c>
      <c r="I16" s="138"/>
      <c r="J16" s="141" t="s">
        <v>162</v>
      </c>
      <c r="K16" s="36"/>
      <c r="M16" s="36"/>
      <c r="N16" s="36"/>
      <c r="O16" s="36"/>
      <c r="R16" s="137" t="s">
        <v>3674</v>
      </c>
      <c r="S16" s="138"/>
      <c r="T16" s="143" t="str">
        <f>エンティティ一覧!$O$2</f>
        <v>milscm_2023_010</v>
      </c>
    </row>
    <row r="17" spans="2:23" ht="18.75" customHeight="1">
      <c r="H17" s="139"/>
      <c r="I17" s="140"/>
      <c r="J17" s="142"/>
      <c r="K17" s="37"/>
      <c r="L17" s="38"/>
      <c r="M17" s="37"/>
      <c r="N17" s="37"/>
      <c r="O17" s="37"/>
      <c r="P17" s="37"/>
      <c r="Q17" s="38"/>
      <c r="R17" s="139"/>
      <c r="S17" s="140"/>
      <c r="T17" s="144"/>
    </row>
    <row r="18" spans="2:23" ht="18.75" customHeight="1">
      <c r="K18" s="39"/>
      <c r="L18" s="40"/>
      <c r="P18" s="39"/>
      <c r="Q18" s="40"/>
    </row>
    <row r="19" spans="2:23" ht="18.75" customHeight="1">
      <c r="C19" s="137" t="s">
        <v>3181</v>
      </c>
      <c r="D19" s="138"/>
      <c r="E19" s="141" t="s">
        <v>162</v>
      </c>
      <c r="H19" s="36"/>
      <c r="I19" s="36"/>
      <c r="J19" s="36"/>
      <c r="L19" s="41"/>
      <c r="P19" s="39"/>
      <c r="Q19" s="40"/>
    </row>
    <row r="20" spans="2:23" ht="18.75" customHeight="1">
      <c r="C20" s="139"/>
      <c r="D20" s="140"/>
      <c r="E20" s="142"/>
      <c r="F20" s="37"/>
      <c r="G20" s="38"/>
      <c r="H20" s="37"/>
      <c r="I20" s="37"/>
      <c r="J20" s="37"/>
      <c r="K20" s="37"/>
      <c r="P20" s="39"/>
      <c r="Q20" s="40"/>
    </row>
    <row r="21" spans="2:23" ht="18.75" customHeight="1">
      <c r="F21" s="39"/>
      <c r="G21" s="40"/>
      <c r="P21" s="39"/>
      <c r="Q21" s="40"/>
    </row>
    <row r="22" spans="2:23" ht="18.75" customHeight="1">
      <c r="C22" s="137" t="s">
        <v>3180</v>
      </c>
      <c r="D22" s="138"/>
      <c r="E22" s="143" t="str">
        <f>エンティティ一覧!$O$2</f>
        <v>milscm_2023_010</v>
      </c>
      <c r="G22" s="41"/>
      <c r="P22" s="39"/>
      <c r="Q22" s="40"/>
    </row>
    <row r="23" spans="2:23" ht="18.75" customHeight="1">
      <c r="C23" s="139"/>
      <c r="D23" s="140"/>
      <c r="E23" s="144"/>
      <c r="F23" s="37"/>
      <c r="P23" s="39"/>
      <c r="Q23" s="40"/>
    </row>
    <row r="24" spans="2:23" ht="18.75" customHeight="1">
      <c r="P24" s="39"/>
      <c r="Q24" s="40"/>
    </row>
    <row r="25" spans="2:23" ht="18.75" customHeight="1">
      <c r="M25" s="137" t="s">
        <v>3666</v>
      </c>
      <c r="N25" s="138"/>
      <c r="O25" s="141" t="s">
        <v>162</v>
      </c>
      <c r="Q25" s="41"/>
    </row>
    <row r="26" spans="2:23" ht="18.75" customHeight="1">
      <c r="M26" s="139"/>
      <c r="N26" s="140"/>
      <c r="O26" s="142"/>
      <c r="P26" s="37"/>
    </row>
    <row r="29" spans="2:23" ht="18.75" customHeight="1" thickBot="1">
      <c r="B29" s="42"/>
      <c r="C29" s="42"/>
      <c r="D29" s="42"/>
      <c r="E29" s="42"/>
      <c r="F29" s="42"/>
      <c r="G29" s="42"/>
      <c r="H29" s="42"/>
      <c r="I29" s="42"/>
      <c r="J29" s="42"/>
      <c r="K29" s="42"/>
      <c r="L29" s="42"/>
      <c r="M29" s="42"/>
      <c r="N29" s="42"/>
      <c r="O29" s="42"/>
      <c r="P29" s="42"/>
      <c r="Q29" s="42"/>
      <c r="R29" s="42"/>
      <c r="S29" s="42"/>
      <c r="T29" s="42"/>
      <c r="U29" s="42"/>
    </row>
    <row r="31" spans="2:23" ht="18.75" customHeight="1">
      <c r="B31" s="43" t="s">
        <v>163</v>
      </c>
      <c r="C31" s="51" t="s">
        <v>3480</v>
      </c>
      <c r="D31" s="88"/>
      <c r="W31" s="35" t="str">
        <f>"-- "&amp;B31&amp;" : "&amp;C31</f>
        <v>-- SQL_ID : 01_A1-02</v>
      </c>
    </row>
    <row r="32" spans="2:23" ht="18.75" customHeight="1">
      <c r="B32" s="43" t="s">
        <v>158</v>
      </c>
      <c r="C32" s="145" t="str">
        <f>R35&amp;"登録"</f>
        <v>バックアップ_処方データ登録</v>
      </c>
      <c r="D32" s="146"/>
      <c r="E32" s="146"/>
      <c r="F32" s="146"/>
      <c r="G32" s="146"/>
      <c r="H32" s="146"/>
      <c r="I32" s="146"/>
      <c r="J32" s="146"/>
      <c r="K32" s="146"/>
      <c r="L32" s="146"/>
      <c r="M32" s="146"/>
      <c r="N32" s="146"/>
      <c r="O32" s="146"/>
      <c r="P32" s="146"/>
      <c r="Q32" s="146"/>
      <c r="R32" s="146"/>
      <c r="S32" s="146"/>
      <c r="T32" s="146"/>
      <c r="U32" s="147"/>
      <c r="W32" s="35" t="str">
        <f>"-- "&amp;C32</f>
        <v>-- バックアップ_処方データ登録</v>
      </c>
    </row>
    <row r="33" spans="2:23" ht="18.75" customHeight="1">
      <c r="B33" s="43" t="s">
        <v>159</v>
      </c>
      <c r="C33" s="134" t="str">
        <f>C35&amp;"テーブルから組入れ条件の第一条件で絞り込んだ結果を"&amp;R35&amp;"テーブルに格納する。"</f>
        <v>処方データテーブルから組入れ条件の第一条件で絞り込んだ結果をバックアップ_処方データテーブルに格納する。</v>
      </c>
      <c r="D33" s="135"/>
      <c r="E33" s="135"/>
      <c r="F33" s="135"/>
      <c r="G33" s="135"/>
      <c r="H33" s="135"/>
      <c r="I33" s="135"/>
      <c r="J33" s="135"/>
      <c r="K33" s="135"/>
      <c r="L33" s="135"/>
      <c r="M33" s="135"/>
      <c r="N33" s="135"/>
      <c r="O33" s="135"/>
      <c r="P33" s="135"/>
      <c r="Q33" s="135"/>
      <c r="R33" s="135"/>
      <c r="S33" s="135"/>
      <c r="T33" s="135"/>
      <c r="U33" s="136"/>
      <c r="W33" s="35" t="str">
        <f>"-- "&amp;C33</f>
        <v>-- 処方データテーブルから組入れ条件の第一条件で絞り込んだ結果をバックアップ_処方データテーブルに格納する。</v>
      </c>
    </row>
    <row r="35" spans="2:23" ht="18.75" customHeight="1">
      <c r="C35" s="137" t="s">
        <v>3483</v>
      </c>
      <c r="D35" s="138"/>
      <c r="E35" s="141" t="s">
        <v>162</v>
      </c>
      <c r="H35" s="36"/>
      <c r="I35" s="36"/>
      <c r="J35" s="36"/>
      <c r="K35" s="36"/>
      <c r="L35" s="36"/>
      <c r="M35" s="36"/>
      <c r="N35" s="36"/>
      <c r="O35" s="36"/>
      <c r="P35" s="36"/>
      <c r="Q35" s="36"/>
      <c r="R35" s="137" t="str">
        <f>"バックアップ_"&amp;SUBSTITUTE(C35,"_結合","")</f>
        <v>バックアップ_処方データ</v>
      </c>
      <c r="S35" s="138"/>
      <c r="T35" s="143" t="str">
        <f>エンティティ一覧!$O$2</f>
        <v>milscm_2023_010</v>
      </c>
    </row>
    <row r="36" spans="2:23" ht="18.75" customHeight="1">
      <c r="C36" s="139"/>
      <c r="D36" s="140"/>
      <c r="E36" s="142"/>
      <c r="F36" s="37"/>
      <c r="G36" s="38"/>
      <c r="H36" s="37"/>
      <c r="I36" s="37"/>
      <c r="J36" s="37"/>
      <c r="K36" s="37"/>
      <c r="L36" s="37"/>
      <c r="M36" s="37"/>
      <c r="N36" s="37"/>
      <c r="O36" s="37"/>
      <c r="P36" s="37"/>
      <c r="Q36" s="37"/>
      <c r="R36" s="139"/>
      <c r="S36" s="140"/>
      <c r="T36" s="144"/>
    </row>
    <row r="37" spans="2:23" ht="18.75" customHeight="1">
      <c r="F37" s="39"/>
      <c r="G37" s="40"/>
    </row>
    <row r="38" spans="2:23" ht="18.75" customHeight="1">
      <c r="C38" s="137" t="s">
        <v>3182</v>
      </c>
      <c r="D38" s="138"/>
      <c r="E38" s="143" t="str">
        <f>エンティティ一覧!$O$2</f>
        <v>milscm_2023_010</v>
      </c>
      <c r="G38" s="41"/>
    </row>
    <row r="39" spans="2:23" ht="18.75" customHeight="1">
      <c r="C39" s="139"/>
      <c r="D39" s="140"/>
      <c r="E39" s="144"/>
      <c r="F39" s="37"/>
    </row>
    <row r="41" spans="2:23" ht="18.75" customHeight="1" thickBot="1">
      <c r="B41" s="42"/>
      <c r="C41" s="42"/>
      <c r="D41" s="42"/>
      <c r="E41" s="42"/>
      <c r="F41" s="42"/>
      <c r="G41" s="42"/>
      <c r="H41" s="42"/>
      <c r="I41" s="42"/>
      <c r="J41" s="42"/>
      <c r="K41" s="42"/>
      <c r="L41" s="42"/>
      <c r="M41" s="42"/>
      <c r="N41" s="42"/>
      <c r="O41" s="42"/>
      <c r="P41" s="42"/>
      <c r="Q41" s="42"/>
      <c r="R41" s="42"/>
      <c r="S41" s="42"/>
      <c r="T41" s="42"/>
      <c r="U41" s="42"/>
    </row>
    <row r="43" spans="2:23" ht="18.75" customHeight="1">
      <c r="B43" s="43" t="s">
        <v>163</v>
      </c>
      <c r="C43" s="51" t="s">
        <v>3481</v>
      </c>
      <c r="D43" s="88"/>
      <c r="W43" s="35" t="str">
        <f>"-- "&amp;B43&amp;" : "&amp;C43</f>
        <v>-- SQL_ID : 01_A1-03</v>
      </c>
    </row>
    <row r="44" spans="2:23" ht="18.75" customHeight="1">
      <c r="B44" s="43" t="s">
        <v>158</v>
      </c>
      <c r="C44" s="145" t="str">
        <f>R47&amp;"登録"</f>
        <v>バックアップ_診療行為データ登録</v>
      </c>
      <c r="D44" s="146"/>
      <c r="E44" s="146"/>
      <c r="F44" s="146"/>
      <c r="G44" s="146"/>
      <c r="H44" s="146"/>
      <c r="I44" s="146"/>
      <c r="J44" s="146"/>
      <c r="K44" s="146"/>
      <c r="L44" s="146"/>
      <c r="M44" s="146"/>
      <c r="N44" s="146"/>
      <c r="O44" s="146"/>
      <c r="P44" s="146"/>
      <c r="Q44" s="146"/>
      <c r="R44" s="146"/>
      <c r="S44" s="146"/>
      <c r="T44" s="146"/>
      <c r="U44" s="147"/>
      <c r="W44" s="35" t="str">
        <f>"-- "&amp;C44</f>
        <v>-- バックアップ_診療行為データ登録</v>
      </c>
    </row>
    <row r="45" spans="2:23" ht="18.75" customHeight="1">
      <c r="B45" s="43" t="s">
        <v>159</v>
      </c>
      <c r="C45" s="134" t="str">
        <f>C47&amp;"テーブルから組入れ条件の第一条件で絞り込んだ結果を"&amp;R47&amp;"テーブルに格納する。"</f>
        <v>診療行為データテーブルから組入れ条件の第一条件で絞り込んだ結果をバックアップ_診療行為データテーブルに格納する。</v>
      </c>
      <c r="D45" s="135"/>
      <c r="E45" s="135"/>
      <c r="F45" s="135"/>
      <c r="G45" s="135"/>
      <c r="H45" s="135"/>
      <c r="I45" s="135"/>
      <c r="J45" s="135"/>
      <c r="K45" s="135"/>
      <c r="L45" s="135"/>
      <c r="M45" s="135"/>
      <c r="N45" s="135"/>
      <c r="O45" s="135"/>
      <c r="P45" s="135"/>
      <c r="Q45" s="135"/>
      <c r="R45" s="135"/>
      <c r="S45" s="135"/>
      <c r="T45" s="135"/>
      <c r="U45" s="136"/>
      <c r="W45" s="35" t="str">
        <f>"-- "&amp;C45</f>
        <v>-- 診療行為データテーブルから組入れ条件の第一条件で絞り込んだ結果をバックアップ_診療行為データテーブルに格納する。</v>
      </c>
    </row>
    <row r="47" spans="2:23" ht="18.75" customHeight="1">
      <c r="C47" s="137" t="s">
        <v>3482</v>
      </c>
      <c r="D47" s="138"/>
      <c r="E47" s="141" t="s">
        <v>162</v>
      </c>
      <c r="H47" s="36"/>
      <c r="I47" s="36"/>
      <c r="J47" s="36"/>
      <c r="K47" s="36"/>
      <c r="L47" s="36"/>
      <c r="M47" s="36"/>
      <c r="N47" s="36"/>
      <c r="O47" s="36"/>
      <c r="P47" s="36"/>
      <c r="Q47" s="36"/>
      <c r="R47" s="137" t="str">
        <f>"バックアップ_"&amp;SUBSTITUTE(C47,"_結合","")</f>
        <v>バックアップ_診療行為データ</v>
      </c>
      <c r="S47" s="138"/>
      <c r="T47" s="143" t="str">
        <f>エンティティ一覧!$O$2</f>
        <v>milscm_2023_010</v>
      </c>
    </row>
    <row r="48" spans="2:23" ht="18.75" customHeight="1">
      <c r="C48" s="139"/>
      <c r="D48" s="140"/>
      <c r="E48" s="142"/>
      <c r="F48" s="37"/>
      <c r="G48" s="38"/>
      <c r="H48" s="37"/>
      <c r="I48" s="37"/>
      <c r="J48" s="37"/>
      <c r="K48" s="37"/>
      <c r="L48" s="37"/>
      <c r="M48" s="37"/>
      <c r="N48" s="37"/>
      <c r="O48" s="37"/>
      <c r="P48" s="37"/>
      <c r="Q48" s="37"/>
      <c r="R48" s="139"/>
      <c r="S48" s="140"/>
      <c r="T48" s="144"/>
    </row>
    <row r="49" spans="2:23" ht="18.75" customHeight="1">
      <c r="F49" s="39"/>
      <c r="G49" s="40"/>
    </row>
    <row r="50" spans="2:23" ht="18.75" customHeight="1">
      <c r="C50" s="137" t="s">
        <v>3182</v>
      </c>
      <c r="D50" s="138"/>
      <c r="E50" s="143" t="str">
        <f>エンティティ一覧!$O$2</f>
        <v>milscm_2023_010</v>
      </c>
      <c r="G50" s="41"/>
    </row>
    <row r="51" spans="2:23" ht="18.75" customHeight="1">
      <c r="C51" s="139"/>
      <c r="D51" s="140"/>
      <c r="E51" s="144"/>
      <c r="F51" s="37"/>
    </row>
    <row r="53" spans="2:23" ht="18.75" customHeight="1" thickBot="1">
      <c r="B53" s="42"/>
      <c r="C53" s="42"/>
      <c r="D53" s="42"/>
      <c r="E53" s="42"/>
      <c r="F53" s="42"/>
      <c r="G53" s="42"/>
      <c r="H53" s="42"/>
      <c r="I53" s="42"/>
      <c r="J53" s="42"/>
      <c r="K53" s="42"/>
      <c r="L53" s="42"/>
      <c r="M53" s="42"/>
      <c r="N53" s="42"/>
      <c r="O53" s="42"/>
      <c r="P53" s="42"/>
      <c r="Q53" s="42"/>
      <c r="R53" s="42"/>
      <c r="S53" s="42"/>
      <c r="T53" s="42"/>
      <c r="U53" s="42"/>
    </row>
    <row r="55" spans="2:23" ht="18.75" customHeight="1">
      <c r="B55" s="43" t="s">
        <v>163</v>
      </c>
      <c r="C55" s="51" t="s">
        <v>3484</v>
      </c>
      <c r="D55" s="88"/>
      <c r="W55" s="35" t="str">
        <f>"-- "&amp;B55&amp;" : "&amp;C55</f>
        <v>-- SQL_ID : 01_A1-04</v>
      </c>
    </row>
    <row r="56" spans="2:23" ht="18.75" customHeight="1">
      <c r="B56" s="43" t="s">
        <v>158</v>
      </c>
      <c r="C56" s="145" t="str">
        <f>R59&amp;"登録"</f>
        <v>バックアップ_疾患データ登録</v>
      </c>
      <c r="D56" s="146"/>
      <c r="E56" s="146"/>
      <c r="F56" s="146"/>
      <c r="G56" s="146"/>
      <c r="H56" s="146"/>
      <c r="I56" s="146"/>
      <c r="J56" s="146"/>
      <c r="K56" s="146"/>
      <c r="L56" s="146"/>
      <c r="M56" s="146"/>
      <c r="N56" s="146"/>
      <c r="O56" s="146"/>
      <c r="P56" s="146"/>
      <c r="Q56" s="146"/>
      <c r="R56" s="146"/>
      <c r="S56" s="146"/>
      <c r="T56" s="146"/>
      <c r="U56" s="147"/>
      <c r="W56" s="35" t="str">
        <f>"-- "&amp;C56</f>
        <v>-- バックアップ_疾患データ登録</v>
      </c>
    </row>
    <row r="57" spans="2:23" ht="18.75" customHeight="1">
      <c r="B57" s="43" t="s">
        <v>159</v>
      </c>
      <c r="C57" s="134" t="str">
        <f>C59&amp;"テーブルから組入れ条件の第一条件で絞り込んだ結果を"&amp;R59&amp;"テーブルに格納する。"</f>
        <v>疾患データテーブルから組入れ条件の第一条件で絞り込んだ結果をバックアップ_疾患データテーブルに格納する。</v>
      </c>
      <c r="D57" s="135"/>
      <c r="E57" s="135"/>
      <c r="F57" s="135"/>
      <c r="G57" s="135"/>
      <c r="H57" s="135"/>
      <c r="I57" s="135"/>
      <c r="J57" s="135"/>
      <c r="K57" s="135"/>
      <c r="L57" s="135"/>
      <c r="M57" s="135"/>
      <c r="N57" s="135"/>
      <c r="O57" s="135"/>
      <c r="P57" s="135"/>
      <c r="Q57" s="135"/>
      <c r="R57" s="135"/>
      <c r="S57" s="135"/>
      <c r="T57" s="135"/>
      <c r="U57" s="136"/>
      <c r="W57" s="35" t="str">
        <f>"-- "&amp;C57</f>
        <v>-- 疾患データテーブルから組入れ条件の第一条件で絞り込んだ結果をバックアップ_疾患データテーブルに格納する。</v>
      </c>
    </row>
    <row r="59" spans="2:23" ht="18.75" customHeight="1">
      <c r="C59" s="137" t="s">
        <v>3485</v>
      </c>
      <c r="D59" s="138"/>
      <c r="E59" s="141" t="s">
        <v>162</v>
      </c>
      <c r="H59" s="36"/>
      <c r="I59" s="36"/>
      <c r="J59" s="36"/>
      <c r="K59" s="36"/>
      <c r="L59" s="36"/>
      <c r="M59" s="36"/>
      <c r="N59" s="36"/>
      <c r="O59" s="36"/>
      <c r="P59" s="36"/>
      <c r="Q59" s="36"/>
      <c r="R59" s="137" t="str">
        <f>"バックアップ_"&amp;SUBSTITUTE(C59,"_結合","")</f>
        <v>バックアップ_疾患データ</v>
      </c>
      <c r="S59" s="138"/>
      <c r="T59" s="143" t="str">
        <f>エンティティ一覧!$O$2</f>
        <v>milscm_2023_010</v>
      </c>
    </row>
    <row r="60" spans="2:23" ht="18.75" customHeight="1">
      <c r="C60" s="139"/>
      <c r="D60" s="140"/>
      <c r="E60" s="142"/>
      <c r="F60" s="37"/>
      <c r="G60" s="38"/>
      <c r="H60" s="37"/>
      <c r="I60" s="37"/>
      <c r="J60" s="37"/>
      <c r="K60" s="37"/>
      <c r="L60" s="37"/>
      <c r="M60" s="37"/>
      <c r="N60" s="37"/>
      <c r="O60" s="37"/>
      <c r="P60" s="37"/>
      <c r="Q60" s="37"/>
      <c r="R60" s="139"/>
      <c r="S60" s="140"/>
      <c r="T60" s="144"/>
    </row>
    <row r="61" spans="2:23" ht="18.75" customHeight="1">
      <c r="F61" s="39"/>
      <c r="G61" s="40"/>
    </row>
    <row r="62" spans="2:23" ht="18.75" customHeight="1">
      <c r="C62" s="137" t="s">
        <v>3182</v>
      </c>
      <c r="D62" s="138"/>
      <c r="E62" s="143" t="str">
        <f>エンティティ一覧!$O$2</f>
        <v>milscm_2023_010</v>
      </c>
      <c r="G62" s="41"/>
    </row>
    <row r="63" spans="2:23" ht="18.75" customHeight="1">
      <c r="C63" s="139"/>
      <c r="D63" s="140"/>
      <c r="E63" s="144"/>
      <c r="F63" s="37"/>
    </row>
    <row r="65" spans="2:23" ht="18.75" customHeight="1" thickBot="1">
      <c r="B65" s="42"/>
      <c r="C65" s="42"/>
      <c r="D65" s="42"/>
      <c r="E65" s="42"/>
      <c r="F65" s="42"/>
      <c r="G65" s="42"/>
      <c r="H65" s="42"/>
      <c r="I65" s="42"/>
      <c r="J65" s="42"/>
      <c r="K65" s="42"/>
      <c r="L65" s="42"/>
      <c r="M65" s="42"/>
      <c r="N65" s="42"/>
      <c r="O65" s="42"/>
      <c r="P65" s="42"/>
      <c r="Q65" s="42"/>
      <c r="R65" s="42"/>
      <c r="S65" s="42"/>
      <c r="T65" s="42"/>
      <c r="U65" s="42"/>
    </row>
    <row r="67" spans="2:23" ht="18.75" customHeight="1">
      <c r="B67" s="43" t="s">
        <v>163</v>
      </c>
      <c r="C67" s="51" t="s">
        <v>3486</v>
      </c>
      <c r="D67" s="88"/>
      <c r="W67" s="35" t="str">
        <f>"-- "&amp;B67&amp;" : "&amp;C67</f>
        <v>-- SQL_ID : 01_A1-05</v>
      </c>
    </row>
    <row r="68" spans="2:23" ht="18.75" customHeight="1">
      <c r="B68" s="43" t="s">
        <v>158</v>
      </c>
      <c r="C68" s="145" t="str">
        <f>R71&amp;"登録"</f>
        <v>バックアップ_疾患診療科データ登録</v>
      </c>
      <c r="D68" s="146"/>
      <c r="E68" s="146"/>
      <c r="F68" s="146"/>
      <c r="G68" s="146"/>
      <c r="H68" s="146"/>
      <c r="I68" s="146"/>
      <c r="J68" s="146"/>
      <c r="K68" s="146"/>
      <c r="L68" s="146"/>
      <c r="M68" s="146"/>
      <c r="N68" s="146"/>
      <c r="O68" s="146"/>
      <c r="P68" s="146"/>
      <c r="Q68" s="146"/>
      <c r="R68" s="146"/>
      <c r="S68" s="146"/>
      <c r="T68" s="146"/>
      <c r="U68" s="147"/>
      <c r="W68" s="35" t="str">
        <f>"-- "&amp;C68</f>
        <v>-- バックアップ_疾患診療科データ登録</v>
      </c>
    </row>
    <row r="69" spans="2:23" ht="18.75" customHeight="1">
      <c r="B69" s="43" t="s">
        <v>159</v>
      </c>
      <c r="C69" s="134" t="str">
        <f>C71&amp;"テーブルから組入れ条件の第一条件で絞り込んだ結果を"&amp;R71&amp;"テーブルに格納する。"</f>
        <v>疾患診療科データテーブルから組入れ条件の第一条件で絞り込んだ結果をバックアップ_疾患診療科データテーブルに格納する。</v>
      </c>
      <c r="D69" s="135"/>
      <c r="E69" s="135"/>
      <c r="F69" s="135"/>
      <c r="G69" s="135"/>
      <c r="H69" s="135"/>
      <c r="I69" s="135"/>
      <c r="J69" s="135"/>
      <c r="K69" s="135"/>
      <c r="L69" s="135"/>
      <c r="M69" s="135"/>
      <c r="N69" s="135"/>
      <c r="O69" s="135"/>
      <c r="P69" s="135"/>
      <c r="Q69" s="135"/>
      <c r="R69" s="135"/>
      <c r="S69" s="135"/>
      <c r="T69" s="135"/>
      <c r="U69" s="136"/>
      <c r="W69" s="35" t="str">
        <f>"-- "&amp;C69</f>
        <v>-- 疾患診療科データテーブルから組入れ条件の第一条件で絞り込んだ結果をバックアップ_疾患診療科データテーブルに格納する。</v>
      </c>
    </row>
    <row r="71" spans="2:23" ht="18.75" customHeight="1">
      <c r="C71" s="137" t="s">
        <v>3487</v>
      </c>
      <c r="D71" s="138"/>
      <c r="E71" s="141" t="s">
        <v>162</v>
      </c>
      <c r="F71" s="36"/>
      <c r="G71" s="36"/>
      <c r="H71" s="36"/>
      <c r="I71" s="36"/>
      <c r="J71" s="36"/>
      <c r="K71" s="36"/>
      <c r="L71" s="36"/>
      <c r="M71" s="36"/>
      <c r="N71" s="36"/>
      <c r="O71" s="36"/>
      <c r="P71" s="36"/>
      <c r="Q71" s="36"/>
      <c r="R71" s="137" t="str">
        <f>"バックアップ_"&amp;SUBSTITUTE(C71,"_結合","")</f>
        <v>バックアップ_疾患診療科データ</v>
      </c>
      <c r="S71" s="138"/>
      <c r="T71" s="143" t="str">
        <f>エンティティ一覧!$O$2</f>
        <v>milscm_2023_010</v>
      </c>
    </row>
    <row r="72" spans="2:23" ht="18.75" customHeight="1">
      <c r="C72" s="139"/>
      <c r="D72" s="140"/>
      <c r="E72" s="142"/>
      <c r="F72" s="37"/>
      <c r="G72" s="37"/>
      <c r="H72" s="37"/>
      <c r="I72" s="37"/>
      <c r="J72" s="37"/>
      <c r="K72" s="37"/>
      <c r="L72" s="37"/>
      <c r="M72" s="37"/>
      <c r="N72" s="37"/>
      <c r="O72" s="37"/>
      <c r="P72" s="37"/>
      <c r="Q72" s="37"/>
      <c r="R72" s="139"/>
      <c r="S72" s="140"/>
      <c r="T72" s="144"/>
    </row>
    <row r="74" spans="2:23" ht="18.75" customHeight="1" thickBot="1">
      <c r="B74" s="42"/>
      <c r="C74" s="42"/>
      <c r="D74" s="42"/>
      <c r="E74" s="42"/>
      <c r="F74" s="42"/>
      <c r="G74" s="42"/>
      <c r="H74" s="42"/>
      <c r="I74" s="42"/>
      <c r="J74" s="42"/>
      <c r="K74" s="42"/>
      <c r="L74" s="42"/>
      <c r="M74" s="42"/>
      <c r="N74" s="42"/>
      <c r="O74" s="42"/>
      <c r="P74" s="42"/>
      <c r="Q74" s="42"/>
      <c r="R74" s="42"/>
      <c r="S74" s="42"/>
      <c r="T74" s="42"/>
      <c r="U74" s="42"/>
    </row>
    <row r="76" spans="2:23" ht="18.75" customHeight="1">
      <c r="B76" s="43" t="s">
        <v>163</v>
      </c>
      <c r="C76" s="51" t="s">
        <v>3488</v>
      </c>
      <c r="D76" s="88"/>
      <c r="W76" s="35" t="str">
        <f>"-- "&amp;B76&amp;" : "&amp;C76</f>
        <v>-- SQL_ID : 01_A1-06</v>
      </c>
    </row>
    <row r="77" spans="2:23" ht="18.75" customHeight="1">
      <c r="B77" s="43" t="s">
        <v>158</v>
      </c>
      <c r="C77" s="145" t="str">
        <f>R80&amp;"登録"</f>
        <v>バックアップ_入院退院データ登録</v>
      </c>
      <c r="D77" s="146"/>
      <c r="E77" s="146"/>
      <c r="F77" s="146"/>
      <c r="G77" s="146"/>
      <c r="H77" s="146"/>
      <c r="I77" s="146"/>
      <c r="J77" s="146"/>
      <c r="K77" s="146"/>
      <c r="L77" s="146"/>
      <c r="M77" s="146"/>
      <c r="N77" s="146"/>
      <c r="O77" s="146"/>
      <c r="P77" s="146"/>
      <c r="Q77" s="146"/>
      <c r="R77" s="146"/>
      <c r="S77" s="146"/>
      <c r="T77" s="146"/>
      <c r="U77" s="147"/>
      <c r="W77" s="35" t="str">
        <f>"-- "&amp;C77</f>
        <v>-- バックアップ_入院退院データ登録</v>
      </c>
    </row>
    <row r="78" spans="2:23" ht="18.75" customHeight="1">
      <c r="B78" s="43" t="s">
        <v>159</v>
      </c>
      <c r="C78" s="134" t="str">
        <f>C80&amp;"テーブルから組入れ条件の第一条件で絞り込んだ結果を"&amp;R80&amp;"テーブルに格納する。"</f>
        <v>入院退院データテーブルから組入れ条件の第一条件で絞り込んだ結果をバックアップ_入院退院データテーブルに格納する。</v>
      </c>
      <c r="D78" s="135"/>
      <c r="E78" s="135"/>
      <c r="F78" s="135"/>
      <c r="G78" s="135"/>
      <c r="H78" s="135"/>
      <c r="I78" s="135"/>
      <c r="J78" s="135"/>
      <c r="K78" s="135"/>
      <c r="L78" s="135"/>
      <c r="M78" s="135"/>
      <c r="N78" s="135"/>
      <c r="O78" s="135"/>
      <c r="P78" s="135"/>
      <c r="Q78" s="135"/>
      <c r="R78" s="135"/>
      <c r="S78" s="135"/>
      <c r="T78" s="135"/>
      <c r="U78" s="136"/>
      <c r="W78" s="35" t="str">
        <f>"-- "&amp;C78</f>
        <v>-- 入院退院データテーブルから組入れ条件の第一条件で絞り込んだ結果をバックアップ_入院退院データテーブルに格納する。</v>
      </c>
    </row>
    <row r="80" spans="2:23" ht="18.75" customHeight="1">
      <c r="C80" s="137" t="s">
        <v>3489</v>
      </c>
      <c r="D80" s="138"/>
      <c r="E80" s="141" t="s">
        <v>162</v>
      </c>
      <c r="H80" s="36"/>
      <c r="I80" s="36"/>
      <c r="J80" s="36"/>
      <c r="K80" s="36"/>
      <c r="L80" s="36"/>
      <c r="M80" s="36"/>
      <c r="N80" s="36"/>
      <c r="O80" s="36"/>
      <c r="P80" s="36"/>
      <c r="Q80" s="36"/>
      <c r="R80" s="137" t="str">
        <f>"バックアップ_"&amp;SUBSTITUTE(C80,"_結合","")</f>
        <v>バックアップ_入院退院データ</v>
      </c>
      <c r="S80" s="138"/>
      <c r="T80" s="143" t="str">
        <f>エンティティ一覧!$O$2</f>
        <v>milscm_2023_010</v>
      </c>
    </row>
    <row r="81" spans="2:23" ht="18.75" customHeight="1">
      <c r="C81" s="139"/>
      <c r="D81" s="140"/>
      <c r="E81" s="142"/>
      <c r="F81" s="37"/>
      <c r="G81" s="38"/>
      <c r="H81" s="37"/>
      <c r="I81" s="37"/>
      <c r="J81" s="37"/>
      <c r="K81" s="37"/>
      <c r="L81" s="37"/>
      <c r="M81" s="37"/>
      <c r="N81" s="37"/>
      <c r="O81" s="37"/>
      <c r="P81" s="37"/>
      <c r="Q81" s="37"/>
      <c r="R81" s="139"/>
      <c r="S81" s="140"/>
      <c r="T81" s="144"/>
    </row>
    <row r="82" spans="2:23" ht="18.75" customHeight="1">
      <c r="F82" s="39"/>
      <c r="G82" s="40"/>
    </row>
    <row r="83" spans="2:23" ht="18.75" customHeight="1">
      <c r="C83" s="137" t="s">
        <v>3182</v>
      </c>
      <c r="D83" s="138"/>
      <c r="E83" s="143" t="str">
        <f>エンティティ一覧!$O$2</f>
        <v>milscm_2023_010</v>
      </c>
      <c r="G83" s="41"/>
    </row>
    <row r="84" spans="2:23" ht="18.75" customHeight="1">
      <c r="C84" s="139"/>
      <c r="D84" s="140"/>
      <c r="E84" s="144"/>
      <c r="F84" s="37"/>
    </row>
    <row r="86" spans="2:23" ht="18.75" customHeight="1" thickBot="1">
      <c r="B86" s="42"/>
      <c r="C86" s="42"/>
      <c r="D86" s="42"/>
      <c r="E86" s="42"/>
      <c r="F86" s="42"/>
      <c r="G86" s="42"/>
      <c r="H86" s="42"/>
      <c r="I86" s="42"/>
      <c r="J86" s="42"/>
      <c r="K86" s="42"/>
      <c r="L86" s="42"/>
      <c r="M86" s="42"/>
      <c r="N86" s="42"/>
      <c r="O86" s="42"/>
      <c r="P86" s="42"/>
      <c r="Q86" s="42"/>
      <c r="R86" s="42"/>
      <c r="S86" s="42"/>
      <c r="T86" s="42"/>
      <c r="U86" s="42"/>
    </row>
    <row r="88" spans="2:23" ht="18.75" customHeight="1">
      <c r="B88" s="43" t="s">
        <v>163</v>
      </c>
      <c r="C88" s="51" t="s">
        <v>3490</v>
      </c>
      <c r="D88" s="88"/>
      <c r="W88" s="35" t="str">
        <f>"-- "&amp;B88&amp;" : "&amp;C88</f>
        <v>-- SQL_ID : 01_A1-07</v>
      </c>
    </row>
    <row r="89" spans="2:23" ht="18.75" customHeight="1">
      <c r="B89" s="43" t="s">
        <v>158</v>
      </c>
      <c r="C89" s="145" t="str">
        <f>R92&amp;"登録"</f>
        <v>バックアップ_二次利用DB登録患者データ登録</v>
      </c>
      <c r="D89" s="146"/>
      <c r="E89" s="146"/>
      <c r="F89" s="146"/>
      <c r="G89" s="146"/>
      <c r="H89" s="146"/>
      <c r="I89" s="146"/>
      <c r="J89" s="146"/>
      <c r="K89" s="146"/>
      <c r="L89" s="146"/>
      <c r="M89" s="146"/>
      <c r="N89" s="146"/>
      <c r="O89" s="146"/>
      <c r="P89" s="146"/>
      <c r="Q89" s="146"/>
      <c r="R89" s="146"/>
      <c r="S89" s="146"/>
      <c r="T89" s="146"/>
      <c r="U89" s="147"/>
      <c r="W89" s="35" t="str">
        <f>"-- "&amp;C89</f>
        <v>-- バックアップ_二次利用DB登録患者データ登録</v>
      </c>
    </row>
    <row r="90" spans="2:23" ht="18.75" customHeight="1">
      <c r="B90" s="43" t="s">
        <v>159</v>
      </c>
      <c r="C90" s="134" t="str">
        <f>C92&amp;"テーブルから組入れ条件の第一条件で絞り込んだ結果を"&amp;R92&amp;"テーブルに格納する。"</f>
        <v>二次利用DB登録患者データテーブルから組入れ条件の第一条件で絞り込んだ結果をバックアップ_二次利用DB登録患者データテーブルに格納する。</v>
      </c>
      <c r="D90" s="135"/>
      <c r="E90" s="135"/>
      <c r="F90" s="135"/>
      <c r="G90" s="135"/>
      <c r="H90" s="135"/>
      <c r="I90" s="135"/>
      <c r="J90" s="135"/>
      <c r="K90" s="135"/>
      <c r="L90" s="135"/>
      <c r="M90" s="135"/>
      <c r="N90" s="135"/>
      <c r="O90" s="135"/>
      <c r="P90" s="135"/>
      <c r="Q90" s="135"/>
      <c r="R90" s="135"/>
      <c r="S90" s="135"/>
      <c r="T90" s="135"/>
      <c r="U90" s="136"/>
      <c r="W90" s="35" t="str">
        <f>"-- "&amp;C90</f>
        <v>-- 二次利用DB登録患者データテーブルから組入れ条件の第一条件で絞り込んだ結果をバックアップ_二次利用DB登録患者データテーブルに格納する。</v>
      </c>
    </row>
    <row r="92" spans="2:23" ht="18.75" customHeight="1">
      <c r="C92" s="137" t="s">
        <v>3491</v>
      </c>
      <c r="D92" s="138"/>
      <c r="E92" s="141" t="s">
        <v>162</v>
      </c>
      <c r="H92" s="36"/>
      <c r="I92" s="36"/>
      <c r="J92" s="36"/>
      <c r="K92" s="36"/>
      <c r="L92" s="36"/>
      <c r="M92" s="36"/>
      <c r="N92" s="36"/>
      <c r="O92" s="36"/>
      <c r="P92" s="36"/>
      <c r="Q92" s="36"/>
      <c r="R92" s="137" t="str">
        <f>"バックアップ_"&amp;SUBSTITUTE(C92,"_結合","")</f>
        <v>バックアップ_二次利用DB登録患者データ</v>
      </c>
      <c r="S92" s="138"/>
      <c r="T92" s="143" t="str">
        <f>エンティティ一覧!$O$2</f>
        <v>milscm_2023_010</v>
      </c>
    </row>
    <row r="93" spans="2:23" ht="18.75" customHeight="1">
      <c r="C93" s="139"/>
      <c r="D93" s="140"/>
      <c r="E93" s="142"/>
      <c r="F93" s="37"/>
      <c r="G93" s="38"/>
      <c r="H93" s="37"/>
      <c r="I93" s="37"/>
      <c r="J93" s="37"/>
      <c r="K93" s="37"/>
      <c r="L93" s="37"/>
      <c r="M93" s="37"/>
      <c r="N93" s="37"/>
      <c r="O93" s="37"/>
      <c r="P93" s="37"/>
      <c r="Q93" s="37"/>
      <c r="R93" s="139"/>
      <c r="S93" s="140"/>
      <c r="T93" s="144"/>
    </row>
    <row r="94" spans="2:23" ht="18.75" customHeight="1">
      <c r="F94" s="39"/>
      <c r="G94" s="40"/>
    </row>
    <row r="95" spans="2:23" ht="18.75" customHeight="1">
      <c r="C95" s="137" t="s">
        <v>3182</v>
      </c>
      <c r="D95" s="138"/>
      <c r="E95" s="143" t="str">
        <f>エンティティ一覧!$O$2</f>
        <v>milscm_2023_010</v>
      </c>
      <c r="G95" s="41"/>
    </row>
    <row r="96" spans="2:23" ht="18.75" customHeight="1">
      <c r="C96" s="139"/>
      <c r="D96" s="140"/>
      <c r="E96" s="144"/>
      <c r="F96" s="37"/>
    </row>
    <row r="98" spans="2:23" ht="18.75" customHeight="1" thickBot="1">
      <c r="B98" s="42"/>
      <c r="C98" s="42"/>
      <c r="D98" s="42"/>
      <c r="E98" s="42"/>
      <c r="F98" s="42"/>
      <c r="G98" s="42"/>
      <c r="H98" s="42"/>
      <c r="I98" s="42"/>
      <c r="J98" s="42"/>
      <c r="K98" s="42"/>
      <c r="L98" s="42"/>
      <c r="M98" s="42"/>
      <c r="N98" s="42"/>
      <c r="O98" s="42"/>
      <c r="P98" s="42"/>
      <c r="Q98" s="42"/>
      <c r="R98" s="42"/>
      <c r="S98" s="42"/>
      <c r="T98" s="42"/>
      <c r="U98" s="42"/>
    </row>
    <row r="100" spans="2:23" ht="18.75" customHeight="1">
      <c r="B100" s="43" t="s">
        <v>163</v>
      </c>
      <c r="C100" s="51" t="s">
        <v>3492</v>
      </c>
      <c r="D100" s="88"/>
      <c r="W100" s="35" t="str">
        <f>"-- "&amp;B100&amp;" : "&amp;C100</f>
        <v>-- SQL_ID : 01_A1-08</v>
      </c>
    </row>
    <row r="101" spans="2:23" ht="18.75" customHeight="1">
      <c r="B101" s="43" t="s">
        <v>158</v>
      </c>
      <c r="C101" s="145" t="str">
        <f>R104&amp;"登録"</f>
        <v>バックアップ_二次利用DB登録患者データ_DPC登録</v>
      </c>
      <c r="D101" s="146"/>
      <c r="E101" s="146"/>
      <c r="F101" s="146"/>
      <c r="G101" s="146"/>
      <c r="H101" s="146"/>
      <c r="I101" s="146"/>
      <c r="J101" s="146"/>
      <c r="K101" s="146"/>
      <c r="L101" s="146"/>
      <c r="M101" s="146"/>
      <c r="N101" s="146"/>
      <c r="O101" s="146"/>
      <c r="P101" s="146"/>
      <c r="Q101" s="146"/>
      <c r="R101" s="146"/>
      <c r="S101" s="146"/>
      <c r="T101" s="146"/>
      <c r="U101" s="147"/>
      <c r="W101" s="35" t="str">
        <f>"-- "&amp;C101</f>
        <v>-- バックアップ_二次利用DB登録患者データ_DPC登録</v>
      </c>
    </row>
    <row r="102" spans="2:23" ht="18.75" customHeight="1">
      <c r="B102" s="43" t="s">
        <v>159</v>
      </c>
      <c r="C102" s="134" t="str">
        <f>C104&amp;"テーブルから組入れ条件の第一条件で絞り込んだ結果を"&amp;R104&amp;"テーブルに格納する。"</f>
        <v>二次利用DB登録患者データ_DPCテーブルから組入れ条件の第一条件で絞り込んだ結果をバックアップ_二次利用DB登録患者データ_DPCテーブルに格納する。</v>
      </c>
      <c r="D102" s="135"/>
      <c r="E102" s="135"/>
      <c r="F102" s="135"/>
      <c r="G102" s="135"/>
      <c r="H102" s="135"/>
      <c r="I102" s="135"/>
      <c r="J102" s="135"/>
      <c r="K102" s="135"/>
      <c r="L102" s="135"/>
      <c r="M102" s="135"/>
      <c r="N102" s="135"/>
      <c r="O102" s="135"/>
      <c r="P102" s="135"/>
      <c r="Q102" s="135"/>
      <c r="R102" s="135"/>
      <c r="S102" s="135"/>
      <c r="T102" s="135"/>
      <c r="U102" s="136"/>
      <c r="W102" s="35" t="str">
        <f>"-- "&amp;C102</f>
        <v>-- 二次利用DB登録患者データ_DPCテーブルから組入れ条件の第一条件で絞り込んだ結果をバックアップ_二次利用DB登録患者データ_DPCテーブルに格納する。</v>
      </c>
    </row>
    <row r="104" spans="2:23" ht="18.75" customHeight="1">
      <c r="C104" s="137" t="s">
        <v>3493</v>
      </c>
      <c r="D104" s="138"/>
      <c r="E104" s="141" t="s">
        <v>162</v>
      </c>
      <c r="H104" s="36"/>
      <c r="I104" s="36"/>
      <c r="J104" s="36"/>
      <c r="K104" s="36"/>
      <c r="L104" s="36"/>
      <c r="M104" s="36"/>
      <c r="N104" s="36"/>
      <c r="O104" s="36"/>
      <c r="P104" s="36"/>
      <c r="Q104" s="36"/>
      <c r="R104" s="137" t="str">
        <f>"バックアップ_"&amp;SUBSTITUTE(C104,"_結合","")</f>
        <v>バックアップ_二次利用DB登録患者データ_DPC</v>
      </c>
      <c r="S104" s="138"/>
      <c r="T104" s="143" t="str">
        <f>エンティティ一覧!$O$2</f>
        <v>milscm_2023_010</v>
      </c>
    </row>
    <row r="105" spans="2:23" ht="18.75" customHeight="1">
      <c r="C105" s="139"/>
      <c r="D105" s="140"/>
      <c r="E105" s="142"/>
      <c r="F105" s="37"/>
      <c r="G105" s="38"/>
      <c r="H105" s="37"/>
      <c r="I105" s="37"/>
      <c r="J105" s="37"/>
      <c r="K105" s="37"/>
      <c r="L105" s="37"/>
      <c r="M105" s="37"/>
      <c r="N105" s="37"/>
      <c r="O105" s="37"/>
      <c r="P105" s="37"/>
      <c r="Q105" s="37"/>
      <c r="R105" s="139"/>
      <c r="S105" s="140"/>
      <c r="T105" s="144"/>
    </row>
    <row r="106" spans="2:23" ht="18.75" customHeight="1">
      <c r="F106" s="39"/>
      <c r="G106" s="40"/>
    </row>
    <row r="107" spans="2:23" ht="18.75" customHeight="1">
      <c r="C107" s="137" t="s">
        <v>3182</v>
      </c>
      <c r="D107" s="138"/>
      <c r="E107" s="143" t="str">
        <f>エンティティ一覧!$O$2</f>
        <v>milscm_2023_010</v>
      </c>
      <c r="G107" s="41"/>
    </row>
    <row r="108" spans="2:23" ht="18.75" customHeight="1">
      <c r="C108" s="139"/>
      <c r="D108" s="140"/>
      <c r="E108" s="144"/>
      <c r="F108" s="37"/>
    </row>
    <row r="110" spans="2:23" ht="18.75" customHeight="1" thickBot="1">
      <c r="B110" s="42"/>
      <c r="C110" s="42"/>
      <c r="D110" s="42"/>
      <c r="E110" s="42"/>
      <c r="F110" s="42"/>
      <c r="G110" s="42"/>
      <c r="H110" s="42"/>
      <c r="I110" s="42"/>
      <c r="J110" s="42"/>
      <c r="K110" s="42"/>
      <c r="L110" s="42"/>
      <c r="M110" s="42"/>
      <c r="N110" s="42"/>
      <c r="O110" s="42"/>
      <c r="P110" s="42"/>
      <c r="Q110" s="42"/>
      <c r="R110" s="42"/>
      <c r="S110" s="42"/>
      <c r="T110" s="42"/>
      <c r="U110" s="42"/>
    </row>
    <row r="112" spans="2:23" ht="18.75" customHeight="1">
      <c r="B112" s="43" t="s">
        <v>163</v>
      </c>
      <c r="C112" s="51" t="s">
        <v>3494</v>
      </c>
      <c r="D112" s="88"/>
      <c r="W112" s="35" t="str">
        <f>"-- "&amp;B112&amp;" : "&amp;C112</f>
        <v>-- SQL_ID : 01_A1-09</v>
      </c>
    </row>
    <row r="113" spans="2:23" ht="18.75" customHeight="1">
      <c r="B113" s="43" t="s">
        <v>158</v>
      </c>
      <c r="C113" s="145" t="str">
        <f>R116&amp;"登録"</f>
        <v>バックアップ_二次利用DB登録患者データ_レセプト登録</v>
      </c>
      <c r="D113" s="146"/>
      <c r="E113" s="146"/>
      <c r="F113" s="146"/>
      <c r="G113" s="146"/>
      <c r="H113" s="146"/>
      <c r="I113" s="146"/>
      <c r="J113" s="146"/>
      <c r="K113" s="146"/>
      <c r="L113" s="146"/>
      <c r="M113" s="146"/>
      <c r="N113" s="146"/>
      <c r="O113" s="146"/>
      <c r="P113" s="146"/>
      <c r="Q113" s="146"/>
      <c r="R113" s="146"/>
      <c r="S113" s="146"/>
      <c r="T113" s="146"/>
      <c r="U113" s="147"/>
      <c r="W113" s="35" t="str">
        <f>"-- "&amp;C113</f>
        <v>-- バックアップ_二次利用DB登録患者データ_レセプト登録</v>
      </c>
    </row>
    <row r="114" spans="2:23" ht="18.75" customHeight="1">
      <c r="B114" s="43" t="s">
        <v>159</v>
      </c>
      <c r="C114" s="134" t="str">
        <f>C116&amp;"テーブルから組入れ条件の第一条件で絞り込んだ結果を"&amp;R116&amp;"テーブルに格納する。"</f>
        <v>二次利用DB登録患者データ_レセプトテーブルから組入れ条件の第一条件で絞り込んだ結果をバックアップ_二次利用DB登録患者データ_レセプトテーブルに格納する。</v>
      </c>
      <c r="D114" s="135"/>
      <c r="E114" s="135"/>
      <c r="F114" s="135"/>
      <c r="G114" s="135"/>
      <c r="H114" s="135"/>
      <c r="I114" s="135"/>
      <c r="J114" s="135"/>
      <c r="K114" s="135"/>
      <c r="L114" s="135"/>
      <c r="M114" s="135"/>
      <c r="N114" s="135"/>
      <c r="O114" s="135"/>
      <c r="P114" s="135"/>
      <c r="Q114" s="135"/>
      <c r="R114" s="135"/>
      <c r="S114" s="135"/>
      <c r="T114" s="135"/>
      <c r="U114" s="136"/>
      <c r="W114" s="35" t="str">
        <f>"-- "&amp;C114</f>
        <v>-- 二次利用DB登録患者データ_レセプトテーブルから組入れ条件の第一条件で絞り込んだ結果をバックアップ_二次利用DB登録患者データ_レセプトテーブルに格納する。</v>
      </c>
    </row>
    <row r="116" spans="2:23" ht="18.75" customHeight="1">
      <c r="C116" s="137" t="s">
        <v>3495</v>
      </c>
      <c r="D116" s="138"/>
      <c r="E116" s="141" t="s">
        <v>162</v>
      </c>
      <c r="H116" s="36"/>
      <c r="I116" s="36"/>
      <c r="J116" s="36"/>
      <c r="K116" s="36"/>
      <c r="L116" s="36"/>
      <c r="M116" s="36"/>
      <c r="N116" s="36"/>
      <c r="O116" s="36"/>
      <c r="P116" s="36"/>
      <c r="Q116" s="36"/>
      <c r="R116" s="137" t="str">
        <f>"バックアップ_"&amp;SUBSTITUTE(C116,"_結合","")</f>
        <v>バックアップ_二次利用DB登録患者データ_レセプト</v>
      </c>
      <c r="S116" s="138"/>
      <c r="T116" s="143" t="str">
        <f>エンティティ一覧!$O$2</f>
        <v>milscm_2023_010</v>
      </c>
    </row>
    <row r="117" spans="2:23" ht="18.75" customHeight="1">
      <c r="C117" s="139"/>
      <c r="D117" s="140"/>
      <c r="E117" s="142"/>
      <c r="F117" s="37"/>
      <c r="G117" s="38"/>
      <c r="H117" s="37"/>
      <c r="I117" s="37"/>
      <c r="J117" s="37"/>
      <c r="K117" s="37"/>
      <c r="L117" s="37"/>
      <c r="M117" s="37"/>
      <c r="N117" s="37"/>
      <c r="O117" s="37"/>
      <c r="P117" s="37"/>
      <c r="Q117" s="37"/>
      <c r="R117" s="139"/>
      <c r="S117" s="140"/>
      <c r="T117" s="144"/>
    </row>
    <row r="118" spans="2:23" ht="18.75" customHeight="1">
      <c r="F118" s="39"/>
      <c r="G118" s="40"/>
    </row>
    <row r="119" spans="2:23" ht="18.75" customHeight="1">
      <c r="C119" s="137" t="s">
        <v>3182</v>
      </c>
      <c r="D119" s="138"/>
      <c r="E119" s="143" t="str">
        <f>エンティティ一覧!$O$2</f>
        <v>milscm_2023_010</v>
      </c>
      <c r="G119" s="41"/>
    </row>
    <row r="120" spans="2:23" ht="18.75" customHeight="1">
      <c r="C120" s="139"/>
      <c r="D120" s="140"/>
      <c r="E120" s="144"/>
      <c r="F120" s="37"/>
    </row>
    <row r="122" spans="2:23" ht="18.75" customHeight="1" thickBot="1">
      <c r="B122" s="42"/>
      <c r="C122" s="42"/>
      <c r="D122" s="42"/>
      <c r="E122" s="42"/>
      <c r="F122" s="42"/>
      <c r="G122" s="42"/>
      <c r="H122" s="42"/>
      <c r="I122" s="42"/>
      <c r="J122" s="42"/>
      <c r="K122" s="42"/>
      <c r="L122" s="42"/>
      <c r="M122" s="42"/>
      <c r="N122" s="42"/>
      <c r="O122" s="42"/>
      <c r="P122" s="42"/>
      <c r="Q122" s="42"/>
      <c r="R122" s="42"/>
      <c r="S122" s="42"/>
      <c r="T122" s="42"/>
      <c r="U122" s="42"/>
    </row>
    <row r="124" spans="2:23" ht="18.75" customHeight="1">
      <c r="B124" s="43" t="s">
        <v>163</v>
      </c>
      <c r="C124" s="51" t="s">
        <v>3496</v>
      </c>
      <c r="D124" s="88"/>
      <c r="W124" s="35" t="str">
        <f>"-- "&amp;B124&amp;" : "&amp;C124</f>
        <v>-- SQL_ID : 01_A1-10</v>
      </c>
    </row>
    <row r="125" spans="2:23" ht="18.75" customHeight="1">
      <c r="B125" s="43" t="s">
        <v>158</v>
      </c>
      <c r="C125" s="145" t="str">
        <f>R128&amp;"登録"</f>
        <v>バックアップ_二次利用DB登録患者データ_MML登録</v>
      </c>
      <c r="D125" s="146"/>
      <c r="E125" s="146"/>
      <c r="F125" s="146"/>
      <c r="G125" s="146"/>
      <c r="H125" s="146"/>
      <c r="I125" s="146"/>
      <c r="J125" s="146"/>
      <c r="K125" s="146"/>
      <c r="L125" s="146"/>
      <c r="M125" s="146"/>
      <c r="N125" s="146"/>
      <c r="O125" s="146"/>
      <c r="P125" s="146"/>
      <c r="Q125" s="146"/>
      <c r="R125" s="146"/>
      <c r="S125" s="146"/>
      <c r="T125" s="146"/>
      <c r="U125" s="147"/>
      <c r="W125" s="35" t="str">
        <f>"-- "&amp;C125</f>
        <v>-- バックアップ_二次利用DB登録患者データ_MML登録</v>
      </c>
    </row>
    <row r="126" spans="2:23" ht="18.75" customHeight="1">
      <c r="B126" s="43" t="s">
        <v>159</v>
      </c>
      <c r="C126" s="134" t="str">
        <f>C128&amp;"テーブルから組入れ条件の第一条件で絞り込んだ結果を"&amp;R128&amp;"テーブルに格納する。"</f>
        <v>二次利用DB登録患者データ_MMLテーブルから組入れ条件の第一条件で絞り込んだ結果をバックアップ_二次利用DB登録患者データ_MMLテーブルに格納する。</v>
      </c>
      <c r="D126" s="135"/>
      <c r="E126" s="135"/>
      <c r="F126" s="135"/>
      <c r="G126" s="135"/>
      <c r="H126" s="135"/>
      <c r="I126" s="135"/>
      <c r="J126" s="135"/>
      <c r="K126" s="135"/>
      <c r="L126" s="135"/>
      <c r="M126" s="135"/>
      <c r="N126" s="135"/>
      <c r="O126" s="135"/>
      <c r="P126" s="135"/>
      <c r="Q126" s="135"/>
      <c r="R126" s="135"/>
      <c r="S126" s="135"/>
      <c r="T126" s="135"/>
      <c r="U126" s="136"/>
      <c r="W126" s="35" t="str">
        <f>"-- "&amp;C126</f>
        <v>-- 二次利用DB登録患者データ_MMLテーブルから組入れ条件の第一条件で絞り込んだ結果をバックアップ_二次利用DB登録患者データ_MMLテーブルに格納する。</v>
      </c>
    </row>
    <row r="128" spans="2:23" ht="18.75" customHeight="1">
      <c r="C128" s="137" t="s">
        <v>3497</v>
      </c>
      <c r="D128" s="138"/>
      <c r="E128" s="141" t="s">
        <v>162</v>
      </c>
      <c r="H128" s="36"/>
      <c r="I128" s="36"/>
      <c r="J128" s="36"/>
      <c r="K128" s="36"/>
      <c r="L128" s="36"/>
      <c r="M128" s="36"/>
      <c r="N128" s="36"/>
      <c r="O128" s="36"/>
      <c r="P128" s="36"/>
      <c r="Q128" s="36"/>
      <c r="R128" s="137" t="str">
        <f>"バックアップ_"&amp;SUBSTITUTE(C128,"_結合","")</f>
        <v>バックアップ_二次利用DB登録患者データ_MML</v>
      </c>
      <c r="S128" s="138"/>
      <c r="T128" s="143" t="str">
        <f>エンティティ一覧!$O$2</f>
        <v>milscm_2023_010</v>
      </c>
    </row>
    <row r="129" spans="2:23" ht="18.75" customHeight="1">
      <c r="C129" s="139"/>
      <c r="D129" s="140"/>
      <c r="E129" s="142"/>
      <c r="F129" s="37"/>
      <c r="G129" s="38"/>
      <c r="H129" s="37"/>
      <c r="I129" s="37"/>
      <c r="J129" s="37"/>
      <c r="K129" s="37"/>
      <c r="L129" s="37"/>
      <c r="M129" s="37"/>
      <c r="N129" s="37"/>
      <c r="O129" s="37"/>
      <c r="P129" s="37"/>
      <c r="Q129" s="37"/>
      <c r="R129" s="139"/>
      <c r="S129" s="140"/>
      <c r="T129" s="144"/>
    </row>
    <row r="130" spans="2:23" ht="18.75" customHeight="1">
      <c r="F130" s="39"/>
      <c r="G130" s="40"/>
    </row>
    <row r="131" spans="2:23" ht="18.75" customHeight="1">
      <c r="C131" s="137" t="s">
        <v>3182</v>
      </c>
      <c r="D131" s="138"/>
      <c r="E131" s="143" t="str">
        <f>エンティティ一覧!$O$2</f>
        <v>milscm_2023_010</v>
      </c>
      <c r="G131" s="41"/>
    </row>
    <row r="132" spans="2:23" ht="18.75" customHeight="1">
      <c r="C132" s="139"/>
      <c r="D132" s="140"/>
      <c r="E132" s="144"/>
      <c r="F132" s="37"/>
    </row>
    <row r="134" spans="2:23" ht="18.75" customHeight="1" thickBot="1">
      <c r="B134" s="42"/>
      <c r="C134" s="42"/>
      <c r="D134" s="42"/>
      <c r="E134" s="42"/>
      <c r="F134" s="42"/>
      <c r="G134" s="42"/>
      <c r="H134" s="42"/>
      <c r="I134" s="42"/>
      <c r="J134" s="42"/>
      <c r="K134" s="42"/>
      <c r="L134" s="42"/>
      <c r="M134" s="42"/>
      <c r="N134" s="42"/>
      <c r="O134" s="42"/>
      <c r="P134" s="42"/>
      <c r="Q134" s="42"/>
      <c r="R134" s="42"/>
      <c r="S134" s="42"/>
      <c r="T134" s="42"/>
      <c r="U134" s="42"/>
    </row>
    <row r="136" spans="2:23" ht="18.75" customHeight="1">
      <c r="B136" s="43" t="s">
        <v>163</v>
      </c>
      <c r="C136" s="51" t="s">
        <v>3498</v>
      </c>
      <c r="D136" s="88"/>
      <c r="W136" s="35" t="str">
        <f>"-- "&amp;B136&amp;" : "&amp;C136</f>
        <v>-- SQL_ID : 01_A1-11</v>
      </c>
    </row>
    <row r="137" spans="2:23" ht="18.75" customHeight="1">
      <c r="B137" s="43" t="s">
        <v>158</v>
      </c>
      <c r="C137" s="145" t="str">
        <f>R140&amp;"登録"</f>
        <v>バックアップ_二次利用DB登録患者紐付けデータ登録</v>
      </c>
      <c r="D137" s="146"/>
      <c r="E137" s="146"/>
      <c r="F137" s="146"/>
      <c r="G137" s="146"/>
      <c r="H137" s="146"/>
      <c r="I137" s="146"/>
      <c r="J137" s="146"/>
      <c r="K137" s="146"/>
      <c r="L137" s="146"/>
      <c r="M137" s="146"/>
      <c r="N137" s="146"/>
      <c r="O137" s="146"/>
      <c r="P137" s="146"/>
      <c r="Q137" s="146"/>
      <c r="R137" s="146"/>
      <c r="S137" s="146"/>
      <c r="T137" s="146"/>
      <c r="U137" s="147"/>
      <c r="W137" s="35" t="str">
        <f>"-- "&amp;C137</f>
        <v>-- バックアップ_二次利用DB登録患者紐付けデータ登録</v>
      </c>
    </row>
    <row r="138" spans="2:23" ht="18.75" customHeight="1">
      <c r="B138" s="43" t="s">
        <v>159</v>
      </c>
      <c r="C138" s="134" t="str">
        <f>C140&amp;"テーブルから組入れ条件の第一条件で絞り込んだ結果を"&amp;R140&amp;"テーブルに格納する。"</f>
        <v>二次利用DB登録患者紐付けデータテーブルから組入れ条件の第一条件で絞り込んだ結果をバックアップ_二次利用DB登録患者紐付けデータテーブルに格納する。</v>
      </c>
      <c r="D138" s="135"/>
      <c r="E138" s="135"/>
      <c r="F138" s="135"/>
      <c r="G138" s="135"/>
      <c r="H138" s="135"/>
      <c r="I138" s="135"/>
      <c r="J138" s="135"/>
      <c r="K138" s="135"/>
      <c r="L138" s="135"/>
      <c r="M138" s="135"/>
      <c r="N138" s="135"/>
      <c r="O138" s="135"/>
      <c r="P138" s="135"/>
      <c r="Q138" s="135"/>
      <c r="R138" s="135"/>
      <c r="S138" s="135"/>
      <c r="T138" s="135"/>
      <c r="U138" s="136"/>
      <c r="W138" s="35" t="str">
        <f>"-- "&amp;C138</f>
        <v>-- 二次利用DB登録患者紐付けデータテーブルから組入れ条件の第一条件で絞り込んだ結果をバックアップ_二次利用DB登録患者紐付けデータテーブルに格納する。</v>
      </c>
    </row>
    <row r="140" spans="2:23" ht="18.75" customHeight="1">
      <c r="C140" s="137" t="s">
        <v>3499</v>
      </c>
      <c r="D140" s="138"/>
      <c r="E140" s="141" t="s">
        <v>162</v>
      </c>
      <c r="H140" s="36"/>
      <c r="I140" s="36"/>
      <c r="J140" s="36"/>
      <c r="K140" s="36"/>
      <c r="L140" s="36"/>
      <c r="M140" s="36"/>
      <c r="N140" s="36"/>
      <c r="O140" s="36"/>
      <c r="P140" s="36"/>
      <c r="Q140" s="36"/>
      <c r="R140" s="137" t="str">
        <f>"バックアップ_"&amp;SUBSTITUTE(C140,"_結合","")</f>
        <v>バックアップ_二次利用DB登録患者紐付けデータ</v>
      </c>
      <c r="S140" s="138"/>
      <c r="T140" s="143" t="str">
        <f>エンティティ一覧!$O$2</f>
        <v>milscm_2023_010</v>
      </c>
    </row>
    <row r="141" spans="2:23" ht="18.75" customHeight="1">
      <c r="C141" s="139"/>
      <c r="D141" s="140"/>
      <c r="E141" s="142"/>
      <c r="F141" s="37"/>
      <c r="G141" s="38"/>
      <c r="H141" s="37"/>
      <c r="I141" s="37"/>
      <c r="J141" s="37"/>
      <c r="K141" s="37"/>
      <c r="L141" s="37"/>
      <c r="M141" s="37"/>
      <c r="N141" s="37"/>
      <c r="O141" s="37"/>
      <c r="P141" s="37"/>
      <c r="Q141" s="37"/>
      <c r="R141" s="139"/>
      <c r="S141" s="140"/>
      <c r="T141" s="144"/>
    </row>
    <row r="142" spans="2:23" ht="18.75" customHeight="1">
      <c r="F142" s="39"/>
      <c r="G142" s="40"/>
    </row>
    <row r="143" spans="2:23" ht="18.75" customHeight="1">
      <c r="C143" s="137" t="s">
        <v>3182</v>
      </c>
      <c r="D143" s="138"/>
      <c r="E143" s="143" t="str">
        <f>エンティティ一覧!$O$2</f>
        <v>milscm_2023_010</v>
      </c>
      <c r="G143" s="41"/>
    </row>
    <row r="144" spans="2:23" ht="18.75" customHeight="1">
      <c r="C144" s="139"/>
      <c r="D144" s="140"/>
      <c r="E144" s="144"/>
      <c r="F144" s="37"/>
    </row>
    <row r="146" spans="2:23" ht="18.75" customHeight="1" thickBot="1">
      <c r="B146" s="42"/>
      <c r="C146" s="42"/>
      <c r="D146" s="42"/>
      <c r="E146" s="42"/>
      <c r="F146" s="42"/>
      <c r="G146" s="42"/>
      <c r="H146" s="42"/>
      <c r="I146" s="42"/>
      <c r="J146" s="42"/>
      <c r="K146" s="42"/>
      <c r="L146" s="42"/>
      <c r="M146" s="42"/>
      <c r="N146" s="42"/>
      <c r="O146" s="42"/>
      <c r="P146" s="42"/>
      <c r="Q146" s="42"/>
      <c r="R146" s="42"/>
      <c r="S146" s="42"/>
      <c r="T146" s="42"/>
      <c r="U146" s="42"/>
    </row>
    <row r="148" spans="2:23" ht="18.75" customHeight="1">
      <c r="B148" s="43" t="s">
        <v>163</v>
      </c>
      <c r="C148" s="51" t="s">
        <v>3500</v>
      </c>
      <c r="D148" s="88"/>
      <c r="W148" s="35" t="str">
        <f>"-- "&amp;B148&amp;" : "&amp;C148</f>
        <v>-- SQL_ID : 01_A1-13</v>
      </c>
    </row>
    <row r="149" spans="2:23" ht="18.75" customHeight="1">
      <c r="B149" s="43" t="s">
        <v>158</v>
      </c>
      <c r="C149" s="145" t="str">
        <f>R152&amp;"登録"</f>
        <v>バックアップ_エラー患者データ登録</v>
      </c>
      <c r="D149" s="146"/>
      <c r="E149" s="146"/>
      <c r="F149" s="146"/>
      <c r="G149" s="146"/>
      <c r="H149" s="146"/>
      <c r="I149" s="146"/>
      <c r="J149" s="146"/>
      <c r="K149" s="146"/>
      <c r="L149" s="146"/>
      <c r="M149" s="146"/>
      <c r="N149" s="146"/>
      <c r="O149" s="146"/>
      <c r="P149" s="146"/>
      <c r="Q149" s="146"/>
      <c r="R149" s="146"/>
      <c r="S149" s="146"/>
      <c r="T149" s="146"/>
      <c r="U149" s="147"/>
      <c r="W149" s="35" t="str">
        <f>"-- "&amp;C149</f>
        <v>-- バックアップ_エラー患者データ登録</v>
      </c>
    </row>
    <row r="150" spans="2:23" ht="18.75" customHeight="1">
      <c r="B150" s="43" t="s">
        <v>159</v>
      </c>
      <c r="C150" s="134" t="str">
        <f>C152&amp;"テーブルから組入れ条件の第一条件で絞り込んだ結果を"&amp;R152&amp;"テーブルに格納する。"</f>
        <v>エラー患者データテーブルから組入れ条件の第一条件で絞り込んだ結果をバックアップ_エラー患者データテーブルに格納する。</v>
      </c>
      <c r="D150" s="135"/>
      <c r="E150" s="135"/>
      <c r="F150" s="135"/>
      <c r="G150" s="135"/>
      <c r="H150" s="135"/>
      <c r="I150" s="135"/>
      <c r="J150" s="135"/>
      <c r="K150" s="135"/>
      <c r="L150" s="135"/>
      <c r="M150" s="135"/>
      <c r="N150" s="135"/>
      <c r="O150" s="135"/>
      <c r="P150" s="135"/>
      <c r="Q150" s="135"/>
      <c r="R150" s="135"/>
      <c r="S150" s="135"/>
      <c r="T150" s="135"/>
      <c r="U150" s="136"/>
      <c r="W150" s="35" t="str">
        <f>"-- "&amp;C150</f>
        <v>-- エラー患者データテーブルから組入れ条件の第一条件で絞り込んだ結果をバックアップ_エラー患者データテーブルに格納する。</v>
      </c>
    </row>
    <row r="152" spans="2:23" ht="18.75" customHeight="1">
      <c r="C152" s="137" t="s">
        <v>3501</v>
      </c>
      <c r="D152" s="138"/>
      <c r="E152" s="141" t="s">
        <v>162</v>
      </c>
      <c r="H152" s="36"/>
      <c r="I152" s="36"/>
      <c r="J152" s="36"/>
      <c r="K152" s="36"/>
      <c r="L152" s="36"/>
      <c r="M152" s="36"/>
      <c r="N152" s="36"/>
      <c r="O152" s="36"/>
      <c r="P152" s="36"/>
      <c r="Q152" s="36"/>
      <c r="R152" s="137" t="str">
        <f>"バックアップ_"&amp;SUBSTITUTE(C152,"_結合","")</f>
        <v>バックアップ_エラー患者データ</v>
      </c>
      <c r="S152" s="138"/>
      <c r="T152" s="143" t="str">
        <f>エンティティ一覧!$O$2</f>
        <v>milscm_2023_010</v>
      </c>
    </row>
    <row r="153" spans="2:23" ht="18.75" customHeight="1">
      <c r="C153" s="139"/>
      <c r="D153" s="140"/>
      <c r="E153" s="142"/>
      <c r="F153" s="37"/>
      <c r="G153" s="38"/>
      <c r="H153" s="37"/>
      <c r="I153" s="37"/>
      <c r="J153" s="37"/>
      <c r="K153" s="37"/>
      <c r="L153" s="37"/>
      <c r="M153" s="37"/>
      <c r="N153" s="37"/>
      <c r="O153" s="37"/>
      <c r="P153" s="37"/>
      <c r="Q153" s="37"/>
      <c r="R153" s="139"/>
      <c r="S153" s="140"/>
      <c r="T153" s="144"/>
    </row>
    <row r="154" spans="2:23" ht="18.75" customHeight="1">
      <c r="F154" s="39"/>
      <c r="G154" s="40"/>
    </row>
    <row r="155" spans="2:23" ht="18.75" customHeight="1">
      <c r="C155" s="137" t="s">
        <v>3182</v>
      </c>
      <c r="D155" s="138"/>
      <c r="E155" s="143" t="str">
        <f>エンティティ一覧!$O$2</f>
        <v>milscm_2023_010</v>
      </c>
      <c r="G155" s="41"/>
    </row>
    <row r="156" spans="2:23" ht="18.75" customHeight="1">
      <c r="C156" s="139"/>
      <c r="D156" s="140"/>
      <c r="E156" s="144"/>
      <c r="F156" s="37"/>
    </row>
    <row r="158" spans="2:23" ht="18.75" customHeight="1" thickBot="1">
      <c r="B158" s="42"/>
      <c r="C158" s="42"/>
      <c r="D158" s="42"/>
      <c r="E158" s="42"/>
      <c r="F158" s="42"/>
      <c r="G158" s="42"/>
      <c r="H158" s="42"/>
      <c r="I158" s="42"/>
      <c r="J158" s="42"/>
      <c r="K158" s="42"/>
      <c r="L158" s="42"/>
      <c r="M158" s="42"/>
      <c r="N158" s="42"/>
      <c r="O158" s="42"/>
      <c r="P158" s="42"/>
      <c r="Q158" s="42"/>
      <c r="R158" s="42"/>
      <c r="S158" s="42"/>
      <c r="T158" s="42"/>
      <c r="U158" s="42"/>
    </row>
    <row r="160" spans="2:23" ht="18.75" customHeight="1">
      <c r="B160" s="43" t="s">
        <v>163</v>
      </c>
      <c r="C160" s="51" t="s">
        <v>3502</v>
      </c>
      <c r="D160" s="88"/>
      <c r="W160" s="35" t="str">
        <f>"-- "&amp;B160&amp;" : "&amp;C160</f>
        <v>-- SQL_ID : 01_A1-14</v>
      </c>
    </row>
    <row r="161" spans="2:23" ht="18.75" customHeight="1">
      <c r="B161" s="43" t="s">
        <v>158</v>
      </c>
      <c r="C161" s="145" t="str">
        <f>R164&amp;"登録"</f>
        <v>バックアップ_患者基本データ登録</v>
      </c>
      <c r="D161" s="146"/>
      <c r="E161" s="146"/>
      <c r="F161" s="146"/>
      <c r="G161" s="146"/>
      <c r="H161" s="146"/>
      <c r="I161" s="146"/>
      <c r="J161" s="146"/>
      <c r="K161" s="146"/>
      <c r="L161" s="146"/>
      <c r="M161" s="146"/>
      <c r="N161" s="146"/>
      <c r="O161" s="146"/>
      <c r="P161" s="146"/>
      <c r="Q161" s="146"/>
      <c r="R161" s="146"/>
      <c r="S161" s="146"/>
      <c r="T161" s="146"/>
      <c r="U161" s="147"/>
      <c r="W161" s="35" t="str">
        <f>"-- "&amp;C161</f>
        <v>-- バックアップ_患者基本データ登録</v>
      </c>
    </row>
    <row r="162" spans="2:23" ht="18.75" customHeight="1">
      <c r="B162" s="43" t="s">
        <v>159</v>
      </c>
      <c r="C162" s="134" t="str">
        <f>C164&amp;"テーブルから組入れ条件の第一条件で絞り込んだ結果を"&amp;R164&amp;"テーブルに格納する。"</f>
        <v>患者基本データテーブルから組入れ条件の第一条件で絞り込んだ結果をバックアップ_患者基本データテーブルに格納する。</v>
      </c>
      <c r="D162" s="135"/>
      <c r="E162" s="135"/>
      <c r="F162" s="135"/>
      <c r="G162" s="135"/>
      <c r="H162" s="135"/>
      <c r="I162" s="135"/>
      <c r="J162" s="135"/>
      <c r="K162" s="135"/>
      <c r="L162" s="135"/>
      <c r="M162" s="135"/>
      <c r="N162" s="135"/>
      <c r="O162" s="135"/>
      <c r="P162" s="135"/>
      <c r="Q162" s="135"/>
      <c r="R162" s="135"/>
      <c r="S162" s="135"/>
      <c r="T162" s="135"/>
      <c r="U162" s="136"/>
      <c r="W162" s="35" t="str">
        <f>"-- "&amp;C162</f>
        <v>-- 患者基本データテーブルから組入れ条件の第一条件で絞り込んだ結果をバックアップ_患者基本データテーブルに格納する。</v>
      </c>
    </row>
    <row r="164" spans="2:23" ht="18.75" customHeight="1">
      <c r="C164" s="137" t="s">
        <v>3503</v>
      </c>
      <c r="D164" s="138"/>
      <c r="E164" s="141" t="s">
        <v>162</v>
      </c>
      <c r="H164" s="36"/>
      <c r="I164" s="36"/>
      <c r="J164" s="36"/>
      <c r="K164" s="36"/>
      <c r="L164" s="36"/>
      <c r="M164" s="36"/>
      <c r="N164" s="36"/>
      <c r="O164" s="36"/>
      <c r="P164" s="36"/>
      <c r="Q164" s="36"/>
      <c r="R164" s="137" t="str">
        <f>"バックアップ_"&amp;SUBSTITUTE(C164,"_結合","")</f>
        <v>バックアップ_患者基本データ</v>
      </c>
      <c r="S164" s="138"/>
      <c r="T164" s="143" t="str">
        <f>エンティティ一覧!$O$2</f>
        <v>milscm_2023_010</v>
      </c>
    </row>
    <row r="165" spans="2:23" ht="18.75" customHeight="1">
      <c r="C165" s="139"/>
      <c r="D165" s="140"/>
      <c r="E165" s="142"/>
      <c r="F165" s="37"/>
      <c r="G165" s="38"/>
      <c r="H165" s="37"/>
      <c r="I165" s="37"/>
      <c r="J165" s="37"/>
      <c r="K165" s="37"/>
      <c r="L165" s="37"/>
      <c r="M165" s="37"/>
      <c r="N165" s="37"/>
      <c r="O165" s="37"/>
      <c r="P165" s="37"/>
      <c r="Q165" s="37"/>
      <c r="R165" s="139"/>
      <c r="S165" s="140"/>
      <c r="T165" s="144"/>
    </row>
    <row r="166" spans="2:23" ht="18.75" customHeight="1">
      <c r="F166" s="39"/>
      <c r="G166" s="40"/>
    </row>
    <row r="167" spans="2:23" ht="18.75" customHeight="1">
      <c r="C167" s="137" t="s">
        <v>3182</v>
      </c>
      <c r="D167" s="138"/>
      <c r="E167" s="143" t="str">
        <f>エンティティ一覧!$O$2</f>
        <v>milscm_2023_010</v>
      </c>
      <c r="G167" s="41"/>
    </row>
    <row r="168" spans="2:23" ht="18.75" customHeight="1">
      <c r="C168" s="139"/>
      <c r="D168" s="140"/>
      <c r="E168" s="144"/>
      <c r="F168" s="37"/>
    </row>
    <row r="170" spans="2:23" ht="18.75" customHeight="1" thickBot="1">
      <c r="B170" s="42"/>
      <c r="C170" s="42"/>
      <c r="D170" s="42"/>
      <c r="E170" s="42"/>
      <c r="F170" s="42"/>
      <c r="G170" s="42"/>
      <c r="H170" s="42"/>
      <c r="I170" s="42"/>
      <c r="J170" s="42"/>
      <c r="K170" s="42"/>
      <c r="L170" s="42"/>
      <c r="M170" s="42"/>
      <c r="N170" s="42"/>
      <c r="O170" s="42"/>
      <c r="P170" s="42"/>
      <c r="Q170" s="42"/>
      <c r="R170" s="42"/>
      <c r="S170" s="42"/>
      <c r="T170" s="42"/>
      <c r="U170" s="42"/>
    </row>
    <row r="172" spans="2:23" ht="18.75" customHeight="1">
      <c r="B172" s="43" t="s">
        <v>163</v>
      </c>
      <c r="C172" s="51" t="s">
        <v>3504</v>
      </c>
      <c r="D172" s="88"/>
      <c r="W172" s="35" t="str">
        <f>"-- "&amp;B172&amp;" : "&amp;C172</f>
        <v>-- SQL_ID : 01_A3-02</v>
      </c>
    </row>
    <row r="173" spans="2:23" ht="18.75" customHeight="1">
      <c r="B173" s="43" t="s">
        <v>158</v>
      </c>
      <c r="C173" s="145" t="str">
        <f>R176&amp;"登録"</f>
        <v>バックアップ_施設属性マスタ取込用登録</v>
      </c>
      <c r="D173" s="146"/>
      <c r="E173" s="146"/>
      <c r="F173" s="146"/>
      <c r="G173" s="146"/>
      <c r="H173" s="146"/>
      <c r="I173" s="146"/>
      <c r="J173" s="146"/>
      <c r="K173" s="146"/>
      <c r="L173" s="146"/>
      <c r="M173" s="146"/>
      <c r="N173" s="146"/>
      <c r="O173" s="146"/>
      <c r="P173" s="146"/>
      <c r="Q173" s="146"/>
      <c r="R173" s="146"/>
      <c r="S173" s="146"/>
      <c r="T173" s="146"/>
      <c r="U173" s="147"/>
      <c r="W173" s="35" t="str">
        <f>"-- "&amp;C173</f>
        <v>-- バックアップ_施設属性マスタ取込用登録</v>
      </c>
    </row>
    <row r="174" spans="2:23" ht="18.75" customHeight="1">
      <c r="B174" s="43" t="s">
        <v>159</v>
      </c>
      <c r="C174" s="134" t="str">
        <f>C176&amp;"テーブルのレコードを"&amp;R176&amp;"テーブルに格納する。"</f>
        <v>施設属性マスタ取込用テーブルのレコードをバックアップ_施設属性マスタ取込用テーブルに格納する。</v>
      </c>
      <c r="D174" s="135"/>
      <c r="E174" s="135"/>
      <c r="F174" s="135"/>
      <c r="G174" s="135"/>
      <c r="H174" s="135"/>
      <c r="I174" s="135"/>
      <c r="J174" s="135"/>
      <c r="K174" s="135"/>
      <c r="L174" s="135"/>
      <c r="M174" s="135"/>
      <c r="N174" s="135"/>
      <c r="O174" s="135"/>
      <c r="P174" s="135"/>
      <c r="Q174" s="135"/>
      <c r="R174" s="135"/>
      <c r="S174" s="135"/>
      <c r="T174" s="135"/>
      <c r="U174" s="136"/>
      <c r="W174" s="35" t="str">
        <f>"-- "&amp;C174</f>
        <v>-- 施設属性マスタ取込用テーブルのレコードをバックアップ_施設属性マスタ取込用テーブルに格納する。</v>
      </c>
    </row>
    <row r="176" spans="2:23" ht="18.75" customHeight="1">
      <c r="C176" s="137" t="s">
        <v>3505</v>
      </c>
      <c r="D176" s="138"/>
      <c r="E176" s="141" t="s">
        <v>162</v>
      </c>
      <c r="F176" s="36"/>
      <c r="G176" s="36"/>
      <c r="H176" s="36"/>
      <c r="I176" s="36"/>
      <c r="J176" s="36"/>
      <c r="K176" s="36"/>
      <c r="L176" s="36"/>
      <c r="M176" s="36"/>
      <c r="N176" s="36"/>
      <c r="O176" s="36"/>
      <c r="P176" s="36"/>
      <c r="Q176" s="36"/>
      <c r="R176" s="137" t="str">
        <f>"バックアップ_"&amp;SUBSTITUTE(C176,"_結合","")</f>
        <v>バックアップ_施設属性マスタ取込用</v>
      </c>
      <c r="S176" s="138"/>
      <c r="T176" s="143" t="str">
        <f>エンティティ一覧!$O$2</f>
        <v>milscm_2023_010</v>
      </c>
    </row>
    <row r="177" spans="2:23" ht="18.75" customHeight="1">
      <c r="C177" s="139"/>
      <c r="D177" s="140"/>
      <c r="E177" s="142"/>
      <c r="F177" s="37"/>
      <c r="G177" s="37"/>
      <c r="H177" s="37"/>
      <c r="I177" s="37"/>
      <c r="J177" s="37"/>
      <c r="K177" s="37"/>
      <c r="L177" s="37"/>
      <c r="M177" s="37"/>
      <c r="N177" s="37"/>
      <c r="O177" s="37"/>
      <c r="P177" s="37"/>
      <c r="Q177" s="37"/>
      <c r="R177" s="139"/>
      <c r="S177" s="140"/>
      <c r="T177" s="144"/>
    </row>
    <row r="179" spans="2:23" ht="18.75" customHeight="1" thickBot="1">
      <c r="B179" s="42"/>
      <c r="C179" s="42"/>
      <c r="D179" s="42"/>
      <c r="E179" s="42"/>
      <c r="F179" s="42"/>
      <c r="G179" s="42"/>
      <c r="H179" s="42"/>
      <c r="I179" s="42"/>
      <c r="J179" s="42"/>
      <c r="K179" s="42"/>
      <c r="L179" s="42"/>
      <c r="M179" s="42"/>
      <c r="N179" s="42"/>
      <c r="O179" s="42"/>
      <c r="P179" s="42"/>
      <c r="Q179" s="42"/>
      <c r="R179" s="42"/>
      <c r="S179" s="42"/>
      <c r="T179" s="42"/>
      <c r="U179" s="42"/>
    </row>
    <row r="181" spans="2:23" ht="18.75" customHeight="1">
      <c r="B181" s="43" t="s">
        <v>163</v>
      </c>
      <c r="C181" s="51" t="s">
        <v>3506</v>
      </c>
      <c r="D181" s="88"/>
      <c r="W181" s="35" t="str">
        <f>"-- "&amp;B181&amp;" : "&amp;C181</f>
        <v>-- SQL_ID : 01_A3-03</v>
      </c>
    </row>
    <row r="182" spans="2:23" ht="18.75" customHeight="1">
      <c r="B182" s="43" t="s">
        <v>158</v>
      </c>
      <c r="C182" s="145" t="str">
        <f>R185&amp;"登録"</f>
        <v>バックアップ_二次医療圏マスタ取込用登録</v>
      </c>
      <c r="D182" s="146"/>
      <c r="E182" s="146"/>
      <c r="F182" s="146"/>
      <c r="G182" s="146"/>
      <c r="H182" s="146"/>
      <c r="I182" s="146"/>
      <c r="J182" s="146"/>
      <c r="K182" s="146"/>
      <c r="L182" s="146"/>
      <c r="M182" s="146"/>
      <c r="N182" s="146"/>
      <c r="O182" s="146"/>
      <c r="P182" s="146"/>
      <c r="Q182" s="146"/>
      <c r="R182" s="146"/>
      <c r="S182" s="146"/>
      <c r="T182" s="146"/>
      <c r="U182" s="147"/>
      <c r="W182" s="35" t="str">
        <f>"-- "&amp;C182</f>
        <v>-- バックアップ_二次医療圏マスタ取込用登録</v>
      </c>
    </row>
    <row r="183" spans="2:23" ht="18.75" customHeight="1">
      <c r="B183" s="43" t="s">
        <v>159</v>
      </c>
      <c r="C183" s="134" t="str">
        <f>C185&amp;"テーブルのレコードを"&amp;R185&amp;"テーブルに格納する。"</f>
        <v>二次医療圏マスタ取込用テーブルのレコードをバックアップ_二次医療圏マスタ取込用テーブルに格納する。</v>
      </c>
      <c r="D183" s="135"/>
      <c r="E183" s="135"/>
      <c r="F183" s="135"/>
      <c r="G183" s="135"/>
      <c r="H183" s="135"/>
      <c r="I183" s="135"/>
      <c r="J183" s="135"/>
      <c r="K183" s="135"/>
      <c r="L183" s="135"/>
      <c r="M183" s="135"/>
      <c r="N183" s="135"/>
      <c r="O183" s="135"/>
      <c r="P183" s="135"/>
      <c r="Q183" s="135"/>
      <c r="R183" s="135"/>
      <c r="S183" s="135"/>
      <c r="T183" s="135"/>
      <c r="U183" s="136"/>
      <c r="W183" s="35" t="str">
        <f>"-- "&amp;C183</f>
        <v>-- 二次医療圏マスタ取込用テーブルのレコードをバックアップ_二次医療圏マスタ取込用テーブルに格納する。</v>
      </c>
    </row>
    <row r="185" spans="2:23" ht="18.75" customHeight="1">
      <c r="C185" s="137" t="s">
        <v>3507</v>
      </c>
      <c r="D185" s="138"/>
      <c r="E185" s="141" t="s">
        <v>162</v>
      </c>
      <c r="F185" s="36"/>
      <c r="G185" s="36"/>
      <c r="H185" s="36"/>
      <c r="I185" s="36"/>
      <c r="J185" s="36"/>
      <c r="K185" s="36"/>
      <c r="L185" s="36"/>
      <c r="M185" s="36"/>
      <c r="N185" s="36"/>
      <c r="O185" s="36"/>
      <c r="P185" s="36"/>
      <c r="Q185" s="36"/>
      <c r="R185" s="137" t="str">
        <f>"バックアップ_"&amp;SUBSTITUTE(C185,"_結合","")</f>
        <v>バックアップ_二次医療圏マスタ取込用</v>
      </c>
      <c r="S185" s="138"/>
      <c r="T185" s="143" t="str">
        <f>エンティティ一覧!$O$2</f>
        <v>milscm_2023_010</v>
      </c>
    </row>
    <row r="186" spans="2:23" ht="18.75" customHeight="1">
      <c r="C186" s="139"/>
      <c r="D186" s="140"/>
      <c r="E186" s="142"/>
      <c r="F186" s="37"/>
      <c r="G186" s="37"/>
      <c r="H186" s="37"/>
      <c r="I186" s="37"/>
      <c r="J186" s="37"/>
      <c r="K186" s="37"/>
      <c r="L186" s="37"/>
      <c r="M186" s="37"/>
      <c r="N186" s="37"/>
      <c r="O186" s="37"/>
      <c r="P186" s="37"/>
      <c r="Q186" s="37"/>
      <c r="R186" s="139"/>
      <c r="S186" s="140"/>
      <c r="T186" s="144"/>
    </row>
    <row r="188" spans="2:23" ht="18.75" customHeight="1" thickBot="1">
      <c r="B188" s="42"/>
      <c r="C188" s="42"/>
      <c r="D188" s="42"/>
      <c r="E188" s="42"/>
      <c r="F188" s="42"/>
      <c r="G188" s="42"/>
      <c r="H188" s="42"/>
      <c r="I188" s="42"/>
      <c r="J188" s="42"/>
      <c r="K188" s="42"/>
      <c r="L188" s="42"/>
      <c r="M188" s="42"/>
      <c r="N188" s="42"/>
      <c r="O188" s="42"/>
      <c r="P188" s="42"/>
      <c r="Q188" s="42"/>
      <c r="R188" s="42"/>
      <c r="S188" s="42"/>
      <c r="T188" s="42"/>
      <c r="U188" s="42"/>
    </row>
    <row r="190" spans="2:23" ht="18.75" customHeight="1">
      <c r="B190" s="43" t="s">
        <v>163</v>
      </c>
      <c r="C190" s="51" t="s">
        <v>3508</v>
      </c>
      <c r="D190" s="88"/>
      <c r="W190" s="35" t="str">
        <f>"-- "&amp;B190&amp;" : "&amp;C190</f>
        <v>-- SQL_ID : 01_A3-04</v>
      </c>
    </row>
    <row r="191" spans="2:23" ht="18.75" customHeight="1">
      <c r="B191" s="43" t="s">
        <v>158</v>
      </c>
      <c r="C191" s="145" t="str">
        <f>R194&amp;"登録"</f>
        <v>バックアップ_新旧医薬品コードマスタ取込用登録</v>
      </c>
      <c r="D191" s="146"/>
      <c r="E191" s="146"/>
      <c r="F191" s="146"/>
      <c r="G191" s="146"/>
      <c r="H191" s="146"/>
      <c r="I191" s="146"/>
      <c r="J191" s="146"/>
      <c r="K191" s="146"/>
      <c r="L191" s="146"/>
      <c r="M191" s="146"/>
      <c r="N191" s="146"/>
      <c r="O191" s="146"/>
      <c r="P191" s="146"/>
      <c r="Q191" s="146"/>
      <c r="R191" s="146"/>
      <c r="S191" s="146"/>
      <c r="T191" s="146"/>
      <c r="U191" s="147"/>
      <c r="W191" s="35" t="str">
        <f>"-- "&amp;C191</f>
        <v>-- バックアップ_新旧医薬品コードマスタ取込用登録</v>
      </c>
    </row>
    <row r="192" spans="2:23" ht="18.75" customHeight="1">
      <c r="B192" s="43" t="s">
        <v>159</v>
      </c>
      <c r="C192" s="134" t="str">
        <f>C194&amp;"テーブルのレコードを"&amp;R194&amp;"テーブルに格納する。"</f>
        <v>新旧医薬品コードマスタ取込用テーブルのレコードをバックアップ_新旧医薬品コードマスタ取込用テーブルに格納する。</v>
      </c>
      <c r="D192" s="135"/>
      <c r="E192" s="135"/>
      <c r="F192" s="135"/>
      <c r="G192" s="135"/>
      <c r="H192" s="135"/>
      <c r="I192" s="135"/>
      <c r="J192" s="135"/>
      <c r="K192" s="135"/>
      <c r="L192" s="135"/>
      <c r="M192" s="135"/>
      <c r="N192" s="135"/>
      <c r="O192" s="135"/>
      <c r="P192" s="135"/>
      <c r="Q192" s="135"/>
      <c r="R192" s="135"/>
      <c r="S192" s="135"/>
      <c r="T192" s="135"/>
      <c r="U192" s="136"/>
      <c r="W192" s="35" t="str">
        <f>"-- "&amp;C192</f>
        <v>-- 新旧医薬品コードマスタ取込用テーブルのレコードをバックアップ_新旧医薬品コードマスタ取込用テーブルに格納する。</v>
      </c>
    </row>
    <row r="194" spans="2:23" ht="18.75" customHeight="1">
      <c r="C194" s="137" t="s">
        <v>3509</v>
      </c>
      <c r="D194" s="138"/>
      <c r="E194" s="141" t="s">
        <v>162</v>
      </c>
      <c r="F194" s="36"/>
      <c r="G194" s="36"/>
      <c r="H194" s="36"/>
      <c r="I194" s="36"/>
      <c r="J194" s="36"/>
      <c r="K194" s="36"/>
      <c r="L194" s="36"/>
      <c r="M194" s="36"/>
      <c r="N194" s="36"/>
      <c r="O194" s="36"/>
      <c r="P194" s="36"/>
      <c r="Q194" s="36"/>
      <c r="R194" s="137" t="str">
        <f>"バックアップ_"&amp;SUBSTITUTE(C194,"_結合","")</f>
        <v>バックアップ_新旧医薬品コードマスタ取込用</v>
      </c>
      <c r="S194" s="138"/>
      <c r="T194" s="143" t="str">
        <f>エンティティ一覧!$O$2</f>
        <v>milscm_2023_010</v>
      </c>
    </row>
    <row r="195" spans="2:23" ht="18.75" customHeight="1">
      <c r="C195" s="139"/>
      <c r="D195" s="140"/>
      <c r="E195" s="142"/>
      <c r="F195" s="37"/>
      <c r="G195" s="37"/>
      <c r="H195" s="37"/>
      <c r="I195" s="37"/>
      <c r="J195" s="37"/>
      <c r="K195" s="37"/>
      <c r="L195" s="37"/>
      <c r="M195" s="37"/>
      <c r="N195" s="37"/>
      <c r="O195" s="37"/>
      <c r="P195" s="37"/>
      <c r="Q195" s="37"/>
      <c r="R195" s="139"/>
      <c r="S195" s="140"/>
      <c r="T195" s="144"/>
    </row>
    <row r="197" spans="2:23" ht="18.75" customHeight="1" thickBot="1">
      <c r="B197" s="42"/>
      <c r="C197" s="42"/>
      <c r="D197" s="42"/>
      <c r="E197" s="42"/>
      <c r="F197" s="42"/>
      <c r="G197" s="42"/>
      <c r="H197" s="42"/>
      <c r="I197" s="42"/>
      <c r="J197" s="42"/>
      <c r="K197" s="42"/>
      <c r="L197" s="42"/>
      <c r="M197" s="42"/>
      <c r="N197" s="42"/>
      <c r="O197" s="42"/>
      <c r="P197" s="42"/>
      <c r="Q197" s="42"/>
      <c r="R197" s="42"/>
      <c r="S197" s="42"/>
      <c r="T197" s="42"/>
      <c r="U197" s="42"/>
    </row>
    <row r="199" spans="2:23" ht="18.75" customHeight="1">
      <c r="B199" s="43" t="s">
        <v>163</v>
      </c>
      <c r="C199" s="51" t="s">
        <v>3510</v>
      </c>
      <c r="D199" s="88"/>
      <c r="W199" s="35" t="str">
        <f>"-- "&amp;B199&amp;" : "&amp;C199</f>
        <v>-- SQL_ID : 01_A3-05</v>
      </c>
    </row>
    <row r="200" spans="2:23" ht="18.75" customHeight="1">
      <c r="B200" s="43" t="s">
        <v>158</v>
      </c>
      <c r="C200" s="145" t="str">
        <f>R203&amp;"登録"</f>
        <v>バックアップ_DPC6ICD10対応表マスタ取込用登録</v>
      </c>
      <c r="D200" s="146"/>
      <c r="E200" s="146"/>
      <c r="F200" s="146"/>
      <c r="G200" s="146"/>
      <c r="H200" s="146"/>
      <c r="I200" s="146"/>
      <c r="J200" s="146"/>
      <c r="K200" s="146"/>
      <c r="L200" s="146"/>
      <c r="M200" s="146"/>
      <c r="N200" s="146"/>
      <c r="O200" s="146"/>
      <c r="P200" s="146"/>
      <c r="Q200" s="146"/>
      <c r="R200" s="146"/>
      <c r="S200" s="146"/>
      <c r="T200" s="146"/>
      <c r="U200" s="147"/>
      <c r="W200" s="35" t="str">
        <f>"-- "&amp;C200</f>
        <v>-- バックアップ_DPC6ICD10対応表マスタ取込用登録</v>
      </c>
    </row>
    <row r="201" spans="2:23" ht="18.75" customHeight="1">
      <c r="B201" s="43" t="s">
        <v>159</v>
      </c>
      <c r="C201" s="134" t="str">
        <f>C203&amp;"テーブルのレコードを"&amp;R203&amp;"テーブルに格納する。"</f>
        <v>DPC6ICD10対応表マスタ取込用テーブルのレコードをバックアップ_DPC6ICD10対応表マスタ取込用テーブルに格納する。</v>
      </c>
      <c r="D201" s="135"/>
      <c r="E201" s="135"/>
      <c r="F201" s="135"/>
      <c r="G201" s="135"/>
      <c r="H201" s="135"/>
      <c r="I201" s="135"/>
      <c r="J201" s="135"/>
      <c r="K201" s="135"/>
      <c r="L201" s="135"/>
      <c r="M201" s="135"/>
      <c r="N201" s="135"/>
      <c r="O201" s="135"/>
      <c r="P201" s="135"/>
      <c r="Q201" s="135"/>
      <c r="R201" s="135"/>
      <c r="S201" s="135"/>
      <c r="T201" s="135"/>
      <c r="U201" s="136"/>
      <c r="W201" s="35" t="str">
        <f>"-- "&amp;C201</f>
        <v>-- DPC6ICD10対応表マスタ取込用テーブルのレコードをバックアップ_DPC6ICD10対応表マスタ取込用テーブルに格納する。</v>
      </c>
    </row>
    <row r="203" spans="2:23" ht="18.75" customHeight="1">
      <c r="C203" s="137" t="s">
        <v>3511</v>
      </c>
      <c r="D203" s="138"/>
      <c r="E203" s="141" t="s">
        <v>162</v>
      </c>
      <c r="F203" s="36"/>
      <c r="G203" s="36"/>
      <c r="H203" s="36"/>
      <c r="I203" s="36"/>
      <c r="J203" s="36"/>
      <c r="K203" s="36"/>
      <c r="L203" s="36"/>
      <c r="M203" s="36"/>
      <c r="N203" s="36"/>
      <c r="O203" s="36"/>
      <c r="P203" s="36"/>
      <c r="Q203" s="36"/>
      <c r="R203" s="137" t="str">
        <f>"バックアップ_"&amp;SUBSTITUTE(C203,"_結合","")</f>
        <v>バックアップ_DPC6ICD10対応表マスタ取込用</v>
      </c>
      <c r="S203" s="138"/>
      <c r="T203" s="143" t="str">
        <f>エンティティ一覧!$O$2</f>
        <v>milscm_2023_010</v>
      </c>
    </row>
    <row r="204" spans="2:23" ht="18.75" customHeight="1">
      <c r="C204" s="139"/>
      <c r="D204" s="140"/>
      <c r="E204" s="142"/>
      <c r="F204" s="37"/>
      <c r="G204" s="37"/>
      <c r="H204" s="37"/>
      <c r="I204" s="37"/>
      <c r="J204" s="37"/>
      <c r="K204" s="37"/>
      <c r="L204" s="37"/>
      <c r="M204" s="37"/>
      <c r="N204" s="37"/>
      <c r="O204" s="37"/>
      <c r="P204" s="37"/>
      <c r="Q204" s="37"/>
      <c r="R204" s="139"/>
      <c r="S204" s="140"/>
      <c r="T204" s="144"/>
    </row>
    <row r="206" spans="2:23" ht="18.75" customHeight="1" thickBot="1">
      <c r="B206" s="42"/>
      <c r="C206" s="42"/>
      <c r="D206" s="42"/>
      <c r="E206" s="42"/>
      <c r="F206" s="42"/>
      <c r="G206" s="42"/>
      <c r="H206" s="42"/>
      <c r="I206" s="42"/>
      <c r="J206" s="42"/>
      <c r="K206" s="42"/>
      <c r="L206" s="42"/>
      <c r="M206" s="42"/>
      <c r="N206" s="42"/>
      <c r="O206" s="42"/>
      <c r="P206" s="42"/>
      <c r="Q206" s="42"/>
      <c r="R206" s="42"/>
      <c r="S206" s="42"/>
      <c r="T206" s="42"/>
      <c r="U206" s="42"/>
    </row>
    <row r="208" spans="2:23" ht="18.75" customHeight="1">
      <c r="B208" s="43" t="s">
        <v>163</v>
      </c>
      <c r="C208" s="51" t="s">
        <v>3512</v>
      </c>
      <c r="D208" s="88"/>
      <c r="W208" s="35" t="str">
        <f>"-- "&amp;B208&amp;" : "&amp;C208</f>
        <v>-- SQL_ID : 01_A3-06</v>
      </c>
    </row>
    <row r="209" spans="2:23" ht="18.75" customHeight="1">
      <c r="B209" s="43" t="s">
        <v>158</v>
      </c>
      <c r="C209" s="145" t="str">
        <f>R212&amp;"登録"</f>
        <v>バックアップ_修飾語マスタ取込用登録</v>
      </c>
      <c r="D209" s="146"/>
      <c r="E209" s="146"/>
      <c r="F209" s="146"/>
      <c r="G209" s="146"/>
      <c r="H209" s="146"/>
      <c r="I209" s="146"/>
      <c r="J209" s="146"/>
      <c r="K209" s="146"/>
      <c r="L209" s="146"/>
      <c r="M209" s="146"/>
      <c r="N209" s="146"/>
      <c r="O209" s="146"/>
      <c r="P209" s="146"/>
      <c r="Q209" s="146"/>
      <c r="R209" s="146"/>
      <c r="S209" s="146"/>
      <c r="T209" s="146"/>
      <c r="U209" s="147"/>
      <c r="W209" s="35" t="str">
        <f>"-- "&amp;C209</f>
        <v>-- バックアップ_修飾語マスタ取込用登録</v>
      </c>
    </row>
    <row r="210" spans="2:23" ht="18.75" customHeight="1">
      <c r="B210" s="43" t="s">
        <v>159</v>
      </c>
      <c r="C210" s="134" t="str">
        <f>C212&amp;"テーブルのレコードを"&amp;R212&amp;"テーブルに格納する。"</f>
        <v>修飾語マスタ取込用テーブルのレコードをバックアップ_修飾語マスタ取込用テーブルに格納する。</v>
      </c>
      <c r="D210" s="135"/>
      <c r="E210" s="135"/>
      <c r="F210" s="135"/>
      <c r="G210" s="135"/>
      <c r="H210" s="135"/>
      <c r="I210" s="135"/>
      <c r="J210" s="135"/>
      <c r="K210" s="135"/>
      <c r="L210" s="135"/>
      <c r="M210" s="135"/>
      <c r="N210" s="135"/>
      <c r="O210" s="135"/>
      <c r="P210" s="135"/>
      <c r="Q210" s="135"/>
      <c r="R210" s="135"/>
      <c r="S210" s="135"/>
      <c r="T210" s="135"/>
      <c r="U210" s="136"/>
      <c r="W210" s="35" t="str">
        <f>"-- "&amp;C210</f>
        <v>-- 修飾語マスタ取込用テーブルのレコードをバックアップ_修飾語マスタ取込用テーブルに格納する。</v>
      </c>
    </row>
    <row r="212" spans="2:23" ht="18.75" customHeight="1">
      <c r="C212" s="137" t="s">
        <v>3513</v>
      </c>
      <c r="D212" s="138"/>
      <c r="E212" s="141" t="s">
        <v>162</v>
      </c>
      <c r="F212" s="36"/>
      <c r="G212" s="36"/>
      <c r="H212" s="36"/>
      <c r="I212" s="36"/>
      <c r="J212" s="36"/>
      <c r="K212" s="36"/>
      <c r="L212" s="36"/>
      <c r="M212" s="36"/>
      <c r="N212" s="36"/>
      <c r="O212" s="36"/>
      <c r="P212" s="36"/>
      <c r="Q212" s="36"/>
      <c r="R212" s="137" t="str">
        <f>"バックアップ_"&amp;SUBSTITUTE(C212,"_結合","")</f>
        <v>バックアップ_修飾語マスタ取込用</v>
      </c>
      <c r="S212" s="138"/>
      <c r="T212" s="143" t="str">
        <f>エンティティ一覧!$O$2</f>
        <v>milscm_2023_010</v>
      </c>
    </row>
    <row r="213" spans="2:23" ht="18.75" customHeight="1">
      <c r="C213" s="139"/>
      <c r="D213" s="140"/>
      <c r="E213" s="142"/>
      <c r="F213" s="37"/>
      <c r="G213" s="37"/>
      <c r="H213" s="37"/>
      <c r="I213" s="37"/>
      <c r="J213" s="37"/>
      <c r="K213" s="37"/>
      <c r="L213" s="37"/>
      <c r="M213" s="37"/>
      <c r="N213" s="37"/>
      <c r="O213" s="37"/>
      <c r="P213" s="37"/>
      <c r="Q213" s="37"/>
      <c r="R213" s="139"/>
      <c r="S213" s="140"/>
      <c r="T213" s="144"/>
    </row>
    <row r="215" spans="2:23" ht="18.75" customHeight="1" thickBot="1">
      <c r="B215" s="42"/>
      <c r="C215" s="42"/>
      <c r="D215" s="42"/>
      <c r="E215" s="42"/>
      <c r="F215" s="42"/>
      <c r="G215" s="42"/>
      <c r="H215" s="42"/>
      <c r="I215" s="42"/>
      <c r="J215" s="42"/>
      <c r="K215" s="42"/>
      <c r="L215" s="42"/>
      <c r="M215" s="42"/>
      <c r="N215" s="42"/>
      <c r="O215" s="42"/>
      <c r="P215" s="42"/>
      <c r="Q215" s="42"/>
      <c r="R215" s="42"/>
      <c r="S215" s="42"/>
      <c r="T215" s="42"/>
      <c r="U215" s="42"/>
    </row>
    <row r="217" spans="2:23" ht="18.75" customHeight="1">
      <c r="B217" s="43" t="s">
        <v>163</v>
      </c>
      <c r="C217" s="51" t="s">
        <v>3514</v>
      </c>
      <c r="D217" s="88"/>
      <c r="W217" s="35" t="str">
        <f>"-- "&amp;B217&amp;" : "&amp;C217</f>
        <v>-- SQL_ID : 01_A3-07</v>
      </c>
    </row>
    <row r="218" spans="2:23" ht="18.75" customHeight="1">
      <c r="B218" s="43" t="s">
        <v>158</v>
      </c>
      <c r="C218" s="145" t="str">
        <f>R221&amp;"登録"</f>
        <v>バックアップ_コメントマスタ取込用登録</v>
      </c>
      <c r="D218" s="146"/>
      <c r="E218" s="146"/>
      <c r="F218" s="146"/>
      <c r="G218" s="146"/>
      <c r="H218" s="146"/>
      <c r="I218" s="146"/>
      <c r="J218" s="146"/>
      <c r="K218" s="146"/>
      <c r="L218" s="146"/>
      <c r="M218" s="146"/>
      <c r="N218" s="146"/>
      <c r="O218" s="146"/>
      <c r="P218" s="146"/>
      <c r="Q218" s="146"/>
      <c r="R218" s="146"/>
      <c r="S218" s="146"/>
      <c r="T218" s="146"/>
      <c r="U218" s="147"/>
      <c r="W218" s="35" t="str">
        <f>"-- "&amp;C218</f>
        <v>-- バックアップ_コメントマスタ取込用登録</v>
      </c>
    </row>
    <row r="219" spans="2:23" ht="18.75" customHeight="1">
      <c r="B219" s="43" t="s">
        <v>159</v>
      </c>
      <c r="C219" s="134" t="str">
        <f>C221&amp;"テーブルのレコードを"&amp;R221&amp;"テーブルに格納する。"</f>
        <v>コメントマスタ取込用テーブルのレコードをバックアップ_コメントマスタ取込用テーブルに格納する。</v>
      </c>
      <c r="D219" s="135"/>
      <c r="E219" s="135"/>
      <c r="F219" s="135"/>
      <c r="G219" s="135"/>
      <c r="H219" s="135"/>
      <c r="I219" s="135"/>
      <c r="J219" s="135"/>
      <c r="K219" s="135"/>
      <c r="L219" s="135"/>
      <c r="M219" s="135"/>
      <c r="N219" s="135"/>
      <c r="O219" s="135"/>
      <c r="P219" s="135"/>
      <c r="Q219" s="135"/>
      <c r="R219" s="135"/>
      <c r="S219" s="135"/>
      <c r="T219" s="135"/>
      <c r="U219" s="136"/>
      <c r="W219" s="35" t="str">
        <f>"-- "&amp;C219</f>
        <v>-- コメントマスタ取込用テーブルのレコードをバックアップ_コメントマスタ取込用テーブルに格納する。</v>
      </c>
    </row>
    <row r="221" spans="2:23" ht="18.75" customHeight="1">
      <c r="C221" s="137" t="s">
        <v>3515</v>
      </c>
      <c r="D221" s="138"/>
      <c r="E221" s="141" t="s">
        <v>162</v>
      </c>
      <c r="F221" s="36"/>
      <c r="G221" s="36"/>
      <c r="H221" s="36"/>
      <c r="I221" s="36"/>
      <c r="J221" s="36"/>
      <c r="K221" s="36"/>
      <c r="L221" s="36"/>
      <c r="M221" s="36"/>
      <c r="N221" s="36"/>
      <c r="O221" s="36"/>
      <c r="P221" s="36"/>
      <c r="Q221" s="36"/>
      <c r="R221" s="137" t="str">
        <f>"バックアップ_"&amp;SUBSTITUTE(C221,"_結合","")</f>
        <v>バックアップ_コメントマスタ取込用</v>
      </c>
      <c r="S221" s="138"/>
      <c r="T221" s="143" t="str">
        <f>エンティティ一覧!$O$2</f>
        <v>milscm_2023_010</v>
      </c>
    </row>
    <row r="222" spans="2:23" ht="18.75" customHeight="1">
      <c r="C222" s="139"/>
      <c r="D222" s="140"/>
      <c r="E222" s="142"/>
      <c r="F222" s="37"/>
      <c r="G222" s="37"/>
      <c r="H222" s="37"/>
      <c r="I222" s="37"/>
      <c r="J222" s="37"/>
      <c r="K222" s="37"/>
      <c r="L222" s="37"/>
      <c r="M222" s="37"/>
      <c r="N222" s="37"/>
      <c r="O222" s="37"/>
      <c r="P222" s="37"/>
      <c r="Q222" s="37"/>
      <c r="R222" s="139"/>
      <c r="S222" s="140"/>
      <c r="T222" s="144"/>
    </row>
    <row r="224" spans="2:23" ht="18.75" customHeight="1" thickBot="1">
      <c r="B224" s="42"/>
      <c r="C224" s="42"/>
      <c r="D224" s="42"/>
      <c r="E224" s="42"/>
      <c r="F224" s="42"/>
      <c r="G224" s="42"/>
      <c r="H224" s="42"/>
      <c r="I224" s="42"/>
      <c r="J224" s="42"/>
      <c r="K224" s="42"/>
      <c r="L224" s="42"/>
      <c r="M224" s="42"/>
      <c r="N224" s="42"/>
      <c r="O224" s="42"/>
      <c r="P224" s="42"/>
      <c r="Q224" s="42"/>
      <c r="R224" s="42"/>
      <c r="S224" s="42"/>
      <c r="T224" s="42"/>
      <c r="U224" s="42"/>
    </row>
    <row r="226" spans="2:23" ht="18.75" customHeight="1">
      <c r="B226" s="43" t="s">
        <v>163</v>
      </c>
      <c r="C226" s="51" t="s">
        <v>3516</v>
      </c>
      <c r="D226" s="88"/>
      <c r="W226" s="35" t="str">
        <f>"-- "&amp;B226&amp;" : "&amp;C226</f>
        <v>-- SQL_ID : 01_A3-08</v>
      </c>
    </row>
    <row r="227" spans="2:23" ht="18.75" customHeight="1">
      <c r="B227" s="43" t="s">
        <v>158</v>
      </c>
      <c r="C227" s="145" t="str">
        <f>R230&amp;"登録"</f>
        <v>バックアップ_成分量マスタ取込用登録</v>
      </c>
      <c r="D227" s="146"/>
      <c r="E227" s="146"/>
      <c r="F227" s="146"/>
      <c r="G227" s="146"/>
      <c r="H227" s="146"/>
      <c r="I227" s="146"/>
      <c r="J227" s="146"/>
      <c r="K227" s="146"/>
      <c r="L227" s="146"/>
      <c r="M227" s="146"/>
      <c r="N227" s="146"/>
      <c r="O227" s="146"/>
      <c r="P227" s="146"/>
      <c r="Q227" s="146"/>
      <c r="R227" s="146"/>
      <c r="S227" s="146"/>
      <c r="T227" s="146"/>
      <c r="U227" s="147"/>
      <c r="W227" s="35" t="str">
        <f>"-- "&amp;C227</f>
        <v>-- バックアップ_成分量マスタ取込用登録</v>
      </c>
    </row>
    <row r="228" spans="2:23" ht="18.75" customHeight="1">
      <c r="B228" s="43" t="s">
        <v>159</v>
      </c>
      <c r="C228" s="134" t="str">
        <f>C230&amp;"テーブルのレコードを"&amp;R230&amp;"テーブルに格納する。"</f>
        <v>成分量マスタ取込用テーブルのレコードをバックアップ_成分量マスタ取込用テーブルに格納する。</v>
      </c>
      <c r="D228" s="135"/>
      <c r="E228" s="135"/>
      <c r="F228" s="135"/>
      <c r="G228" s="135"/>
      <c r="H228" s="135"/>
      <c r="I228" s="135"/>
      <c r="J228" s="135"/>
      <c r="K228" s="135"/>
      <c r="L228" s="135"/>
      <c r="M228" s="135"/>
      <c r="N228" s="135"/>
      <c r="O228" s="135"/>
      <c r="P228" s="135"/>
      <c r="Q228" s="135"/>
      <c r="R228" s="135"/>
      <c r="S228" s="135"/>
      <c r="T228" s="135"/>
      <c r="U228" s="136"/>
      <c r="W228" s="35" t="str">
        <f>"-- "&amp;C228</f>
        <v>-- 成分量マスタ取込用テーブルのレコードをバックアップ_成分量マスタ取込用テーブルに格納する。</v>
      </c>
    </row>
    <row r="230" spans="2:23" ht="18.75" customHeight="1">
      <c r="C230" s="137" t="s">
        <v>3517</v>
      </c>
      <c r="D230" s="138"/>
      <c r="E230" s="141" t="s">
        <v>162</v>
      </c>
      <c r="F230" s="36"/>
      <c r="G230" s="36"/>
      <c r="H230" s="36"/>
      <c r="I230" s="36"/>
      <c r="J230" s="36"/>
      <c r="K230" s="36"/>
      <c r="L230" s="36"/>
      <c r="M230" s="36"/>
      <c r="N230" s="36"/>
      <c r="O230" s="36"/>
      <c r="P230" s="36"/>
      <c r="Q230" s="36"/>
      <c r="R230" s="137" t="str">
        <f>"バックアップ_"&amp;SUBSTITUTE(C230,"_結合","")</f>
        <v>バックアップ_成分量マスタ取込用</v>
      </c>
      <c r="S230" s="138"/>
      <c r="T230" s="143" t="str">
        <f>エンティティ一覧!$O$2</f>
        <v>milscm_2023_010</v>
      </c>
    </row>
    <row r="231" spans="2:23" ht="18.75" customHeight="1">
      <c r="C231" s="139"/>
      <c r="D231" s="140"/>
      <c r="E231" s="142"/>
      <c r="F231" s="37"/>
      <c r="G231" s="37"/>
      <c r="H231" s="37"/>
      <c r="I231" s="37"/>
      <c r="J231" s="37"/>
      <c r="K231" s="37"/>
      <c r="L231" s="37"/>
      <c r="M231" s="37"/>
      <c r="N231" s="37"/>
      <c r="O231" s="37"/>
      <c r="P231" s="37"/>
      <c r="Q231" s="37"/>
      <c r="R231" s="139"/>
      <c r="S231" s="140"/>
      <c r="T231" s="144"/>
    </row>
    <row r="233" spans="2:23" ht="18.75" customHeight="1" thickBot="1">
      <c r="B233" s="42"/>
      <c r="C233" s="42"/>
      <c r="D233" s="42"/>
      <c r="E233" s="42"/>
      <c r="F233" s="42"/>
      <c r="G233" s="42"/>
      <c r="H233" s="42"/>
      <c r="I233" s="42"/>
      <c r="J233" s="42"/>
      <c r="K233" s="42"/>
      <c r="L233" s="42"/>
      <c r="M233" s="42"/>
      <c r="N233" s="42"/>
      <c r="O233" s="42"/>
      <c r="P233" s="42"/>
      <c r="Q233" s="42"/>
      <c r="R233" s="42"/>
      <c r="S233" s="42"/>
      <c r="T233" s="42"/>
      <c r="U233" s="42"/>
    </row>
    <row r="235" spans="2:23" ht="18.75" customHeight="1">
      <c r="B235" s="43" t="s">
        <v>163</v>
      </c>
      <c r="C235" s="51" t="s">
        <v>3518</v>
      </c>
      <c r="D235" s="88"/>
      <c r="W235" s="35" t="str">
        <f>"-- "&amp;B235&amp;" : "&amp;C235</f>
        <v>-- SQL_ID : 01_A3-09</v>
      </c>
    </row>
    <row r="236" spans="2:23" ht="18.75" customHeight="1">
      <c r="B236" s="43" t="s">
        <v>158</v>
      </c>
      <c r="C236" s="145" t="str">
        <f>R239&amp;"登録"</f>
        <v>バックアップ_成分名マスタ取込用登録</v>
      </c>
      <c r="D236" s="146"/>
      <c r="E236" s="146"/>
      <c r="F236" s="146"/>
      <c r="G236" s="146"/>
      <c r="H236" s="146"/>
      <c r="I236" s="146"/>
      <c r="J236" s="146"/>
      <c r="K236" s="146"/>
      <c r="L236" s="146"/>
      <c r="M236" s="146"/>
      <c r="N236" s="146"/>
      <c r="O236" s="146"/>
      <c r="P236" s="146"/>
      <c r="Q236" s="146"/>
      <c r="R236" s="146"/>
      <c r="S236" s="146"/>
      <c r="T236" s="146"/>
      <c r="U236" s="147"/>
      <c r="W236" s="35" t="str">
        <f>"-- "&amp;C236</f>
        <v>-- バックアップ_成分名マスタ取込用登録</v>
      </c>
    </row>
    <row r="237" spans="2:23" ht="18.75" customHeight="1">
      <c r="B237" s="43" t="s">
        <v>159</v>
      </c>
      <c r="C237" s="134" t="str">
        <f>C239&amp;"テーブルのレコードを"&amp;R239&amp;"テーブルに格納する。"</f>
        <v>成分名マスタ取込用テーブルのレコードをバックアップ_成分名マスタ取込用テーブルに格納する。</v>
      </c>
      <c r="D237" s="135"/>
      <c r="E237" s="135"/>
      <c r="F237" s="135"/>
      <c r="G237" s="135"/>
      <c r="H237" s="135"/>
      <c r="I237" s="135"/>
      <c r="J237" s="135"/>
      <c r="K237" s="135"/>
      <c r="L237" s="135"/>
      <c r="M237" s="135"/>
      <c r="N237" s="135"/>
      <c r="O237" s="135"/>
      <c r="P237" s="135"/>
      <c r="Q237" s="135"/>
      <c r="R237" s="135"/>
      <c r="S237" s="135"/>
      <c r="T237" s="135"/>
      <c r="U237" s="136"/>
      <c r="W237" s="35" t="str">
        <f>"-- "&amp;C237</f>
        <v>-- 成分名マスタ取込用テーブルのレコードをバックアップ_成分名マスタ取込用テーブルに格納する。</v>
      </c>
    </row>
    <row r="239" spans="2:23" ht="18.75" customHeight="1">
      <c r="C239" s="137" t="s">
        <v>3519</v>
      </c>
      <c r="D239" s="138"/>
      <c r="E239" s="141" t="s">
        <v>162</v>
      </c>
      <c r="F239" s="36"/>
      <c r="G239" s="36"/>
      <c r="H239" s="36"/>
      <c r="I239" s="36"/>
      <c r="J239" s="36"/>
      <c r="K239" s="36"/>
      <c r="L239" s="36"/>
      <c r="M239" s="36"/>
      <c r="N239" s="36"/>
      <c r="O239" s="36"/>
      <c r="P239" s="36"/>
      <c r="Q239" s="36"/>
      <c r="R239" s="137" t="str">
        <f>"バックアップ_"&amp;SUBSTITUTE(C239,"_結合","")</f>
        <v>バックアップ_成分名マスタ取込用</v>
      </c>
      <c r="S239" s="138"/>
      <c r="T239" s="143" t="str">
        <f>エンティティ一覧!$O$2</f>
        <v>milscm_2023_010</v>
      </c>
    </row>
    <row r="240" spans="2:23" ht="18.75" customHeight="1">
      <c r="C240" s="139"/>
      <c r="D240" s="140"/>
      <c r="E240" s="142"/>
      <c r="F240" s="37"/>
      <c r="G240" s="37"/>
      <c r="H240" s="37"/>
      <c r="I240" s="37"/>
      <c r="J240" s="37"/>
      <c r="K240" s="37"/>
      <c r="L240" s="37"/>
      <c r="M240" s="37"/>
      <c r="N240" s="37"/>
      <c r="O240" s="37"/>
      <c r="P240" s="37"/>
      <c r="Q240" s="37"/>
      <c r="R240" s="139"/>
      <c r="S240" s="140"/>
      <c r="T240" s="144"/>
    </row>
    <row r="242" spans="2:23" ht="18.75" customHeight="1" thickBot="1">
      <c r="B242" s="42"/>
      <c r="C242" s="42"/>
      <c r="D242" s="42"/>
      <c r="E242" s="42"/>
      <c r="F242" s="42"/>
      <c r="G242" s="42"/>
      <c r="H242" s="42"/>
      <c r="I242" s="42"/>
      <c r="J242" s="42"/>
      <c r="K242" s="42"/>
      <c r="L242" s="42"/>
      <c r="M242" s="42"/>
      <c r="N242" s="42"/>
      <c r="O242" s="42"/>
      <c r="P242" s="42"/>
      <c r="Q242" s="42"/>
      <c r="R242" s="42"/>
      <c r="S242" s="42"/>
      <c r="T242" s="42"/>
      <c r="U242" s="42"/>
    </row>
    <row r="244" spans="2:23" ht="18.75" customHeight="1">
      <c r="B244" s="43" t="s">
        <v>163</v>
      </c>
      <c r="C244" s="51" t="s">
        <v>3520</v>
      </c>
      <c r="D244" s="88"/>
      <c r="W244" s="35" t="str">
        <f>"-- "&amp;B244&amp;" : "&amp;C244</f>
        <v>-- SQL_ID : 01_A3-10</v>
      </c>
    </row>
    <row r="245" spans="2:23" ht="18.75" customHeight="1">
      <c r="B245" s="43" t="s">
        <v>158</v>
      </c>
      <c r="C245" s="145" t="str">
        <f>R248&amp;"登録"</f>
        <v>バックアップ_単位マスタ取込用登録</v>
      </c>
      <c r="D245" s="146"/>
      <c r="E245" s="146"/>
      <c r="F245" s="146"/>
      <c r="G245" s="146"/>
      <c r="H245" s="146"/>
      <c r="I245" s="146"/>
      <c r="J245" s="146"/>
      <c r="K245" s="146"/>
      <c r="L245" s="146"/>
      <c r="M245" s="146"/>
      <c r="N245" s="146"/>
      <c r="O245" s="146"/>
      <c r="P245" s="146"/>
      <c r="Q245" s="146"/>
      <c r="R245" s="146"/>
      <c r="S245" s="146"/>
      <c r="T245" s="146"/>
      <c r="U245" s="147"/>
      <c r="W245" s="35" t="str">
        <f>"-- "&amp;C245</f>
        <v>-- バックアップ_単位マスタ取込用登録</v>
      </c>
    </row>
    <row r="246" spans="2:23" ht="18.75" customHeight="1">
      <c r="B246" s="43" t="s">
        <v>159</v>
      </c>
      <c r="C246" s="134" t="str">
        <f>C248&amp;"テーブルのレコードを"&amp;R248&amp;"テーブルに格納する。"</f>
        <v>単位マスタ取込用テーブルのレコードをバックアップ_単位マスタ取込用テーブルに格納する。</v>
      </c>
      <c r="D246" s="135"/>
      <c r="E246" s="135"/>
      <c r="F246" s="135"/>
      <c r="G246" s="135"/>
      <c r="H246" s="135"/>
      <c r="I246" s="135"/>
      <c r="J246" s="135"/>
      <c r="K246" s="135"/>
      <c r="L246" s="135"/>
      <c r="M246" s="135"/>
      <c r="N246" s="135"/>
      <c r="O246" s="135"/>
      <c r="P246" s="135"/>
      <c r="Q246" s="135"/>
      <c r="R246" s="135"/>
      <c r="S246" s="135"/>
      <c r="T246" s="135"/>
      <c r="U246" s="136"/>
      <c r="W246" s="35" t="str">
        <f>"-- "&amp;C246</f>
        <v>-- 単位マスタ取込用テーブルのレコードをバックアップ_単位マスタ取込用テーブルに格納する。</v>
      </c>
    </row>
    <row r="248" spans="2:23" ht="18.75" customHeight="1">
      <c r="C248" s="137" t="s">
        <v>3521</v>
      </c>
      <c r="D248" s="138"/>
      <c r="E248" s="141" t="s">
        <v>162</v>
      </c>
      <c r="F248" s="36"/>
      <c r="G248" s="36"/>
      <c r="H248" s="36"/>
      <c r="I248" s="36"/>
      <c r="J248" s="36"/>
      <c r="K248" s="36"/>
      <c r="L248" s="36"/>
      <c r="M248" s="36"/>
      <c r="N248" s="36"/>
      <c r="O248" s="36"/>
      <c r="P248" s="36"/>
      <c r="Q248" s="36"/>
      <c r="R248" s="137" t="str">
        <f>"バックアップ_"&amp;SUBSTITUTE(C248,"_結合","")</f>
        <v>バックアップ_単位マスタ取込用</v>
      </c>
      <c r="S248" s="138"/>
      <c r="T248" s="143" t="str">
        <f>エンティティ一覧!$O$2</f>
        <v>milscm_2023_010</v>
      </c>
    </row>
    <row r="249" spans="2:23" ht="18.75" customHeight="1">
      <c r="C249" s="139"/>
      <c r="D249" s="140"/>
      <c r="E249" s="142"/>
      <c r="F249" s="37"/>
      <c r="G249" s="37"/>
      <c r="H249" s="37"/>
      <c r="I249" s="37"/>
      <c r="J249" s="37"/>
      <c r="K249" s="37"/>
      <c r="L249" s="37"/>
      <c r="M249" s="37"/>
      <c r="N249" s="37"/>
      <c r="O249" s="37"/>
      <c r="P249" s="37"/>
      <c r="Q249" s="37"/>
      <c r="R249" s="139"/>
      <c r="S249" s="140"/>
      <c r="T249" s="144"/>
    </row>
    <row r="251" spans="2:23" ht="18.75" customHeight="1" thickBot="1">
      <c r="B251" s="42"/>
      <c r="C251" s="42"/>
      <c r="D251" s="42"/>
      <c r="E251" s="42"/>
      <c r="F251" s="42"/>
      <c r="G251" s="42"/>
      <c r="H251" s="42"/>
      <c r="I251" s="42"/>
      <c r="J251" s="42"/>
      <c r="K251" s="42"/>
      <c r="L251" s="42"/>
      <c r="M251" s="42"/>
      <c r="N251" s="42"/>
      <c r="O251" s="42"/>
      <c r="P251" s="42"/>
      <c r="Q251" s="42"/>
      <c r="R251" s="42"/>
      <c r="S251" s="42"/>
      <c r="T251" s="42"/>
      <c r="U251" s="42"/>
    </row>
    <row r="253" spans="2:23" ht="18.75" customHeight="1">
      <c r="B253" s="43" t="s">
        <v>163</v>
      </c>
      <c r="C253" s="51" t="s">
        <v>3522</v>
      </c>
      <c r="D253" s="88"/>
      <c r="W253" s="35" t="str">
        <f>"-- "&amp;B253&amp;" : "&amp;C253</f>
        <v>-- SQL_ID : 01_A3-11</v>
      </c>
    </row>
    <row r="254" spans="2:23" ht="18.75" customHeight="1">
      <c r="B254" s="43" t="s">
        <v>158</v>
      </c>
      <c r="C254" s="145" t="str">
        <f>R257&amp;"登録"</f>
        <v>バックアップ_適応病名レセ病名組み合わせ関係リンクマスタ取込用登録</v>
      </c>
      <c r="D254" s="146"/>
      <c r="E254" s="146"/>
      <c r="F254" s="146"/>
      <c r="G254" s="146"/>
      <c r="H254" s="146"/>
      <c r="I254" s="146"/>
      <c r="J254" s="146"/>
      <c r="K254" s="146"/>
      <c r="L254" s="146"/>
      <c r="M254" s="146"/>
      <c r="N254" s="146"/>
      <c r="O254" s="146"/>
      <c r="P254" s="146"/>
      <c r="Q254" s="146"/>
      <c r="R254" s="146"/>
      <c r="S254" s="146"/>
      <c r="T254" s="146"/>
      <c r="U254" s="147"/>
      <c r="W254" s="35" t="str">
        <f>"-- "&amp;C254</f>
        <v>-- バックアップ_適応病名レセ病名組み合わせ関係リンクマスタ取込用登録</v>
      </c>
    </row>
    <row r="255" spans="2:23" ht="18.75" customHeight="1">
      <c r="B255" s="43" t="s">
        <v>159</v>
      </c>
      <c r="C255" s="134" t="str">
        <f>C257&amp;"テーブルのレコードを"&amp;R257&amp;"テーブルに格納する。"</f>
        <v>適応病名レセ病名組み合わせ関係リンクマスタ取込用テーブルのレコードをバックアップ_適応病名レセ病名組み合わせ関係リンクマスタ取込用テーブルに格納する。</v>
      </c>
      <c r="D255" s="135"/>
      <c r="E255" s="135"/>
      <c r="F255" s="135"/>
      <c r="G255" s="135"/>
      <c r="H255" s="135"/>
      <c r="I255" s="135"/>
      <c r="J255" s="135"/>
      <c r="K255" s="135"/>
      <c r="L255" s="135"/>
      <c r="M255" s="135"/>
      <c r="N255" s="135"/>
      <c r="O255" s="135"/>
      <c r="P255" s="135"/>
      <c r="Q255" s="135"/>
      <c r="R255" s="135"/>
      <c r="S255" s="135"/>
      <c r="T255" s="135"/>
      <c r="U255" s="136"/>
      <c r="W255" s="35" t="str">
        <f>"-- "&amp;C255</f>
        <v>-- 適応病名レセ病名組み合わせ関係リンクマスタ取込用テーブルのレコードをバックアップ_適応病名レセ病名組み合わせ関係リンクマスタ取込用テーブルに格納する。</v>
      </c>
    </row>
    <row r="257" spans="2:23" ht="18.75" customHeight="1">
      <c r="C257" s="137" t="s">
        <v>3523</v>
      </c>
      <c r="D257" s="138"/>
      <c r="E257" s="141" t="s">
        <v>162</v>
      </c>
      <c r="F257" s="36"/>
      <c r="G257" s="36"/>
      <c r="H257" s="36"/>
      <c r="I257" s="36"/>
      <c r="J257" s="36"/>
      <c r="K257" s="36"/>
      <c r="L257" s="36"/>
      <c r="M257" s="36"/>
      <c r="N257" s="36"/>
      <c r="O257" s="36"/>
      <c r="P257" s="36"/>
      <c r="Q257" s="36"/>
      <c r="R257" s="152" t="str">
        <f>"バックアップ_"&amp;SUBSTITUTE(C257,"_結合","")</f>
        <v>バックアップ_適応病名レセ病名組み合わせ関係リンクマスタ取込用</v>
      </c>
      <c r="S257" s="153"/>
      <c r="T257" s="143" t="str">
        <f>エンティティ一覧!$O$2</f>
        <v>milscm_2023_010</v>
      </c>
    </row>
    <row r="258" spans="2:23" ht="18.75" customHeight="1">
      <c r="C258" s="139"/>
      <c r="D258" s="140"/>
      <c r="E258" s="142"/>
      <c r="F258" s="37"/>
      <c r="G258" s="37"/>
      <c r="H258" s="37"/>
      <c r="I258" s="37"/>
      <c r="J258" s="37"/>
      <c r="K258" s="37"/>
      <c r="L258" s="37"/>
      <c r="M258" s="37"/>
      <c r="N258" s="37"/>
      <c r="O258" s="37"/>
      <c r="P258" s="37"/>
      <c r="Q258" s="37"/>
      <c r="R258" s="154"/>
      <c r="S258" s="155"/>
      <c r="T258" s="144"/>
    </row>
    <row r="260" spans="2:23" ht="18.75" customHeight="1" thickBot="1">
      <c r="B260" s="42"/>
      <c r="C260" s="42"/>
      <c r="D260" s="42"/>
      <c r="E260" s="42"/>
      <c r="F260" s="42"/>
      <c r="G260" s="42"/>
      <c r="H260" s="42"/>
      <c r="I260" s="42"/>
      <c r="J260" s="42"/>
      <c r="K260" s="42"/>
      <c r="L260" s="42"/>
      <c r="M260" s="42"/>
      <c r="N260" s="42"/>
      <c r="O260" s="42"/>
      <c r="P260" s="42"/>
      <c r="Q260" s="42"/>
      <c r="R260" s="42"/>
      <c r="S260" s="42"/>
      <c r="T260" s="42"/>
      <c r="U260" s="42"/>
    </row>
    <row r="262" spans="2:23" ht="18.75" customHeight="1">
      <c r="B262" s="43" t="s">
        <v>163</v>
      </c>
      <c r="C262" s="51" t="s">
        <v>3524</v>
      </c>
      <c r="D262" s="88"/>
      <c r="W262" s="35" t="str">
        <f>"-- "&amp;B262&amp;" : "&amp;C262</f>
        <v>-- SQL_ID : 01_A3-12</v>
      </c>
    </row>
    <row r="263" spans="2:23" ht="18.75" customHeight="1">
      <c r="B263" s="43" t="s">
        <v>158</v>
      </c>
      <c r="C263" s="145" t="str">
        <f>R266&amp;"登録"</f>
        <v>バックアップ_適応病名レセ病名組み合わせ関係リンク親子マスタ取込用登録</v>
      </c>
      <c r="D263" s="146"/>
      <c r="E263" s="146"/>
      <c r="F263" s="146"/>
      <c r="G263" s="146"/>
      <c r="H263" s="146"/>
      <c r="I263" s="146"/>
      <c r="J263" s="146"/>
      <c r="K263" s="146"/>
      <c r="L263" s="146"/>
      <c r="M263" s="146"/>
      <c r="N263" s="146"/>
      <c r="O263" s="146"/>
      <c r="P263" s="146"/>
      <c r="Q263" s="146"/>
      <c r="R263" s="146"/>
      <c r="S263" s="146"/>
      <c r="T263" s="146"/>
      <c r="U263" s="147"/>
      <c r="W263" s="35" t="str">
        <f>"-- "&amp;C263</f>
        <v>-- バックアップ_適応病名レセ病名組み合わせ関係リンク親子マスタ取込用登録</v>
      </c>
    </row>
    <row r="264" spans="2:23" ht="18.75" customHeight="1">
      <c r="B264" s="43" t="s">
        <v>159</v>
      </c>
      <c r="C264" s="134" t="str">
        <f>C266&amp;"テーブルのレコードを"&amp;R266&amp;"テーブルに格納する。"</f>
        <v>適応病名レセ病名組み合わせ関係リンク親子マスタ取込用テーブルのレコードをバックアップ_適応病名レセ病名組み合わせ関係リンク親子マスタ取込用テーブルに格納する。</v>
      </c>
      <c r="D264" s="135"/>
      <c r="E264" s="135"/>
      <c r="F264" s="135"/>
      <c r="G264" s="135"/>
      <c r="H264" s="135"/>
      <c r="I264" s="135"/>
      <c r="J264" s="135"/>
      <c r="K264" s="135"/>
      <c r="L264" s="135"/>
      <c r="M264" s="135"/>
      <c r="N264" s="135"/>
      <c r="O264" s="135"/>
      <c r="P264" s="135"/>
      <c r="Q264" s="135"/>
      <c r="R264" s="135"/>
      <c r="S264" s="135"/>
      <c r="T264" s="135"/>
      <c r="U264" s="136"/>
      <c r="W264" s="35" t="str">
        <f>"-- "&amp;C264</f>
        <v>-- 適応病名レセ病名組み合わせ関係リンク親子マスタ取込用テーブルのレコードをバックアップ_適応病名レセ病名組み合わせ関係リンク親子マスタ取込用テーブルに格納する。</v>
      </c>
    </row>
    <row r="266" spans="2:23" ht="18.75" customHeight="1">
      <c r="C266" s="148" t="s">
        <v>3525</v>
      </c>
      <c r="D266" s="149"/>
      <c r="E266" s="141" t="s">
        <v>162</v>
      </c>
      <c r="F266" s="36"/>
      <c r="G266" s="36"/>
      <c r="H266" s="36"/>
      <c r="I266" s="36"/>
      <c r="J266" s="36"/>
      <c r="K266" s="36"/>
      <c r="L266" s="36"/>
      <c r="M266" s="36"/>
      <c r="N266" s="36"/>
      <c r="O266" s="36"/>
      <c r="P266" s="36"/>
      <c r="Q266" s="36"/>
      <c r="R266" s="152" t="str">
        <f>"バックアップ_"&amp;SUBSTITUTE(C266,"_結合","")</f>
        <v>バックアップ_適応病名レセ病名組み合わせ関係リンク親子マスタ取込用</v>
      </c>
      <c r="S266" s="153"/>
      <c r="T266" s="143" t="str">
        <f>エンティティ一覧!$O$2</f>
        <v>milscm_2023_010</v>
      </c>
    </row>
    <row r="267" spans="2:23" ht="18.75" customHeight="1">
      <c r="C267" s="150"/>
      <c r="D267" s="151"/>
      <c r="E267" s="142"/>
      <c r="F267" s="37"/>
      <c r="G267" s="37"/>
      <c r="H267" s="37"/>
      <c r="I267" s="37"/>
      <c r="J267" s="37"/>
      <c r="K267" s="37"/>
      <c r="L267" s="37"/>
      <c r="M267" s="37"/>
      <c r="N267" s="37"/>
      <c r="O267" s="37"/>
      <c r="P267" s="37"/>
      <c r="Q267" s="37"/>
      <c r="R267" s="154"/>
      <c r="S267" s="155"/>
      <c r="T267" s="144"/>
    </row>
    <row r="269" spans="2:23" ht="18.75" customHeight="1" thickBot="1">
      <c r="B269" s="42"/>
      <c r="C269" s="42"/>
      <c r="D269" s="42"/>
      <c r="E269" s="42"/>
      <c r="F269" s="42"/>
      <c r="G269" s="42"/>
      <c r="H269" s="42"/>
      <c r="I269" s="42"/>
      <c r="J269" s="42"/>
      <c r="K269" s="42"/>
      <c r="L269" s="42"/>
      <c r="M269" s="42"/>
      <c r="N269" s="42"/>
      <c r="O269" s="42"/>
      <c r="P269" s="42"/>
      <c r="Q269" s="42"/>
      <c r="R269" s="42"/>
      <c r="S269" s="42"/>
      <c r="T269" s="42"/>
      <c r="U269" s="42"/>
    </row>
    <row r="271" spans="2:23" ht="18.75" customHeight="1">
      <c r="B271" s="43" t="s">
        <v>163</v>
      </c>
      <c r="C271" s="51" t="s">
        <v>3526</v>
      </c>
      <c r="D271" s="88"/>
      <c r="W271" s="35" t="str">
        <f>"-- "&amp;B271&amp;" : "&amp;C271</f>
        <v>-- SQL_ID : 01_A3-13</v>
      </c>
    </row>
    <row r="272" spans="2:23" ht="18.75" customHeight="1">
      <c r="B272" s="43" t="s">
        <v>158</v>
      </c>
      <c r="C272" s="145" t="str">
        <f>R275&amp;"登録"</f>
        <v>バックアップ_適用病名マスタ取込用登録</v>
      </c>
      <c r="D272" s="146"/>
      <c r="E272" s="146"/>
      <c r="F272" s="146"/>
      <c r="G272" s="146"/>
      <c r="H272" s="146"/>
      <c r="I272" s="146"/>
      <c r="J272" s="146"/>
      <c r="K272" s="146"/>
      <c r="L272" s="146"/>
      <c r="M272" s="146"/>
      <c r="N272" s="146"/>
      <c r="O272" s="146"/>
      <c r="P272" s="146"/>
      <c r="Q272" s="146"/>
      <c r="R272" s="146"/>
      <c r="S272" s="146"/>
      <c r="T272" s="146"/>
      <c r="U272" s="147"/>
      <c r="W272" s="35" t="str">
        <f>"-- "&amp;C272</f>
        <v>-- バックアップ_適用病名マスタ取込用登録</v>
      </c>
    </row>
    <row r="273" spans="2:23" ht="18.75" customHeight="1">
      <c r="B273" s="43" t="s">
        <v>159</v>
      </c>
      <c r="C273" s="134" t="str">
        <f>C275&amp;"テーブルのレコードを"&amp;R275&amp;"テーブルに格納する。"</f>
        <v>適用病名マスタ取込用テーブルのレコードをバックアップ_適用病名マスタ取込用テーブルに格納する。</v>
      </c>
      <c r="D273" s="135"/>
      <c r="E273" s="135"/>
      <c r="F273" s="135"/>
      <c r="G273" s="135"/>
      <c r="H273" s="135"/>
      <c r="I273" s="135"/>
      <c r="J273" s="135"/>
      <c r="K273" s="135"/>
      <c r="L273" s="135"/>
      <c r="M273" s="135"/>
      <c r="N273" s="135"/>
      <c r="O273" s="135"/>
      <c r="P273" s="135"/>
      <c r="Q273" s="135"/>
      <c r="R273" s="135"/>
      <c r="S273" s="135"/>
      <c r="T273" s="135"/>
      <c r="U273" s="136"/>
      <c r="W273" s="35" t="str">
        <f>"-- "&amp;C273</f>
        <v>-- 適用病名マスタ取込用テーブルのレコードをバックアップ_適用病名マスタ取込用テーブルに格納する。</v>
      </c>
    </row>
    <row r="275" spans="2:23" ht="18.75" customHeight="1">
      <c r="C275" s="137" t="s">
        <v>3527</v>
      </c>
      <c r="D275" s="138"/>
      <c r="E275" s="141" t="s">
        <v>162</v>
      </c>
      <c r="F275" s="36"/>
      <c r="G275" s="36"/>
      <c r="H275" s="36"/>
      <c r="I275" s="36"/>
      <c r="J275" s="36"/>
      <c r="K275" s="36"/>
      <c r="L275" s="36"/>
      <c r="M275" s="36"/>
      <c r="N275" s="36"/>
      <c r="O275" s="36"/>
      <c r="P275" s="36"/>
      <c r="Q275" s="36"/>
      <c r="R275" s="137" t="str">
        <f>"バックアップ_"&amp;SUBSTITUTE(C275,"_結合","")</f>
        <v>バックアップ_適用病名マスタ取込用</v>
      </c>
      <c r="S275" s="138"/>
      <c r="T275" s="143" t="str">
        <f>エンティティ一覧!$O$2</f>
        <v>milscm_2023_010</v>
      </c>
    </row>
    <row r="276" spans="2:23" ht="18.75" customHeight="1">
      <c r="C276" s="139"/>
      <c r="D276" s="140"/>
      <c r="E276" s="142"/>
      <c r="F276" s="37"/>
      <c r="G276" s="37"/>
      <c r="H276" s="37"/>
      <c r="I276" s="37"/>
      <c r="J276" s="37"/>
      <c r="K276" s="37"/>
      <c r="L276" s="37"/>
      <c r="M276" s="37"/>
      <c r="N276" s="37"/>
      <c r="O276" s="37"/>
      <c r="P276" s="37"/>
      <c r="Q276" s="37"/>
      <c r="R276" s="139"/>
      <c r="S276" s="140"/>
      <c r="T276" s="144"/>
    </row>
    <row r="278" spans="2:23" ht="18.75" customHeight="1" thickBot="1">
      <c r="B278" s="42"/>
      <c r="C278" s="42"/>
      <c r="D278" s="42"/>
      <c r="E278" s="42"/>
      <c r="F278" s="42"/>
      <c r="G278" s="42"/>
      <c r="H278" s="42"/>
      <c r="I278" s="42"/>
      <c r="J278" s="42"/>
      <c r="K278" s="42"/>
      <c r="L278" s="42"/>
      <c r="M278" s="42"/>
      <c r="N278" s="42"/>
      <c r="O278" s="42"/>
      <c r="P278" s="42"/>
      <c r="Q278" s="42"/>
      <c r="R278" s="42"/>
      <c r="S278" s="42"/>
      <c r="T278" s="42"/>
      <c r="U278" s="42"/>
    </row>
    <row r="280" spans="2:23" ht="18.75" customHeight="1">
      <c r="B280" s="43" t="s">
        <v>163</v>
      </c>
      <c r="C280" s="51" t="s">
        <v>3528</v>
      </c>
      <c r="D280" s="88"/>
      <c r="W280" s="35" t="str">
        <f>"-- "&amp;B280&amp;" : "&amp;C280</f>
        <v>-- SQL_ID : 01_A3-14</v>
      </c>
    </row>
    <row r="281" spans="2:23" ht="18.75" customHeight="1">
      <c r="B281" s="43" t="s">
        <v>158</v>
      </c>
      <c r="C281" s="145" t="str">
        <f>R284&amp;"登録"</f>
        <v>バックアップ_ＹＪコード医薬品コードリンクマスタ取込用登録</v>
      </c>
      <c r="D281" s="146"/>
      <c r="E281" s="146"/>
      <c r="F281" s="146"/>
      <c r="G281" s="146"/>
      <c r="H281" s="146"/>
      <c r="I281" s="146"/>
      <c r="J281" s="146"/>
      <c r="K281" s="146"/>
      <c r="L281" s="146"/>
      <c r="M281" s="146"/>
      <c r="N281" s="146"/>
      <c r="O281" s="146"/>
      <c r="P281" s="146"/>
      <c r="Q281" s="146"/>
      <c r="R281" s="146"/>
      <c r="S281" s="146"/>
      <c r="T281" s="146"/>
      <c r="U281" s="147"/>
      <c r="W281" s="35" t="str">
        <f>"-- "&amp;C281</f>
        <v>-- バックアップ_ＹＪコード医薬品コードリンクマスタ取込用登録</v>
      </c>
    </row>
    <row r="282" spans="2:23" ht="18.75" customHeight="1">
      <c r="B282" s="43" t="s">
        <v>159</v>
      </c>
      <c r="C282" s="134" t="str">
        <f>C284&amp;"テーブルのレコードを"&amp;R284&amp;"テーブルに格納する。"</f>
        <v>ＹＪコード医薬品コードリンクマスタ取込用テーブルのレコードをバックアップ_ＹＪコード医薬品コードリンクマスタ取込用テーブルに格納する。</v>
      </c>
      <c r="D282" s="135"/>
      <c r="E282" s="135"/>
      <c r="F282" s="135"/>
      <c r="G282" s="135"/>
      <c r="H282" s="135"/>
      <c r="I282" s="135"/>
      <c r="J282" s="135"/>
      <c r="K282" s="135"/>
      <c r="L282" s="135"/>
      <c r="M282" s="135"/>
      <c r="N282" s="135"/>
      <c r="O282" s="135"/>
      <c r="P282" s="135"/>
      <c r="Q282" s="135"/>
      <c r="R282" s="135"/>
      <c r="S282" s="135"/>
      <c r="T282" s="135"/>
      <c r="U282" s="136"/>
      <c r="W282" s="35" t="str">
        <f>"-- "&amp;C282</f>
        <v>-- ＹＪコード医薬品コードリンクマスタ取込用テーブルのレコードをバックアップ_ＹＪコード医薬品コードリンクマスタ取込用テーブルに格納する。</v>
      </c>
    </row>
    <row r="284" spans="2:23" ht="18.75" customHeight="1">
      <c r="C284" s="137" t="s">
        <v>3529</v>
      </c>
      <c r="D284" s="138"/>
      <c r="E284" s="141" t="s">
        <v>162</v>
      </c>
      <c r="F284" s="36"/>
      <c r="G284" s="36"/>
      <c r="H284" s="36"/>
      <c r="I284" s="36"/>
      <c r="J284" s="36"/>
      <c r="K284" s="36"/>
      <c r="L284" s="36"/>
      <c r="M284" s="36"/>
      <c r="N284" s="36"/>
      <c r="O284" s="36"/>
      <c r="P284" s="36"/>
      <c r="Q284" s="36"/>
      <c r="R284" s="148" t="str">
        <f>"バックアップ_"&amp;SUBSTITUTE(C284,"_結合","")</f>
        <v>バックアップ_ＹＪコード医薬品コードリンクマスタ取込用</v>
      </c>
      <c r="S284" s="149"/>
      <c r="T284" s="143" t="str">
        <f>エンティティ一覧!$O$2</f>
        <v>milscm_2023_010</v>
      </c>
    </row>
    <row r="285" spans="2:23" ht="18.75" customHeight="1">
      <c r="C285" s="139"/>
      <c r="D285" s="140"/>
      <c r="E285" s="142"/>
      <c r="F285" s="37"/>
      <c r="G285" s="37"/>
      <c r="H285" s="37"/>
      <c r="I285" s="37"/>
      <c r="J285" s="37"/>
      <c r="K285" s="37"/>
      <c r="L285" s="37"/>
      <c r="M285" s="37"/>
      <c r="N285" s="37"/>
      <c r="O285" s="37"/>
      <c r="P285" s="37"/>
      <c r="Q285" s="37"/>
      <c r="R285" s="150"/>
      <c r="S285" s="151"/>
      <c r="T285" s="144"/>
    </row>
    <row r="287" spans="2:23" ht="18.75" customHeight="1" thickBot="1">
      <c r="B287" s="42"/>
      <c r="C287" s="42"/>
      <c r="D287" s="42"/>
      <c r="E287" s="42"/>
      <c r="F287" s="42"/>
      <c r="G287" s="42"/>
      <c r="H287" s="42"/>
      <c r="I287" s="42"/>
      <c r="J287" s="42"/>
      <c r="K287" s="42"/>
      <c r="L287" s="42"/>
      <c r="M287" s="42"/>
      <c r="N287" s="42"/>
      <c r="O287" s="42"/>
      <c r="P287" s="42"/>
      <c r="Q287" s="42"/>
      <c r="R287" s="42"/>
      <c r="S287" s="42"/>
      <c r="T287" s="42"/>
      <c r="U287" s="42"/>
    </row>
    <row r="289" spans="2:23" ht="18.75" customHeight="1">
      <c r="B289" s="43" t="s">
        <v>163</v>
      </c>
      <c r="C289" s="51" t="s">
        <v>3530</v>
      </c>
      <c r="D289" s="88"/>
      <c r="W289" s="35" t="str">
        <f>"-- "&amp;B289&amp;" : "&amp;C289</f>
        <v>-- SQL_ID : 01_A3-15</v>
      </c>
    </row>
    <row r="290" spans="2:23" ht="18.75" customHeight="1">
      <c r="B290" s="43" t="s">
        <v>158</v>
      </c>
      <c r="C290" s="145" t="str">
        <f>R293&amp;"登録"</f>
        <v>バックアップ_診療行為付加情報マスタ取込用登録</v>
      </c>
      <c r="D290" s="146"/>
      <c r="E290" s="146"/>
      <c r="F290" s="146"/>
      <c r="G290" s="146"/>
      <c r="H290" s="146"/>
      <c r="I290" s="146"/>
      <c r="J290" s="146"/>
      <c r="K290" s="146"/>
      <c r="L290" s="146"/>
      <c r="M290" s="146"/>
      <c r="N290" s="146"/>
      <c r="O290" s="146"/>
      <c r="P290" s="146"/>
      <c r="Q290" s="146"/>
      <c r="R290" s="146"/>
      <c r="S290" s="146"/>
      <c r="T290" s="146"/>
      <c r="U290" s="147"/>
      <c r="W290" s="35" t="str">
        <f>"-- "&amp;C290</f>
        <v>-- バックアップ_診療行為付加情報マスタ取込用登録</v>
      </c>
    </row>
    <row r="291" spans="2:23" ht="18.75" customHeight="1">
      <c r="B291" s="43" t="s">
        <v>159</v>
      </c>
      <c r="C291" s="134" t="str">
        <f>C293&amp;"テーブルのレコードを"&amp;R293&amp;"テーブルに格納する。"</f>
        <v>診療行為付加情報マスタ取込用テーブルのレコードをバックアップ_診療行為付加情報マスタ取込用テーブルに格納する。</v>
      </c>
      <c r="D291" s="135"/>
      <c r="E291" s="135"/>
      <c r="F291" s="135"/>
      <c r="G291" s="135"/>
      <c r="H291" s="135"/>
      <c r="I291" s="135"/>
      <c r="J291" s="135"/>
      <c r="K291" s="135"/>
      <c r="L291" s="135"/>
      <c r="M291" s="135"/>
      <c r="N291" s="135"/>
      <c r="O291" s="135"/>
      <c r="P291" s="135"/>
      <c r="Q291" s="135"/>
      <c r="R291" s="135"/>
      <c r="S291" s="135"/>
      <c r="T291" s="135"/>
      <c r="U291" s="136"/>
      <c r="W291" s="35" t="str">
        <f>"-- "&amp;C291</f>
        <v>-- 診療行為付加情報マスタ取込用テーブルのレコードをバックアップ_診療行為付加情報マスタ取込用テーブルに格納する。</v>
      </c>
    </row>
    <row r="293" spans="2:23" ht="18.75" customHeight="1">
      <c r="C293" s="137" t="s">
        <v>3531</v>
      </c>
      <c r="D293" s="138"/>
      <c r="E293" s="141" t="s">
        <v>162</v>
      </c>
      <c r="F293" s="36"/>
      <c r="G293" s="36"/>
      <c r="H293" s="36"/>
      <c r="I293" s="36"/>
      <c r="J293" s="36"/>
      <c r="K293" s="36"/>
      <c r="L293" s="36"/>
      <c r="M293" s="36"/>
      <c r="N293" s="36"/>
      <c r="O293" s="36"/>
      <c r="P293" s="36"/>
      <c r="Q293" s="36"/>
      <c r="R293" s="137" t="str">
        <f>"バックアップ_"&amp;SUBSTITUTE(C293,"_結合","")</f>
        <v>バックアップ_診療行為付加情報マスタ取込用</v>
      </c>
      <c r="S293" s="138"/>
      <c r="T293" s="143" t="str">
        <f>エンティティ一覧!$O$2</f>
        <v>milscm_2023_010</v>
      </c>
    </row>
    <row r="294" spans="2:23" ht="18.75" customHeight="1">
      <c r="C294" s="139"/>
      <c r="D294" s="140"/>
      <c r="E294" s="142"/>
      <c r="F294" s="37"/>
      <c r="G294" s="37"/>
      <c r="H294" s="37"/>
      <c r="I294" s="37"/>
      <c r="J294" s="37"/>
      <c r="K294" s="37"/>
      <c r="L294" s="37"/>
      <c r="M294" s="37"/>
      <c r="N294" s="37"/>
      <c r="O294" s="37"/>
      <c r="P294" s="37"/>
      <c r="Q294" s="37"/>
      <c r="R294" s="139"/>
      <c r="S294" s="140"/>
      <c r="T294" s="144"/>
    </row>
    <row r="296" spans="2:23" ht="18.75" customHeight="1" thickBot="1">
      <c r="B296" s="42"/>
      <c r="C296" s="42"/>
      <c r="D296" s="42"/>
      <c r="E296" s="42"/>
      <c r="F296" s="42"/>
      <c r="G296" s="42"/>
      <c r="H296" s="42"/>
      <c r="I296" s="42"/>
      <c r="J296" s="42"/>
      <c r="K296" s="42"/>
      <c r="L296" s="42"/>
      <c r="M296" s="42"/>
      <c r="N296" s="42"/>
      <c r="O296" s="42"/>
      <c r="P296" s="42"/>
      <c r="Q296" s="42"/>
      <c r="R296" s="42"/>
      <c r="S296" s="42"/>
      <c r="T296" s="42"/>
      <c r="U296" s="42"/>
    </row>
    <row r="298" spans="2:23" ht="18.75" customHeight="1">
      <c r="B298" s="43" t="s">
        <v>163</v>
      </c>
      <c r="C298" s="51" t="s">
        <v>3532</v>
      </c>
      <c r="D298" s="88"/>
      <c r="W298" s="35" t="str">
        <f>"-- "&amp;B298&amp;" : "&amp;C298</f>
        <v>-- SQL_ID : 01_A3-16</v>
      </c>
    </row>
    <row r="299" spans="2:23" ht="18.75" customHeight="1">
      <c r="B299" s="43" t="s">
        <v>158</v>
      </c>
      <c r="C299" s="145" t="str">
        <f>R302&amp;"登録"</f>
        <v>バックアップ_処理対象施設マスタ登録</v>
      </c>
      <c r="D299" s="146"/>
      <c r="E299" s="146"/>
      <c r="F299" s="146"/>
      <c r="G299" s="146"/>
      <c r="H299" s="146"/>
      <c r="I299" s="146"/>
      <c r="J299" s="146"/>
      <c r="K299" s="146"/>
      <c r="L299" s="146"/>
      <c r="M299" s="146"/>
      <c r="N299" s="146"/>
      <c r="O299" s="146"/>
      <c r="P299" s="146"/>
      <c r="Q299" s="146"/>
      <c r="R299" s="146"/>
      <c r="S299" s="146"/>
      <c r="T299" s="146"/>
      <c r="U299" s="147"/>
      <c r="W299" s="35" t="str">
        <f>"-- "&amp;C299</f>
        <v>-- バックアップ_処理対象施設マスタ登録</v>
      </c>
    </row>
    <row r="300" spans="2:23" ht="18.75" customHeight="1">
      <c r="B300" s="43" t="s">
        <v>159</v>
      </c>
      <c r="C300" s="134" t="str">
        <f>C302&amp;"テーブルのレコードを"&amp;R302&amp;"テーブルに格納する。"</f>
        <v>処理対象施設マスタテーブルのレコードをバックアップ_処理対象施設マスタテーブルに格納する。</v>
      </c>
      <c r="D300" s="135"/>
      <c r="E300" s="135"/>
      <c r="F300" s="135"/>
      <c r="G300" s="135"/>
      <c r="H300" s="135"/>
      <c r="I300" s="135"/>
      <c r="J300" s="135"/>
      <c r="K300" s="135"/>
      <c r="L300" s="135"/>
      <c r="M300" s="135"/>
      <c r="N300" s="135"/>
      <c r="O300" s="135"/>
      <c r="P300" s="135"/>
      <c r="Q300" s="135"/>
      <c r="R300" s="135"/>
      <c r="S300" s="135"/>
      <c r="T300" s="135"/>
      <c r="U300" s="136"/>
      <c r="W300" s="35" t="str">
        <f>"-- "&amp;C300</f>
        <v>-- 処理対象施設マスタテーブルのレコードをバックアップ_処理対象施設マスタテーブルに格納する。</v>
      </c>
    </row>
    <row r="302" spans="2:23" ht="18.75" customHeight="1">
      <c r="C302" s="137" t="s">
        <v>3533</v>
      </c>
      <c r="D302" s="138"/>
      <c r="E302" s="141" t="s">
        <v>162</v>
      </c>
      <c r="F302" s="36"/>
      <c r="G302" s="36"/>
      <c r="H302" s="36"/>
      <c r="I302" s="36"/>
      <c r="J302" s="36"/>
      <c r="K302" s="36"/>
      <c r="L302" s="36"/>
      <c r="M302" s="36"/>
      <c r="N302" s="36"/>
      <c r="O302" s="36"/>
      <c r="P302" s="36"/>
      <c r="Q302" s="36"/>
      <c r="R302" s="137" t="str">
        <f>"バックアップ_"&amp;SUBSTITUTE(C302,"_結合","")</f>
        <v>バックアップ_処理対象施設マスタ</v>
      </c>
      <c r="S302" s="138"/>
      <c r="T302" s="143" t="str">
        <f>エンティティ一覧!$O$2</f>
        <v>milscm_2023_010</v>
      </c>
    </row>
    <row r="303" spans="2:23" ht="18.75" customHeight="1">
      <c r="C303" s="139"/>
      <c r="D303" s="140"/>
      <c r="E303" s="142"/>
      <c r="F303" s="37"/>
      <c r="G303" s="37"/>
      <c r="H303" s="37"/>
      <c r="I303" s="37"/>
      <c r="J303" s="37"/>
      <c r="K303" s="37"/>
      <c r="L303" s="37"/>
      <c r="M303" s="37"/>
      <c r="N303" s="37"/>
      <c r="O303" s="37"/>
      <c r="P303" s="37"/>
      <c r="Q303" s="37"/>
      <c r="R303" s="139"/>
      <c r="S303" s="140"/>
      <c r="T303" s="144"/>
    </row>
    <row r="305" spans="2:23" ht="18.75" customHeight="1" thickBot="1">
      <c r="B305" s="42"/>
      <c r="C305" s="42"/>
      <c r="D305" s="42"/>
      <c r="E305" s="42"/>
      <c r="F305" s="42"/>
      <c r="G305" s="42"/>
      <c r="H305" s="42"/>
      <c r="I305" s="42"/>
      <c r="J305" s="42"/>
      <c r="K305" s="42"/>
      <c r="L305" s="42"/>
      <c r="M305" s="42"/>
      <c r="N305" s="42"/>
      <c r="O305" s="42"/>
      <c r="P305" s="42"/>
      <c r="Q305" s="42"/>
      <c r="R305" s="42"/>
      <c r="S305" s="42"/>
      <c r="T305" s="42"/>
      <c r="U305" s="42"/>
    </row>
    <row r="307" spans="2:23" ht="18.75" customHeight="1">
      <c r="B307" s="43" t="s">
        <v>163</v>
      </c>
      <c r="C307" s="51" t="s">
        <v>3534</v>
      </c>
      <c r="D307" s="88"/>
      <c r="W307" s="35" t="str">
        <f>"-- "&amp;B307&amp;" : "&amp;C307</f>
        <v>-- SQL_ID : 01_A3-17</v>
      </c>
    </row>
    <row r="308" spans="2:23" ht="18.75" customHeight="1">
      <c r="B308" s="43" t="s">
        <v>158</v>
      </c>
      <c r="C308" s="145" t="str">
        <f>R311&amp;"登録"</f>
        <v>バックアップ_処理対象施設マスタ管理登録</v>
      </c>
      <c r="D308" s="146"/>
      <c r="E308" s="146"/>
      <c r="F308" s="146"/>
      <c r="G308" s="146"/>
      <c r="H308" s="146"/>
      <c r="I308" s="146"/>
      <c r="J308" s="146"/>
      <c r="K308" s="146"/>
      <c r="L308" s="146"/>
      <c r="M308" s="146"/>
      <c r="N308" s="146"/>
      <c r="O308" s="146"/>
      <c r="P308" s="146"/>
      <c r="Q308" s="146"/>
      <c r="R308" s="146"/>
      <c r="S308" s="146"/>
      <c r="T308" s="146"/>
      <c r="U308" s="147"/>
      <c r="W308" s="35" t="str">
        <f>"-- "&amp;C308</f>
        <v>-- バックアップ_処理対象施設マスタ管理登録</v>
      </c>
    </row>
    <row r="309" spans="2:23" ht="18.75" customHeight="1">
      <c r="B309" s="43" t="s">
        <v>159</v>
      </c>
      <c r="C309" s="134" t="str">
        <f>C311&amp;"テーブルのレコードを"&amp;R311&amp;"テーブルに格納する。"</f>
        <v>処理対象施設マスタ管理テーブルのレコードをバックアップ_処理対象施設マスタ管理テーブルに格納する。</v>
      </c>
      <c r="D309" s="135"/>
      <c r="E309" s="135"/>
      <c r="F309" s="135"/>
      <c r="G309" s="135"/>
      <c r="H309" s="135"/>
      <c r="I309" s="135"/>
      <c r="J309" s="135"/>
      <c r="K309" s="135"/>
      <c r="L309" s="135"/>
      <c r="M309" s="135"/>
      <c r="N309" s="135"/>
      <c r="O309" s="135"/>
      <c r="P309" s="135"/>
      <c r="Q309" s="135"/>
      <c r="R309" s="135"/>
      <c r="S309" s="135"/>
      <c r="T309" s="135"/>
      <c r="U309" s="136"/>
      <c r="W309" s="35" t="str">
        <f>"-- "&amp;C309</f>
        <v>-- 処理対象施設マスタ管理テーブルのレコードをバックアップ_処理対象施設マスタ管理テーブルに格納する。</v>
      </c>
    </row>
    <row r="311" spans="2:23" ht="18.75" customHeight="1">
      <c r="C311" s="137" t="s">
        <v>3535</v>
      </c>
      <c r="D311" s="138"/>
      <c r="E311" s="141" t="s">
        <v>162</v>
      </c>
      <c r="F311" s="36"/>
      <c r="G311" s="36"/>
      <c r="H311" s="36"/>
      <c r="I311" s="36"/>
      <c r="J311" s="36"/>
      <c r="K311" s="36"/>
      <c r="L311" s="36"/>
      <c r="M311" s="36"/>
      <c r="N311" s="36"/>
      <c r="O311" s="36"/>
      <c r="P311" s="36"/>
      <c r="Q311" s="36"/>
      <c r="R311" s="137" t="str">
        <f>"バックアップ_"&amp;SUBSTITUTE(C311,"_結合","")</f>
        <v>バックアップ_処理対象施設マスタ管理</v>
      </c>
      <c r="S311" s="138"/>
      <c r="T311" s="143" t="str">
        <f>エンティティ一覧!$O$2</f>
        <v>milscm_2023_010</v>
      </c>
    </row>
    <row r="312" spans="2:23" ht="18.75" customHeight="1">
      <c r="C312" s="139"/>
      <c r="D312" s="140"/>
      <c r="E312" s="142"/>
      <c r="F312" s="37"/>
      <c r="G312" s="37"/>
      <c r="H312" s="37"/>
      <c r="I312" s="37"/>
      <c r="J312" s="37"/>
      <c r="K312" s="37"/>
      <c r="L312" s="37"/>
      <c r="M312" s="37"/>
      <c r="N312" s="37"/>
      <c r="O312" s="37"/>
      <c r="P312" s="37"/>
      <c r="Q312" s="37"/>
      <c r="R312" s="139"/>
      <c r="S312" s="140"/>
      <c r="T312" s="144"/>
    </row>
    <row r="314" spans="2:23" ht="18.75" customHeight="1" thickBot="1">
      <c r="B314" s="42"/>
      <c r="C314" s="42"/>
      <c r="D314" s="42"/>
      <c r="E314" s="42"/>
      <c r="F314" s="42"/>
      <c r="G314" s="42"/>
      <c r="H314" s="42"/>
      <c r="I314" s="42"/>
      <c r="J314" s="42"/>
      <c r="K314" s="42"/>
      <c r="L314" s="42"/>
      <c r="M314" s="42"/>
      <c r="N314" s="42"/>
      <c r="O314" s="42"/>
      <c r="P314" s="42"/>
      <c r="Q314" s="42"/>
      <c r="R314" s="42"/>
      <c r="S314" s="42"/>
      <c r="T314" s="42"/>
      <c r="U314" s="42"/>
    </row>
    <row r="316" spans="2:23" ht="18.75" customHeight="1">
      <c r="B316" s="43" t="s">
        <v>163</v>
      </c>
      <c r="C316" s="51" t="s">
        <v>3536</v>
      </c>
      <c r="D316" s="88"/>
      <c r="W316" s="35" t="str">
        <f>"-- "&amp;B316&amp;" : "&amp;C316</f>
        <v>-- SQL_ID : 01_A3-18</v>
      </c>
    </row>
    <row r="317" spans="2:23" ht="18.75" customHeight="1">
      <c r="B317" s="43" t="s">
        <v>158</v>
      </c>
      <c r="C317" s="145" t="str">
        <f>R320&amp;"登録"</f>
        <v>バックアップ_医薬品マスタ登録</v>
      </c>
      <c r="D317" s="146"/>
      <c r="E317" s="146"/>
      <c r="F317" s="146"/>
      <c r="G317" s="146"/>
      <c r="H317" s="146"/>
      <c r="I317" s="146"/>
      <c r="J317" s="146"/>
      <c r="K317" s="146"/>
      <c r="L317" s="146"/>
      <c r="M317" s="146"/>
      <c r="N317" s="146"/>
      <c r="O317" s="146"/>
      <c r="P317" s="146"/>
      <c r="Q317" s="146"/>
      <c r="R317" s="146"/>
      <c r="S317" s="146"/>
      <c r="T317" s="146"/>
      <c r="U317" s="147"/>
      <c r="W317" s="35" t="str">
        <f>"-- "&amp;C317</f>
        <v>-- バックアップ_医薬品マスタ登録</v>
      </c>
    </row>
    <row r="318" spans="2:23" ht="18.75" customHeight="1">
      <c r="B318" s="43" t="s">
        <v>159</v>
      </c>
      <c r="C318" s="134" t="str">
        <f>C320&amp;"テーブルのレコードを"&amp;R320&amp;"テーブルに格納する。"</f>
        <v>医薬品マスタテーブルのレコードをバックアップ_医薬品マスタテーブルに格納する。</v>
      </c>
      <c r="D318" s="135"/>
      <c r="E318" s="135"/>
      <c r="F318" s="135"/>
      <c r="G318" s="135"/>
      <c r="H318" s="135"/>
      <c r="I318" s="135"/>
      <c r="J318" s="135"/>
      <c r="K318" s="135"/>
      <c r="L318" s="135"/>
      <c r="M318" s="135"/>
      <c r="N318" s="135"/>
      <c r="O318" s="135"/>
      <c r="P318" s="135"/>
      <c r="Q318" s="135"/>
      <c r="R318" s="135"/>
      <c r="S318" s="135"/>
      <c r="T318" s="135"/>
      <c r="U318" s="136"/>
      <c r="W318" s="35" t="str">
        <f>"-- "&amp;C318</f>
        <v>-- 医薬品マスタテーブルのレコードをバックアップ_医薬品マスタテーブルに格納する。</v>
      </c>
    </row>
    <row r="320" spans="2:23" ht="18.75" customHeight="1">
      <c r="C320" s="137" t="s">
        <v>3537</v>
      </c>
      <c r="D320" s="138"/>
      <c r="E320" s="141" t="s">
        <v>162</v>
      </c>
      <c r="F320" s="36"/>
      <c r="G320" s="36"/>
      <c r="H320" s="36"/>
      <c r="I320" s="36"/>
      <c r="J320" s="36"/>
      <c r="K320" s="36"/>
      <c r="L320" s="36"/>
      <c r="M320" s="36"/>
      <c r="N320" s="36"/>
      <c r="O320" s="36"/>
      <c r="P320" s="36"/>
      <c r="Q320" s="36"/>
      <c r="R320" s="137" t="str">
        <f>"バックアップ_"&amp;SUBSTITUTE(C320,"_結合","")</f>
        <v>バックアップ_医薬品マスタ</v>
      </c>
      <c r="S320" s="138"/>
      <c r="T320" s="143" t="str">
        <f>エンティティ一覧!$O$2</f>
        <v>milscm_2023_010</v>
      </c>
    </row>
    <row r="321" spans="2:23" ht="18.75" customHeight="1">
      <c r="C321" s="139"/>
      <c r="D321" s="140"/>
      <c r="E321" s="142"/>
      <c r="F321" s="37"/>
      <c r="G321" s="37"/>
      <c r="H321" s="37"/>
      <c r="I321" s="37"/>
      <c r="J321" s="37"/>
      <c r="K321" s="37"/>
      <c r="L321" s="37"/>
      <c r="M321" s="37"/>
      <c r="N321" s="37"/>
      <c r="O321" s="37"/>
      <c r="P321" s="37"/>
      <c r="Q321" s="37"/>
      <c r="R321" s="139"/>
      <c r="S321" s="140"/>
      <c r="T321" s="144"/>
    </row>
    <row r="323" spans="2:23" ht="18.75" customHeight="1" thickBot="1">
      <c r="B323" s="42"/>
      <c r="C323" s="42"/>
      <c r="D323" s="42"/>
      <c r="E323" s="42"/>
      <c r="F323" s="42"/>
      <c r="G323" s="42"/>
      <c r="H323" s="42"/>
      <c r="I323" s="42"/>
      <c r="J323" s="42"/>
      <c r="K323" s="42"/>
      <c r="L323" s="42"/>
      <c r="M323" s="42"/>
      <c r="N323" s="42"/>
      <c r="O323" s="42"/>
      <c r="P323" s="42"/>
      <c r="Q323" s="42"/>
      <c r="R323" s="42"/>
      <c r="S323" s="42"/>
      <c r="T323" s="42"/>
      <c r="U323" s="42"/>
    </row>
    <row r="325" spans="2:23" ht="18.75" customHeight="1">
      <c r="B325" s="43" t="s">
        <v>163</v>
      </c>
      <c r="C325" s="51" t="s">
        <v>3538</v>
      </c>
      <c r="D325" s="88"/>
      <c r="W325" s="35" t="str">
        <f>"-- "&amp;B325&amp;" : "&amp;C325</f>
        <v>-- SQL_ID : 01_A3-19</v>
      </c>
    </row>
    <row r="326" spans="2:23" ht="18.75" customHeight="1">
      <c r="B326" s="43" t="s">
        <v>158</v>
      </c>
      <c r="C326" s="145" t="str">
        <f>R329&amp;"登録"</f>
        <v>バックアップ_医薬品ブランドマスタ登録</v>
      </c>
      <c r="D326" s="146"/>
      <c r="E326" s="146"/>
      <c r="F326" s="146"/>
      <c r="G326" s="146"/>
      <c r="H326" s="146"/>
      <c r="I326" s="146"/>
      <c r="J326" s="146"/>
      <c r="K326" s="146"/>
      <c r="L326" s="146"/>
      <c r="M326" s="146"/>
      <c r="N326" s="146"/>
      <c r="O326" s="146"/>
      <c r="P326" s="146"/>
      <c r="Q326" s="146"/>
      <c r="R326" s="146"/>
      <c r="S326" s="146"/>
      <c r="T326" s="146"/>
      <c r="U326" s="147"/>
      <c r="W326" s="35" t="str">
        <f>"-- "&amp;C326</f>
        <v>-- バックアップ_医薬品ブランドマスタ登録</v>
      </c>
    </row>
    <row r="327" spans="2:23" ht="18.75" customHeight="1">
      <c r="B327" s="43" t="s">
        <v>159</v>
      </c>
      <c r="C327" s="134" t="str">
        <f>C329&amp;"テーブルのレコードを"&amp;R329&amp;"テーブルに格納する。"</f>
        <v>医薬品ブランドマスタテーブルのレコードをバックアップ_医薬品ブランドマスタテーブルに格納する。</v>
      </c>
      <c r="D327" s="135"/>
      <c r="E327" s="135"/>
      <c r="F327" s="135"/>
      <c r="G327" s="135"/>
      <c r="H327" s="135"/>
      <c r="I327" s="135"/>
      <c r="J327" s="135"/>
      <c r="K327" s="135"/>
      <c r="L327" s="135"/>
      <c r="M327" s="135"/>
      <c r="N327" s="135"/>
      <c r="O327" s="135"/>
      <c r="P327" s="135"/>
      <c r="Q327" s="135"/>
      <c r="R327" s="135"/>
      <c r="S327" s="135"/>
      <c r="T327" s="135"/>
      <c r="U327" s="136"/>
      <c r="W327" s="35" t="str">
        <f>"-- "&amp;C327</f>
        <v>-- 医薬品ブランドマスタテーブルのレコードをバックアップ_医薬品ブランドマスタテーブルに格納する。</v>
      </c>
    </row>
    <row r="329" spans="2:23" ht="18.75" customHeight="1">
      <c r="C329" s="137" t="s">
        <v>3539</v>
      </c>
      <c r="D329" s="138"/>
      <c r="E329" s="141" t="s">
        <v>162</v>
      </c>
      <c r="F329" s="36"/>
      <c r="G329" s="36"/>
      <c r="H329" s="36"/>
      <c r="I329" s="36"/>
      <c r="J329" s="36"/>
      <c r="K329" s="36"/>
      <c r="L329" s="36"/>
      <c r="M329" s="36"/>
      <c r="N329" s="36"/>
      <c r="O329" s="36"/>
      <c r="P329" s="36"/>
      <c r="Q329" s="36"/>
      <c r="R329" s="137" t="str">
        <f>"バックアップ_"&amp;SUBSTITUTE(C329,"_結合","")</f>
        <v>バックアップ_医薬品ブランドマスタ</v>
      </c>
      <c r="S329" s="138"/>
      <c r="T329" s="143" t="str">
        <f>エンティティ一覧!$O$2</f>
        <v>milscm_2023_010</v>
      </c>
    </row>
    <row r="330" spans="2:23" ht="18.75" customHeight="1">
      <c r="C330" s="139"/>
      <c r="D330" s="140"/>
      <c r="E330" s="142"/>
      <c r="F330" s="37"/>
      <c r="G330" s="37"/>
      <c r="H330" s="37"/>
      <c r="I330" s="37"/>
      <c r="J330" s="37"/>
      <c r="K330" s="37"/>
      <c r="L330" s="37"/>
      <c r="M330" s="37"/>
      <c r="N330" s="37"/>
      <c r="O330" s="37"/>
      <c r="P330" s="37"/>
      <c r="Q330" s="37"/>
      <c r="R330" s="139"/>
      <c r="S330" s="140"/>
      <c r="T330" s="144"/>
    </row>
    <row r="332" spans="2:23" ht="18.75" customHeight="1" thickBot="1">
      <c r="B332" s="42"/>
      <c r="C332" s="42"/>
      <c r="D332" s="42"/>
      <c r="E332" s="42"/>
      <c r="F332" s="42"/>
      <c r="G332" s="42"/>
      <c r="H332" s="42"/>
      <c r="I332" s="42"/>
      <c r="J332" s="42"/>
      <c r="K332" s="42"/>
      <c r="L332" s="42"/>
      <c r="M332" s="42"/>
      <c r="N332" s="42"/>
      <c r="O332" s="42"/>
      <c r="P332" s="42"/>
      <c r="Q332" s="42"/>
      <c r="R332" s="42"/>
      <c r="S332" s="42"/>
      <c r="T332" s="42"/>
      <c r="U332" s="42"/>
    </row>
    <row r="334" spans="2:23" ht="18.75" customHeight="1">
      <c r="B334" s="43" t="s">
        <v>163</v>
      </c>
      <c r="C334" s="51" t="s">
        <v>3540</v>
      </c>
      <c r="D334" s="88"/>
      <c r="W334" s="35" t="str">
        <f>"-- "&amp;B334&amp;" : "&amp;C334</f>
        <v>-- SQL_ID : 01_A3-20</v>
      </c>
    </row>
    <row r="335" spans="2:23" ht="18.75" customHeight="1">
      <c r="B335" s="43" t="s">
        <v>158</v>
      </c>
      <c r="C335" s="145" t="str">
        <f>R338&amp;"登録"</f>
        <v>バックアップ_医薬品一般名マスタ登録</v>
      </c>
      <c r="D335" s="146"/>
      <c r="E335" s="146"/>
      <c r="F335" s="146"/>
      <c r="G335" s="146"/>
      <c r="H335" s="146"/>
      <c r="I335" s="146"/>
      <c r="J335" s="146"/>
      <c r="K335" s="146"/>
      <c r="L335" s="146"/>
      <c r="M335" s="146"/>
      <c r="N335" s="146"/>
      <c r="O335" s="146"/>
      <c r="P335" s="146"/>
      <c r="Q335" s="146"/>
      <c r="R335" s="146"/>
      <c r="S335" s="146"/>
      <c r="T335" s="146"/>
      <c r="U335" s="147"/>
      <c r="W335" s="35" t="str">
        <f>"-- "&amp;C335</f>
        <v>-- バックアップ_医薬品一般名マスタ登録</v>
      </c>
    </row>
    <row r="336" spans="2:23" ht="18.75" customHeight="1">
      <c r="B336" s="43" t="s">
        <v>159</v>
      </c>
      <c r="C336" s="134" t="str">
        <f>C338&amp;"テーブルのレコードを"&amp;R338&amp;"テーブルに格納する。"</f>
        <v>医薬品一般名マスタテーブルのレコードをバックアップ_医薬品一般名マスタテーブルに格納する。</v>
      </c>
      <c r="D336" s="135"/>
      <c r="E336" s="135"/>
      <c r="F336" s="135"/>
      <c r="G336" s="135"/>
      <c r="H336" s="135"/>
      <c r="I336" s="135"/>
      <c r="J336" s="135"/>
      <c r="K336" s="135"/>
      <c r="L336" s="135"/>
      <c r="M336" s="135"/>
      <c r="N336" s="135"/>
      <c r="O336" s="135"/>
      <c r="P336" s="135"/>
      <c r="Q336" s="135"/>
      <c r="R336" s="135"/>
      <c r="S336" s="135"/>
      <c r="T336" s="135"/>
      <c r="U336" s="136"/>
      <c r="W336" s="35" t="str">
        <f>"-- "&amp;C336</f>
        <v>-- 医薬品一般名マスタテーブルのレコードをバックアップ_医薬品一般名マスタテーブルに格納する。</v>
      </c>
    </row>
    <row r="338" spans="2:23" ht="18.75" customHeight="1">
      <c r="C338" s="137" t="s">
        <v>3541</v>
      </c>
      <c r="D338" s="138"/>
      <c r="E338" s="141" t="s">
        <v>162</v>
      </c>
      <c r="F338" s="36"/>
      <c r="G338" s="36"/>
      <c r="H338" s="36"/>
      <c r="I338" s="36"/>
      <c r="J338" s="36"/>
      <c r="K338" s="36"/>
      <c r="L338" s="36"/>
      <c r="M338" s="36"/>
      <c r="N338" s="36"/>
      <c r="O338" s="36"/>
      <c r="P338" s="36"/>
      <c r="Q338" s="36"/>
      <c r="R338" s="137" t="str">
        <f>"バックアップ_"&amp;SUBSTITUTE(C338,"_結合","")</f>
        <v>バックアップ_医薬品一般名マスタ</v>
      </c>
      <c r="S338" s="138"/>
      <c r="T338" s="143" t="str">
        <f>エンティティ一覧!$O$2</f>
        <v>milscm_2023_010</v>
      </c>
    </row>
    <row r="339" spans="2:23" ht="18.75" customHeight="1">
      <c r="C339" s="139"/>
      <c r="D339" s="140"/>
      <c r="E339" s="142"/>
      <c r="F339" s="37"/>
      <c r="G339" s="37"/>
      <c r="H339" s="37"/>
      <c r="I339" s="37"/>
      <c r="J339" s="37"/>
      <c r="K339" s="37"/>
      <c r="L339" s="37"/>
      <c r="M339" s="37"/>
      <c r="N339" s="37"/>
      <c r="O339" s="37"/>
      <c r="P339" s="37"/>
      <c r="Q339" s="37"/>
      <c r="R339" s="139"/>
      <c r="S339" s="140"/>
      <c r="T339" s="144"/>
    </row>
    <row r="341" spans="2:23" ht="18.75" customHeight="1" thickBot="1">
      <c r="B341" s="42"/>
      <c r="C341" s="42"/>
      <c r="D341" s="42"/>
      <c r="E341" s="42"/>
      <c r="F341" s="42"/>
      <c r="G341" s="42"/>
      <c r="H341" s="42"/>
      <c r="I341" s="42"/>
      <c r="J341" s="42"/>
      <c r="K341" s="42"/>
      <c r="L341" s="42"/>
      <c r="M341" s="42"/>
      <c r="N341" s="42"/>
      <c r="O341" s="42"/>
      <c r="P341" s="42"/>
      <c r="Q341" s="42"/>
      <c r="R341" s="42"/>
      <c r="S341" s="42"/>
      <c r="T341" s="42"/>
      <c r="U341" s="42"/>
    </row>
    <row r="343" spans="2:23" ht="18.75" customHeight="1">
      <c r="B343" s="43" t="s">
        <v>163</v>
      </c>
      <c r="C343" s="51" t="s">
        <v>3542</v>
      </c>
      <c r="D343" s="88"/>
      <c r="W343" s="35" t="str">
        <f>"-- "&amp;B343&amp;" : "&amp;C343</f>
        <v>-- SQL_ID : 01_A3-21</v>
      </c>
    </row>
    <row r="344" spans="2:23" ht="18.75" customHeight="1">
      <c r="B344" s="43" t="s">
        <v>158</v>
      </c>
      <c r="C344" s="145" t="str">
        <f>R347&amp;"登録"</f>
        <v>バックアップ_医薬品販売会社マスタ登録</v>
      </c>
      <c r="D344" s="146"/>
      <c r="E344" s="146"/>
      <c r="F344" s="146"/>
      <c r="G344" s="146"/>
      <c r="H344" s="146"/>
      <c r="I344" s="146"/>
      <c r="J344" s="146"/>
      <c r="K344" s="146"/>
      <c r="L344" s="146"/>
      <c r="M344" s="146"/>
      <c r="N344" s="146"/>
      <c r="O344" s="146"/>
      <c r="P344" s="146"/>
      <c r="Q344" s="146"/>
      <c r="R344" s="146"/>
      <c r="S344" s="146"/>
      <c r="T344" s="146"/>
      <c r="U344" s="147"/>
      <c r="W344" s="35" t="str">
        <f>"-- "&amp;C344</f>
        <v>-- バックアップ_医薬品販売会社マスタ登録</v>
      </c>
    </row>
    <row r="345" spans="2:23" ht="18.75" customHeight="1">
      <c r="B345" s="43" t="s">
        <v>159</v>
      </c>
      <c r="C345" s="134" t="str">
        <f>C347&amp;"テーブルのレコードを"&amp;R347&amp;"テーブルに格納する。"</f>
        <v>医薬品販売会社マスタテーブルのレコードをバックアップ_医薬品販売会社マスタテーブルに格納する。</v>
      </c>
      <c r="D345" s="135"/>
      <c r="E345" s="135"/>
      <c r="F345" s="135"/>
      <c r="G345" s="135"/>
      <c r="H345" s="135"/>
      <c r="I345" s="135"/>
      <c r="J345" s="135"/>
      <c r="K345" s="135"/>
      <c r="L345" s="135"/>
      <c r="M345" s="135"/>
      <c r="N345" s="135"/>
      <c r="O345" s="135"/>
      <c r="P345" s="135"/>
      <c r="Q345" s="135"/>
      <c r="R345" s="135"/>
      <c r="S345" s="135"/>
      <c r="T345" s="135"/>
      <c r="U345" s="136"/>
      <c r="W345" s="35" t="str">
        <f>"-- "&amp;C345</f>
        <v>-- 医薬品販売会社マスタテーブルのレコードをバックアップ_医薬品販売会社マスタテーブルに格納する。</v>
      </c>
    </row>
    <row r="347" spans="2:23" ht="18.75" customHeight="1">
      <c r="C347" s="137" t="s">
        <v>3543</v>
      </c>
      <c r="D347" s="138"/>
      <c r="E347" s="141" t="s">
        <v>162</v>
      </c>
      <c r="F347" s="36"/>
      <c r="G347" s="36"/>
      <c r="H347" s="36"/>
      <c r="I347" s="36"/>
      <c r="J347" s="36"/>
      <c r="K347" s="36"/>
      <c r="L347" s="36"/>
      <c r="M347" s="36"/>
      <c r="N347" s="36"/>
      <c r="O347" s="36"/>
      <c r="P347" s="36"/>
      <c r="Q347" s="36"/>
      <c r="R347" s="137" t="str">
        <f>"バックアップ_"&amp;SUBSTITUTE(C347,"_結合","")</f>
        <v>バックアップ_医薬品販売会社マスタ</v>
      </c>
      <c r="S347" s="138"/>
      <c r="T347" s="143" t="str">
        <f>エンティティ一覧!$O$2</f>
        <v>milscm_2023_010</v>
      </c>
    </row>
    <row r="348" spans="2:23" ht="18.75" customHeight="1">
      <c r="C348" s="139"/>
      <c r="D348" s="140"/>
      <c r="E348" s="142"/>
      <c r="F348" s="37"/>
      <c r="G348" s="37"/>
      <c r="H348" s="37"/>
      <c r="I348" s="37"/>
      <c r="J348" s="37"/>
      <c r="K348" s="37"/>
      <c r="L348" s="37"/>
      <c r="M348" s="37"/>
      <c r="N348" s="37"/>
      <c r="O348" s="37"/>
      <c r="P348" s="37"/>
      <c r="Q348" s="37"/>
      <c r="R348" s="139"/>
      <c r="S348" s="140"/>
      <c r="T348" s="144"/>
    </row>
    <row r="350" spans="2:23" ht="18.75" customHeight="1" thickBot="1">
      <c r="B350" s="42"/>
      <c r="C350" s="42"/>
      <c r="D350" s="42"/>
      <c r="E350" s="42"/>
      <c r="F350" s="42"/>
      <c r="G350" s="42"/>
      <c r="H350" s="42"/>
      <c r="I350" s="42"/>
      <c r="J350" s="42"/>
      <c r="K350" s="42"/>
      <c r="L350" s="42"/>
      <c r="M350" s="42"/>
      <c r="N350" s="42"/>
      <c r="O350" s="42"/>
      <c r="P350" s="42"/>
      <c r="Q350" s="42"/>
      <c r="R350" s="42"/>
      <c r="S350" s="42"/>
      <c r="T350" s="42"/>
      <c r="U350" s="42"/>
    </row>
    <row r="352" spans="2:23" ht="18.75" customHeight="1">
      <c r="B352" s="43" t="s">
        <v>163</v>
      </c>
      <c r="C352" s="51" t="s">
        <v>3544</v>
      </c>
      <c r="D352" s="88"/>
      <c r="W352" s="35" t="str">
        <f>"-- "&amp;B352&amp;" : "&amp;C352</f>
        <v>-- SQL_ID : 01_A3-22</v>
      </c>
    </row>
    <row r="353" spans="2:23" ht="18.75" customHeight="1">
      <c r="B353" s="43" t="s">
        <v>158</v>
      </c>
      <c r="C353" s="145" t="str">
        <f>R356&amp;"登録"</f>
        <v>バックアップ_メーカマスタ登録</v>
      </c>
      <c r="D353" s="146"/>
      <c r="E353" s="146"/>
      <c r="F353" s="146"/>
      <c r="G353" s="146"/>
      <c r="H353" s="146"/>
      <c r="I353" s="146"/>
      <c r="J353" s="146"/>
      <c r="K353" s="146"/>
      <c r="L353" s="146"/>
      <c r="M353" s="146"/>
      <c r="N353" s="146"/>
      <c r="O353" s="146"/>
      <c r="P353" s="146"/>
      <c r="Q353" s="146"/>
      <c r="R353" s="146"/>
      <c r="S353" s="146"/>
      <c r="T353" s="146"/>
      <c r="U353" s="147"/>
      <c r="W353" s="35" t="str">
        <f>"-- "&amp;C353</f>
        <v>-- バックアップ_メーカマスタ登録</v>
      </c>
    </row>
    <row r="354" spans="2:23" ht="18.75" customHeight="1">
      <c r="B354" s="43" t="s">
        <v>159</v>
      </c>
      <c r="C354" s="134" t="str">
        <f>C356&amp;"テーブルのレコードを"&amp;R356&amp;"テーブルに格納する。"</f>
        <v>メーカマスタテーブルのレコードをバックアップ_メーカマスタテーブルに格納する。</v>
      </c>
      <c r="D354" s="135"/>
      <c r="E354" s="135"/>
      <c r="F354" s="135"/>
      <c r="G354" s="135"/>
      <c r="H354" s="135"/>
      <c r="I354" s="135"/>
      <c r="J354" s="135"/>
      <c r="K354" s="135"/>
      <c r="L354" s="135"/>
      <c r="M354" s="135"/>
      <c r="N354" s="135"/>
      <c r="O354" s="135"/>
      <c r="P354" s="135"/>
      <c r="Q354" s="135"/>
      <c r="R354" s="135"/>
      <c r="S354" s="135"/>
      <c r="T354" s="135"/>
      <c r="U354" s="136"/>
      <c r="W354" s="35" t="str">
        <f>"-- "&amp;C354</f>
        <v>-- メーカマスタテーブルのレコードをバックアップ_メーカマスタテーブルに格納する。</v>
      </c>
    </row>
    <row r="356" spans="2:23" ht="18.75" customHeight="1">
      <c r="C356" s="137" t="s">
        <v>3545</v>
      </c>
      <c r="D356" s="138"/>
      <c r="E356" s="141" t="s">
        <v>162</v>
      </c>
      <c r="F356" s="36"/>
      <c r="G356" s="36"/>
      <c r="H356" s="36"/>
      <c r="I356" s="36"/>
      <c r="J356" s="36"/>
      <c r="K356" s="36"/>
      <c r="L356" s="36"/>
      <c r="M356" s="36"/>
      <c r="N356" s="36"/>
      <c r="O356" s="36"/>
      <c r="P356" s="36"/>
      <c r="Q356" s="36"/>
      <c r="R356" s="137" t="str">
        <f>"バックアップ_"&amp;SUBSTITUTE(C356,"_結合","")</f>
        <v>バックアップ_メーカマスタ</v>
      </c>
      <c r="S356" s="138"/>
      <c r="T356" s="143" t="str">
        <f>エンティティ一覧!$O$2</f>
        <v>milscm_2023_010</v>
      </c>
    </row>
    <row r="357" spans="2:23" ht="18.75" customHeight="1">
      <c r="C357" s="139"/>
      <c r="D357" s="140"/>
      <c r="E357" s="142"/>
      <c r="F357" s="37"/>
      <c r="G357" s="37"/>
      <c r="H357" s="37"/>
      <c r="I357" s="37"/>
      <c r="J357" s="37"/>
      <c r="K357" s="37"/>
      <c r="L357" s="37"/>
      <c r="M357" s="37"/>
      <c r="N357" s="37"/>
      <c r="O357" s="37"/>
      <c r="P357" s="37"/>
      <c r="Q357" s="37"/>
      <c r="R357" s="139"/>
      <c r="S357" s="140"/>
      <c r="T357" s="144"/>
    </row>
    <row r="359" spans="2:23" ht="18.75" customHeight="1" thickBot="1">
      <c r="B359" s="42"/>
      <c r="C359" s="42"/>
      <c r="D359" s="42"/>
      <c r="E359" s="42"/>
      <c r="F359" s="42"/>
      <c r="G359" s="42"/>
      <c r="H359" s="42"/>
      <c r="I359" s="42"/>
      <c r="J359" s="42"/>
      <c r="K359" s="42"/>
      <c r="L359" s="42"/>
      <c r="M359" s="42"/>
      <c r="N359" s="42"/>
      <c r="O359" s="42"/>
      <c r="P359" s="42"/>
      <c r="Q359" s="42"/>
      <c r="R359" s="42"/>
      <c r="S359" s="42"/>
      <c r="T359" s="42"/>
      <c r="U359" s="42"/>
    </row>
    <row r="361" spans="2:23" ht="18.75" customHeight="1">
      <c r="B361" s="43" t="s">
        <v>163</v>
      </c>
      <c r="C361" s="51" t="s">
        <v>3546</v>
      </c>
      <c r="D361" s="88"/>
      <c r="W361" s="35" t="str">
        <f>"-- "&amp;B361&amp;" : "&amp;C361</f>
        <v>-- SQL_ID : 01_A3-23</v>
      </c>
    </row>
    <row r="362" spans="2:23" ht="18.75" customHeight="1">
      <c r="B362" s="43" t="s">
        <v>158</v>
      </c>
      <c r="C362" s="145" t="str">
        <f>R365&amp;"登録"</f>
        <v>バックアップ_薬価マスタ登録</v>
      </c>
      <c r="D362" s="146"/>
      <c r="E362" s="146"/>
      <c r="F362" s="146"/>
      <c r="G362" s="146"/>
      <c r="H362" s="146"/>
      <c r="I362" s="146"/>
      <c r="J362" s="146"/>
      <c r="K362" s="146"/>
      <c r="L362" s="146"/>
      <c r="M362" s="146"/>
      <c r="N362" s="146"/>
      <c r="O362" s="146"/>
      <c r="P362" s="146"/>
      <c r="Q362" s="146"/>
      <c r="R362" s="146"/>
      <c r="S362" s="146"/>
      <c r="T362" s="146"/>
      <c r="U362" s="147"/>
      <c r="W362" s="35" t="str">
        <f>"-- "&amp;C362</f>
        <v>-- バックアップ_薬価マスタ登録</v>
      </c>
    </row>
    <row r="363" spans="2:23" ht="18.75" customHeight="1">
      <c r="B363" s="43" t="s">
        <v>159</v>
      </c>
      <c r="C363" s="134" t="str">
        <f>C365&amp;"テーブルのレコードを"&amp;R365&amp;"テーブルに格納する。"</f>
        <v>薬価マスタテーブルのレコードをバックアップ_薬価マスタテーブルに格納する。</v>
      </c>
      <c r="D363" s="135"/>
      <c r="E363" s="135"/>
      <c r="F363" s="135"/>
      <c r="G363" s="135"/>
      <c r="H363" s="135"/>
      <c r="I363" s="135"/>
      <c r="J363" s="135"/>
      <c r="K363" s="135"/>
      <c r="L363" s="135"/>
      <c r="M363" s="135"/>
      <c r="N363" s="135"/>
      <c r="O363" s="135"/>
      <c r="P363" s="135"/>
      <c r="Q363" s="135"/>
      <c r="R363" s="135"/>
      <c r="S363" s="135"/>
      <c r="T363" s="135"/>
      <c r="U363" s="136"/>
      <c r="W363" s="35" t="str">
        <f>"-- "&amp;C363</f>
        <v>-- 薬価マスタテーブルのレコードをバックアップ_薬価マスタテーブルに格納する。</v>
      </c>
    </row>
    <row r="365" spans="2:23" ht="18.75" customHeight="1">
      <c r="C365" s="137" t="s">
        <v>3547</v>
      </c>
      <c r="D365" s="138"/>
      <c r="E365" s="141" t="s">
        <v>162</v>
      </c>
      <c r="F365" s="36"/>
      <c r="G365" s="36"/>
      <c r="H365" s="36"/>
      <c r="I365" s="36"/>
      <c r="J365" s="36"/>
      <c r="K365" s="36"/>
      <c r="L365" s="36"/>
      <c r="M365" s="36"/>
      <c r="N365" s="36"/>
      <c r="O365" s="36"/>
      <c r="P365" s="36"/>
      <c r="Q365" s="36"/>
      <c r="R365" s="137" t="str">
        <f>"バックアップ_"&amp;SUBSTITUTE(C365,"_結合","")</f>
        <v>バックアップ_薬価マスタ</v>
      </c>
      <c r="S365" s="138"/>
      <c r="T365" s="143" t="str">
        <f>エンティティ一覧!$O$2</f>
        <v>milscm_2023_010</v>
      </c>
    </row>
    <row r="366" spans="2:23" ht="18.75" customHeight="1">
      <c r="C366" s="139"/>
      <c r="D366" s="140"/>
      <c r="E366" s="142"/>
      <c r="F366" s="37"/>
      <c r="G366" s="37"/>
      <c r="H366" s="37"/>
      <c r="I366" s="37"/>
      <c r="J366" s="37"/>
      <c r="K366" s="37"/>
      <c r="L366" s="37"/>
      <c r="M366" s="37"/>
      <c r="N366" s="37"/>
      <c r="O366" s="37"/>
      <c r="P366" s="37"/>
      <c r="Q366" s="37"/>
      <c r="R366" s="139"/>
      <c r="S366" s="140"/>
      <c r="T366" s="144"/>
    </row>
    <row r="368" spans="2:23" ht="18.75" customHeight="1" thickBot="1">
      <c r="B368" s="42"/>
      <c r="C368" s="42"/>
      <c r="D368" s="42"/>
      <c r="E368" s="42"/>
      <c r="F368" s="42"/>
      <c r="G368" s="42"/>
      <c r="H368" s="42"/>
      <c r="I368" s="42"/>
      <c r="J368" s="42"/>
      <c r="K368" s="42"/>
      <c r="L368" s="42"/>
      <c r="M368" s="42"/>
      <c r="N368" s="42"/>
      <c r="O368" s="42"/>
      <c r="P368" s="42"/>
      <c r="Q368" s="42"/>
      <c r="R368" s="42"/>
      <c r="S368" s="42"/>
      <c r="T368" s="42"/>
      <c r="U368" s="42"/>
    </row>
    <row r="370" spans="2:23" ht="18.75" customHeight="1">
      <c r="B370" s="43" t="s">
        <v>163</v>
      </c>
      <c r="C370" s="51" t="s">
        <v>3548</v>
      </c>
      <c r="D370" s="88"/>
      <c r="W370" s="35" t="str">
        <f>"-- "&amp;B370&amp;" : "&amp;C370</f>
        <v>-- SQL_ID : 01_A3-24</v>
      </c>
    </row>
    <row r="371" spans="2:23" ht="18.75" customHeight="1">
      <c r="B371" s="43" t="s">
        <v>158</v>
      </c>
      <c r="C371" s="145" t="str">
        <f>R374&amp;"登録"</f>
        <v>バックアップ_薬効ATC分類1マスタ登録</v>
      </c>
      <c r="D371" s="146"/>
      <c r="E371" s="146"/>
      <c r="F371" s="146"/>
      <c r="G371" s="146"/>
      <c r="H371" s="146"/>
      <c r="I371" s="146"/>
      <c r="J371" s="146"/>
      <c r="K371" s="146"/>
      <c r="L371" s="146"/>
      <c r="M371" s="146"/>
      <c r="N371" s="146"/>
      <c r="O371" s="146"/>
      <c r="P371" s="146"/>
      <c r="Q371" s="146"/>
      <c r="R371" s="146"/>
      <c r="S371" s="146"/>
      <c r="T371" s="146"/>
      <c r="U371" s="147"/>
      <c r="W371" s="35" t="str">
        <f>"-- "&amp;C371</f>
        <v>-- バックアップ_薬効ATC分類1マスタ登録</v>
      </c>
    </row>
    <row r="372" spans="2:23" ht="18.75" customHeight="1">
      <c r="B372" s="43" t="s">
        <v>159</v>
      </c>
      <c r="C372" s="134" t="str">
        <f>C374&amp;"テーブルのレコードを"&amp;R374&amp;"テーブルに格納する。"</f>
        <v>薬効ATC分類1マスタテーブルのレコードをバックアップ_薬効ATC分類1マスタテーブルに格納する。</v>
      </c>
      <c r="D372" s="135"/>
      <c r="E372" s="135"/>
      <c r="F372" s="135"/>
      <c r="G372" s="135"/>
      <c r="H372" s="135"/>
      <c r="I372" s="135"/>
      <c r="J372" s="135"/>
      <c r="K372" s="135"/>
      <c r="L372" s="135"/>
      <c r="M372" s="135"/>
      <c r="N372" s="135"/>
      <c r="O372" s="135"/>
      <c r="P372" s="135"/>
      <c r="Q372" s="135"/>
      <c r="R372" s="135"/>
      <c r="S372" s="135"/>
      <c r="T372" s="135"/>
      <c r="U372" s="136"/>
      <c r="W372" s="35" t="str">
        <f>"-- "&amp;C372</f>
        <v>-- 薬効ATC分類1マスタテーブルのレコードをバックアップ_薬効ATC分類1マスタテーブルに格納する。</v>
      </c>
    </row>
    <row r="374" spans="2:23" ht="18.75" customHeight="1">
      <c r="C374" s="137" t="s">
        <v>3549</v>
      </c>
      <c r="D374" s="138"/>
      <c r="E374" s="141" t="s">
        <v>162</v>
      </c>
      <c r="F374" s="36"/>
      <c r="G374" s="36"/>
      <c r="H374" s="36"/>
      <c r="I374" s="36"/>
      <c r="J374" s="36"/>
      <c r="K374" s="36"/>
      <c r="L374" s="36"/>
      <c r="M374" s="36"/>
      <c r="N374" s="36"/>
      <c r="O374" s="36"/>
      <c r="P374" s="36"/>
      <c r="Q374" s="36"/>
      <c r="R374" s="137" t="str">
        <f>"バックアップ_"&amp;SUBSTITUTE(C374,"_結合","")</f>
        <v>バックアップ_薬効ATC分類1マスタ</v>
      </c>
      <c r="S374" s="138"/>
      <c r="T374" s="143" t="str">
        <f>エンティティ一覧!$O$2</f>
        <v>milscm_2023_010</v>
      </c>
    </row>
    <row r="375" spans="2:23" ht="18.75" customHeight="1">
      <c r="C375" s="139"/>
      <c r="D375" s="140"/>
      <c r="E375" s="142"/>
      <c r="F375" s="37"/>
      <c r="G375" s="37"/>
      <c r="H375" s="37"/>
      <c r="I375" s="37"/>
      <c r="J375" s="37"/>
      <c r="K375" s="37"/>
      <c r="L375" s="37"/>
      <c r="M375" s="37"/>
      <c r="N375" s="37"/>
      <c r="O375" s="37"/>
      <c r="P375" s="37"/>
      <c r="Q375" s="37"/>
      <c r="R375" s="139"/>
      <c r="S375" s="140"/>
      <c r="T375" s="144"/>
    </row>
    <row r="377" spans="2:23" ht="18.75" customHeight="1" thickBot="1">
      <c r="B377" s="42"/>
      <c r="C377" s="42"/>
      <c r="D377" s="42"/>
      <c r="E377" s="42"/>
      <c r="F377" s="42"/>
      <c r="G377" s="42"/>
      <c r="H377" s="42"/>
      <c r="I377" s="42"/>
      <c r="J377" s="42"/>
      <c r="K377" s="42"/>
      <c r="L377" s="42"/>
      <c r="M377" s="42"/>
      <c r="N377" s="42"/>
      <c r="O377" s="42"/>
      <c r="P377" s="42"/>
      <c r="Q377" s="42"/>
      <c r="R377" s="42"/>
      <c r="S377" s="42"/>
      <c r="T377" s="42"/>
      <c r="U377" s="42"/>
    </row>
    <row r="379" spans="2:23" ht="18.75" customHeight="1">
      <c r="B379" s="43" t="s">
        <v>163</v>
      </c>
      <c r="C379" s="51" t="s">
        <v>3550</v>
      </c>
      <c r="D379" s="88"/>
      <c r="W379" s="35" t="str">
        <f>"-- "&amp;B379&amp;" : "&amp;C379</f>
        <v>-- SQL_ID : 01_A3-25</v>
      </c>
    </row>
    <row r="380" spans="2:23" ht="18.75" customHeight="1">
      <c r="B380" s="43" t="s">
        <v>158</v>
      </c>
      <c r="C380" s="145" t="str">
        <f>R383&amp;"登録"</f>
        <v>バックアップ_薬効ATC分類2マスタ登録</v>
      </c>
      <c r="D380" s="146"/>
      <c r="E380" s="146"/>
      <c r="F380" s="146"/>
      <c r="G380" s="146"/>
      <c r="H380" s="146"/>
      <c r="I380" s="146"/>
      <c r="J380" s="146"/>
      <c r="K380" s="146"/>
      <c r="L380" s="146"/>
      <c r="M380" s="146"/>
      <c r="N380" s="146"/>
      <c r="O380" s="146"/>
      <c r="P380" s="146"/>
      <c r="Q380" s="146"/>
      <c r="R380" s="146"/>
      <c r="S380" s="146"/>
      <c r="T380" s="146"/>
      <c r="U380" s="147"/>
      <c r="W380" s="35" t="str">
        <f>"-- "&amp;C380</f>
        <v>-- バックアップ_薬効ATC分類2マスタ登録</v>
      </c>
    </row>
    <row r="381" spans="2:23" ht="18.75" customHeight="1">
      <c r="B381" s="43" t="s">
        <v>159</v>
      </c>
      <c r="C381" s="134" t="str">
        <f>C383&amp;"テーブルのレコードを"&amp;R383&amp;"テーブルに格納する。"</f>
        <v>薬効ATC分類2マスタテーブルのレコードをバックアップ_薬効ATC分類2マスタテーブルに格納する。</v>
      </c>
      <c r="D381" s="135"/>
      <c r="E381" s="135"/>
      <c r="F381" s="135"/>
      <c r="G381" s="135"/>
      <c r="H381" s="135"/>
      <c r="I381" s="135"/>
      <c r="J381" s="135"/>
      <c r="K381" s="135"/>
      <c r="L381" s="135"/>
      <c r="M381" s="135"/>
      <c r="N381" s="135"/>
      <c r="O381" s="135"/>
      <c r="P381" s="135"/>
      <c r="Q381" s="135"/>
      <c r="R381" s="135"/>
      <c r="S381" s="135"/>
      <c r="T381" s="135"/>
      <c r="U381" s="136"/>
      <c r="W381" s="35" t="str">
        <f>"-- "&amp;C381</f>
        <v>-- 薬効ATC分類2マスタテーブルのレコードをバックアップ_薬効ATC分類2マスタテーブルに格納する。</v>
      </c>
    </row>
    <row r="383" spans="2:23" ht="18.75" customHeight="1">
      <c r="C383" s="137" t="s">
        <v>3551</v>
      </c>
      <c r="D383" s="138"/>
      <c r="E383" s="141" t="s">
        <v>162</v>
      </c>
      <c r="F383" s="36"/>
      <c r="G383" s="36"/>
      <c r="H383" s="36"/>
      <c r="I383" s="36"/>
      <c r="J383" s="36"/>
      <c r="K383" s="36"/>
      <c r="L383" s="36"/>
      <c r="M383" s="36"/>
      <c r="N383" s="36"/>
      <c r="O383" s="36"/>
      <c r="P383" s="36"/>
      <c r="Q383" s="36"/>
      <c r="R383" s="137" t="str">
        <f>"バックアップ_"&amp;SUBSTITUTE(C383,"_結合","")</f>
        <v>バックアップ_薬効ATC分類2マスタ</v>
      </c>
      <c r="S383" s="138"/>
      <c r="T383" s="143" t="str">
        <f>エンティティ一覧!$O$2</f>
        <v>milscm_2023_010</v>
      </c>
    </row>
    <row r="384" spans="2:23" ht="18.75" customHeight="1">
      <c r="C384" s="139"/>
      <c r="D384" s="140"/>
      <c r="E384" s="142"/>
      <c r="F384" s="37"/>
      <c r="G384" s="37"/>
      <c r="H384" s="37"/>
      <c r="I384" s="37"/>
      <c r="J384" s="37"/>
      <c r="K384" s="37"/>
      <c r="L384" s="37"/>
      <c r="M384" s="37"/>
      <c r="N384" s="37"/>
      <c r="O384" s="37"/>
      <c r="P384" s="37"/>
      <c r="Q384" s="37"/>
      <c r="R384" s="139"/>
      <c r="S384" s="140"/>
      <c r="T384" s="144"/>
    </row>
    <row r="386" spans="2:23" ht="18.75" customHeight="1" thickBot="1">
      <c r="B386" s="42"/>
      <c r="C386" s="42"/>
      <c r="D386" s="42"/>
      <c r="E386" s="42"/>
      <c r="F386" s="42"/>
      <c r="G386" s="42"/>
      <c r="H386" s="42"/>
      <c r="I386" s="42"/>
      <c r="J386" s="42"/>
      <c r="K386" s="42"/>
      <c r="L386" s="42"/>
      <c r="M386" s="42"/>
      <c r="N386" s="42"/>
      <c r="O386" s="42"/>
      <c r="P386" s="42"/>
      <c r="Q386" s="42"/>
      <c r="R386" s="42"/>
      <c r="S386" s="42"/>
      <c r="T386" s="42"/>
      <c r="U386" s="42"/>
    </row>
    <row r="388" spans="2:23" ht="18.75" customHeight="1">
      <c r="B388" s="43" t="s">
        <v>163</v>
      </c>
      <c r="C388" s="51" t="s">
        <v>3552</v>
      </c>
      <c r="D388" s="88"/>
      <c r="W388" s="35" t="str">
        <f>"-- "&amp;B388&amp;" : "&amp;C388</f>
        <v>-- SQL_ID : 01_A3-26</v>
      </c>
    </row>
    <row r="389" spans="2:23" ht="18.75" customHeight="1">
      <c r="B389" s="43" t="s">
        <v>158</v>
      </c>
      <c r="C389" s="145" t="str">
        <f>R392&amp;"登録"</f>
        <v>バックアップ_薬効ATC分類3マスタ登録</v>
      </c>
      <c r="D389" s="146"/>
      <c r="E389" s="146"/>
      <c r="F389" s="146"/>
      <c r="G389" s="146"/>
      <c r="H389" s="146"/>
      <c r="I389" s="146"/>
      <c r="J389" s="146"/>
      <c r="K389" s="146"/>
      <c r="L389" s="146"/>
      <c r="M389" s="146"/>
      <c r="N389" s="146"/>
      <c r="O389" s="146"/>
      <c r="P389" s="146"/>
      <c r="Q389" s="146"/>
      <c r="R389" s="146"/>
      <c r="S389" s="146"/>
      <c r="T389" s="146"/>
      <c r="U389" s="147"/>
      <c r="W389" s="35" t="str">
        <f>"-- "&amp;C389</f>
        <v>-- バックアップ_薬効ATC分類3マスタ登録</v>
      </c>
    </row>
    <row r="390" spans="2:23" ht="18.75" customHeight="1">
      <c r="B390" s="43" t="s">
        <v>159</v>
      </c>
      <c r="C390" s="134" t="str">
        <f>C392&amp;"テーブルのレコードを"&amp;R392&amp;"テーブルに格納する。"</f>
        <v>薬効ATC分類3マスタテーブルのレコードをバックアップ_薬効ATC分類3マスタテーブルに格納する。</v>
      </c>
      <c r="D390" s="135"/>
      <c r="E390" s="135"/>
      <c r="F390" s="135"/>
      <c r="G390" s="135"/>
      <c r="H390" s="135"/>
      <c r="I390" s="135"/>
      <c r="J390" s="135"/>
      <c r="K390" s="135"/>
      <c r="L390" s="135"/>
      <c r="M390" s="135"/>
      <c r="N390" s="135"/>
      <c r="O390" s="135"/>
      <c r="P390" s="135"/>
      <c r="Q390" s="135"/>
      <c r="R390" s="135"/>
      <c r="S390" s="135"/>
      <c r="T390" s="135"/>
      <c r="U390" s="136"/>
      <c r="W390" s="35" t="str">
        <f>"-- "&amp;C390</f>
        <v>-- 薬効ATC分類3マスタテーブルのレコードをバックアップ_薬効ATC分類3マスタテーブルに格納する。</v>
      </c>
    </row>
    <row r="392" spans="2:23" ht="18.75" customHeight="1">
      <c r="C392" s="137" t="s">
        <v>3553</v>
      </c>
      <c r="D392" s="138"/>
      <c r="E392" s="141" t="s">
        <v>162</v>
      </c>
      <c r="F392" s="36"/>
      <c r="G392" s="36"/>
      <c r="H392" s="36"/>
      <c r="I392" s="36"/>
      <c r="J392" s="36"/>
      <c r="K392" s="36"/>
      <c r="L392" s="36"/>
      <c r="M392" s="36"/>
      <c r="N392" s="36"/>
      <c r="O392" s="36"/>
      <c r="P392" s="36"/>
      <c r="Q392" s="36"/>
      <c r="R392" s="137" t="str">
        <f>"バックアップ_"&amp;SUBSTITUTE(C392,"_結合","")</f>
        <v>バックアップ_薬効ATC分類3マスタ</v>
      </c>
      <c r="S392" s="138"/>
      <c r="T392" s="143" t="str">
        <f>エンティティ一覧!$O$2</f>
        <v>milscm_2023_010</v>
      </c>
    </row>
    <row r="393" spans="2:23" ht="18.75" customHeight="1">
      <c r="C393" s="139"/>
      <c r="D393" s="140"/>
      <c r="E393" s="142"/>
      <c r="F393" s="37"/>
      <c r="G393" s="37"/>
      <c r="H393" s="37"/>
      <c r="I393" s="37"/>
      <c r="J393" s="37"/>
      <c r="K393" s="37"/>
      <c r="L393" s="37"/>
      <c r="M393" s="37"/>
      <c r="N393" s="37"/>
      <c r="O393" s="37"/>
      <c r="P393" s="37"/>
      <c r="Q393" s="37"/>
      <c r="R393" s="139"/>
      <c r="S393" s="140"/>
      <c r="T393" s="144"/>
    </row>
    <row r="395" spans="2:23" ht="18.75" customHeight="1" thickBot="1">
      <c r="B395" s="42"/>
      <c r="C395" s="42"/>
      <c r="D395" s="42"/>
      <c r="E395" s="42"/>
      <c r="F395" s="42"/>
      <c r="G395" s="42"/>
      <c r="H395" s="42"/>
      <c r="I395" s="42"/>
      <c r="J395" s="42"/>
      <c r="K395" s="42"/>
      <c r="L395" s="42"/>
      <c r="M395" s="42"/>
      <c r="N395" s="42"/>
      <c r="O395" s="42"/>
      <c r="P395" s="42"/>
      <c r="Q395" s="42"/>
      <c r="R395" s="42"/>
      <c r="S395" s="42"/>
      <c r="T395" s="42"/>
      <c r="U395" s="42"/>
    </row>
    <row r="397" spans="2:23" ht="18.75" customHeight="1">
      <c r="B397" s="43" t="s">
        <v>163</v>
      </c>
      <c r="C397" s="51" t="s">
        <v>3554</v>
      </c>
      <c r="D397" s="88"/>
      <c r="W397" s="35" t="str">
        <f>"-- "&amp;B397&amp;" : "&amp;C397</f>
        <v>-- SQL_ID : 01_A3-27</v>
      </c>
    </row>
    <row r="398" spans="2:23" ht="18.75" customHeight="1">
      <c r="B398" s="43" t="s">
        <v>158</v>
      </c>
      <c r="C398" s="145" t="str">
        <f>R401&amp;"登録"</f>
        <v>バックアップ_薬効ATC分類4マスタ登録</v>
      </c>
      <c r="D398" s="146"/>
      <c r="E398" s="146"/>
      <c r="F398" s="146"/>
      <c r="G398" s="146"/>
      <c r="H398" s="146"/>
      <c r="I398" s="146"/>
      <c r="J398" s="146"/>
      <c r="K398" s="146"/>
      <c r="L398" s="146"/>
      <c r="M398" s="146"/>
      <c r="N398" s="146"/>
      <c r="O398" s="146"/>
      <c r="P398" s="146"/>
      <c r="Q398" s="146"/>
      <c r="R398" s="146"/>
      <c r="S398" s="146"/>
      <c r="T398" s="146"/>
      <c r="U398" s="147"/>
      <c r="W398" s="35" t="str">
        <f>"-- "&amp;C398</f>
        <v>-- バックアップ_薬効ATC分類4マスタ登録</v>
      </c>
    </row>
    <row r="399" spans="2:23" ht="18.75" customHeight="1">
      <c r="B399" s="43" t="s">
        <v>159</v>
      </c>
      <c r="C399" s="134" t="str">
        <f>C401&amp;"テーブルのレコードを"&amp;R401&amp;"テーブルに格納する。"</f>
        <v>薬効ATC分類4マスタテーブルのレコードをバックアップ_薬効ATC分類4マスタテーブルに格納する。</v>
      </c>
      <c r="D399" s="135"/>
      <c r="E399" s="135"/>
      <c r="F399" s="135"/>
      <c r="G399" s="135"/>
      <c r="H399" s="135"/>
      <c r="I399" s="135"/>
      <c r="J399" s="135"/>
      <c r="K399" s="135"/>
      <c r="L399" s="135"/>
      <c r="M399" s="135"/>
      <c r="N399" s="135"/>
      <c r="O399" s="135"/>
      <c r="P399" s="135"/>
      <c r="Q399" s="135"/>
      <c r="R399" s="135"/>
      <c r="S399" s="135"/>
      <c r="T399" s="135"/>
      <c r="U399" s="136"/>
      <c r="W399" s="35" t="str">
        <f>"-- "&amp;C399</f>
        <v>-- 薬効ATC分類4マスタテーブルのレコードをバックアップ_薬効ATC分類4マスタテーブルに格納する。</v>
      </c>
    </row>
    <row r="401" spans="2:23" ht="18.75" customHeight="1">
      <c r="C401" s="137" t="s">
        <v>3555</v>
      </c>
      <c r="D401" s="138"/>
      <c r="E401" s="141" t="s">
        <v>162</v>
      </c>
      <c r="F401" s="36"/>
      <c r="G401" s="36"/>
      <c r="H401" s="36"/>
      <c r="I401" s="36"/>
      <c r="J401" s="36"/>
      <c r="K401" s="36"/>
      <c r="L401" s="36"/>
      <c r="M401" s="36"/>
      <c r="N401" s="36"/>
      <c r="O401" s="36"/>
      <c r="P401" s="36"/>
      <c r="Q401" s="36"/>
      <c r="R401" s="137" t="str">
        <f>"バックアップ_"&amp;SUBSTITUTE(C401,"_結合","")</f>
        <v>バックアップ_薬効ATC分類4マスタ</v>
      </c>
      <c r="S401" s="138"/>
      <c r="T401" s="143" t="str">
        <f>エンティティ一覧!$O$2</f>
        <v>milscm_2023_010</v>
      </c>
    </row>
    <row r="402" spans="2:23" ht="18.75" customHeight="1">
      <c r="C402" s="139"/>
      <c r="D402" s="140"/>
      <c r="E402" s="142"/>
      <c r="F402" s="37"/>
      <c r="G402" s="37"/>
      <c r="H402" s="37"/>
      <c r="I402" s="37"/>
      <c r="J402" s="37"/>
      <c r="K402" s="37"/>
      <c r="L402" s="37"/>
      <c r="M402" s="37"/>
      <c r="N402" s="37"/>
      <c r="O402" s="37"/>
      <c r="P402" s="37"/>
      <c r="Q402" s="37"/>
      <c r="R402" s="139"/>
      <c r="S402" s="140"/>
      <c r="T402" s="144"/>
    </row>
    <row r="404" spans="2:23" ht="18.75" customHeight="1" thickBot="1">
      <c r="B404" s="42"/>
      <c r="C404" s="42"/>
      <c r="D404" s="42"/>
      <c r="E404" s="42"/>
      <c r="F404" s="42"/>
      <c r="G404" s="42"/>
      <c r="H404" s="42"/>
      <c r="I404" s="42"/>
      <c r="J404" s="42"/>
      <c r="K404" s="42"/>
      <c r="L404" s="42"/>
      <c r="M404" s="42"/>
      <c r="N404" s="42"/>
      <c r="O404" s="42"/>
      <c r="P404" s="42"/>
      <c r="Q404" s="42"/>
      <c r="R404" s="42"/>
      <c r="S404" s="42"/>
      <c r="T404" s="42"/>
      <c r="U404" s="42"/>
    </row>
    <row r="406" spans="2:23" ht="18.75" customHeight="1">
      <c r="B406" s="43" t="s">
        <v>163</v>
      </c>
      <c r="C406" s="51" t="s">
        <v>3556</v>
      </c>
      <c r="D406" s="88"/>
      <c r="W406" s="35" t="str">
        <f>"-- "&amp;B406&amp;" : "&amp;C406</f>
        <v>-- SQL_ID : 01_A3-28</v>
      </c>
    </row>
    <row r="407" spans="2:23" ht="18.75" customHeight="1">
      <c r="B407" s="43" t="s">
        <v>158</v>
      </c>
      <c r="C407" s="145" t="str">
        <f>R410&amp;"登録"</f>
        <v>バックアップ_薬効ATC分類5マスタ登録</v>
      </c>
      <c r="D407" s="146"/>
      <c r="E407" s="146"/>
      <c r="F407" s="146"/>
      <c r="G407" s="146"/>
      <c r="H407" s="146"/>
      <c r="I407" s="146"/>
      <c r="J407" s="146"/>
      <c r="K407" s="146"/>
      <c r="L407" s="146"/>
      <c r="M407" s="146"/>
      <c r="N407" s="146"/>
      <c r="O407" s="146"/>
      <c r="P407" s="146"/>
      <c r="Q407" s="146"/>
      <c r="R407" s="146"/>
      <c r="S407" s="146"/>
      <c r="T407" s="146"/>
      <c r="U407" s="147"/>
      <c r="W407" s="35" t="str">
        <f>"-- "&amp;C407</f>
        <v>-- バックアップ_薬効ATC分類5マスタ登録</v>
      </c>
    </row>
    <row r="408" spans="2:23" ht="18.75" customHeight="1">
      <c r="B408" s="43" t="s">
        <v>159</v>
      </c>
      <c r="C408" s="134" t="str">
        <f>C410&amp;"テーブルのレコードを"&amp;R410&amp;"テーブルに格納する。"</f>
        <v>薬効ATC分類5マスタテーブルのレコードをバックアップ_薬効ATC分類5マスタテーブルに格納する。</v>
      </c>
      <c r="D408" s="135"/>
      <c r="E408" s="135"/>
      <c r="F408" s="135"/>
      <c r="G408" s="135"/>
      <c r="H408" s="135"/>
      <c r="I408" s="135"/>
      <c r="J408" s="135"/>
      <c r="K408" s="135"/>
      <c r="L408" s="135"/>
      <c r="M408" s="135"/>
      <c r="N408" s="135"/>
      <c r="O408" s="135"/>
      <c r="P408" s="135"/>
      <c r="Q408" s="135"/>
      <c r="R408" s="135"/>
      <c r="S408" s="135"/>
      <c r="T408" s="135"/>
      <c r="U408" s="136"/>
      <c r="W408" s="35" t="str">
        <f>"-- "&amp;C408</f>
        <v>-- 薬効ATC分類5マスタテーブルのレコードをバックアップ_薬効ATC分類5マスタテーブルに格納する。</v>
      </c>
    </row>
    <row r="410" spans="2:23" ht="18.75" customHeight="1">
      <c r="C410" s="137" t="s">
        <v>3557</v>
      </c>
      <c r="D410" s="138"/>
      <c r="E410" s="141" t="s">
        <v>162</v>
      </c>
      <c r="F410" s="36"/>
      <c r="G410" s="36"/>
      <c r="H410" s="36"/>
      <c r="I410" s="36"/>
      <c r="J410" s="36"/>
      <c r="K410" s="36"/>
      <c r="L410" s="36"/>
      <c r="M410" s="36"/>
      <c r="N410" s="36"/>
      <c r="O410" s="36"/>
      <c r="P410" s="36"/>
      <c r="Q410" s="36"/>
      <c r="R410" s="137" t="str">
        <f>"バックアップ_"&amp;SUBSTITUTE(C410,"_結合","")</f>
        <v>バックアップ_薬効ATC分類5マスタ</v>
      </c>
      <c r="S410" s="138"/>
      <c r="T410" s="143" t="str">
        <f>エンティティ一覧!$O$2</f>
        <v>milscm_2023_010</v>
      </c>
    </row>
    <row r="411" spans="2:23" ht="18.75" customHeight="1">
      <c r="C411" s="139"/>
      <c r="D411" s="140"/>
      <c r="E411" s="142"/>
      <c r="F411" s="37"/>
      <c r="G411" s="37"/>
      <c r="H411" s="37"/>
      <c r="I411" s="37"/>
      <c r="J411" s="37"/>
      <c r="K411" s="37"/>
      <c r="L411" s="37"/>
      <c r="M411" s="37"/>
      <c r="N411" s="37"/>
      <c r="O411" s="37"/>
      <c r="P411" s="37"/>
      <c r="Q411" s="37"/>
      <c r="R411" s="139"/>
      <c r="S411" s="140"/>
      <c r="T411" s="144"/>
    </row>
    <row r="413" spans="2:23" ht="18.75" customHeight="1" thickBot="1">
      <c r="B413" s="42"/>
      <c r="C413" s="42"/>
      <c r="D413" s="42"/>
      <c r="E413" s="42"/>
      <c r="F413" s="42"/>
      <c r="G413" s="42"/>
      <c r="H413" s="42"/>
      <c r="I413" s="42"/>
      <c r="J413" s="42"/>
      <c r="K413" s="42"/>
      <c r="L413" s="42"/>
      <c r="M413" s="42"/>
      <c r="N413" s="42"/>
      <c r="O413" s="42"/>
      <c r="P413" s="42"/>
      <c r="Q413" s="42"/>
      <c r="R413" s="42"/>
      <c r="S413" s="42"/>
      <c r="T413" s="42"/>
      <c r="U413" s="42"/>
    </row>
    <row r="415" spans="2:23" ht="18.75" customHeight="1">
      <c r="B415" s="43" t="s">
        <v>163</v>
      </c>
      <c r="C415" s="51" t="s">
        <v>3558</v>
      </c>
      <c r="D415" s="88"/>
      <c r="W415" s="35" t="str">
        <f>"-- "&amp;B415&amp;" : "&amp;C415</f>
        <v>-- SQL_ID : 01_A3-29</v>
      </c>
    </row>
    <row r="416" spans="2:23" ht="18.75" customHeight="1">
      <c r="B416" s="43" t="s">
        <v>158</v>
      </c>
      <c r="C416" s="145" t="str">
        <f>R419&amp;"登録"</f>
        <v>バックアップ_疾病マスタ登録</v>
      </c>
      <c r="D416" s="146"/>
      <c r="E416" s="146"/>
      <c r="F416" s="146"/>
      <c r="G416" s="146"/>
      <c r="H416" s="146"/>
      <c r="I416" s="146"/>
      <c r="J416" s="146"/>
      <c r="K416" s="146"/>
      <c r="L416" s="146"/>
      <c r="M416" s="146"/>
      <c r="N416" s="146"/>
      <c r="O416" s="146"/>
      <c r="P416" s="146"/>
      <c r="Q416" s="146"/>
      <c r="R416" s="146"/>
      <c r="S416" s="146"/>
      <c r="T416" s="146"/>
      <c r="U416" s="147"/>
      <c r="W416" s="35" t="str">
        <f>"-- "&amp;C416</f>
        <v>-- バックアップ_疾病マスタ登録</v>
      </c>
    </row>
    <row r="417" spans="2:23" ht="18.75" customHeight="1">
      <c r="B417" s="43" t="s">
        <v>159</v>
      </c>
      <c r="C417" s="134" t="str">
        <f>C419&amp;"テーブルのレコードを"&amp;R419&amp;"テーブルに格納する。"</f>
        <v>疾病マスタテーブルのレコードをバックアップ_疾病マスタテーブルに格納する。</v>
      </c>
      <c r="D417" s="135"/>
      <c r="E417" s="135"/>
      <c r="F417" s="135"/>
      <c r="G417" s="135"/>
      <c r="H417" s="135"/>
      <c r="I417" s="135"/>
      <c r="J417" s="135"/>
      <c r="K417" s="135"/>
      <c r="L417" s="135"/>
      <c r="M417" s="135"/>
      <c r="N417" s="135"/>
      <c r="O417" s="135"/>
      <c r="P417" s="135"/>
      <c r="Q417" s="135"/>
      <c r="R417" s="135"/>
      <c r="S417" s="135"/>
      <c r="T417" s="135"/>
      <c r="U417" s="136"/>
      <c r="W417" s="35" t="str">
        <f>"-- "&amp;C417</f>
        <v>-- 疾病マスタテーブルのレコードをバックアップ_疾病マスタテーブルに格納する。</v>
      </c>
    </row>
    <row r="419" spans="2:23" ht="18.75" customHeight="1">
      <c r="C419" s="137" t="s">
        <v>3559</v>
      </c>
      <c r="D419" s="138"/>
      <c r="E419" s="141" t="s">
        <v>162</v>
      </c>
      <c r="F419" s="36"/>
      <c r="G419" s="36"/>
      <c r="H419" s="36"/>
      <c r="I419" s="36"/>
      <c r="J419" s="36"/>
      <c r="K419" s="36"/>
      <c r="L419" s="36"/>
      <c r="M419" s="36"/>
      <c r="N419" s="36"/>
      <c r="O419" s="36"/>
      <c r="P419" s="36"/>
      <c r="Q419" s="36"/>
      <c r="R419" s="137" t="str">
        <f>"バックアップ_"&amp;SUBSTITUTE(C419,"_結合","")</f>
        <v>バックアップ_疾病マスタ</v>
      </c>
      <c r="S419" s="138"/>
      <c r="T419" s="143" t="str">
        <f>エンティティ一覧!$O$2</f>
        <v>milscm_2023_010</v>
      </c>
    </row>
    <row r="420" spans="2:23" ht="18.75" customHeight="1">
      <c r="C420" s="139"/>
      <c r="D420" s="140"/>
      <c r="E420" s="142"/>
      <c r="F420" s="37"/>
      <c r="G420" s="37"/>
      <c r="H420" s="37"/>
      <c r="I420" s="37"/>
      <c r="J420" s="37"/>
      <c r="K420" s="37"/>
      <c r="L420" s="37"/>
      <c r="M420" s="37"/>
      <c r="N420" s="37"/>
      <c r="O420" s="37"/>
      <c r="P420" s="37"/>
      <c r="Q420" s="37"/>
      <c r="R420" s="139"/>
      <c r="S420" s="140"/>
      <c r="T420" s="144"/>
    </row>
    <row r="422" spans="2:23" ht="18.75" customHeight="1" thickBot="1">
      <c r="B422" s="42"/>
      <c r="C422" s="42"/>
      <c r="D422" s="42"/>
      <c r="E422" s="42"/>
      <c r="F422" s="42"/>
      <c r="G422" s="42"/>
      <c r="H422" s="42"/>
      <c r="I422" s="42"/>
      <c r="J422" s="42"/>
      <c r="K422" s="42"/>
      <c r="L422" s="42"/>
      <c r="M422" s="42"/>
      <c r="N422" s="42"/>
      <c r="O422" s="42"/>
      <c r="P422" s="42"/>
      <c r="Q422" s="42"/>
      <c r="R422" s="42"/>
      <c r="S422" s="42"/>
      <c r="T422" s="42"/>
      <c r="U422" s="42"/>
    </row>
    <row r="424" spans="2:23" ht="18.75" customHeight="1">
      <c r="B424" s="43" t="s">
        <v>163</v>
      </c>
      <c r="C424" s="51" t="s">
        <v>3560</v>
      </c>
      <c r="D424" s="88"/>
      <c r="W424" s="35" t="str">
        <f>"-- "&amp;B424&amp;" : "&amp;C424</f>
        <v>-- SQL_ID : 01_A3-30</v>
      </c>
    </row>
    <row r="425" spans="2:23" ht="18.75" customHeight="1">
      <c r="B425" s="43" t="s">
        <v>158</v>
      </c>
      <c r="C425" s="145" t="str">
        <f>R428&amp;"登録"</f>
        <v>バックアップ_ICD10大分類マスタ登録</v>
      </c>
      <c r="D425" s="146"/>
      <c r="E425" s="146"/>
      <c r="F425" s="146"/>
      <c r="G425" s="146"/>
      <c r="H425" s="146"/>
      <c r="I425" s="146"/>
      <c r="J425" s="146"/>
      <c r="K425" s="146"/>
      <c r="L425" s="146"/>
      <c r="M425" s="146"/>
      <c r="N425" s="146"/>
      <c r="O425" s="146"/>
      <c r="P425" s="146"/>
      <c r="Q425" s="146"/>
      <c r="R425" s="146"/>
      <c r="S425" s="146"/>
      <c r="T425" s="146"/>
      <c r="U425" s="147"/>
      <c r="W425" s="35" t="str">
        <f>"-- "&amp;C425</f>
        <v>-- バックアップ_ICD10大分類マスタ登録</v>
      </c>
    </row>
    <row r="426" spans="2:23" ht="18.75" customHeight="1">
      <c r="B426" s="43" t="s">
        <v>159</v>
      </c>
      <c r="C426" s="134" t="str">
        <f>C428&amp;"テーブルのレコードを"&amp;R428&amp;"テーブルに格納する。"</f>
        <v>ICD10大分類マスタテーブルのレコードをバックアップ_ICD10大分類マスタテーブルに格納する。</v>
      </c>
      <c r="D426" s="135"/>
      <c r="E426" s="135"/>
      <c r="F426" s="135"/>
      <c r="G426" s="135"/>
      <c r="H426" s="135"/>
      <c r="I426" s="135"/>
      <c r="J426" s="135"/>
      <c r="K426" s="135"/>
      <c r="L426" s="135"/>
      <c r="M426" s="135"/>
      <c r="N426" s="135"/>
      <c r="O426" s="135"/>
      <c r="P426" s="135"/>
      <c r="Q426" s="135"/>
      <c r="R426" s="135"/>
      <c r="S426" s="135"/>
      <c r="T426" s="135"/>
      <c r="U426" s="136"/>
      <c r="W426" s="35" t="str">
        <f>"-- "&amp;C426</f>
        <v>-- ICD10大分類マスタテーブルのレコードをバックアップ_ICD10大分類マスタテーブルに格納する。</v>
      </c>
    </row>
    <row r="428" spans="2:23" ht="18.75" customHeight="1">
      <c r="C428" s="137" t="s">
        <v>3561</v>
      </c>
      <c r="D428" s="138"/>
      <c r="E428" s="141" t="s">
        <v>162</v>
      </c>
      <c r="F428" s="36"/>
      <c r="G428" s="36"/>
      <c r="H428" s="36"/>
      <c r="I428" s="36"/>
      <c r="J428" s="36"/>
      <c r="K428" s="36"/>
      <c r="L428" s="36"/>
      <c r="M428" s="36"/>
      <c r="N428" s="36"/>
      <c r="O428" s="36"/>
      <c r="P428" s="36"/>
      <c r="Q428" s="36"/>
      <c r="R428" s="137" t="str">
        <f>"バックアップ_"&amp;SUBSTITUTE(C428,"_結合","")</f>
        <v>バックアップ_ICD10大分類マスタ</v>
      </c>
      <c r="S428" s="138"/>
      <c r="T428" s="143" t="str">
        <f>エンティティ一覧!$O$2</f>
        <v>milscm_2023_010</v>
      </c>
    </row>
    <row r="429" spans="2:23" ht="18.75" customHeight="1">
      <c r="C429" s="139"/>
      <c r="D429" s="140"/>
      <c r="E429" s="142"/>
      <c r="F429" s="37"/>
      <c r="G429" s="37"/>
      <c r="H429" s="37"/>
      <c r="I429" s="37"/>
      <c r="J429" s="37"/>
      <c r="K429" s="37"/>
      <c r="L429" s="37"/>
      <c r="M429" s="37"/>
      <c r="N429" s="37"/>
      <c r="O429" s="37"/>
      <c r="P429" s="37"/>
      <c r="Q429" s="37"/>
      <c r="R429" s="139"/>
      <c r="S429" s="140"/>
      <c r="T429" s="144"/>
    </row>
    <row r="431" spans="2:23" ht="18.75" customHeight="1" thickBot="1">
      <c r="B431" s="42"/>
      <c r="C431" s="42"/>
      <c r="D431" s="42"/>
      <c r="E431" s="42"/>
      <c r="F431" s="42"/>
      <c r="G431" s="42"/>
      <c r="H431" s="42"/>
      <c r="I431" s="42"/>
      <c r="J431" s="42"/>
      <c r="K431" s="42"/>
      <c r="L431" s="42"/>
      <c r="M431" s="42"/>
      <c r="N431" s="42"/>
      <c r="O431" s="42"/>
      <c r="P431" s="42"/>
      <c r="Q431" s="42"/>
      <c r="R431" s="42"/>
      <c r="S431" s="42"/>
      <c r="T431" s="42"/>
      <c r="U431" s="42"/>
    </row>
    <row r="433" spans="2:23" ht="18.75" customHeight="1">
      <c r="B433" s="43" t="s">
        <v>163</v>
      </c>
      <c r="C433" s="51" t="s">
        <v>3562</v>
      </c>
      <c r="D433" s="88"/>
      <c r="W433" s="35" t="str">
        <f>"-- "&amp;B433&amp;" : "&amp;C433</f>
        <v>-- SQL_ID : 01_A3-31</v>
      </c>
    </row>
    <row r="434" spans="2:23" ht="18.75" customHeight="1">
      <c r="B434" s="43" t="s">
        <v>158</v>
      </c>
      <c r="C434" s="145" t="str">
        <f>R437&amp;"登録"</f>
        <v>バックアップ_ICD10中分類マスタ登録</v>
      </c>
      <c r="D434" s="146"/>
      <c r="E434" s="146"/>
      <c r="F434" s="146"/>
      <c r="G434" s="146"/>
      <c r="H434" s="146"/>
      <c r="I434" s="146"/>
      <c r="J434" s="146"/>
      <c r="K434" s="146"/>
      <c r="L434" s="146"/>
      <c r="M434" s="146"/>
      <c r="N434" s="146"/>
      <c r="O434" s="146"/>
      <c r="P434" s="146"/>
      <c r="Q434" s="146"/>
      <c r="R434" s="146"/>
      <c r="S434" s="146"/>
      <c r="T434" s="146"/>
      <c r="U434" s="147"/>
      <c r="W434" s="35" t="str">
        <f>"-- "&amp;C434</f>
        <v>-- バックアップ_ICD10中分類マスタ登録</v>
      </c>
    </row>
    <row r="435" spans="2:23" ht="18.75" customHeight="1">
      <c r="B435" s="43" t="s">
        <v>159</v>
      </c>
      <c r="C435" s="134" t="str">
        <f>C437&amp;"テーブルのレコードを"&amp;R437&amp;"テーブルに格納する。"</f>
        <v>ICD10中分類マスタテーブルのレコードをバックアップ_ICD10中分類マスタテーブルに格納する。</v>
      </c>
      <c r="D435" s="135"/>
      <c r="E435" s="135"/>
      <c r="F435" s="135"/>
      <c r="G435" s="135"/>
      <c r="H435" s="135"/>
      <c r="I435" s="135"/>
      <c r="J435" s="135"/>
      <c r="K435" s="135"/>
      <c r="L435" s="135"/>
      <c r="M435" s="135"/>
      <c r="N435" s="135"/>
      <c r="O435" s="135"/>
      <c r="P435" s="135"/>
      <c r="Q435" s="135"/>
      <c r="R435" s="135"/>
      <c r="S435" s="135"/>
      <c r="T435" s="135"/>
      <c r="U435" s="136"/>
      <c r="W435" s="35" t="str">
        <f>"-- "&amp;C435</f>
        <v>-- ICD10中分類マスタテーブルのレコードをバックアップ_ICD10中分類マスタテーブルに格納する。</v>
      </c>
    </row>
    <row r="437" spans="2:23" ht="18.75" customHeight="1">
      <c r="C437" s="137" t="s">
        <v>3563</v>
      </c>
      <c r="D437" s="138"/>
      <c r="E437" s="141" t="s">
        <v>162</v>
      </c>
      <c r="F437" s="36"/>
      <c r="G437" s="36"/>
      <c r="H437" s="36"/>
      <c r="I437" s="36"/>
      <c r="J437" s="36"/>
      <c r="K437" s="36"/>
      <c r="L437" s="36"/>
      <c r="M437" s="36"/>
      <c r="N437" s="36"/>
      <c r="O437" s="36"/>
      <c r="P437" s="36"/>
      <c r="Q437" s="36"/>
      <c r="R437" s="137" t="str">
        <f>"バックアップ_"&amp;SUBSTITUTE(C437,"_結合","")</f>
        <v>バックアップ_ICD10中分類マスタ</v>
      </c>
      <c r="S437" s="138"/>
      <c r="T437" s="143" t="str">
        <f>エンティティ一覧!$O$2</f>
        <v>milscm_2023_010</v>
      </c>
    </row>
    <row r="438" spans="2:23" ht="18.75" customHeight="1">
      <c r="C438" s="139"/>
      <c r="D438" s="140"/>
      <c r="E438" s="142"/>
      <c r="F438" s="37"/>
      <c r="G438" s="37"/>
      <c r="H438" s="37"/>
      <c r="I438" s="37"/>
      <c r="J438" s="37"/>
      <c r="K438" s="37"/>
      <c r="L438" s="37"/>
      <c r="M438" s="37"/>
      <c r="N438" s="37"/>
      <c r="O438" s="37"/>
      <c r="P438" s="37"/>
      <c r="Q438" s="37"/>
      <c r="R438" s="139"/>
      <c r="S438" s="140"/>
      <c r="T438" s="144"/>
    </row>
    <row r="440" spans="2:23" ht="18.75" customHeight="1" thickBot="1">
      <c r="B440" s="42"/>
      <c r="C440" s="42"/>
      <c r="D440" s="42"/>
      <c r="E440" s="42"/>
      <c r="F440" s="42"/>
      <c r="G440" s="42"/>
      <c r="H440" s="42"/>
      <c r="I440" s="42"/>
      <c r="J440" s="42"/>
      <c r="K440" s="42"/>
      <c r="L440" s="42"/>
      <c r="M440" s="42"/>
      <c r="N440" s="42"/>
      <c r="O440" s="42"/>
      <c r="P440" s="42"/>
      <c r="Q440" s="42"/>
      <c r="R440" s="42"/>
      <c r="S440" s="42"/>
      <c r="T440" s="42"/>
      <c r="U440" s="42"/>
    </row>
    <row r="442" spans="2:23" ht="18.75" customHeight="1">
      <c r="B442" s="43" t="s">
        <v>163</v>
      </c>
      <c r="C442" s="51" t="s">
        <v>3564</v>
      </c>
      <c r="D442" s="88"/>
      <c r="W442" s="35" t="str">
        <f>"-- "&amp;B442&amp;" : "&amp;C442</f>
        <v>-- SQL_ID : 01_A3-32</v>
      </c>
    </row>
    <row r="443" spans="2:23" ht="18.75" customHeight="1">
      <c r="B443" s="43" t="s">
        <v>158</v>
      </c>
      <c r="C443" s="145" t="str">
        <f>R446&amp;"登録"</f>
        <v>バックアップ_ICD10小分類マスタ登録</v>
      </c>
      <c r="D443" s="146"/>
      <c r="E443" s="146"/>
      <c r="F443" s="146"/>
      <c r="G443" s="146"/>
      <c r="H443" s="146"/>
      <c r="I443" s="146"/>
      <c r="J443" s="146"/>
      <c r="K443" s="146"/>
      <c r="L443" s="146"/>
      <c r="M443" s="146"/>
      <c r="N443" s="146"/>
      <c r="O443" s="146"/>
      <c r="P443" s="146"/>
      <c r="Q443" s="146"/>
      <c r="R443" s="146"/>
      <c r="S443" s="146"/>
      <c r="T443" s="146"/>
      <c r="U443" s="147"/>
      <c r="W443" s="35" t="str">
        <f>"-- "&amp;C443</f>
        <v>-- バックアップ_ICD10小分類マスタ登録</v>
      </c>
    </row>
    <row r="444" spans="2:23" ht="18.75" customHeight="1">
      <c r="B444" s="43" t="s">
        <v>159</v>
      </c>
      <c r="C444" s="134" t="str">
        <f>C446&amp;"テーブルのレコードを"&amp;R446&amp;"テーブルに格納する。"</f>
        <v>ICD10小分類マスタテーブルのレコードをバックアップ_ICD10小分類マスタテーブルに格納する。</v>
      </c>
      <c r="D444" s="135"/>
      <c r="E444" s="135"/>
      <c r="F444" s="135"/>
      <c r="G444" s="135"/>
      <c r="H444" s="135"/>
      <c r="I444" s="135"/>
      <c r="J444" s="135"/>
      <c r="K444" s="135"/>
      <c r="L444" s="135"/>
      <c r="M444" s="135"/>
      <c r="N444" s="135"/>
      <c r="O444" s="135"/>
      <c r="P444" s="135"/>
      <c r="Q444" s="135"/>
      <c r="R444" s="135"/>
      <c r="S444" s="135"/>
      <c r="T444" s="135"/>
      <c r="U444" s="136"/>
      <c r="W444" s="35" t="str">
        <f>"-- "&amp;C444</f>
        <v>-- ICD10小分類マスタテーブルのレコードをバックアップ_ICD10小分類マスタテーブルに格納する。</v>
      </c>
    </row>
    <row r="446" spans="2:23" ht="18.75" customHeight="1">
      <c r="C446" s="137" t="s">
        <v>3565</v>
      </c>
      <c r="D446" s="138"/>
      <c r="E446" s="141" t="s">
        <v>162</v>
      </c>
      <c r="F446" s="36"/>
      <c r="G446" s="36"/>
      <c r="H446" s="36"/>
      <c r="I446" s="36"/>
      <c r="J446" s="36"/>
      <c r="K446" s="36"/>
      <c r="L446" s="36"/>
      <c r="M446" s="36"/>
      <c r="N446" s="36"/>
      <c r="O446" s="36"/>
      <c r="P446" s="36"/>
      <c r="Q446" s="36"/>
      <c r="R446" s="137" t="str">
        <f>"バックアップ_"&amp;SUBSTITUTE(C446,"_結合","")</f>
        <v>バックアップ_ICD10小分類マスタ</v>
      </c>
      <c r="S446" s="138"/>
      <c r="T446" s="143" t="str">
        <f>エンティティ一覧!$O$2</f>
        <v>milscm_2023_010</v>
      </c>
    </row>
    <row r="447" spans="2:23" ht="18.75" customHeight="1">
      <c r="C447" s="139"/>
      <c r="D447" s="140"/>
      <c r="E447" s="142"/>
      <c r="F447" s="37"/>
      <c r="G447" s="37"/>
      <c r="H447" s="37"/>
      <c r="I447" s="37"/>
      <c r="J447" s="37"/>
      <c r="K447" s="37"/>
      <c r="L447" s="37"/>
      <c r="M447" s="37"/>
      <c r="N447" s="37"/>
      <c r="O447" s="37"/>
      <c r="P447" s="37"/>
      <c r="Q447" s="37"/>
      <c r="R447" s="139"/>
      <c r="S447" s="140"/>
      <c r="T447" s="144"/>
    </row>
    <row r="449" spans="2:23" ht="18.75" customHeight="1" thickBot="1">
      <c r="B449" s="42"/>
      <c r="C449" s="42"/>
      <c r="D449" s="42"/>
      <c r="E449" s="42"/>
      <c r="F449" s="42"/>
      <c r="G449" s="42"/>
      <c r="H449" s="42"/>
      <c r="I449" s="42"/>
      <c r="J449" s="42"/>
      <c r="K449" s="42"/>
      <c r="L449" s="42"/>
      <c r="M449" s="42"/>
      <c r="N449" s="42"/>
      <c r="O449" s="42"/>
      <c r="P449" s="42"/>
      <c r="Q449" s="42"/>
      <c r="R449" s="42"/>
      <c r="S449" s="42"/>
      <c r="T449" s="42"/>
      <c r="U449" s="42"/>
    </row>
    <row r="451" spans="2:23" ht="18.75" customHeight="1">
      <c r="B451" s="43" t="s">
        <v>163</v>
      </c>
      <c r="C451" s="51" t="s">
        <v>3566</v>
      </c>
      <c r="D451" s="88"/>
      <c r="W451" s="35" t="str">
        <f>"-- "&amp;B451&amp;" : "&amp;C451</f>
        <v>-- SQL_ID : 01_A3-33</v>
      </c>
    </row>
    <row r="452" spans="2:23" ht="18.75" customHeight="1">
      <c r="B452" s="43" t="s">
        <v>158</v>
      </c>
      <c r="C452" s="145" t="str">
        <f>R455&amp;"登録"</f>
        <v>バックアップ_ICD10細分類マスタ登録</v>
      </c>
      <c r="D452" s="146"/>
      <c r="E452" s="146"/>
      <c r="F452" s="146"/>
      <c r="G452" s="146"/>
      <c r="H452" s="146"/>
      <c r="I452" s="146"/>
      <c r="J452" s="146"/>
      <c r="K452" s="146"/>
      <c r="L452" s="146"/>
      <c r="M452" s="146"/>
      <c r="N452" s="146"/>
      <c r="O452" s="146"/>
      <c r="P452" s="146"/>
      <c r="Q452" s="146"/>
      <c r="R452" s="146"/>
      <c r="S452" s="146"/>
      <c r="T452" s="146"/>
      <c r="U452" s="147"/>
      <c r="W452" s="35" t="str">
        <f>"-- "&amp;C452</f>
        <v>-- バックアップ_ICD10細分類マスタ登録</v>
      </c>
    </row>
    <row r="453" spans="2:23" ht="18.75" customHeight="1">
      <c r="B453" s="43" t="s">
        <v>159</v>
      </c>
      <c r="C453" s="134" t="str">
        <f>C455&amp;"テーブルのレコードを"&amp;R455&amp;"テーブルに格納する。"</f>
        <v>ICD10細分類マスタテーブルのレコードをバックアップ_ICD10細分類マスタテーブルに格納する。</v>
      </c>
      <c r="D453" s="135"/>
      <c r="E453" s="135"/>
      <c r="F453" s="135"/>
      <c r="G453" s="135"/>
      <c r="H453" s="135"/>
      <c r="I453" s="135"/>
      <c r="J453" s="135"/>
      <c r="K453" s="135"/>
      <c r="L453" s="135"/>
      <c r="M453" s="135"/>
      <c r="N453" s="135"/>
      <c r="O453" s="135"/>
      <c r="P453" s="135"/>
      <c r="Q453" s="135"/>
      <c r="R453" s="135"/>
      <c r="S453" s="135"/>
      <c r="T453" s="135"/>
      <c r="U453" s="136"/>
      <c r="W453" s="35" t="str">
        <f>"-- "&amp;C453</f>
        <v>-- ICD10細分類マスタテーブルのレコードをバックアップ_ICD10細分類マスタテーブルに格納する。</v>
      </c>
    </row>
    <row r="455" spans="2:23" ht="18.75" customHeight="1">
      <c r="C455" s="137" t="s">
        <v>3567</v>
      </c>
      <c r="D455" s="138"/>
      <c r="E455" s="141" t="s">
        <v>162</v>
      </c>
      <c r="F455" s="36"/>
      <c r="G455" s="36"/>
      <c r="H455" s="36"/>
      <c r="I455" s="36"/>
      <c r="J455" s="36"/>
      <c r="K455" s="36"/>
      <c r="L455" s="36"/>
      <c r="M455" s="36"/>
      <c r="N455" s="36"/>
      <c r="O455" s="36"/>
      <c r="P455" s="36"/>
      <c r="Q455" s="36"/>
      <c r="R455" s="137" t="str">
        <f>"バックアップ_"&amp;SUBSTITUTE(C455,"_結合","")</f>
        <v>バックアップ_ICD10細分類マスタ</v>
      </c>
      <c r="S455" s="138"/>
      <c r="T455" s="143" t="str">
        <f>エンティティ一覧!$O$2</f>
        <v>milscm_2023_010</v>
      </c>
    </row>
    <row r="456" spans="2:23" ht="18.75" customHeight="1">
      <c r="C456" s="139"/>
      <c r="D456" s="140"/>
      <c r="E456" s="142"/>
      <c r="F456" s="37"/>
      <c r="G456" s="37"/>
      <c r="H456" s="37"/>
      <c r="I456" s="37"/>
      <c r="J456" s="37"/>
      <c r="K456" s="37"/>
      <c r="L456" s="37"/>
      <c r="M456" s="37"/>
      <c r="N456" s="37"/>
      <c r="O456" s="37"/>
      <c r="P456" s="37"/>
      <c r="Q456" s="37"/>
      <c r="R456" s="139"/>
      <c r="S456" s="140"/>
      <c r="T456" s="144"/>
    </row>
    <row r="458" spans="2:23" ht="18.75" customHeight="1" thickBot="1">
      <c r="B458" s="42"/>
      <c r="C458" s="42"/>
      <c r="D458" s="42"/>
      <c r="E458" s="42"/>
      <c r="F458" s="42"/>
      <c r="G458" s="42"/>
      <c r="H458" s="42"/>
      <c r="I458" s="42"/>
      <c r="J458" s="42"/>
      <c r="K458" s="42"/>
      <c r="L458" s="42"/>
      <c r="M458" s="42"/>
      <c r="N458" s="42"/>
      <c r="O458" s="42"/>
      <c r="P458" s="42"/>
      <c r="Q458" s="42"/>
      <c r="R458" s="42"/>
      <c r="S458" s="42"/>
      <c r="T458" s="42"/>
      <c r="U458" s="42"/>
    </row>
    <row r="460" spans="2:23" ht="18.75" customHeight="1">
      <c r="B460" s="43" t="s">
        <v>163</v>
      </c>
      <c r="C460" s="51" t="s">
        <v>3568</v>
      </c>
      <c r="D460" s="88"/>
      <c r="W460" s="35" t="str">
        <f>"-- "&amp;B460&amp;" : "&amp;C460</f>
        <v>-- SQL_ID : 01_A3-34</v>
      </c>
    </row>
    <row r="461" spans="2:23" ht="18.75" customHeight="1">
      <c r="B461" s="43" t="s">
        <v>158</v>
      </c>
      <c r="C461" s="145" t="str">
        <f>R464&amp;"登録"</f>
        <v>バックアップ_DPC2桁マスタ登録</v>
      </c>
      <c r="D461" s="146"/>
      <c r="E461" s="146"/>
      <c r="F461" s="146"/>
      <c r="G461" s="146"/>
      <c r="H461" s="146"/>
      <c r="I461" s="146"/>
      <c r="J461" s="146"/>
      <c r="K461" s="146"/>
      <c r="L461" s="146"/>
      <c r="M461" s="146"/>
      <c r="N461" s="146"/>
      <c r="O461" s="146"/>
      <c r="P461" s="146"/>
      <c r="Q461" s="146"/>
      <c r="R461" s="146"/>
      <c r="S461" s="146"/>
      <c r="T461" s="146"/>
      <c r="U461" s="147"/>
      <c r="W461" s="35" t="str">
        <f>"-- "&amp;C461</f>
        <v>-- バックアップ_DPC2桁マスタ登録</v>
      </c>
    </row>
    <row r="462" spans="2:23" ht="18.75" customHeight="1">
      <c r="B462" s="43" t="s">
        <v>159</v>
      </c>
      <c r="C462" s="134" t="str">
        <f>C464&amp;"テーブルのレコードを"&amp;R464&amp;"テーブルに格納する。"</f>
        <v>DPC2桁マスタテーブルのレコードをバックアップ_DPC2桁マスタテーブルに格納する。</v>
      </c>
      <c r="D462" s="135"/>
      <c r="E462" s="135"/>
      <c r="F462" s="135"/>
      <c r="G462" s="135"/>
      <c r="H462" s="135"/>
      <c r="I462" s="135"/>
      <c r="J462" s="135"/>
      <c r="K462" s="135"/>
      <c r="L462" s="135"/>
      <c r="M462" s="135"/>
      <c r="N462" s="135"/>
      <c r="O462" s="135"/>
      <c r="P462" s="135"/>
      <c r="Q462" s="135"/>
      <c r="R462" s="135"/>
      <c r="S462" s="135"/>
      <c r="T462" s="135"/>
      <c r="U462" s="136"/>
      <c r="W462" s="35" t="str">
        <f>"-- "&amp;C462</f>
        <v>-- DPC2桁マスタテーブルのレコードをバックアップ_DPC2桁マスタテーブルに格納する。</v>
      </c>
    </row>
    <row r="464" spans="2:23" ht="18.75" customHeight="1">
      <c r="C464" s="137" t="s">
        <v>3569</v>
      </c>
      <c r="D464" s="138"/>
      <c r="E464" s="141" t="s">
        <v>162</v>
      </c>
      <c r="F464" s="36"/>
      <c r="G464" s="36"/>
      <c r="H464" s="36"/>
      <c r="I464" s="36"/>
      <c r="J464" s="36"/>
      <c r="K464" s="36"/>
      <c r="L464" s="36"/>
      <c r="M464" s="36"/>
      <c r="N464" s="36"/>
      <c r="O464" s="36"/>
      <c r="P464" s="36"/>
      <c r="Q464" s="36"/>
      <c r="R464" s="137" t="str">
        <f>"バックアップ_"&amp;SUBSTITUTE(C464,"_結合","")</f>
        <v>バックアップ_DPC2桁マスタ</v>
      </c>
      <c r="S464" s="138"/>
      <c r="T464" s="143" t="str">
        <f>エンティティ一覧!$O$2</f>
        <v>milscm_2023_010</v>
      </c>
    </row>
    <row r="465" spans="2:23" ht="18.75" customHeight="1">
      <c r="C465" s="139"/>
      <c r="D465" s="140"/>
      <c r="E465" s="142"/>
      <c r="F465" s="37"/>
      <c r="G465" s="37"/>
      <c r="H465" s="37"/>
      <c r="I465" s="37"/>
      <c r="J465" s="37"/>
      <c r="K465" s="37"/>
      <c r="L465" s="37"/>
      <c r="M465" s="37"/>
      <c r="N465" s="37"/>
      <c r="O465" s="37"/>
      <c r="P465" s="37"/>
      <c r="Q465" s="37"/>
      <c r="R465" s="139"/>
      <c r="S465" s="140"/>
      <c r="T465" s="144"/>
    </row>
    <row r="467" spans="2:23" ht="18.75" customHeight="1" thickBot="1">
      <c r="B467" s="42"/>
      <c r="C467" s="42"/>
      <c r="D467" s="42"/>
      <c r="E467" s="42"/>
      <c r="F467" s="42"/>
      <c r="G467" s="42"/>
      <c r="H467" s="42"/>
      <c r="I467" s="42"/>
      <c r="J467" s="42"/>
      <c r="K467" s="42"/>
      <c r="L467" s="42"/>
      <c r="M467" s="42"/>
      <c r="N467" s="42"/>
      <c r="O467" s="42"/>
      <c r="P467" s="42"/>
      <c r="Q467" s="42"/>
      <c r="R467" s="42"/>
      <c r="S467" s="42"/>
      <c r="T467" s="42"/>
      <c r="U467" s="42"/>
    </row>
    <row r="469" spans="2:23" ht="18.75" customHeight="1">
      <c r="B469" s="43" t="s">
        <v>163</v>
      </c>
      <c r="C469" s="51" t="s">
        <v>3570</v>
      </c>
      <c r="D469" s="88"/>
      <c r="W469" s="35" t="str">
        <f>"-- "&amp;B469&amp;" : "&amp;C469</f>
        <v>-- SQL_ID : 01_A3-35</v>
      </c>
    </row>
    <row r="470" spans="2:23" ht="18.75" customHeight="1">
      <c r="B470" s="43" t="s">
        <v>158</v>
      </c>
      <c r="C470" s="145" t="str">
        <f>R473&amp;"登録"</f>
        <v>バックアップ_DPC6桁マスタ登録</v>
      </c>
      <c r="D470" s="146"/>
      <c r="E470" s="146"/>
      <c r="F470" s="146"/>
      <c r="G470" s="146"/>
      <c r="H470" s="146"/>
      <c r="I470" s="146"/>
      <c r="J470" s="146"/>
      <c r="K470" s="146"/>
      <c r="L470" s="146"/>
      <c r="M470" s="146"/>
      <c r="N470" s="146"/>
      <c r="O470" s="146"/>
      <c r="P470" s="146"/>
      <c r="Q470" s="146"/>
      <c r="R470" s="146"/>
      <c r="S470" s="146"/>
      <c r="T470" s="146"/>
      <c r="U470" s="147"/>
      <c r="W470" s="35" t="str">
        <f>"-- "&amp;C470</f>
        <v>-- バックアップ_DPC6桁マスタ登録</v>
      </c>
    </row>
    <row r="471" spans="2:23" ht="18.75" customHeight="1">
      <c r="B471" s="43" t="s">
        <v>159</v>
      </c>
      <c r="C471" s="134" t="str">
        <f>C473&amp;"テーブルのレコードを"&amp;R473&amp;"テーブルに格納する。"</f>
        <v>DPC6桁マスタテーブルのレコードをバックアップ_DPC6桁マスタテーブルに格納する。</v>
      </c>
      <c r="D471" s="135"/>
      <c r="E471" s="135"/>
      <c r="F471" s="135"/>
      <c r="G471" s="135"/>
      <c r="H471" s="135"/>
      <c r="I471" s="135"/>
      <c r="J471" s="135"/>
      <c r="K471" s="135"/>
      <c r="L471" s="135"/>
      <c r="M471" s="135"/>
      <c r="N471" s="135"/>
      <c r="O471" s="135"/>
      <c r="P471" s="135"/>
      <c r="Q471" s="135"/>
      <c r="R471" s="135"/>
      <c r="S471" s="135"/>
      <c r="T471" s="135"/>
      <c r="U471" s="136"/>
      <c r="W471" s="35" t="str">
        <f>"-- "&amp;C471</f>
        <v>-- DPC6桁マスタテーブルのレコードをバックアップ_DPC6桁マスタテーブルに格納する。</v>
      </c>
    </row>
    <row r="473" spans="2:23" ht="18.75" customHeight="1">
      <c r="C473" s="137" t="s">
        <v>3571</v>
      </c>
      <c r="D473" s="138"/>
      <c r="E473" s="141" t="s">
        <v>162</v>
      </c>
      <c r="F473" s="36"/>
      <c r="G473" s="36"/>
      <c r="H473" s="36"/>
      <c r="I473" s="36"/>
      <c r="J473" s="36"/>
      <c r="K473" s="36"/>
      <c r="L473" s="36"/>
      <c r="M473" s="36"/>
      <c r="N473" s="36"/>
      <c r="O473" s="36"/>
      <c r="P473" s="36"/>
      <c r="Q473" s="36"/>
      <c r="R473" s="137" t="str">
        <f>"バックアップ_"&amp;SUBSTITUTE(C473,"_結合","")</f>
        <v>バックアップ_DPC6桁マスタ</v>
      </c>
      <c r="S473" s="138"/>
      <c r="T473" s="143" t="str">
        <f>エンティティ一覧!$O$2</f>
        <v>milscm_2023_010</v>
      </c>
    </row>
    <row r="474" spans="2:23" ht="18.75" customHeight="1">
      <c r="C474" s="139"/>
      <c r="D474" s="140"/>
      <c r="E474" s="142"/>
      <c r="F474" s="37"/>
      <c r="G474" s="37"/>
      <c r="H474" s="37"/>
      <c r="I474" s="37"/>
      <c r="J474" s="37"/>
      <c r="K474" s="37"/>
      <c r="L474" s="37"/>
      <c r="M474" s="37"/>
      <c r="N474" s="37"/>
      <c r="O474" s="37"/>
      <c r="P474" s="37"/>
      <c r="Q474" s="37"/>
      <c r="R474" s="139"/>
      <c r="S474" s="140"/>
      <c r="T474" s="144"/>
    </row>
    <row r="476" spans="2:23" ht="18.75" customHeight="1" thickBot="1">
      <c r="B476" s="42"/>
      <c r="C476" s="42"/>
      <c r="D476" s="42"/>
      <c r="E476" s="42"/>
      <c r="F476" s="42"/>
      <c r="G476" s="42"/>
      <c r="H476" s="42"/>
      <c r="I476" s="42"/>
      <c r="J476" s="42"/>
      <c r="K476" s="42"/>
      <c r="L476" s="42"/>
      <c r="M476" s="42"/>
      <c r="N476" s="42"/>
      <c r="O476" s="42"/>
      <c r="P476" s="42"/>
      <c r="Q476" s="42"/>
      <c r="R476" s="42"/>
      <c r="S476" s="42"/>
      <c r="T476" s="42"/>
      <c r="U476" s="42"/>
    </row>
    <row r="478" spans="2:23" ht="18.75" customHeight="1">
      <c r="B478" s="43" t="s">
        <v>163</v>
      </c>
      <c r="C478" s="51" t="s">
        <v>3572</v>
      </c>
      <c r="D478" s="88"/>
      <c r="W478" s="35" t="str">
        <f>"-- "&amp;B478&amp;" : "&amp;C478</f>
        <v>-- SQL_ID : 01_A3-36</v>
      </c>
    </row>
    <row r="479" spans="2:23" ht="18.75" customHeight="1">
      <c r="B479" s="43" t="s">
        <v>158</v>
      </c>
      <c r="C479" s="145" t="str">
        <f>R482&amp;"登録"</f>
        <v>バックアップ_郵便番号マスタ登録</v>
      </c>
      <c r="D479" s="146"/>
      <c r="E479" s="146"/>
      <c r="F479" s="146"/>
      <c r="G479" s="146"/>
      <c r="H479" s="146"/>
      <c r="I479" s="146"/>
      <c r="J479" s="146"/>
      <c r="K479" s="146"/>
      <c r="L479" s="146"/>
      <c r="M479" s="146"/>
      <c r="N479" s="146"/>
      <c r="O479" s="146"/>
      <c r="P479" s="146"/>
      <c r="Q479" s="146"/>
      <c r="R479" s="146"/>
      <c r="S479" s="146"/>
      <c r="T479" s="146"/>
      <c r="U479" s="147"/>
      <c r="W479" s="35" t="str">
        <f>"-- "&amp;C479</f>
        <v>-- バックアップ_郵便番号マスタ登録</v>
      </c>
    </row>
    <row r="480" spans="2:23" ht="18.75" customHeight="1">
      <c r="B480" s="43" t="s">
        <v>159</v>
      </c>
      <c r="C480" s="134" t="str">
        <f>C482&amp;"テーブルのレコードを"&amp;R482&amp;"テーブルに格納する。"</f>
        <v>郵便番号マスタテーブルのレコードをバックアップ_郵便番号マスタテーブルに格納する。</v>
      </c>
      <c r="D480" s="135"/>
      <c r="E480" s="135"/>
      <c r="F480" s="135"/>
      <c r="G480" s="135"/>
      <c r="H480" s="135"/>
      <c r="I480" s="135"/>
      <c r="J480" s="135"/>
      <c r="K480" s="135"/>
      <c r="L480" s="135"/>
      <c r="M480" s="135"/>
      <c r="N480" s="135"/>
      <c r="O480" s="135"/>
      <c r="P480" s="135"/>
      <c r="Q480" s="135"/>
      <c r="R480" s="135"/>
      <c r="S480" s="135"/>
      <c r="T480" s="135"/>
      <c r="U480" s="136"/>
      <c r="W480" s="35" t="str">
        <f>"-- "&amp;C480</f>
        <v>-- 郵便番号マスタテーブルのレコードをバックアップ_郵便番号マスタテーブルに格納する。</v>
      </c>
    </row>
    <row r="482" spans="2:23" ht="18.75" customHeight="1">
      <c r="C482" s="137" t="s">
        <v>3573</v>
      </c>
      <c r="D482" s="138"/>
      <c r="E482" s="141" t="s">
        <v>162</v>
      </c>
      <c r="F482" s="36"/>
      <c r="G482" s="36"/>
      <c r="H482" s="36"/>
      <c r="I482" s="36"/>
      <c r="J482" s="36"/>
      <c r="K482" s="36"/>
      <c r="L482" s="36"/>
      <c r="M482" s="36"/>
      <c r="N482" s="36"/>
      <c r="O482" s="36"/>
      <c r="P482" s="36"/>
      <c r="Q482" s="36"/>
      <c r="R482" s="137" t="str">
        <f>"バックアップ_"&amp;SUBSTITUTE(C482,"_結合","")</f>
        <v>バックアップ_郵便番号マスタ</v>
      </c>
      <c r="S482" s="138"/>
      <c r="T482" s="143" t="str">
        <f>エンティティ一覧!$O$2</f>
        <v>milscm_2023_010</v>
      </c>
    </row>
    <row r="483" spans="2:23" ht="18.75" customHeight="1">
      <c r="C483" s="139"/>
      <c r="D483" s="140"/>
      <c r="E483" s="142"/>
      <c r="F483" s="37"/>
      <c r="G483" s="37"/>
      <c r="H483" s="37"/>
      <c r="I483" s="37"/>
      <c r="J483" s="37"/>
      <c r="K483" s="37"/>
      <c r="L483" s="37"/>
      <c r="M483" s="37"/>
      <c r="N483" s="37"/>
      <c r="O483" s="37"/>
      <c r="P483" s="37"/>
      <c r="Q483" s="37"/>
      <c r="R483" s="139"/>
      <c r="S483" s="140"/>
      <c r="T483" s="144"/>
    </row>
    <row r="485" spans="2:23" ht="18.75" customHeight="1" thickBot="1">
      <c r="B485" s="42"/>
      <c r="C485" s="42"/>
      <c r="D485" s="42"/>
      <c r="E485" s="42"/>
      <c r="F485" s="42"/>
      <c r="G485" s="42"/>
      <c r="H485" s="42"/>
      <c r="I485" s="42"/>
      <c r="J485" s="42"/>
      <c r="K485" s="42"/>
      <c r="L485" s="42"/>
      <c r="M485" s="42"/>
      <c r="N485" s="42"/>
      <c r="O485" s="42"/>
      <c r="P485" s="42"/>
      <c r="Q485" s="42"/>
      <c r="R485" s="42"/>
      <c r="S485" s="42"/>
      <c r="T485" s="42"/>
      <c r="U485" s="42"/>
    </row>
    <row r="487" spans="2:23" ht="18.75" customHeight="1">
      <c r="B487" s="43" t="s">
        <v>163</v>
      </c>
      <c r="C487" s="51" t="s">
        <v>3574</v>
      </c>
      <c r="D487" s="88"/>
      <c r="W487" s="35" t="str">
        <f>"-- "&amp;B487&amp;" : "&amp;C487</f>
        <v>-- SQL_ID : 01_A3-37</v>
      </c>
    </row>
    <row r="488" spans="2:23" ht="18.75" customHeight="1">
      <c r="B488" s="43" t="s">
        <v>158</v>
      </c>
      <c r="C488" s="145" t="str">
        <f>R491&amp;"登録"</f>
        <v>バックアップ_特定機材マスタ登録</v>
      </c>
      <c r="D488" s="146"/>
      <c r="E488" s="146"/>
      <c r="F488" s="146"/>
      <c r="G488" s="146"/>
      <c r="H488" s="146"/>
      <c r="I488" s="146"/>
      <c r="J488" s="146"/>
      <c r="K488" s="146"/>
      <c r="L488" s="146"/>
      <c r="M488" s="146"/>
      <c r="N488" s="146"/>
      <c r="O488" s="146"/>
      <c r="P488" s="146"/>
      <c r="Q488" s="146"/>
      <c r="R488" s="146"/>
      <c r="S488" s="146"/>
      <c r="T488" s="146"/>
      <c r="U488" s="147"/>
      <c r="W488" s="35" t="str">
        <f>"-- "&amp;C488</f>
        <v>-- バックアップ_特定機材マスタ登録</v>
      </c>
    </row>
    <row r="489" spans="2:23" ht="18.75" customHeight="1">
      <c r="B489" s="43" t="s">
        <v>159</v>
      </c>
      <c r="C489" s="134" t="str">
        <f>C491&amp;"テーブルのレコードを"&amp;R491&amp;"テーブルに格納する。"</f>
        <v>特定機材マスタテーブルのレコードをバックアップ_特定機材マスタテーブルに格納する。</v>
      </c>
      <c r="D489" s="135"/>
      <c r="E489" s="135"/>
      <c r="F489" s="135"/>
      <c r="G489" s="135"/>
      <c r="H489" s="135"/>
      <c r="I489" s="135"/>
      <c r="J489" s="135"/>
      <c r="K489" s="135"/>
      <c r="L489" s="135"/>
      <c r="M489" s="135"/>
      <c r="N489" s="135"/>
      <c r="O489" s="135"/>
      <c r="P489" s="135"/>
      <c r="Q489" s="135"/>
      <c r="R489" s="135"/>
      <c r="S489" s="135"/>
      <c r="T489" s="135"/>
      <c r="U489" s="136"/>
      <c r="W489" s="35" t="str">
        <f>"-- "&amp;C489</f>
        <v>-- 特定機材マスタテーブルのレコードをバックアップ_特定機材マスタテーブルに格納する。</v>
      </c>
    </row>
    <row r="491" spans="2:23" ht="18.75" customHeight="1">
      <c r="C491" s="137" t="s">
        <v>3575</v>
      </c>
      <c r="D491" s="138"/>
      <c r="E491" s="141" t="s">
        <v>162</v>
      </c>
      <c r="F491" s="36"/>
      <c r="G491" s="36"/>
      <c r="H491" s="36"/>
      <c r="I491" s="36"/>
      <c r="J491" s="36"/>
      <c r="K491" s="36"/>
      <c r="L491" s="36"/>
      <c r="M491" s="36"/>
      <c r="N491" s="36"/>
      <c r="O491" s="36"/>
      <c r="P491" s="36"/>
      <c r="Q491" s="36"/>
      <c r="R491" s="137" t="str">
        <f>"バックアップ_"&amp;SUBSTITUTE(C491,"_結合","")</f>
        <v>バックアップ_特定機材マスタ</v>
      </c>
      <c r="S491" s="138"/>
      <c r="T491" s="143" t="str">
        <f>エンティティ一覧!$O$2</f>
        <v>milscm_2023_010</v>
      </c>
    </row>
    <row r="492" spans="2:23" ht="18.75" customHeight="1">
      <c r="C492" s="139"/>
      <c r="D492" s="140"/>
      <c r="E492" s="142"/>
      <c r="F492" s="37"/>
      <c r="G492" s="37"/>
      <c r="H492" s="37"/>
      <c r="I492" s="37"/>
      <c r="J492" s="37"/>
      <c r="K492" s="37"/>
      <c r="L492" s="37"/>
      <c r="M492" s="37"/>
      <c r="N492" s="37"/>
      <c r="O492" s="37"/>
      <c r="P492" s="37"/>
      <c r="Q492" s="37"/>
      <c r="R492" s="139"/>
      <c r="S492" s="140"/>
      <c r="T492" s="144"/>
    </row>
    <row r="494" spans="2:23" ht="18.75" customHeight="1" thickBot="1">
      <c r="B494" s="42"/>
      <c r="C494" s="42"/>
      <c r="D494" s="42"/>
      <c r="E494" s="42"/>
      <c r="F494" s="42"/>
      <c r="G494" s="42"/>
      <c r="H494" s="42"/>
      <c r="I494" s="42"/>
      <c r="J494" s="42"/>
      <c r="K494" s="42"/>
      <c r="L494" s="42"/>
      <c r="M494" s="42"/>
      <c r="N494" s="42"/>
      <c r="O494" s="42"/>
      <c r="P494" s="42"/>
      <c r="Q494" s="42"/>
      <c r="R494" s="42"/>
      <c r="S494" s="42"/>
      <c r="T494" s="42"/>
      <c r="U494" s="42"/>
    </row>
    <row r="496" spans="2:23" ht="18.75" customHeight="1">
      <c r="B496" s="43" t="s">
        <v>163</v>
      </c>
      <c r="C496" s="51" t="s">
        <v>3576</v>
      </c>
      <c r="D496" s="88"/>
      <c r="W496" s="35" t="str">
        <f>"-- "&amp;B496&amp;" : "&amp;C496</f>
        <v>-- SQL_ID : 01_A4-01</v>
      </c>
    </row>
    <row r="497" spans="2:23" ht="18.75" customHeight="1">
      <c r="B497" s="43" t="s">
        <v>158</v>
      </c>
      <c r="C497" s="145" t="str">
        <f>R500&amp;"登録"</f>
        <v>バックアップ_年度マスタ登録</v>
      </c>
      <c r="D497" s="146"/>
      <c r="E497" s="146"/>
      <c r="F497" s="146"/>
      <c r="G497" s="146"/>
      <c r="H497" s="146"/>
      <c r="I497" s="146"/>
      <c r="J497" s="146"/>
      <c r="K497" s="146"/>
      <c r="L497" s="146"/>
      <c r="M497" s="146"/>
      <c r="N497" s="146"/>
      <c r="O497" s="146"/>
      <c r="P497" s="146"/>
      <c r="Q497" s="146"/>
      <c r="R497" s="146"/>
      <c r="S497" s="146"/>
      <c r="T497" s="146"/>
      <c r="U497" s="147"/>
      <c r="W497" s="35" t="str">
        <f>"-- "&amp;C497</f>
        <v>-- バックアップ_年度マスタ登録</v>
      </c>
    </row>
    <row r="498" spans="2:23" ht="18.75" customHeight="1">
      <c r="B498" s="43" t="s">
        <v>159</v>
      </c>
      <c r="C498" s="134" t="str">
        <f>C500&amp;"テーブルのレコードを"&amp;R500&amp;"テーブルに格納する。"</f>
        <v>年度マスタテーブルのレコードをバックアップ_年度マスタテーブルに格納する。</v>
      </c>
      <c r="D498" s="135"/>
      <c r="E498" s="135"/>
      <c r="F498" s="135"/>
      <c r="G498" s="135"/>
      <c r="H498" s="135"/>
      <c r="I498" s="135"/>
      <c r="J498" s="135"/>
      <c r="K498" s="135"/>
      <c r="L498" s="135"/>
      <c r="M498" s="135"/>
      <c r="N498" s="135"/>
      <c r="O498" s="135"/>
      <c r="P498" s="135"/>
      <c r="Q498" s="135"/>
      <c r="R498" s="135"/>
      <c r="S498" s="135"/>
      <c r="T498" s="135"/>
      <c r="U498" s="136"/>
      <c r="W498" s="35" t="str">
        <f>"-- "&amp;C498</f>
        <v>-- 年度マスタテーブルのレコードをバックアップ_年度マスタテーブルに格納する。</v>
      </c>
    </row>
    <row r="500" spans="2:23" ht="18.75" customHeight="1">
      <c r="C500" s="137" t="s">
        <v>3577</v>
      </c>
      <c r="D500" s="138"/>
      <c r="E500" s="141" t="s">
        <v>162</v>
      </c>
      <c r="F500" s="36"/>
      <c r="G500" s="36"/>
      <c r="H500" s="36"/>
      <c r="I500" s="36"/>
      <c r="J500" s="36"/>
      <c r="K500" s="36"/>
      <c r="L500" s="36"/>
      <c r="M500" s="36"/>
      <c r="N500" s="36"/>
      <c r="O500" s="36"/>
      <c r="P500" s="36"/>
      <c r="Q500" s="36"/>
      <c r="R500" s="137" t="str">
        <f>"バックアップ_"&amp;SUBSTITUTE(C500,"_結合","")</f>
        <v>バックアップ_年度マスタ</v>
      </c>
      <c r="S500" s="138"/>
      <c r="T500" s="143" t="str">
        <f>エンティティ一覧!$O$2</f>
        <v>milscm_2023_010</v>
      </c>
    </row>
    <row r="501" spans="2:23" ht="18.75" customHeight="1">
      <c r="C501" s="139"/>
      <c r="D501" s="140"/>
      <c r="E501" s="142"/>
      <c r="F501" s="37"/>
      <c r="G501" s="37"/>
      <c r="H501" s="37"/>
      <c r="I501" s="37"/>
      <c r="J501" s="37"/>
      <c r="K501" s="37"/>
      <c r="L501" s="37"/>
      <c r="M501" s="37"/>
      <c r="N501" s="37"/>
      <c r="O501" s="37"/>
      <c r="P501" s="37"/>
      <c r="Q501" s="37"/>
      <c r="R501" s="139"/>
      <c r="S501" s="140"/>
      <c r="T501" s="144"/>
    </row>
    <row r="503" spans="2:23" ht="18.75" customHeight="1" thickBot="1">
      <c r="B503" s="42"/>
      <c r="C503" s="42"/>
      <c r="D503" s="42"/>
      <c r="E503" s="42"/>
      <c r="F503" s="42"/>
      <c r="G503" s="42"/>
      <c r="H503" s="42"/>
      <c r="I503" s="42"/>
      <c r="J503" s="42"/>
      <c r="K503" s="42"/>
      <c r="L503" s="42"/>
      <c r="M503" s="42"/>
      <c r="N503" s="42"/>
      <c r="O503" s="42"/>
      <c r="P503" s="42"/>
      <c r="Q503" s="42"/>
      <c r="R503" s="42"/>
      <c r="S503" s="42"/>
      <c r="T503" s="42"/>
      <c r="U503" s="42"/>
    </row>
    <row r="505" spans="2:23" ht="18.75" customHeight="1">
      <c r="B505" s="43" t="s">
        <v>163</v>
      </c>
      <c r="C505" s="51" t="s">
        <v>3578</v>
      </c>
      <c r="D505" s="88"/>
      <c r="W505" s="35" t="str">
        <f>"-- "&amp;B505&amp;" : "&amp;C505</f>
        <v>-- SQL_ID : 01_A4-02</v>
      </c>
    </row>
    <row r="506" spans="2:23" ht="18.75" customHeight="1">
      <c r="B506" s="43" t="s">
        <v>158</v>
      </c>
      <c r="C506" s="145" t="str">
        <f>R509&amp;"登録"</f>
        <v>バックアップ_都道府県地方コードマスタ登録</v>
      </c>
      <c r="D506" s="146"/>
      <c r="E506" s="146"/>
      <c r="F506" s="146"/>
      <c r="G506" s="146"/>
      <c r="H506" s="146"/>
      <c r="I506" s="146"/>
      <c r="J506" s="146"/>
      <c r="K506" s="146"/>
      <c r="L506" s="146"/>
      <c r="M506" s="146"/>
      <c r="N506" s="146"/>
      <c r="O506" s="146"/>
      <c r="P506" s="146"/>
      <c r="Q506" s="146"/>
      <c r="R506" s="146"/>
      <c r="S506" s="146"/>
      <c r="T506" s="146"/>
      <c r="U506" s="147"/>
      <c r="W506" s="35" t="str">
        <f>"-- "&amp;C506</f>
        <v>-- バックアップ_都道府県地方コードマスタ登録</v>
      </c>
    </row>
    <row r="507" spans="2:23" ht="18.75" customHeight="1">
      <c r="B507" s="43" t="s">
        <v>159</v>
      </c>
      <c r="C507" s="134" t="str">
        <f>C509&amp;"テーブルのレコードを"&amp;R509&amp;"テーブルに格納する。"</f>
        <v>都道府県地方コードマスタテーブルのレコードをバックアップ_都道府県地方コードマスタテーブルに格納する。</v>
      </c>
      <c r="D507" s="135"/>
      <c r="E507" s="135"/>
      <c r="F507" s="135"/>
      <c r="G507" s="135"/>
      <c r="H507" s="135"/>
      <c r="I507" s="135"/>
      <c r="J507" s="135"/>
      <c r="K507" s="135"/>
      <c r="L507" s="135"/>
      <c r="M507" s="135"/>
      <c r="N507" s="135"/>
      <c r="O507" s="135"/>
      <c r="P507" s="135"/>
      <c r="Q507" s="135"/>
      <c r="R507" s="135"/>
      <c r="S507" s="135"/>
      <c r="T507" s="135"/>
      <c r="U507" s="136"/>
      <c r="W507" s="35" t="str">
        <f>"-- "&amp;C507</f>
        <v>-- 都道府県地方コードマスタテーブルのレコードをバックアップ_都道府県地方コードマスタテーブルに格納する。</v>
      </c>
    </row>
    <row r="509" spans="2:23" ht="18.75" customHeight="1">
      <c r="C509" s="137" t="s">
        <v>3579</v>
      </c>
      <c r="D509" s="138"/>
      <c r="E509" s="141" t="s">
        <v>162</v>
      </c>
      <c r="F509" s="36"/>
      <c r="G509" s="36"/>
      <c r="H509" s="36"/>
      <c r="I509" s="36"/>
      <c r="J509" s="36"/>
      <c r="K509" s="36"/>
      <c r="L509" s="36"/>
      <c r="M509" s="36"/>
      <c r="N509" s="36"/>
      <c r="O509" s="36"/>
      <c r="P509" s="36"/>
      <c r="Q509" s="36"/>
      <c r="R509" s="137" t="str">
        <f>"バックアップ_"&amp;SUBSTITUTE(C509,"_結合","")</f>
        <v>バックアップ_都道府県地方コードマスタ</v>
      </c>
      <c r="S509" s="138"/>
      <c r="T509" s="143" t="str">
        <f>エンティティ一覧!$O$2</f>
        <v>milscm_2023_010</v>
      </c>
    </row>
    <row r="510" spans="2:23" ht="18.75" customHeight="1">
      <c r="C510" s="139"/>
      <c r="D510" s="140"/>
      <c r="E510" s="142"/>
      <c r="F510" s="37"/>
      <c r="G510" s="37"/>
      <c r="H510" s="37"/>
      <c r="I510" s="37"/>
      <c r="J510" s="37"/>
      <c r="K510" s="37"/>
      <c r="L510" s="37"/>
      <c r="M510" s="37"/>
      <c r="N510" s="37"/>
      <c r="O510" s="37"/>
      <c r="P510" s="37"/>
      <c r="Q510" s="37"/>
      <c r="R510" s="139"/>
      <c r="S510" s="140"/>
      <c r="T510" s="144"/>
    </row>
    <row r="512" spans="2:23" ht="18.75" customHeight="1" thickBot="1">
      <c r="B512" s="42"/>
      <c r="C512" s="42"/>
      <c r="D512" s="42"/>
      <c r="E512" s="42"/>
      <c r="F512" s="42"/>
      <c r="G512" s="42"/>
      <c r="H512" s="42"/>
      <c r="I512" s="42"/>
      <c r="J512" s="42"/>
      <c r="K512" s="42"/>
      <c r="L512" s="42"/>
      <c r="M512" s="42"/>
      <c r="N512" s="42"/>
      <c r="O512" s="42"/>
      <c r="P512" s="42"/>
      <c r="Q512" s="42"/>
      <c r="R512" s="42"/>
      <c r="S512" s="42"/>
      <c r="T512" s="42"/>
      <c r="U512" s="42"/>
    </row>
    <row r="514" spans="2:23" ht="18.75" customHeight="1">
      <c r="B514" s="43" t="s">
        <v>163</v>
      </c>
      <c r="C514" s="51" t="s">
        <v>3580</v>
      </c>
      <c r="D514" s="88"/>
      <c r="W514" s="35" t="str">
        <f>"-- "&amp;B514&amp;" : "&amp;C514</f>
        <v>-- SQL_ID : 01_A4-03</v>
      </c>
    </row>
    <row r="515" spans="2:23" ht="18.75" customHeight="1">
      <c r="B515" s="43" t="s">
        <v>158</v>
      </c>
      <c r="C515" s="145" t="str">
        <f>R518&amp;"登録"</f>
        <v>バックアップ_施設属性マスタ登録</v>
      </c>
      <c r="D515" s="146"/>
      <c r="E515" s="146"/>
      <c r="F515" s="146"/>
      <c r="G515" s="146"/>
      <c r="H515" s="146"/>
      <c r="I515" s="146"/>
      <c r="J515" s="146"/>
      <c r="K515" s="146"/>
      <c r="L515" s="146"/>
      <c r="M515" s="146"/>
      <c r="N515" s="146"/>
      <c r="O515" s="146"/>
      <c r="P515" s="146"/>
      <c r="Q515" s="146"/>
      <c r="R515" s="146"/>
      <c r="S515" s="146"/>
      <c r="T515" s="146"/>
      <c r="U515" s="147"/>
      <c r="W515" s="35" t="str">
        <f>"-- "&amp;C515</f>
        <v>-- バックアップ_施設属性マスタ登録</v>
      </c>
    </row>
    <row r="516" spans="2:23" ht="18.75" customHeight="1">
      <c r="B516" s="43" t="s">
        <v>159</v>
      </c>
      <c r="C516" s="134" t="str">
        <f>C518&amp;"テーブルのレコードを"&amp;R518&amp;"テーブルに格納する。"</f>
        <v>施設属性マスタテーブルのレコードをバックアップ_施設属性マスタテーブルに格納する。</v>
      </c>
      <c r="D516" s="135"/>
      <c r="E516" s="135"/>
      <c r="F516" s="135"/>
      <c r="G516" s="135"/>
      <c r="H516" s="135"/>
      <c r="I516" s="135"/>
      <c r="J516" s="135"/>
      <c r="K516" s="135"/>
      <c r="L516" s="135"/>
      <c r="M516" s="135"/>
      <c r="N516" s="135"/>
      <c r="O516" s="135"/>
      <c r="P516" s="135"/>
      <c r="Q516" s="135"/>
      <c r="R516" s="135"/>
      <c r="S516" s="135"/>
      <c r="T516" s="135"/>
      <c r="U516" s="136"/>
      <c r="W516" s="35" t="str">
        <f>"-- "&amp;C516</f>
        <v>-- 施設属性マスタテーブルのレコードをバックアップ_施設属性マスタテーブルに格納する。</v>
      </c>
    </row>
    <row r="518" spans="2:23" ht="18.75" customHeight="1">
      <c r="C518" s="137" t="s">
        <v>3581</v>
      </c>
      <c r="D518" s="138"/>
      <c r="E518" s="141" t="s">
        <v>162</v>
      </c>
      <c r="F518" s="36"/>
      <c r="G518" s="36"/>
      <c r="H518" s="36"/>
      <c r="I518" s="36"/>
      <c r="J518" s="36"/>
      <c r="K518" s="36"/>
      <c r="L518" s="36"/>
      <c r="M518" s="36"/>
      <c r="N518" s="36"/>
      <c r="O518" s="36"/>
      <c r="P518" s="36"/>
      <c r="Q518" s="36"/>
      <c r="R518" s="137" t="str">
        <f>"バックアップ_"&amp;SUBSTITUTE(C518,"_結合","")</f>
        <v>バックアップ_施設属性マスタ</v>
      </c>
      <c r="S518" s="138"/>
      <c r="T518" s="143" t="str">
        <f>エンティティ一覧!$O$2</f>
        <v>milscm_2023_010</v>
      </c>
    </row>
    <row r="519" spans="2:23" ht="18.75" customHeight="1">
      <c r="C519" s="139"/>
      <c r="D519" s="140"/>
      <c r="E519" s="142"/>
      <c r="F519" s="37"/>
      <c r="G519" s="37"/>
      <c r="H519" s="37"/>
      <c r="I519" s="37"/>
      <c r="J519" s="37"/>
      <c r="K519" s="37"/>
      <c r="L519" s="37"/>
      <c r="M519" s="37"/>
      <c r="N519" s="37"/>
      <c r="O519" s="37"/>
      <c r="P519" s="37"/>
      <c r="Q519" s="37"/>
      <c r="R519" s="139"/>
      <c r="S519" s="140"/>
      <c r="T519" s="144"/>
    </row>
    <row r="521" spans="2:23" ht="18.75" customHeight="1" thickBot="1">
      <c r="B521" s="42"/>
      <c r="C521" s="42"/>
      <c r="D521" s="42"/>
      <c r="E521" s="42"/>
      <c r="F521" s="42"/>
      <c r="G521" s="42"/>
      <c r="H521" s="42"/>
      <c r="I521" s="42"/>
      <c r="J521" s="42"/>
      <c r="K521" s="42"/>
      <c r="L521" s="42"/>
      <c r="M521" s="42"/>
      <c r="N521" s="42"/>
      <c r="O521" s="42"/>
      <c r="P521" s="42"/>
      <c r="Q521" s="42"/>
      <c r="R521" s="42"/>
      <c r="S521" s="42"/>
      <c r="T521" s="42"/>
      <c r="U521" s="42"/>
    </row>
    <row r="523" spans="2:23" ht="18.75" customHeight="1">
      <c r="B523" s="43" t="s">
        <v>163</v>
      </c>
      <c r="C523" s="51" t="s">
        <v>3582</v>
      </c>
      <c r="D523" s="88"/>
      <c r="W523" s="35" t="str">
        <f>"-- "&amp;B523&amp;" : "&amp;C523</f>
        <v>-- SQL_ID : 01_A4-04</v>
      </c>
    </row>
    <row r="524" spans="2:23" ht="18.75" customHeight="1">
      <c r="B524" s="43" t="s">
        <v>158</v>
      </c>
      <c r="C524" s="145" t="str">
        <f>R527&amp;"登録"</f>
        <v>バックアップ_二次医療圏マスタ登録</v>
      </c>
      <c r="D524" s="146"/>
      <c r="E524" s="146"/>
      <c r="F524" s="146"/>
      <c r="G524" s="146"/>
      <c r="H524" s="146"/>
      <c r="I524" s="146"/>
      <c r="J524" s="146"/>
      <c r="K524" s="146"/>
      <c r="L524" s="146"/>
      <c r="M524" s="146"/>
      <c r="N524" s="146"/>
      <c r="O524" s="146"/>
      <c r="P524" s="146"/>
      <c r="Q524" s="146"/>
      <c r="R524" s="146"/>
      <c r="S524" s="146"/>
      <c r="T524" s="146"/>
      <c r="U524" s="147"/>
      <c r="W524" s="35" t="str">
        <f>"-- "&amp;C524</f>
        <v>-- バックアップ_二次医療圏マスタ登録</v>
      </c>
    </row>
    <row r="525" spans="2:23" ht="18.75" customHeight="1">
      <c r="B525" s="43" t="s">
        <v>159</v>
      </c>
      <c r="C525" s="134" t="str">
        <f>C527&amp;"テーブルのレコードを"&amp;R527&amp;"テーブルに格納する。"</f>
        <v>二次医療圏マスタテーブルのレコードをバックアップ_二次医療圏マスタテーブルに格納する。</v>
      </c>
      <c r="D525" s="135"/>
      <c r="E525" s="135"/>
      <c r="F525" s="135"/>
      <c r="G525" s="135"/>
      <c r="H525" s="135"/>
      <c r="I525" s="135"/>
      <c r="J525" s="135"/>
      <c r="K525" s="135"/>
      <c r="L525" s="135"/>
      <c r="M525" s="135"/>
      <c r="N525" s="135"/>
      <c r="O525" s="135"/>
      <c r="P525" s="135"/>
      <c r="Q525" s="135"/>
      <c r="R525" s="135"/>
      <c r="S525" s="135"/>
      <c r="T525" s="135"/>
      <c r="U525" s="136"/>
      <c r="W525" s="35" t="str">
        <f>"-- "&amp;C525</f>
        <v>-- 二次医療圏マスタテーブルのレコードをバックアップ_二次医療圏マスタテーブルに格納する。</v>
      </c>
    </row>
    <row r="527" spans="2:23" ht="18.75" customHeight="1">
      <c r="C527" s="137" t="s">
        <v>3583</v>
      </c>
      <c r="D527" s="138"/>
      <c r="E527" s="141" t="s">
        <v>162</v>
      </c>
      <c r="F527" s="36"/>
      <c r="G527" s="36"/>
      <c r="H527" s="36"/>
      <c r="I527" s="36"/>
      <c r="J527" s="36"/>
      <c r="K527" s="36"/>
      <c r="L527" s="36"/>
      <c r="M527" s="36"/>
      <c r="N527" s="36"/>
      <c r="O527" s="36"/>
      <c r="P527" s="36"/>
      <c r="Q527" s="36"/>
      <c r="R527" s="137" t="str">
        <f>"バックアップ_"&amp;SUBSTITUTE(C527,"_結合","")</f>
        <v>バックアップ_二次医療圏マスタ</v>
      </c>
      <c r="S527" s="138"/>
      <c r="T527" s="143" t="str">
        <f>エンティティ一覧!$O$2</f>
        <v>milscm_2023_010</v>
      </c>
    </row>
    <row r="528" spans="2:23" ht="18.75" customHeight="1">
      <c r="C528" s="139"/>
      <c r="D528" s="140"/>
      <c r="E528" s="142"/>
      <c r="F528" s="37"/>
      <c r="G528" s="37"/>
      <c r="H528" s="37"/>
      <c r="I528" s="37"/>
      <c r="J528" s="37"/>
      <c r="K528" s="37"/>
      <c r="L528" s="37"/>
      <c r="M528" s="37"/>
      <c r="N528" s="37"/>
      <c r="O528" s="37"/>
      <c r="P528" s="37"/>
      <c r="Q528" s="37"/>
      <c r="R528" s="139"/>
      <c r="S528" s="140"/>
      <c r="T528" s="144"/>
    </row>
    <row r="530" spans="2:23" ht="18.75" customHeight="1" thickBot="1">
      <c r="B530" s="42"/>
      <c r="C530" s="42"/>
      <c r="D530" s="42"/>
      <c r="E530" s="42"/>
      <c r="F530" s="42"/>
      <c r="G530" s="42"/>
      <c r="H530" s="42"/>
      <c r="I530" s="42"/>
      <c r="J530" s="42"/>
      <c r="K530" s="42"/>
      <c r="L530" s="42"/>
      <c r="M530" s="42"/>
      <c r="N530" s="42"/>
      <c r="O530" s="42"/>
      <c r="P530" s="42"/>
      <c r="Q530" s="42"/>
      <c r="R530" s="42"/>
      <c r="S530" s="42"/>
      <c r="T530" s="42"/>
      <c r="U530" s="42"/>
    </row>
    <row r="532" spans="2:23" ht="18.75" customHeight="1">
      <c r="B532" s="43" t="s">
        <v>163</v>
      </c>
      <c r="C532" s="51" t="s">
        <v>3584</v>
      </c>
      <c r="D532" s="88"/>
      <c r="W532" s="35" t="str">
        <f>"-- "&amp;B532&amp;" : "&amp;C532</f>
        <v>-- SQL_ID : 01_A4-05</v>
      </c>
    </row>
    <row r="533" spans="2:23" ht="18.75" customHeight="1">
      <c r="B533" s="43" t="s">
        <v>158</v>
      </c>
      <c r="C533" s="145" t="str">
        <f>R536&amp;"登録"</f>
        <v>バックアップ_施設ID対応マスタ登録</v>
      </c>
      <c r="D533" s="146"/>
      <c r="E533" s="146"/>
      <c r="F533" s="146"/>
      <c r="G533" s="146"/>
      <c r="H533" s="146"/>
      <c r="I533" s="146"/>
      <c r="J533" s="146"/>
      <c r="K533" s="146"/>
      <c r="L533" s="146"/>
      <c r="M533" s="146"/>
      <c r="N533" s="146"/>
      <c r="O533" s="146"/>
      <c r="P533" s="146"/>
      <c r="Q533" s="146"/>
      <c r="R533" s="146"/>
      <c r="S533" s="146"/>
      <c r="T533" s="146"/>
      <c r="U533" s="147"/>
      <c r="W533" s="35" t="str">
        <f>"-- "&amp;C533</f>
        <v>-- バックアップ_施設ID対応マスタ登録</v>
      </c>
    </row>
    <row r="534" spans="2:23" ht="18.75" customHeight="1">
      <c r="B534" s="43" t="s">
        <v>159</v>
      </c>
      <c r="C534" s="134" t="str">
        <f>C536&amp;"テーブルのレコードを"&amp;R536&amp;"テーブルに格納する。"</f>
        <v>施設ID対応マスタテーブルのレコードをバックアップ_施設ID対応マスタテーブルに格納する。</v>
      </c>
      <c r="D534" s="135"/>
      <c r="E534" s="135"/>
      <c r="F534" s="135"/>
      <c r="G534" s="135"/>
      <c r="H534" s="135"/>
      <c r="I534" s="135"/>
      <c r="J534" s="135"/>
      <c r="K534" s="135"/>
      <c r="L534" s="135"/>
      <c r="M534" s="135"/>
      <c r="N534" s="135"/>
      <c r="O534" s="135"/>
      <c r="P534" s="135"/>
      <c r="Q534" s="135"/>
      <c r="R534" s="135"/>
      <c r="S534" s="135"/>
      <c r="T534" s="135"/>
      <c r="U534" s="136"/>
      <c r="W534" s="35" t="str">
        <f>"-- "&amp;C534</f>
        <v>-- 施設ID対応マスタテーブルのレコードをバックアップ_施設ID対応マスタテーブルに格納する。</v>
      </c>
    </row>
    <row r="536" spans="2:23" ht="18.75" customHeight="1">
      <c r="C536" s="137" t="s">
        <v>3585</v>
      </c>
      <c r="D536" s="138"/>
      <c r="E536" s="141" t="s">
        <v>162</v>
      </c>
      <c r="F536" s="36"/>
      <c r="G536" s="36"/>
      <c r="H536" s="36"/>
      <c r="I536" s="36"/>
      <c r="J536" s="36"/>
      <c r="K536" s="36"/>
      <c r="L536" s="36"/>
      <c r="M536" s="36"/>
      <c r="N536" s="36"/>
      <c r="O536" s="36"/>
      <c r="P536" s="36"/>
      <c r="Q536" s="36"/>
      <c r="R536" s="137" t="str">
        <f>"バックアップ_"&amp;SUBSTITUTE(C536,"_結合","")</f>
        <v>バックアップ_施設ID対応マスタ</v>
      </c>
      <c r="S536" s="138"/>
      <c r="T536" s="143" t="str">
        <f>エンティティ一覧!$O$2</f>
        <v>milscm_2023_010</v>
      </c>
    </row>
    <row r="537" spans="2:23" ht="18.75" customHeight="1">
      <c r="C537" s="139"/>
      <c r="D537" s="140"/>
      <c r="E537" s="142"/>
      <c r="F537" s="37"/>
      <c r="G537" s="37"/>
      <c r="H537" s="37"/>
      <c r="I537" s="37"/>
      <c r="J537" s="37"/>
      <c r="K537" s="37"/>
      <c r="L537" s="37"/>
      <c r="M537" s="37"/>
      <c r="N537" s="37"/>
      <c r="O537" s="37"/>
      <c r="P537" s="37"/>
      <c r="Q537" s="37"/>
      <c r="R537" s="139"/>
      <c r="S537" s="140"/>
      <c r="T537" s="144"/>
    </row>
    <row r="539" spans="2:23" ht="18.75" customHeight="1" thickBot="1">
      <c r="B539" s="42"/>
      <c r="C539" s="42"/>
      <c r="D539" s="42"/>
      <c r="E539" s="42"/>
      <c r="F539" s="42"/>
      <c r="G539" s="42"/>
      <c r="H539" s="42"/>
      <c r="I539" s="42"/>
      <c r="J539" s="42"/>
      <c r="K539" s="42"/>
      <c r="L539" s="42"/>
      <c r="M539" s="42"/>
      <c r="N539" s="42"/>
      <c r="O539" s="42"/>
      <c r="P539" s="42"/>
      <c r="Q539" s="42"/>
      <c r="R539" s="42"/>
      <c r="S539" s="42"/>
      <c r="T539" s="42"/>
      <c r="U539" s="42"/>
    </row>
    <row r="541" spans="2:23" ht="18.75" customHeight="1">
      <c r="B541" s="43" t="s">
        <v>163</v>
      </c>
      <c r="C541" s="51" t="s">
        <v>3586</v>
      </c>
      <c r="D541" s="88"/>
      <c r="W541" s="35" t="str">
        <f>"-- "&amp;B541&amp;" : "&amp;C541</f>
        <v>-- SQL_ID : 01_A4-07</v>
      </c>
    </row>
    <row r="542" spans="2:23" ht="18.75" customHeight="1">
      <c r="B542" s="43" t="s">
        <v>158</v>
      </c>
      <c r="C542" s="145" t="str">
        <f>R545&amp;"登録"</f>
        <v>バックアップ_医薬品関連マスタ登録</v>
      </c>
      <c r="D542" s="146"/>
      <c r="E542" s="146"/>
      <c r="F542" s="146"/>
      <c r="G542" s="146"/>
      <c r="H542" s="146"/>
      <c r="I542" s="146"/>
      <c r="J542" s="146"/>
      <c r="K542" s="146"/>
      <c r="L542" s="146"/>
      <c r="M542" s="146"/>
      <c r="N542" s="146"/>
      <c r="O542" s="146"/>
      <c r="P542" s="146"/>
      <c r="Q542" s="146"/>
      <c r="R542" s="146"/>
      <c r="S542" s="146"/>
      <c r="T542" s="146"/>
      <c r="U542" s="147"/>
      <c r="W542" s="35" t="str">
        <f>"-- "&amp;C542</f>
        <v>-- バックアップ_医薬品関連マスタ登録</v>
      </c>
    </row>
    <row r="543" spans="2:23" ht="18.75" customHeight="1">
      <c r="B543" s="43" t="s">
        <v>159</v>
      </c>
      <c r="C543" s="134" t="str">
        <f>C545&amp;"テーブルのレコードを"&amp;R545&amp;"テーブルに格納する。"</f>
        <v>医薬品関連マスタテーブルのレコードをバックアップ_医薬品関連マスタテーブルに格納する。</v>
      </c>
      <c r="D543" s="135"/>
      <c r="E543" s="135"/>
      <c r="F543" s="135"/>
      <c r="G543" s="135"/>
      <c r="H543" s="135"/>
      <c r="I543" s="135"/>
      <c r="J543" s="135"/>
      <c r="K543" s="135"/>
      <c r="L543" s="135"/>
      <c r="M543" s="135"/>
      <c r="N543" s="135"/>
      <c r="O543" s="135"/>
      <c r="P543" s="135"/>
      <c r="Q543" s="135"/>
      <c r="R543" s="135"/>
      <c r="S543" s="135"/>
      <c r="T543" s="135"/>
      <c r="U543" s="136"/>
      <c r="W543" s="35" t="str">
        <f>"-- "&amp;C543</f>
        <v>-- 医薬品関連マスタテーブルのレコードをバックアップ_医薬品関連マスタテーブルに格納する。</v>
      </c>
    </row>
    <row r="545" spans="2:23" ht="18.75" customHeight="1">
      <c r="C545" s="137" t="s">
        <v>3587</v>
      </c>
      <c r="D545" s="138"/>
      <c r="E545" s="141" t="s">
        <v>162</v>
      </c>
      <c r="F545" s="36"/>
      <c r="G545" s="36"/>
      <c r="H545" s="36"/>
      <c r="I545" s="36"/>
      <c r="J545" s="36"/>
      <c r="K545" s="36"/>
      <c r="L545" s="36"/>
      <c r="M545" s="36"/>
      <c r="N545" s="36"/>
      <c r="O545" s="36"/>
      <c r="P545" s="36"/>
      <c r="Q545" s="36"/>
      <c r="R545" s="137" t="str">
        <f>"バックアップ_"&amp;SUBSTITUTE(C545,"_結合","")</f>
        <v>バックアップ_医薬品関連マスタ</v>
      </c>
      <c r="S545" s="138"/>
      <c r="T545" s="143" t="str">
        <f>エンティティ一覧!$O$2</f>
        <v>milscm_2023_010</v>
      </c>
    </row>
    <row r="546" spans="2:23" ht="18.75" customHeight="1">
      <c r="C546" s="139"/>
      <c r="D546" s="140"/>
      <c r="E546" s="142"/>
      <c r="F546" s="37"/>
      <c r="G546" s="37"/>
      <c r="H546" s="37"/>
      <c r="I546" s="37"/>
      <c r="J546" s="37"/>
      <c r="K546" s="37"/>
      <c r="L546" s="37"/>
      <c r="M546" s="37"/>
      <c r="N546" s="37"/>
      <c r="O546" s="37"/>
      <c r="P546" s="37"/>
      <c r="Q546" s="37"/>
      <c r="R546" s="139"/>
      <c r="S546" s="140"/>
      <c r="T546" s="144"/>
    </row>
    <row r="548" spans="2:23" ht="18.75" customHeight="1" thickBot="1">
      <c r="B548" s="42"/>
      <c r="C548" s="42"/>
      <c r="D548" s="42"/>
      <c r="E548" s="42"/>
      <c r="F548" s="42"/>
      <c r="G548" s="42"/>
      <c r="H548" s="42"/>
      <c r="I548" s="42"/>
      <c r="J548" s="42"/>
      <c r="K548" s="42"/>
      <c r="L548" s="42"/>
      <c r="M548" s="42"/>
      <c r="N548" s="42"/>
      <c r="O548" s="42"/>
      <c r="P548" s="42"/>
      <c r="Q548" s="42"/>
      <c r="R548" s="42"/>
      <c r="S548" s="42"/>
      <c r="T548" s="42"/>
      <c r="U548" s="42"/>
    </row>
    <row r="550" spans="2:23" ht="18.75" customHeight="1">
      <c r="B550" s="43" t="s">
        <v>163</v>
      </c>
      <c r="C550" s="51" t="s">
        <v>3588</v>
      </c>
      <c r="D550" s="88"/>
      <c r="W550" s="35" t="str">
        <f>"-- "&amp;B550&amp;" : "&amp;C550</f>
        <v>-- SQL_ID : 01_A4-08</v>
      </c>
    </row>
    <row r="551" spans="2:23" ht="18.75" customHeight="1">
      <c r="B551" s="43" t="s">
        <v>158</v>
      </c>
      <c r="C551" s="145" t="str">
        <f>R554&amp;"登録"</f>
        <v>バックアップ_薬価関連マスタ登録</v>
      </c>
      <c r="D551" s="146"/>
      <c r="E551" s="146"/>
      <c r="F551" s="146"/>
      <c r="G551" s="146"/>
      <c r="H551" s="146"/>
      <c r="I551" s="146"/>
      <c r="J551" s="146"/>
      <c r="K551" s="146"/>
      <c r="L551" s="146"/>
      <c r="M551" s="146"/>
      <c r="N551" s="146"/>
      <c r="O551" s="146"/>
      <c r="P551" s="146"/>
      <c r="Q551" s="146"/>
      <c r="R551" s="146"/>
      <c r="S551" s="146"/>
      <c r="T551" s="146"/>
      <c r="U551" s="147"/>
      <c r="W551" s="35" t="str">
        <f>"-- "&amp;C551</f>
        <v>-- バックアップ_薬価関連マスタ登録</v>
      </c>
    </row>
    <row r="552" spans="2:23" ht="18.75" customHeight="1">
      <c r="B552" s="43" t="s">
        <v>159</v>
      </c>
      <c r="C552" s="134" t="str">
        <f>C554&amp;"テーブルのレコードを"&amp;R554&amp;"テーブルに格納する。"</f>
        <v>薬価関連マスタテーブルのレコードをバックアップ_薬価関連マスタテーブルに格納する。</v>
      </c>
      <c r="D552" s="135"/>
      <c r="E552" s="135"/>
      <c r="F552" s="135"/>
      <c r="G552" s="135"/>
      <c r="H552" s="135"/>
      <c r="I552" s="135"/>
      <c r="J552" s="135"/>
      <c r="K552" s="135"/>
      <c r="L552" s="135"/>
      <c r="M552" s="135"/>
      <c r="N552" s="135"/>
      <c r="O552" s="135"/>
      <c r="P552" s="135"/>
      <c r="Q552" s="135"/>
      <c r="R552" s="135"/>
      <c r="S552" s="135"/>
      <c r="T552" s="135"/>
      <c r="U552" s="136"/>
      <c r="W552" s="35" t="str">
        <f>"-- "&amp;C552</f>
        <v>-- 薬価関連マスタテーブルのレコードをバックアップ_薬価関連マスタテーブルに格納する。</v>
      </c>
    </row>
    <row r="554" spans="2:23" ht="18.75" customHeight="1">
      <c r="C554" s="137" t="s">
        <v>3589</v>
      </c>
      <c r="D554" s="138"/>
      <c r="E554" s="141" t="s">
        <v>162</v>
      </c>
      <c r="F554" s="36"/>
      <c r="G554" s="36"/>
      <c r="H554" s="36"/>
      <c r="I554" s="36"/>
      <c r="J554" s="36"/>
      <c r="K554" s="36"/>
      <c r="L554" s="36"/>
      <c r="M554" s="36"/>
      <c r="N554" s="36"/>
      <c r="O554" s="36"/>
      <c r="P554" s="36"/>
      <c r="Q554" s="36"/>
      <c r="R554" s="137" t="str">
        <f>"バックアップ_"&amp;SUBSTITUTE(C554,"_結合","")</f>
        <v>バックアップ_薬価関連マスタ</v>
      </c>
      <c r="S554" s="138"/>
      <c r="T554" s="143" t="str">
        <f>エンティティ一覧!$O$2</f>
        <v>milscm_2023_010</v>
      </c>
    </row>
    <row r="555" spans="2:23" ht="18.75" customHeight="1">
      <c r="C555" s="139"/>
      <c r="D555" s="140"/>
      <c r="E555" s="142"/>
      <c r="F555" s="37"/>
      <c r="G555" s="37"/>
      <c r="H555" s="37"/>
      <c r="I555" s="37"/>
      <c r="J555" s="37"/>
      <c r="K555" s="37"/>
      <c r="L555" s="37"/>
      <c r="M555" s="37"/>
      <c r="N555" s="37"/>
      <c r="O555" s="37"/>
      <c r="P555" s="37"/>
      <c r="Q555" s="37"/>
      <c r="R555" s="139"/>
      <c r="S555" s="140"/>
      <c r="T555" s="144"/>
    </row>
    <row r="557" spans="2:23" ht="18.75" customHeight="1" thickBot="1">
      <c r="B557" s="42"/>
      <c r="C557" s="42"/>
      <c r="D557" s="42"/>
      <c r="E557" s="42"/>
      <c r="F557" s="42"/>
      <c r="G557" s="42"/>
      <c r="H557" s="42"/>
      <c r="I557" s="42"/>
      <c r="J557" s="42"/>
      <c r="K557" s="42"/>
      <c r="L557" s="42"/>
      <c r="M557" s="42"/>
      <c r="N557" s="42"/>
      <c r="O557" s="42"/>
      <c r="P557" s="42"/>
      <c r="Q557" s="42"/>
      <c r="R557" s="42"/>
      <c r="S557" s="42"/>
      <c r="T557" s="42"/>
      <c r="U557" s="42"/>
    </row>
    <row r="559" spans="2:23" ht="18.75" customHeight="1">
      <c r="B559" s="43" t="s">
        <v>163</v>
      </c>
      <c r="C559" s="51" t="s">
        <v>3590</v>
      </c>
      <c r="D559" s="88"/>
      <c r="W559" s="35" t="str">
        <f>"-- "&amp;B559&amp;" : "&amp;C559</f>
        <v>-- SQL_ID : 01_A4-09</v>
      </c>
    </row>
    <row r="560" spans="2:23" ht="18.75" customHeight="1">
      <c r="B560" s="43" t="s">
        <v>158</v>
      </c>
      <c r="C560" s="145" t="str">
        <f>R563&amp;"登録"</f>
        <v>バックアップ_診療行為関連マスタ登録</v>
      </c>
      <c r="D560" s="146"/>
      <c r="E560" s="146"/>
      <c r="F560" s="146"/>
      <c r="G560" s="146"/>
      <c r="H560" s="146"/>
      <c r="I560" s="146"/>
      <c r="J560" s="146"/>
      <c r="K560" s="146"/>
      <c r="L560" s="146"/>
      <c r="M560" s="146"/>
      <c r="N560" s="146"/>
      <c r="O560" s="146"/>
      <c r="P560" s="146"/>
      <c r="Q560" s="146"/>
      <c r="R560" s="146"/>
      <c r="S560" s="146"/>
      <c r="T560" s="146"/>
      <c r="U560" s="147"/>
      <c r="W560" s="35" t="str">
        <f>"-- "&amp;C560</f>
        <v>-- バックアップ_診療行為関連マスタ登録</v>
      </c>
    </row>
    <row r="561" spans="2:23" ht="18.75" customHeight="1">
      <c r="B561" s="43" t="s">
        <v>159</v>
      </c>
      <c r="C561" s="134" t="str">
        <f>C563&amp;"テーブルのレコードを"&amp;R563&amp;"テーブルに格納する。"</f>
        <v>診療行為関連マスタテーブルのレコードをバックアップ_診療行為関連マスタテーブルに格納する。</v>
      </c>
      <c r="D561" s="135"/>
      <c r="E561" s="135"/>
      <c r="F561" s="135"/>
      <c r="G561" s="135"/>
      <c r="H561" s="135"/>
      <c r="I561" s="135"/>
      <c r="J561" s="135"/>
      <c r="K561" s="135"/>
      <c r="L561" s="135"/>
      <c r="M561" s="135"/>
      <c r="N561" s="135"/>
      <c r="O561" s="135"/>
      <c r="P561" s="135"/>
      <c r="Q561" s="135"/>
      <c r="R561" s="135"/>
      <c r="S561" s="135"/>
      <c r="T561" s="135"/>
      <c r="U561" s="136"/>
      <c r="W561" s="35" t="str">
        <f>"-- "&amp;C561</f>
        <v>-- 診療行為関連マスタテーブルのレコードをバックアップ_診療行為関連マスタテーブルに格納する。</v>
      </c>
    </row>
    <row r="563" spans="2:23" ht="18.75" customHeight="1">
      <c r="C563" s="137" t="s">
        <v>3591</v>
      </c>
      <c r="D563" s="138"/>
      <c r="E563" s="141" t="s">
        <v>162</v>
      </c>
      <c r="F563" s="36"/>
      <c r="G563" s="36"/>
      <c r="H563" s="36"/>
      <c r="I563" s="36"/>
      <c r="J563" s="36"/>
      <c r="K563" s="36"/>
      <c r="L563" s="36"/>
      <c r="M563" s="36"/>
      <c r="N563" s="36"/>
      <c r="O563" s="36"/>
      <c r="P563" s="36"/>
      <c r="Q563" s="36"/>
      <c r="R563" s="137" t="str">
        <f>"バックアップ_"&amp;SUBSTITUTE(C563,"_結合","")</f>
        <v>バックアップ_診療行為関連マスタ</v>
      </c>
      <c r="S563" s="138"/>
      <c r="T563" s="143" t="str">
        <f>エンティティ一覧!$O$2</f>
        <v>milscm_2023_010</v>
      </c>
    </row>
    <row r="564" spans="2:23" ht="18.75" customHeight="1">
      <c r="C564" s="139"/>
      <c r="D564" s="140"/>
      <c r="E564" s="142"/>
      <c r="F564" s="37"/>
      <c r="G564" s="37"/>
      <c r="H564" s="37"/>
      <c r="I564" s="37"/>
      <c r="J564" s="37"/>
      <c r="K564" s="37"/>
      <c r="L564" s="37"/>
      <c r="M564" s="37"/>
      <c r="N564" s="37"/>
      <c r="O564" s="37"/>
      <c r="P564" s="37"/>
      <c r="Q564" s="37"/>
      <c r="R564" s="139"/>
      <c r="S564" s="140"/>
      <c r="T564" s="144"/>
    </row>
    <row r="566" spans="2:23" ht="18.75" customHeight="1" thickBot="1">
      <c r="B566" s="42"/>
      <c r="C566" s="42"/>
      <c r="D566" s="42"/>
      <c r="E566" s="42"/>
      <c r="F566" s="42"/>
      <c r="G566" s="42"/>
      <c r="H566" s="42"/>
      <c r="I566" s="42"/>
      <c r="J566" s="42"/>
      <c r="K566" s="42"/>
      <c r="L566" s="42"/>
      <c r="M566" s="42"/>
      <c r="N566" s="42"/>
      <c r="O566" s="42"/>
      <c r="P566" s="42"/>
      <c r="Q566" s="42"/>
      <c r="R566" s="42"/>
      <c r="S566" s="42"/>
      <c r="T566" s="42"/>
      <c r="U566" s="42"/>
    </row>
    <row r="568" spans="2:23" ht="18.75" customHeight="1">
      <c r="B568" s="43" t="s">
        <v>163</v>
      </c>
      <c r="C568" s="51" t="s">
        <v>3592</v>
      </c>
      <c r="D568" s="88"/>
      <c r="W568" s="35" t="str">
        <f>"-- "&amp;B568&amp;" : "&amp;C568</f>
        <v>-- SQL_ID : 01_A4-10</v>
      </c>
    </row>
    <row r="569" spans="2:23" ht="18.75" customHeight="1">
      <c r="B569" s="43" t="s">
        <v>158</v>
      </c>
      <c r="C569" s="145" t="str">
        <f>R572&amp;"登録"</f>
        <v>バックアップ_特定器材関連マスタ登録</v>
      </c>
      <c r="D569" s="146"/>
      <c r="E569" s="146"/>
      <c r="F569" s="146"/>
      <c r="G569" s="146"/>
      <c r="H569" s="146"/>
      <c r="I569" s="146"/>
      <c r="J569" s="146"/>
      <c r="K569" s="146"/>
      <c r="L569" s="146"/>
      <c r="M569" s="146"/>
      <c r="N569" s="146"/>
      <c r="O569" s="146"/>
      <c r="P569" s="146"/>
      <c r="Q569" s="146"/>
      <c r="R569" s="146"/>
      <c r="S569" s="146"/>
      <c r="T569" s="146"/>
      <c r="U569" s="147"/>
      <c r="W569" s="35" t="str">
        <f>"-- "&amp;C569</f>
        <v>-- バックアップ_特定器材関連マスタ登録</v>
      </c>
    </row>
    <row r="570" spans="2:23" ht="18.75" customHeight="1">
      <c r="B570" s="43" t="s">
        <v>159</v>
      </c>
      <c r="C570" s="134" t="str">
        <f>C572&amp;"テーブルのレコードを"&amp;R572&amp;"テーブルに格納する。"</f>
        <v>特定器材関連マスタテーブルのレコードをバックアップ_特定器材関連マスタテーブルに格納する。</v>
      </c>
      <c r="D570" s="135"/>
      <c r="E570" s="135"/>
      <c r="F570" s="135"/>
      <c r="G570" s="135"/>
      <c r="H570" s="135"/>
      <c r="I570" s="135"/>
      <c r="J570" s="135"/>
      <c r="K570" s="135"/>
      <c r="L570" s="135"/>
      <c r="M570" s="135"/>
      <c r="N570" s="135"/>
      <c r="O570" s="135"/>
      <c r="P570" s="135"/>
      <c r="Q570" s="135"/>
      <c r="R570" s="135"/>
      <c r="S570" s="135"/>
      <c r="T570" s="135"/>
      <c r="U570" s="136"/>
      <c r="W570" s="35" t="str">
        <f>"-- "&amp;C570</f>
        <v>-- 特定器材関連マスタテーブルのレコードをバックアップ_特定器材関連マスタテーブルに格納する。</v>
      </c>
    </row>
    <row r="572" spans="2:23" ht="18.75" customHeight="1">
      <c r="C572" s="137" t="s">
        <v>3593</v>
      </c>
      <c r="D572" s="138"/>
      <c r="E572" s="141" t="s">
        <v>162</v>
      </c>
      <c r="F572" s="36"/>
      <c r="G572" s="36"/>
      <c r="H572" s="36"/>
      <c r="I572" s="36"/>
      <c r="J572" s="36"/>
      <c r="K572" s="36"/>
      <c r="L572" s="36"/>
      <c r="M572" s="36"/>
      <c r="N572" s="36"/>
      <c r="O572" s="36"/>
      <c r="P572" s="36"/>
      <c r="Q572" s="36"/>
      <c r="R572" s="137" t="str">
        <f>"バックアップ_"&amp;SUBSTITUTE(C572,"_結合","")</f>
        <v>バックアップ_特定器材関連マスタ</v>
      </c>
      <c r="S572" s="138"/>
      <c r="T572" s="143" t="str">
        <f>エンティティ一覧!$O$2</f>
        <v>milscm_2023_010</v>
      </c>
    </row>
    <row r="573" spans="2:23" ht="18.75" customHeight="1">
      <c r="C573" s="139"/>
      <c r="D573" s="140"/>
      <c r="E573" s="142"/>
      <c r="F573" s="37"/>
      <c r="G573" s="37"/>
      <c r="H573" s="37"/>
      <c r="I573" s="37"/>
      <c r="J573" s="37"/>
      <c r="K573" s="37"/>
      <c r="L573" s="37"/>
      <c r="M573" s="37"/>
      <c r="N573" s="37"/>
      <c r="O573" s="37"/>
      <c r="P573" s="37"/>
      <c r="Q573" s="37"/>
      <c r="R573" s="139"/>
      <c r="S573" s="140"/>
      <c r="T573" s="144"/>
    </row>
    <row r="575" spans="2:23" ht="18.75" customHeight="1" thickBot="1">
      <c r="B575" s="42"/>
      <c r="C575" s="42"/>
      <c r="D575" s="42"/>
      <c r="E575" s="42"/>
      <c r="F575" s="42"/>
      <c r="G575" s="42"/>
      <c r="H575" s="42"/>
      <c r="I575" s="42"/>
      <c r="J575" s="42"/>
      <c r="K575" s="42"/>
      <c r="L575" s="42"/>
      <c r="M575" s="42"/>
      <c r="N575" s="42"/>
      <c r="O575" s="42"/>
      <c r="P575" s="42"/>
      <c r="Q575" s="42"/>
      <c r="R575" s="42"/>
      <c r="S575" s="42"/>
      <c r="T575" s="42"/>
      <c r="U575" s="42"/>
    </row>
    <row r="577" spans="2:23" ht="18.75" customHeight="1">
      <c r="B577" s="43" t="s">
        <v>163</v>
      </c>
      <c r="C577" s="51" t="s">
        <v>3594</v>
      </c>
      <c r="D577" s="88"/>
      <c r="W577" s="35" t="str">
        <f>"-- "&amp;B577&amp;" : "&amp;C577</f>
        <v>-- SQL_ID : 01_A4-11</v>
      </c>
    </row>
    <row r="578" spans="2:23" ht="18.75" customHeight="1">
      <c r="B578" s="43" t="s">
        <v>158</v>
      </c>
      <c r="C578" s="145" t="str">
        <f>R581&amp;"登録"</f>
        <v>バックアップ_DPC関連マスタ登録</v>
      </c>
      <c r="D578" s="146"/>
      <c r="E578" s="146"/>
      <c r="F578" s="146"/>
      <c r="G578" s="146"/>
      <c r="H578" s="146"/>
      <c r="I578" s="146"/>
      <c r="J578" s="146"/>
      <c r="K578" s="146"/>
      <c r="L578" s="146"/>
      <c r="M578" s="146"/>
      <c r="N578" s="146"/>
      <c r="O578" s="146"/>
      <c r="P578" s="146"/>
      <c r="Q578" s="146"/>
      <c r="R578" s="146"/>
      <c r="S578" s="146"/>
      <c r="T578" s="146"/>
      <c r="U578" s="147"/>
      <c r="W578" s="35" t="str">
        <f>"-- "&amp;C578</f>
        <v>-- バックアップ_DPC関連マスタ登録</v>
      </c>
    </row>
    <row r="579" spans="2:23" ht="18.75" customHeight="1">
      <c r="B579" s="43" t="s">
        <v>159</v>
      </c>
      <c r="C579" s="134" t="str">
        <f>C581&amp;"テーブルのレコードを"&amp;R581&amp;"テーブルに格納する。"</f>
        <v>DPC関連マスタテーブルのレコードをバックアップ_DPC関連マスタテーブルに格納する。</v>
      </c>
      <c r="D579" s="135"/>
      <c r="E579" s="135"/>
      <c r="F579" s="135"/>
      <c r="G579" s="135"/>
      <c r="H579" s="135"/>
      <c r="I579" s="135"/>
      <c r="J579" s="135"/>
      <c r="K579" s="135"/>
      <c r="L579" s="135"/>
      <c r="M579" s="135"/>
      <c r="N579" s="135"/>
      <c r="O579" s="135"/>
      <c r="P579" s="135"/>
      <c r="Q579" s="135"/>
      <c r="R579" s="135"/>
      <c r="S579" s="135"/>
      <c r="T579" s="135"/>
      <c r="U579" s="136"/>
      <c r="W579" s="35" t="str">
        <f>"-- "&amp;C579</f>
        <v>-- DPC関連マスタテーブルのレコードをバックアップ_DPC関連マスタテーブルに格納する。</v>
      </c>
    </row>
    <row r="581" spans="2:23" ht="18.75" customHeight="1">
      <c r="C581" s="137" t="s">
        <v>3595</v>
      </c>
      <c r="D581" s="138"/>
      <c r="E581" s="141" t="s">
        <v>162</v>
      </c>
      <c r="F581" s="36"/>
      <c r="G581" s="36"/>
      <c r="H581" s="36"/>
      <c r="I581" s="36"/>
      <c r="J581" s="36"/>
      <c r="K581" s="36"/>
      <c r="L581" s="36"/>
      <c r="M581" s="36"/>
      <c r="N581" s="36"/>
      <c r="O581" s="36"/>
      <c r="P581" s="36"/>
      <c r="Q581" s="36"/>
      <c r="R581" s="137" t="str">
        <f>"バックアップ_"&amp;SUBSTITUTE(C581,"_結合","")</f>
        <v>バックアップ_DPC関連マスタ</v>
      </c>
      <c r="S581" s="138"/>
      <c r="T581" s="143" t="str">
        <f>エンティティ一覧!$O$2</f>
        <v>milscm_2023_010</v>
      </c>
    </row>
    <row r="582" spans="2:23" ht="18.75" customHeight="1">
      <c r="C582" s="139"/>
      <c r="D582" s="140"/>
      <c r="E582" s="142"/>
      <c r="F582" s="37"/>
      <c r="G582" s="37"/>
      <c r="H582" s="37"/>
      <c r="I582" s="37"/>
      <c r="J582" s="37"/>
      <c r="K582" s="37"/>
      <c r="L582" s="37"/>
      <c r="M582" s="37"/>
      <c r="N582" s="37"/>
      <c r="O582" s="37"/>
      <c r="P582" s="37"/>
      <c r="Q582" s="37"/>
      <c r="R582" s="139"/>
      <c r="S582" s="140"/>
      <c r="T582" s="144"/>
    </row>
    <row r="584" spans="2:23" ht="18.75" customHeight="1" thickBot="1">
      <c r="B584" s="42"/>
      <c r="C584" s="42"/>
      <c r="D584" s="42"/>
      <c r="E584" s="42"/>
      <c r="F584" s="42"/>
      <c r="G584" s="42"/>
      <c r="H584" s="42"/>
      <c r="I584" s="42"/>
      <c r="J584" s="42"/>
      <c r="K584" s="42"/>
      <c r="L584" s="42"/>
      <c r="M584" s="42"/>
      <c r="N584" s="42"/>
      <c r="O584" s="42"/>
      <c r="P584" s="42"/>
      <c r="Q584" s="42"/>
      <c r="R584" s="42"/>
      <c r="S584" s="42"/>
      <c r="T584" s="42"/>
      <c r="U584" s="42"/>
    </row>
    <row r="586" spans="2:23" ht="18.75" customHeight="1">
      <c r="B586" s="43" t="s">
        <v>163</v>
      </c>
      <c r="C586" s="51" t="s">
        <v>3596</v>
      </c>
      <c r="D586" s="88"/>
      <c r="W586" s="35" t="str">
        <f>"-- "&amp;B586&amp;" : "&amp;C586</f>
        <v>-- SQL_ID : 01_A4-12</v>
      </c>
    </row>
    <row r="587" spans="2:23" ht="18.75" customHeight="1">
      <c r="B587" s="43" t="s">
        <v>158</v>
      </c>
      <c r="C587" s="145" t="str">
        <f>R590&amp;"登録"</f>
        <v>バックアップ_疾患関連マスタ登録</v>
      </c>
      <c r="D587" s="146"/>
      <c r="E587" s="146"/>
      <c r="F587" s="146"/>
      <c r="G587" s="146"/>
      <c r="H587" s="146"/>
      <c r="I587" s="146"/>
      <c r="J587" s="146"/>
      <c r="K587" s="146"/>
      <c r="L587" s="146"/>
      <c r="M587" s="146"/>
      <c r="N587" s="146"/>
      <c r="O587" s="146"/>
      <c r="P587" s="146"/>
      <c r="Q587" s="146"/>
      <c r="R587" s="146"/>
      <c r="S587" s="146"/>
      <c r="T587" s="146"/>
      <c r="U587" s="147"/>
      <c r="W587" s="35" t="str">
        <f>"-- "&amp;C587</f>
        <v>-- バックアップ_疾患関連マスタ登録</v>
      </c>
    </row>
    <row r="588" spans="2:23" ht="18.75" customHeight="1">
      <c r="B588" s="43" t="s">
        <v>159</v>
      </c>
      <c r="C588" s="134" t="str">
        <f>C590&amp;"テーブルのレコードを"&amp;R590&amp;"テーブルに格納する。"</f>
        <v>疾患関連マスタテーブルのレコードをバックアップ_疾患関連マスタテーブルに格納する。</v>
      </c>
      <c r="D588" s="135"/>
      <c r="E588" s="135"/>
      <c r="F588" s="135"/>
      <c r="G588" s="135"/>
      <c r="H588" s="135"/>
      <c r="I588" s="135"/>
      <c r="J588" s="135"/>
      <c r="K588" s="135"/>
      <c r="L588" s="135"/>
      <c r="M588" s="135"/>
      <c r="N588" s="135"/>
      <c r="O588" s="135"/>
      <c r="P588" s="135"/>
      <c r="Q588" s="135"/>
      <c r="R588" s="135"/>
      <c r="S588" s="135"/>
      <c r="T588" s="135"/>
      <c r="U588" s="136"/>
      <c r="W588" s="35" t="str">
        <f>"-- "&amp;C588</f>
        <v>-- 疾患関連マスタテーブルのレコードをバックアップ_疾患関連マスタテーブルに格納する。</v>
      </c>
    </row>
    <row r="590" spans="2:23" ht="18.75" customHeight="1">
      <c r="C590" s="137" t="s">
        <v>3597</v>
      </c>
      <c r="D590" s="138"/>
      <c r="E590" s="141" t="s">
        <v>162</v>
      </c>
      <c r="F590" s="36"/>
      <c r="G590" s="36"/>
      <c r="H590" s="36"/>
      <c r="I590" s="36"/>
      <c r="J590" s="36"/>
      <c r="K590" s="36"/>
      <c r="L590" s="36"/>
      <c r="M590" s="36"/>
      <c r="N590" s="36"/>
      <c r="O590" s="36"/>
      <c r="P590" s="36"/>
      <c r="Q590" s="36"/>
      <c r="R590" s="137" t="str">
        <f>"バックアップ_"&amp;SUBSTITUTE(C590,"_結合","")</f>
        <v>バックアップ_疾患関連マスタ</v>
      </c>
      <c r="S590" s="138"/>
      <c r="T590" s="143" t="str">
        <f>エンティティ一覧!$O$2</f>
        <v>milscm_2023_010</v>
      </c>
    </row>
    <row r="591" spans="2:23" ht="18.75" customHeight="1">
      <c r="C591" s="139"/>
      <c r="D591" s="140"/>
      <c r="E591" s="142"/>
      <c r="F591" s="37"/>
      <c r="G591" s="37"/>
      <c r="H591" s="37"/>
      <c r="I591" s="37"/>
      <c r="J591" s="37"/>
      <c r="K591" s="37"/>
      <c r="L591" s="37"/>
      <c r="M591" s="37"/>
      <c r="N591" s="37"/>
      <c r="O591" s="37"/>
      <c r="P591" s="37"/>
      <c r="Q591" s="37"/>
      <c r="R591" s="139"/>
      <c r="S591" s="140"/>
      <c r="T591" s="144"/>
    </row>
    <row r="593" spans="2:23" ht="18.75" customHeight="1" thickBot="1">
      <c r="B593" s="42"/>
      <c r="C593" s="42"/>
      <c r="D593" s="42"/>
      <c r="E593" s="42"/>
      <c r="F593" s="42"/>
      <c r="G593" s="42"/>
      <c r="H593" s="42"/>
      <c r="I593" s="42"/>
      <c r="J593" s="42"/>
      <c r="K593" s="42"/>
      <c r="L593" s="42"/>
      <c r="M593" s="42"/>
      <c r="N593" s="42"/>
      <c r="O593" s="42"/>
      <c r="P593" s="42"/>
      <c r="Q593" s="42"/>
      <c r="R593" s="42"/>
      <c r="S593" s="42"/>
      <c r="T593" s="42"/>
      <c r="U593" s="42"/>
    </row>
    <row r="595" spans="2:23" ht="18.75" customHeight="1">
      <c r="B595" s="43" t="s">
        <v>163</v>
      </c>
      <c r="C595" s="51" t="s">
        <v>3598</v>
      </c>
      <c r="D595" s="88"/>
      <c r="W595" s="35" t="str">
        <f>"-- "&amp;B595&amp;" : "&amp;C595</f>
        <v>-- SQL_ID : 01_A4-13</v>
      </c>
    </row>
    <row r="596" spans="2:23" ht="18.75" customHeight="1">
      <c r="B596" s="43" t="s">
        <v>158</v>
      </c>
      <c r="C596" s="145" t="str">
        <f>R599&amp;"登録"</f>
        <v>バックアップ_医薬品成分関連マスタ登録</v>
      </c>
      <c r="D596" s="146"/>
      <c r="E596" s="146"/>
      <c r="F596" s="146"/>
      <c r="G596" s="146"/>
      <c r="H596" s="146"/>
      <c r="I596" s="146"/>
      <c r="J596" s="146"/>
      <c r="K596" s="146"/>
      <c r="L596" s="146"/>
      <c r="M596" s="146"/>
      <c r="N596" s="146"/>
      <c r="O596" s="146"/>
      <c r="P596" s="146"/>
      <c r="Q596" s="146"/>
      <c r="R596" s="146"/>
      <c r="S596" s="146"/>
      <c r="T596" s="146"/>
      <c r="U596" s="147"/>
      <c r="W596" s="35" t="str">
        <f>"-- "&amp;C596</f>
        <v>-- バックアップ_医薬品成分関連マスタ登録</v>
      </c>
    </row>
    <row r="597" spans="2:23" ht="18.75" customHeight="1">
      <c r="B597" s="43" t="s">
        <v>159</v>
      </c>
      <c r="C597" s="134" t="str">
        <f>C599&amp;"テーブルのレコードを"&amp;R599&amp;"テーブルに格納する。"</f>
        <v>医薬品成分関連マスタテーブルのレコードをバックアップ_医薬品成分関連マスタテーブルに格納する。</v>
      </c>
      <c r="D597" s="135"/>
      <c r="E597" s="135"/>
      <c r="F597" s="135"/>
      <c r="G597" s="135"/>
      <c r="H597" s="135"/>
      <c r="I597" s="135"/>
      <c r="J597" s="135"/>
      <c r="K597" s="135"/>
      <c r="L597" s="135"/>
      <c r="M597" s="135"/>
      <c r="N597" s="135"/>
      <c r="O597" s="135"/>
      <c r="P597" s="135"/>
      <c r="Q597" s="135"/>
      <c r="R597" s="135"/>
      <c r="S597" s="135"/>
      <c r="T597" s="135"/>
      <c r="U597" s="136"/>
      <c r="W597" s="35" t="str">
        <f>"-- "&amp;C597</f>
        <v>-- 医薬品成分関連マスタテーブルのレコードをバックアップ_医薬品成分関連マスタテーブルに格納する。</v>
      </c>
    </row>
    <row r="599" spans="2:23" ht="18.75" customHeight="1">
      <c r="C599" s="137" t="s">
        <v>3599</v>
      </c>
      <c r="D599" s="138"/>
      <c r="E599" s="141" t="s">
        <v>162</v>
      </c>
      <c r="F599" s="36"/>
      <c r="G599" s="36"/>
      <c r="H599" s="36"/>
      <c r="I599" s="36"/>
      <c r="J599" s="36"/>
      <c r="K599" s="36"/>
      <c r="L599" s="36"/>
      <c r="M599" s="36"/>
      <c r="N599" s="36"/>
      <c r="O599" s="36"/>
      <c r="P599" s="36"/>
      <c r="Q599" s="36"/>
      <c r="R599" s="137" t="str">
        <f>"バックアップ_"&amp;SUBSTITUTE(C599,"_結合","")</f>
        <v>バックアップ_医薬品成分関連マスタ</v>
      </c>
      <c r="S599" s="138"/>
      <c r="T599" s="143" t="str">
        <f>エンティティ一覧!$O$2</f>
        <v>milscm_2023_010</v>
      </c>
    </row>
    <row r="600" spans="2:23" ht="18.75" customHeight="1">
      <c r="C600" s="139"/>
      <c r="D600" s="140"/>
      <c r="E600" s="142"/>
      <c r="F600" s="37"/>
      <c r="G600" s="37"/>
      <c r="H600" s="37"/>
      <c r="I600" s="37"/>
      <c r="J600" s="37"/>
      <c r="K600" s="37"/>
      <c r="L600" s="37"/>
      <c r="M600" s="37"/>
      <c r="N600" s="37"/>
      <c r="O600" s="37"/>
      <c r="P600" s="37"/>
      <c r="Q600" s="37"/>
      <c r="R600" s="139"/>
      <c r="S600" s="140"/>
      <c r="T600" s="144"/>
    </row>
    <row r="602" spans="2:23" ht="18.75" customHeight="1" thickBot="1">
      <c r="B602" s="42"/>
      <c r="C602" s="42"/>
      <c r="D602" s="42"/>
      <c r="E602" s="42"/>
      <c r="F602" s="42"/>
      <c r="G602" s="42"/>
      <c r="H602" s="42"/>
      <c r="I602" s="42"/>
      <c r="J602" s="42"/>
      <c r="K602" s="42"/>
      <c r="L602" s="42"/>
      <c r="M602" s="42"/>
      <c r="N602" s="42"/>
      <c r="O602" s="42"/>
      <c r="P602" s="42"/>
      <c r="Q602" s="42"/>
      <c r="R602" s="42"/>
      <c r="S602" s="42"/>
      <c r="T602" s="42"/>
      <c r="U602" s="42"/>
    </row>
    <row r="604" spans="2:23" ht="18.75" customHeight="1">
      <c r="B604" s="43" t="s">
        <v>163</v>
      </c>
      <c r="C604" s="51" t="s">
        <v>3600</v>
      </c>
      <c r="D604" s="88"/>
      <c r="W604" s="35" t="str">
        <f>"-- "&amp;B604&amp;" : "&amp;C604</f>
        <v>-- SQL_ID : 01_A4-14</v>
      </c>
    </row>
    <row r="605" spans="2:23" ht="18.75" customHeight="1">
      <c r="B605" s="43" t="s">
        <v>158</v>
      </c>
      <c r="C605" s="145" t="str">
        <f>R608&amp;"登録"</f>
        <v>バックアップ_医薬品適用病名関連マスタ登録</v>
      </c>
      <c r="D605" s="146"/>
      <c r="E605" s="146"/>
      <c r="F605" s="146"/>
      <c r="G605" s="146"/>
      <c r="H605" s="146"/>
      <c r="I605" s="146"/>
      <c r="J605" s="146"/>
      <c r="K605" s="146"/>
      <c r="L605" s="146"/>
      <c r="M605" s="146"/>
      <c r="N605" s="146"/>
      <c r="O605" s="146"/>
      <c r="P605" s="146"/>
      <c r="Q605" s="146"/>
      <c r="R605" s="146"/>
      <c r="S605" s="146"/>
      <c r="T605" s="146"/>
      <c r="U605" s="147"/>
      <c r="W605" s="35" t="str">
        <f>"-- "&amp;C605</f>
        <v>-- バックアップ_医薬品適用病名関連マスタ登録</v>
      </c>
    </row>
    <row r="606" spans="2:23" ht="18.75" customHeight="1">
      <c r="B606" s="43" t="s">
        <v>159</v>
      </c>
      <c r="C606" s="134" t="str">
        <f>C608&amp;"テーブルのレコードを"&amp;R608&amp;"テーブルに格納する。"</f>
        <v>医薬品適用病名関連マスタテーブルのレコードをバックアップ_医薬品適用病名関連マスタテーブルに格納する。</v>
      </c>
      <c r="D606" s="135"/>
      <c r="E606" s="135"/>
      <c r="F606" s="135"/>
      <c r="G606" s="135"/>
      <c r="H606" s="135"/>
      <c r="I606" s="135"/>
      <c r="J606" s="135"/>
      <c r="K606" s="135"/>
      <c r="L606" s="135"/>
      <c r="M606" s="135"/>
      <c r="N606" s="135"/>
      <c r="O606" s="135"/>
      <c r="P606" s="135"/>
      <c r="Q606" s="135"/>
      <c r="R606" s="135"/>
      <c r="S606" s="135"/>
      <c r="T606" s="135"/>
      <c r="U606" s="136"/>
      <c r="W606" s="35" t="str">
        <f>"-- "&amp;C606</f>
        <v>-- 医薬品適用病名関連マスタテーブルのレコードをバックアップ_医薬品適用病名関連マスタテーブルに格納する。</v>
      </c>
    </row>
    <row r="608" spans="2:23" ht="18.75" customHeight="1">
      <c r="C608" s="137" t="s">
        <v>3601</v>
      </c>
      <c r="D608" s="138"/>
      <c r="E608" s="141" t="s">
        <v>162</v>
      </c>
      <c r="F608" s="36"/>
      <c r="G608" s="36"/>
      <c r="H608" s="36"/>
      <c r="I608" s="36"/>
      <c r="J608" s="36"/>
      <c r="K608" s="36"/>
      <c r="L608" s="36"/>
      <c r="M608" s="36"/>
      <c r="N608" s="36"/>
      <c r="O608" s="36"/>
      <c r="P608" s="36"/>
      <c r="Q608" s="36"/>
      <c r="R608" s="137" t="str">
        <f>"バックアップ_"&amp;SUBSTITUTE(C608,"_結合","")</f>
        <v>バックアップ_医薬品適用病名関連マスタ</v>
      </c>
      <c r="S608" s="138"/>
      <c r="T608" s="143" t="str">
        <f>エンティティ一覧!$O$2</f>
        <v>milscm_2023_010</v>
      </c>
    </row>
    <row r="609" spans="2:23" ht="18.75" customHeight="1">
      <c r="C609" s="139"/>
      <c r="D609" s="140"/>
      <c r="E609" s="142"/>
      <c r="F609" s="37"/>
      <c r="G609" s="37"/>
      <c r="H609" s="37"/>
      <c r="I609" s="37"/>
      <c r="J609" s="37"/>
      <c r="K609" s="37"/>
      <c r="L609" s="37"/>
      <c r="M609" s="37"/>
      <c r="N609" s="37"/>
      <c r="O609" s="37"/>
      <c r="P609" s="37"/>
      <c r="Q609" s="37"/>
      <c r="R609" s="139"/>
      <c r="S609" s="140"/>
      <c r="T609" s="144"/>
    </row>
    <row r="611" spans="2:23" ht="18.75" customHeight="1" thickBot="1">
      <c r="B611" s="42"/>
      <c r="C611" s="42"/>
      <c r="D611" s="42"/>
      <c r="E611" s="42"/>
      <c r="F611" s="42"/>
      <c r="G611" s="42"/>
      <c r="H611" s="42"/>
      <c r="I611" s="42"/>
      <c r="J611" s="42"/>
      <c r="K611" s="42"/>
      <c r="L611" s="42"/>
      <c r="M611" s="42"/>
      <c r="N611" s="42"/>
      <c r="O611" s="42"/>
      <c r="P611" s="42"/>
      <c r="Q611" s="42"/>
      <c r="R611" s="42"/>
      <c r="S611" s="42"/>
      <c r="T611" s="42"/>
      <c r="U611" s="42"/>
    </row>
    <row r="613" spans="2:23" ht="18.75" customHeight="1">
      <c r="B613" s="43" t="s">
        <v>163</v>
      </c>
      <c r="C613" s="51" t="s">
        <v>3602</v>
      </c>
      <c r="D613" s="88"/>
      <c r="W613" s="35" t="str">
        <f>"-- "&amp;B613&amp;" : "&amp;C613</f>
        <v>-- SQL_ID : 01_A6-02</v>
      </c>
    </row>
    <row r="614" spans="2:23" ht="18.75" customHeight="1">
      <c r="B614" s="43" t="s">
        <v>158</v>
      </c>
      <c r="C614" s="145" t="str">
        <f>R617&amp;"登録"</f>
        <v>バックアップ_MML共通登録</v>
      </c>
      <c r="D614" s="146"/>
      <c r="E614" s="146"/>
      <c r="F614" s="146"/>
      <c r="G614" s="146"/>
      <c r="H614" s="146"/>
      <c r="I614" s="146"/>
      <c r="J614" s="146"/>
      <c r="K614" s="146"/>
      <c r="L614" s="146"/>
      <c r="M614" s="146"/>
      <c r="N614" s="146"/>
      <c r="O614" s="146"/>
      <c r="P614" s="146"/>
      <c r="Q614" s="146"/>
      <c r="R614" s="146"/>
      <c r="S614" s="146"/>
      <c r="T614" s="146"/>
      <c r="U614" s="147"/>
      <c r="W614" s="35" t="str">
        <f>"-- "&amp;C614</f>
        <v>-- バックアップ_MML共通登録</v>
      </c>
    </row>
    <row r="615" spans="2:23" ht="18.75" customHeight="1">
      <c r="B615" s="43" t="s">
        <v>159</v>
      </c>
      <c r="C615" s="134" t="str">
        <f>C617&amp;"テーブルから組入れ条件の第一条件で絞り込んだ結果を"&amp;R617&amp;"テーブルに格納する。"</f>
        <v>MML共通テーブルから組入れ条件の第一条件で絞り込んだ結果をバックアップ_MML共通テーブルに格納する。</v>
      </c>
      <c r="D615" s="135"/>
      <c r="E615" s="135"/>
      <c r="F615" s="135"/>
      <c r="G615" s="135"/>
      <c r="H615" s="135"/>
      <c r="I615" s="135"/>
      <c r="J615" s="135"/>
      <c r="K615" s="135"/>
      <c r="L615" s="135"/>
      <c r="M615" s="135"/>
      <c r="N615" s="135"/>
      <c r="O615" s="135"/>
      <c r="P615" s="135"/>
      <c r="Q615" s="135"/>
      <c r="R615" s="135"/>
      <c r="S615" s="135"/>
      <c r="T615" s="135"/>
      <c r="U615" s="136"/>
      <c r="W615" s="35" t="str">
        <f>"-- "&amp;C615</f>
        <v>-- MML共通テーブルから組入れ条件の第一条件で絞り込んだ結果をバックアップ_MML共通テーブルに格納する。</v>
      </c>
    </row>
    <row r="617" spans="2:23" ht="18.75" customHeight="1">
      <c r="C617" s="137" t="s">
        <v>3603</v>
      </c>
      <c r="D617" s="138"/>
      <c r="E617" s="141" t="s">
        <v>162</v>
      </c>
      <c r="F617" s="36"/>
      <c r="G617" s="36"/>
      <c r="H617" s="36"/>
      <c r="I617" s="36"/>
      <c r="J617" s="36"/>
      <c r="M617" s="36"/>
      <c r="N617" s="36"/>
      <c r="O617" s="36"/>
      <c r="P617" s="36"/>
      <c r="Q617" s="36"/>
      <c r="R617" s="137" t="str">
        <f>"バックアップ_"&amp;SUBSTITUTE(C617,"_結合","")</f>
        <v>バックアップ_MML共通</v>
      </c>
      <c r="S617" s="138"/>
      <c r="T617" s="143" t="str">
        <f>エンティティ一覧!$O$2</f>
        <v>milscm_2023_010</v>
      </c>
    </row>
    <row r="618" spans="2:23" ht="18.75" customHeight="1">
      <c r="C618" s="139"/>
      <c r="D618" s="140"/>
      <c r="E618" s="142"/>
      <c r="F618" s="37"/>
      <c r="G618" s="37"/>
      <c r="H618" s="37"/>
      <c r="I618" s="37"/>
      <c r="J618" s="37"/>
      <c r="K618" s="37"/>
      <c r="L618" s="38"/>
      <c r="M618" s="37"/>
      <c r="N618" s="37"/>
      <c r="O618" s="37"/>
      <c r="P618" s="37"/>
      <c r="Q618" s="37"/>
      <c r="R618" s="139"/>
      <c r="S618" s="140"/>
      <c r="T618" s="144"/>
    </row>
    <row r="619" spans="2:23" ht="18.75" customHeight="1">
      <c r="K619" s="39"/>
      <c r="L619" s="40"/>
    </row>
    <row r="620" spans="2:23" ht="18.75" customHeight="1">
      <c r="C620" s="137" t="s">
        <v>3182</v>
      </c>
      <c r="D620" s="138"/>
      <c r="E620" s="143" t="str">
        <f>エンティティ一覧!$O$2</f>
        <v>milscm_2023_010</v>
      </c>
      <c r="F620" s="36"/>
      <c r="G620" s="36"/>
      <c r="H620" s="36"/>
      <c r="I620" s="36"/>
      <c r="J620" s="36"/>
      <c r="L620" s="41"/>
    </row>
    <row r="621" spans="2:23" ht="18.75" customHeight="1">
      <c r="C621" s="139"/>
      <c r="D621" s="140"/>
      <c r="E621" s="144"/>
      <c r="F621" s="37"/>
      <c r="G621" s="37"/>
      <c r="H621" s="37"/>
      <c r="I621" s="37"/>
      <c r="J621" s="37"/>
      <c r="K621" s="37"/>
    </row>
    <row r="623" spans="2:23" ht="18.75" customHeight="1" thickBot="1">
      <c r="B623" s="42"/>
      <c r="C623" s="42"/>
      <c r="D623" s="42"/>
      <c r="E623" s="42"/>
      <c r="F623" s="42"/>
      <c r="G623" s="42"/>
      <c r="H623" s="42"/>
      <c r="I623" s="42"/>
      <c r="J623" s="42"/>
      <c r="K623" s="42"/>
      <c r="L623" s="42"/>
      <c r="M623" s="42"/>
      <c r="N623" s="42"/>
      <c r="O623" s="42"/>
      <c r="P623" s="42"/>
      <c r="Q623" s="42"/>
      <c r="R623" s="42"/>
      <c r="S623" s="42"/>
      <c r="T623" s="42"/>
      <c r="U623" s="42"/>
    </row>
    <row r="625" spans="2:23" ht="18.75" customHeight="1">
      <c r="B625" s="43" t="s">
        <v>163</v>
      </c>
      <c r="C625" s="51" t="s">
        <v>3811</v>
      </c>
      <c r="D625" s="93"/>
      <c r="W625" s="35" t="str">
        <f>"-- "&amp;B625&amp;" : "&amp;C625</f>
        <v>-- SQL_ID : 01_A6-02-01</v>
      </c>
    </row>
    <row r="626" spans="2:23" ht="18.75" customHeight="1">
      <c r="B626" s="43" t="s">
        <v>158</v>
      </c>
      <c r="C626" s="145" t="s">
        <v>3812</v>
      </c>
      <c r="D626" s="146"/>
      <c r="E626" s="146"/>
      <c r="F626" s="146"/>
      <c r="G626" s="146"/>
      <c r="H626" s="146"/>
      <c r="I626" s="146"/>
      <c r="J626" s="146"/>
      <c r="K626" s="146"/>
      <c r="L626" s="146"/>
      <c r="M626" s="146"/>
      <c r="N626" s="146"/>
      <c r="O626" s="146"/>
      <c r="P626" s="146"/>
      <c r="Q626" s="146"/>
      <c r="R626" s="146"/>
      <c r="S626" s="146"/>
      <c r="T626" s="146"/>
      <c r="U626" s="147"/>
      <c r="W626" s="35" t="str">
        <f>"-- "&amp;C626</f>
        <v>-- バックアップ_MML共通_名古屋第一_Lb登録</v>
      </c>
    </row>
    <row r="627" spans="2:23" ht="18.75" customHeight="1">
      <c r="B627" s="43" t="s">
        <v>159</v>
      </c>
      <c r="C627" s="134" t="str">
        <f>C629&amp;"テーブルから名古屋第一、Lbモジュールの条件で絞り込んだ結果を"&amp;R629&amp;"テーブルに格納する。"</f>
        <v>MML共通テーブルから名古屋第一、Lbモジュールの条件で絞り込んだ結果をバックアップ_MML共通テーブルに格納する。</v>
      </c>
      <c r="D627" s="135"/>
      <c r="E627" s="135"/>
      <c r="F627" s="135"/>
      <c r="G627" s="135"/>
      <c r="H627" s="135"/>
      <c r="I627" s="135"/>
      <c r="J627" s="135"/>
      <c r="K627" s="135"/>
      <c r="L627" s="135"/>
      <c r="M627" s="135"/>
      <c r="N627" s="135"/>
      <c r="O627" s="135"/>
      <c r="P627" s="135"/>
      <c r="Q627" s="135"/>
      <c r="R627" s="135"/>
      <c r="S627" s="135"/>
      <c r="T627" s="135"/>
      <c r="U627" s="136"/>
      <c r="W627" s="35" t="str">
        <f>"-- "&amp;C627</f>
        <v>-- MML共通テーブルから名古屋第一、Lbモジュールの条件で絞り込んだ結果をバックアップ_MML共通テーブルに格納する。</v>
      </c>
    </row>
    <row r="629" spans="2:23" ht="18.75" customHeight="1">
      <c r="C629" s="137" t="s">
        <v>3603</v>
      </c>
      <c r="D629" s="138"/>
      <c r="E629" s="141" t="s">
        <v>162</v>
      </c>
      <c r="F629" s="36"/>
      <c r="G629" s="36"/>
      <c r="H629" s="36"/>
      <c r="I629" s="36"/>
      <c r="J629" s="36"/>
      <c r="M629" s="36"/>
      <c r="N629" s="36"/>
      <c r="O629" s="36"/>
      <c r="P629" s="36"/>
      <c r="Q629" s="36"/>
      <c r="R629" s="137" t="str">
        <f>"バックアップ_"&amp;SUBSTITUTE(C629,"_結合","")</f>
        <v>バックアップ_MML共通</v>
      </c>
      <c r="S629" s="138"/>
      <c r="T629" s="143" t="str">
        <f>エンティティ一覧!$O$2</f>
        <v>milscm_2023_010</v>
      </c>
    </row>
    <row r="630" spans="2:23" ht="18.75" customHeight="1">
      <c r="C630" s="139"/>
      <c r="D630" s="140"/>
      <c r="E630" s="142"/>
      <c r="F630" s="37"/>
      <c r="G630" s="37"/>
      <c r="H630" s="37"/>
      <c r="I630" s="37"/>
      <c r="J630" s="37"/>
      <c r="K630" s="37"/>
      <c r="L630" s="37"/>
      <c r="M630" s="37"/>
      <c r="N630" s="37"/>
      <c r="O630" s="37"/>
      <c r="P630" s="37"/>
      <c r="Q630" s="37"/>
      <c r="R630" s="139"/>
      <c r="S630" s="140"/>
      <c r="T630" s="144"/>
    </row>
    <row r="631" spans="2:23" ht="18.75" customHeight="1">
      <c r="K631" s="39"/>
      <c r="L631" s="94"/>
    </row>
    <row r="632" spans="2:23" ht="18.75" customHeight="1" thickBot="1">
      <c r="B632" s="42"/>
      <c r="C632" s="42"/>
      <c r="D632" s="42"/>
      <c r="E632" s="42"/>
      <c r="F632" s="42"/>
      <c r="G632" s="42"/>
      <c r="H632" s="42"/>
      <c r="I632" s="42"/>
      <c r="J632" s="42"/>
      <c r="K632" s="42"/>
      <c r="L632" s="42"/>
      <c r="M632" s="42"/>
      <c r="N632" s="42"/>
      <c r="O632" s="42"/>
      <c r="P632" s="42"/>
      <c r="Q632" s="42"/>
      <c r="R632" s="42"/>
      <c r="S632" s="42"/>
      <c r="T632" s="42"/>
      <c r="U632" s="42"/>
    </row>
    <row r="634" spans="2:23" ht="18.75" customHeight="1">
      <c r="B634" s="43" t="s">
        <v>163</v>
      </c>
      <c r="C634" s="51" t="s">
        <v>3604</v>
      </c>
      <c r="D634" s="88"/>
      <c r="W634" s="35" t="str">
        <f>"-- "&amp;B634&amp;" : "&amp;C634</f>
        <v>-- SQL_ID : 01_A6-03</v>
      </c>
    </row>
    <row r="635" spans="2:23" ht="18.75" customHeight="1">
      <c r="B635" s="43" t="s">
        <v>158</v>
      </c>
      <c r="C635" s="145" t="str">
        <f>R638&amp;"登録"</f>
        <v>バックアップ_MML_診断履歴情報モジュール_本文登録</v>
      </c>
      <c r="D635" s="146"/>
      <c r="E635" s="146"/>
      <c r="F635" s="146"/>
      <c r="G635" s="146"/>
      <c r="H635" s="146"/>
      <c r="I635" s="146"/>
      <c r="J635" s="146"/>
      <c r="K635" s="146"/>
      <c r="L635" s="146"/>
      <c r="M635" s="146"/>
      <c r="N635" s="146"/>
      <c r="O635" s="146"/>
      <c r="P635" s="146"/>
      <c r="Q635" s="146"/>
      <c r="R635" s="146"/>
      <c r="S635" s="146"/>
      <c r="T635" s="146"/>
      <c r="U635" s="147"/>
      <c r="W635" s="35" t="str">
        <f>"-- "&amp;C635</f>
        <v>-- バックアップ_MML_診断履歴情報モジュール_本文登録</v>
      </c>
    </row>
    <row r="636" spans="2:23" ht="18.75" customHeight="1">
      <c r="B636" s="43" t="s">
        <v>159</v>
      </c>
      <c r="C636" s="134" t="str">
        <f>C638&amp;"テーブルから組入れ条件の第一条件で絞り込んだ結果を"&amp;R638&amp;"テーブルに格納する。"</f>
        <v>MML_診断履歴情報モジュール_本文テーブルから組入れ条件の第一条件で絞り込んだ結果をバックアップ_MML_診断履歴情報モジュール_本文テーブルに格納する。</v>
      </c>
      <c r="D636" s="135"/>
      <c r="E636" s="135"/>
      <c r="F636" s="135"/>
      <c r="G636" s="135"/>
      <c r="H636" s="135"/>
      <c r="I636" s="135"/>
      <c r="J636" s="135"/>
      <c r="K636" s="135"/>
      <c r="L636" s="135"/>
      <c r="M636" s="135"/>
      <c r="N636" s="135"/>
      <c r="O636" s="135"/>
      <c r="P636" s="135"/>
      <c r="Q636" s="135"/>
      <c r="R636" s="135"/>
      <c r="S636" s="135"/>
      <c r="T636" s="135"/>
      <c r="U636" s="136"/>
      <c r="W636" s="35" t="str">
        <f>"-- "&amp;C636</f>
        <v>-- MML_診断履歴情報モジュール_本文テーブルから組入れ条件の第一条件で絞り込んだ結果をバックアップ_MML_診断履歴情報モジュール_本文テーブルに格納する。</v>
      </c>
    </row>
    <row r="638" spans="2:23" ht="18.75" customHeight="1">
      <c r="C638" s="137" t="s">
        <v>3605</v>
      </c>
      <c r="D638" s="138"/>
      <c r="E638" s="141" t="s">
        <v>162</v>
      </c>
      <c r="H638" s="36"/>
      <c r="I638" s="36"/>
      <c r="J638" s="36"/>
      <c r="K638" s="36"/>
      <c r="L638" s="36"/>
      <c r="M638" s="36"/>
      <c r="N638" s="36"/>
      <c r="O638" s="36"/>
      <c r="P638" s="36"/>
      <c r="Q638" s="36"/>
      <c r="R638" s="137" t="str">
        <f>"バックアップ_"&amp;SUBSTITUTE(C638,"_結合","")</f>
        <v>バックアップ_MML_診断履歴情報モジュール_本文</v>
      </c>
      <c r="S638" s="138"/>
      <c r="T638" s="143" t="str">
        <f>エンティティ一覧!$O$2</f>
        <v>milscm_2023_010</v>
      </c>
    </row>
    <row r="639" spans="2:23" ht="18.75" customHeight="1">
      <c r="C639" s="139"/>
      <c r="D639" s="140"/>
      <c r="E639" s="142"/>
      <c r="F639" s="37"/>
      <c r="G639" s="38"/>
      <c r="H639" s="37"/>
      <c r="I639" s="37"/>
      <c r="J639" s="37"/>
      <c r="K639" s="37"/>
      <c r="L639" s="37"/>
      <c r="M639" s="37"/>
      <c r="N639" s="37"/>
      <c r="O639" s="37"/>
      <c r="P639" s="37"/>
      <c r="Q639" s="37"/>
      <c r="R639" s="139"/>
      <c r="S639" s="140"/>
      <c r="T639" s="144"/>
    </row>
    <row r="640" spans="2:23" ht="18.75" customHeight="1">
      <c r="F640" s="39"/>
      <c r="G640" s="40"/>
    </row>
    <row r="641" spans="2:23" ht="18.75" customHeight="1">
      <c r="C641" s="137" t="s">
        <v>3182</v>
      </c>
      <c r="D641" s="138"/>
      <c r="E641" s="143" t="str">
        <f>エンティティ一覧!$O$2</f>
        <v>milscm_2023_010</v>
      </c>
      <c r="G641" s="41"/>
    </row>
    <row r="642" spans="2:23" ht="18.75" customHeight="1">
      <c r="C642" s="139"/>
      <c r="D642" s="140"/>
      <c r="E642" s="144"/>
      <c r="F642" s="37"/>
    </row>
    <row r="644" spans="2:23" ht="18.75" customHeight="1" thickBot="1">
      <c r="B644" s="42"/>
      <c r="C644" s="42"/>
      <c r="D644" s="42"/>
      <c r="E644" s="42"/>
      <c r="F644" s="42"/>
      <c r="G644" s="42"/>
      <c r="H644" s="42"/>
      <c r="I644" s="42"/>
      <c r="J644" s="42"/>
      <c r="K644" s="42"/>
      <c r="L644" s="42"/>
      <c r="M644" s="42"/>
      <c r="N644" s="42"/>
      <c r="O644" s="42"/>
      <c r="P644" s="42"/>
      <c r="Q644" s="42"/>
      <c r="R644" s="42"/>
      <c r="S644" s="42"/>
      <c r="T644" s="42"/>
      <c r="U644" s="42"/>
    </row>
    <row r="646" spans="2:23" ht="18.75" customHeight="1">
      <c r="B646" s="43" t="s">
        <v>163</v>
      </c>
      <c r="C646" s="51" t="s">
        <v>3606</v>
      </c>
      <c r="D646" s="88"/>
      <c r="W646" s="35" t="str">
        <f>"-- "&amp;B646&amp;" : "&amp;C646</f>
        <v>-- SQL_ID : 01_A6-04</v>
      </c>
    </row>
    <row r="647" spans="2:23" ht="18.75" customHeight="1">
      <c r="B647" s="43" t="s">
        <v>158</v>
      </c>
      <c r="C647" s="145" t="str">
        <f>R650&amp;"登録"</f>
        <v>バックアップ_MML_診断履歴情報モジュール_病名登録</v>
      </c>
      <c r="D647" s="146"/>
      <c r="E647" s="146"/>
      <c r="F647" s="146"/>
      <c r="G647" s="146"/>
      <c r="H647" s="146"/>
      <c r="I647" s="146"/>
      <c r="J647" s="146"/>
      <c r="K647" s="146"/>
      <c r="L647" s="146"/>
      <c r="M647" s="146"/>
      <c r="N647" s="146"/>
      <c r="O647" s="146"/>
      <c r="P647" s="146"/>
      <c r="Q647" s="146"/>
      <c r="R647" s="146"/>
      <c r="S647" s="146"/>
      <c r="T647" s="146"/>
      <c r="U647" s="147"/>
      <c r="W647" s="35" t="str">
        <f>"-- "&amp;C647</f>
        <v>-- バックアップ_MML_診断履歴情報モジュール_病名登録</v>
      </c>
    </row>
    <row r="648" spans="2:23" ht="18.75" customHeight="1">
      <c r="B648" s="43" t="s">
        <v>159</v>
      </c>
      <c r="C648" s="134" t="str">
        <f>C650&amp;"テーブルから組入れ条件の第一条件で絞り込んだ結果を"&amp;R650&amp;"テーブルに格納する。"</f>
        <v>MML_診断履歴情報モジュール_病名テーブルから組入れ条件の第一条件で絞り込んだ結果をバックアップ_MML_診断履歴情報モジュール_病名テーブルに格納する。</v>
      </c>
      <c r="D648" s="135"/>
      <c r="E648" s="135"/>
      <c r="F648" s="135"/>
      <c r="G648" s="135"/>
      <c r="H648" s="135"/>
      <c r="I648" s="135"/>
      <c r="J648" s="135"/>
      <c r="K648" s="135"/>
      <c r="L648" s="135"/>
      <c r="M648" s="135"/>
      <c r="N648" s="135"/>
      <c r="O648" s="135"/>
      <c r="P648" s="135"/>
      <c r="Q648" s="135"/>
      <c r="R648" s="135"/>
      <c r="S648" s="135"/>
      <c r="T648" s="135"/>
      <c r="U648" s="136"/>
      <c r="W648" s="35" t="str">
        <f>"-- "&amp;C648</f>
        <v>-- MML_診断履歴情報モジュール_病名テーブルから組入れ条件の第一条件で絞り込んだ結果をバックアップ_MML_診断履歴情報モジュール_病名テーブルに格納する。</v>
      </c>
    </row>
    <row r="650" spans="2:23" ht="18.75" customHeight="1">
      <c r="C650" s="137" t="s">
        <v>3607</v>
      </c>
      <c r="D650" s="138"/>
      <c r="E650" s="141" t="s">
        <v>162</v>
      </c>
      <c r="H650" s="36"/>
      <c r="I650" s="36"/>
      <c r="J650" s="36"/>
      <c r="K650" s="36"/>
      <c r="L650" s="36"/>
      <c r="M650" s="36"/>
      <c r="N650" s="36"/>
      <c r="O650" s="36"/>
      <c r="P650" s="36"/>
      <c r="Q650" s="36"/>
      <c r="R650" s="137" t="str">
        <f>"バックアップ_"&amp;SUBSTITUTE(C650,"_結合","")</f>
        <v>バックアップ_MML_診断履歴情報モジュール_病名</v>
      </c>
      <c r="S650" s="138"/>
      <c r="T650" s="143" t="str">
        <f>エンティティ一覧!$O$2</f>
        <v>milscm_2023_010</v>
      </c>
    </row>
    <row r="651" spans="2:23" ht="18.75" customHeight="1">
      <c r="C651" s="139"/>
      <c r="D651" s="140"/>
      <c r="E651" s="142"/>
      <c r="F651" s="37"/>
      <c r="G651" s="38"/>
      <c r="H651" s="37"/>
      <c r="I651" s="37"/>
      <c r="J651" s="37"/>
      <c r="K651" s="37"/>
      <c r="L651" s="37"/>
      <c r="M651" s="37"/>
      <c r="N651" s="37"/>
      <c r="O651" s="37"/>
      <c r="P651" s="37"/>
      <c r="Q651" s="37"/>
      <c r="R651" s="139"/>
      <c r="S651" s="140"/>
      <c r="T651" s="144"/>
    </row>
    <row r="652" spans="2:23" ht="18.75" customHeight="1">
      <c r="F652" s="39"/>
      <c r="G652" s="40"/>
    </row>
    <row r="653" spans="2:23" ht="18.75" customHeight="1">
      <c r="C653" s="137" t="s">
        <v>3182</v>
      </c>
      <c r="D653" s="138"/>
      <c r="E653" s="143" t="str">
        <f>エンティティ一覧!$O$2</f>
        <v>milscm_2023_010</v>
      </c>
      <c r="G653" s="41"/>
    </row>
    <row r="654" spans="2:23" ht="18.75" customHeight="1">
      <c r="C654" s="139"/>
      <c r="D654" s="140"/>
      <c r="E654" s="144"/>
      <c r="F654" s="37"/>
    </row>
    <row r="656" spans="2:23" ht="18.75" customHeight="1" thickBot="1">
      <c r="B656" s="42"/>
      <c r="C656" s="42"/>
      <c r="D656" s="42"/>
      <c r="E656" s="42"/>
      <c r="F656" s="42"/>
      <c r="G656" s="42"/>
      <c r="H656" s="42"/>
      <c r="I656" s="42"/>
      <c r="J656" s="42"/>
      <c r="K656" s="42"/>
      <c r="L656" s="42"/>
      <c r="M656" s="42"/>
      <c r="N656" s="42"/>
      <c r="O656" s="42"/>
      <c r="P656" s="42"/>
      <c r="Q656" s="42"/>
      <c r="R656" s="42"/>
      <c r="S656" s="42"/>
      <c r="T656" s="42"/>
      <c r="U656" s="42"/>
    </row>
    <row r="658" spans="2:23" ht="18.75" customHeight="1">
      <c r="B658" s="43" t="s">
        <v>163</v>
      </c>
      <c r="C658" s="51" t="s">
        <v>3608</v>
      </c>
      <c r="D658" s="88"/>
      <c r="W658" s="35" t="str">
        <f>"-- "&amp;B658&amp;" : "&amp;C658</f>
        <v>-- SQL_ID : 01_A6-05</v>
      </c>
    </row>
    <row r="659" spans="2:23" ht="18.75" customHeight="1">
      <c r="B659" s="43" t="s">
        <v>158</v>
      </c>
      <c r="C659" s="145" t="str">
        <f>R662&amp;"登録"</f>
        <v>バックアップ_MML_診断履歴情報モジュール_カテゴリ名登録</v>
      </c>
      <c r="D659" s="146"/>
      <c r="E659" s="146"/>
      <c r="F659" s="146"/>
      <c r="G659" s="146"/>
      <c r="H659" s="146"/>
      <c r="I659" s="146"/>
      <c r="J659" s="146"/>
      <c r="K659" s="146"/>
      <c r="L659" s="146"/>
      <c r="M659" s="146"/>
      <c r="N659" s="146"/>
      <c r="O659" s="146"/>
      <c r="P659" s="146"/>
      <c r="Q659" s="146"/>
      <c r="R659" s="146"/>
      <c r="S659" s="146"/>
      <c r="T659" s="146"/>
      <c r="U659" s="147"/>
      <c r="W659" s="35" t="str">
        <f>"-- "&amp;C659</f>
        <v>-- バックアップ_MML_診断履歴情報モジュール_カテゴリ名登録</v>
      </c>
    </row>
    <row r="660" spans="2:23" ht="18.75" customHeight="1">
      <c r="B660" s="43" t="s">
        <v>159</v>
      </c>
      <c r="C660" s="134" t="str">
        <f>C662&amp;"テーブルから組入れ条件の第一条件で絞り込んだ結果を"&amp;R662&amp;"テーブルに格納する。"</f>
        <v>MML_診断履歴情報モジュール_カテゴリ名テーブルから組入れ条件の第一条件で絞り込んだ結果をバックアップ_MML_診断履歴情報モジュール_カテゴリ名テーブルに格納する。</v>
      </c>
      <c r="D660" s="135"/>
      <c r="E660" s="135"/>
      <c r="F660" s="135"/>
      <c r="G660" s="135"/>
      <c r="H660" s="135"/>
      <c r="I660" s="135"/>
      <c r="J660" s="135"/>
      <c r="K660" s="135"/>
      <c r="L660" s="135"/>
      <c r="M660" s="135"/>
      <c r="N660" s="135"/>
      <c r="O660" s="135"/>
      <c r="P660" s="135"/>
      <c r="Q660" s="135"/>
      <c r="R660" s="135"/>
      <c r="S660" s="135"/>
      <c r="T660" s="135"/>
      <c r="U660" s="136"/>
      <c r="W660" s="35" t="str">
        <f>"-- "&amp;C660</f>
        <v>-- MML_診断履歴情報モジュール_カテゴリ名テーブルから組入れ条件の第一条件で絞り込んだ結果をバックアップ_MML_診断履歴情報モジュール_カテゴリ名テーブルに格納する。</v>
      </c>
    </row>
    <row r="662" spans="2:23" ht="18.75" customHeight="1">
      <c r="C662" s="137" t="s">
        <v>3609</v>
      </c>
      <c r="D662" s="138"/>
      <c r="E662" s="141" t="s">
        <v>162</v>
      </c>
      <c r="H662" s="36"/>
      <c r="I662" s="36"/>
      <c r="J662" s="36"/>
      <c r="K662" s="36"/>
      <c r="L662" s="36"/>
      <c r="M662" s="36"/>
      <c r="N662" s="36"/>
      <c r="O662" s="36"/>
      <c r="P662" s="36"/>
      <c r="Q662" s="36"/>
      <c r="R662" s="148" t="str">
        <f>"バックアップ_"&amp;SUBSTITUTE(C662,"_結合","")</f>
        <v>バックアップ_MML_診断履歴情報モジュール_カテゴリ名</v>
      </c>
      <c r="S662" s="149"/>
      <c r="T662" s="143" t="str">
        <f>エンティティ一覧!$O$2</f>
        <v>milscm_2023_010</v>
      </c>
    </row>
    <row r="663" spans="2:23" ht="18.75" customHeight="1">
      <c r="C663" s="139"/>
      <c r="D663" s="140"/>
      <c r="E663" s="142"/>
      <c r="F663" s="37"/>
      <c r="G663" s="38"/>
      <c r="H663" s="37"/>
      <c r="I663" s="37"/>
      <c r="J663" s="37"/>
      <c r="K663" s="37"/>
      <c r="L663" s="37"/>
      <c r="M663" s="37"/>
      <c r="N663" s="37"/>
      <c r="O663" s="37"/>
      <c r="P663" s="37"/>
      <c r="Q663" s="37"/>
      <c r="R663" s="150"/>
      <c r="S663" s="151"/>
      <c r="T663" s="144"/>
    </row>
    <row r="664" spans="2:23" ht="18.75" customHeight="1">
      <c r="F664" s="39"/>
      <c r="G664" s="40"/>
    </row>
    <row r="665" spans="2:23" ht="18.75" customHeight="1">
      <c r="C665" s="137" t="s">
        <v>3182</v>
      </c>
      <c r="D665" s="138"/>
      <c r="E665" s="143" t="str">
        <f>エンティティ一覧!$O$2</f>
        <v>milscm_2023_010</v>
      </c>
      <c r="G665" s="41"/>
    </row>
    <row r="666" spans="2:23" ht="18.75" customHeight="1">
      <c r="C666" s="139"/>
      <c r="D666" s="140"/>
      <c r="E666" s="144"/>
      <c r="F666" s="37"/>
    </row>
    <row r="668" spans="2:23" ht="18.75" customHeight="1" thickBot="1">
      <c r="B668" s="42"/>
      <c r="C668" s="42"/>
      <c r="D668" s="42"/>
      <c r="E668" s="42"/>
      <c r="F668" s="42"/>
      <c r="G668" s="42"/>
      <c r="H668" s="42"/>
      <c r="I668" s="42"/>
      <c r="J668" s="42"/>
      <c r="K668" s="42"/>
      <c r="L668" s="42"/>
      <c r="M668" s="42"/>
      <c r="N668" s="42"/>
      <c r="O668" s="42"/>
      <c r="P668" s="42"/>
      <c r="Q668" s="42"/>
      <c r="R668" s="42"/>
      <c r="S668" s="42"/>
      <c r="T668" s="42"/>
      <c r="U668" s="42"/>
    </row>
    <row r="670" spans="2:23" ht="18.75" customHeight="1">
      <c r="B670" s="43" t="s">
        <v>163</v>
      </c>
      <c r="C670" s="51" t="s">
        <v>3813</v>
      </c>
      <c r="D670" s="93"/>
      <c r="W670" s="35" t="str">
        <f>"-- "&amp;B670&amp;" : "&amp;C670</f>
        <v>-- SQL_ID : 01_A6-18</v>
      </c>
    </row>
    <row r="671" spans="2:23" ht="18.75" customHeight="1">
      <c r="B671" s="43" t="s">
        <v>158</v>
      </c>
      <c r="C671" s="145" t="str">
        <f>R674&amp;"登録"</f>
        <v>バックアップ_MML_検歴情報モジュール_本文登録</v>
      </c>
      <c r="D671" s="146"/>
      <c r="E671" s="146"/>
      <c r="F671" s="146"/>
      <c r="G671" s="146"/>
      <c r="H671" s="146"/>
      <c r="I671" s="146"/>
      <c r="J671" s="146"/>
      <c r="K671" s="146"/>
      <c r="L671" s="146"/>
      <c r="M671" s="146"/>
      <c r="N671" s="146"/>
      <c r="O671" s="146"/>
      <c r="P671" s="146"/>
      <c r="Q671" s="146"/>
      <c r="R671" s="146"/>
      <c r="S671" s="146"/>
      <c r="T671" s="146"/>
      <c r="U671" s="147"/>
      <c r="W671" s="35" t="str">
        <f>"-- "&amp;C671</f>
        <v>-- バックアップ_MML_検歴情報モジュール_本文登録</v>
      </c>
    </row>
    <row r="672" spans="2:23" ht="18.75" customHeight="1">
      <c r="B672" s="43" t="s">
        <v>159</v>
      </c>
      <c r="C672" s="134" t="str">
        <f>C674&amp;"テーブルから名古屋第一の条件で絞り込んだ結果を"&amp;R674&amp;"テーブルに格納する。"</f>
        <v>MML_検歴情報モジュール_本文テーブルから名古屋第一の条件で絞り込んだ結果をバックアップ_MML_検歴情報モジュール_本文テーブルに格納する。</v>
      </c>
      <c r="D672" s="135"/>
      <c r="E672" s="135"/>
      <c r="F672" s="135"/>
      <c r="G672" s="135"/>
      <c r="H672" s="135"/>
      <c r="I672" s="135"/>
      <c r="J672" s="135"/>
      <c r="K672" s="135"/>
      <c r="L672" s="135"/>
      <c r="M672" s="135"/>
      <c r="N672" s="135"/>
      <c r="O672" s="135"/>
      <c r="P672" s="135"/>
      <c r="Q672" s="135"/>
      <c r="R672" s="135"/>
      <c r="S672" s="135"/>
      <c r="T672" s="135"/>
      <c r="U672" s="136"/>
      <c r="W672" s="35" t="str">
        <f>"-- "&amp;C672</f>
        <v>-- MML_検歴情報モジュール_本文テーブルから名古屋第一の条件で絞り込んだ結果をバックアップ_MML_検歴情報モジュール_本文テーブルに格納する。</v>
      </c>
    </row>
    <row r="674" spans="2:23" ht="18.75" customHeight="1">
      <c r="C674" s="137" t="s">
        <v>3814</v>
      </c>
      <c r="D674" s="138"/>
      <c r="E674" s="141" t="s">
        <v>162</v>
      </c>
      <c r="F674" s="36"/>
      <c r="G674" s="36"/>
      <c r="H674" s="36"/>
      <c r="I674" s="36"/>
      <c r="J674" s="36"/>
      <c r="M674" s="36"/>
      <c r="N674" s="36"/>
      <c r="O674" s="36"/>
      <c r="P674" s="36"/>
      <c r="Q674" s="36"/>
      <c r="R674" s="137" t="str">
        <f>"バックアップ_"&amp;SUBSTITUTE(C674,"_結合","")</f>
        <v>バックアップ_MML_検歴情報モジュール_本文</v>
      </c>
      <c r="S674" s="138"/>
      <c r="T674" s="143" t="str">
        <f>エンティティ一覧!$O$2</f>
        <v>milscm_2023_010</v>
      </c>
    </row>
    <row r="675" spans="2:23" ht="18.75" customHeight="1">
      <c r="C675" s="139"/>
      <c r="D675" s="140"/>
      <c r="E675" s="142"/>
      <c r="F675" s="37"/>
      <c r="G675" s="37"/>
      <c r="H675" s="37"/>
      <c r="I675" s="37"/>
      <c r="J675" s="37"/>
      <c r="K675" s="37"/>
      <c r="L675" s="37"/>
      <c r="M675" s="37"/>
      <c r="N675" s="37"/>
      <c r="O675" s="37"/>
      <c r="P675" s="37"/>
      <c r="Q675" s="37"/>
      <c r="R675" s="139"/>
      <c r="S675" s="140"/>
      <c r="T675" s="144"/>
    </row>
    <row r="676" spans="2:23" ht="18.75" customHeight="1">
      <c r="K676" s="39"/>
      <c r="L676" s="94"/>
    </row>
    <row r="677" spans="2:23" ht="18.75" customHeight="1" thickBot="1">
      <c r="B677" s="42"/>
      <c r="C677" s="42"/>
      <c r="D677" s="42"/>
      <c r="E677" s="42"/>
      <c r="F677" s="42"/>
      <c r="G677" s="42"/>
      <c r="H677" s="42"/>
      <c r="I677" s="42"/>
      <c r="J677" s="42"/>
      <c r="K677" s="42"/>
      <c r="L677" s="42"/>
      <c r="M677" s="42"/>
      <c r="N677" s="42"/>
      <c r="O677" s="42"/>
      <c r="P677" s="42"/>
      <c r="Q677" s="42"/>
      <c r="R677" s="42"/>
      <c r="S677" s="42"/>
      <c r="T677" s="42"/>
      <c r="U677" s="42"/>
    </row>
    <row r="679" spans="2:23" ht="18.75" customHeight="1">
      <c r="B679" s="43" t="s">
        <v>163</v>
      </c>
      <c r="C679" s="51" t="s">
        <v>3815</v>
      </c>
      <c r="D679" s="93"/>
      <c r="W679" s="35" t="str">
        <f>"-- "&amp;B679&amp;" : "&amp;C679</f>
        <v>-- SQL_ID : 01_A6-19</v>
      </c>
    </row>
    <row r="680" spans="2:23" ht="18.75" customHeight="1">
      <c r="B680" s="43" t="s">
        <v>158</v>
      </c>
      <c r="C680" s="145" t="str">
        <f>R683&amp;"登録"</f>
        <v>バックアップ_MML_検歴情報モジュール_報告コメント登録</v>
      </c>
      <c r="D680" s="146"/>
      <c r="E680" s="146"/>
      <c r="F680" s="146"/>
      <c r="G680" s="146"/>
      <c r="H680" s="146"/>
      <c r="I680" s="146"/>
      <c r="J680" s="146"/>
      <c r="K680" s="146"/>
      <c r="L680" s="146"/>
      <c r="M680" s="146"/>
      <c r="N680" s="146"/>
      <c r="O680" s="146"/>
      <c r="P680" s="146"/>
      <c r="Q680" s="146"/>
      <c r="R680" s="146"/>
      <c r="S680" s="146"/>
      <c r="T680" s="146"/>
      <c r="U680" s="147"/>
      <c r="W680" s="35" t="str">
        <f>"-- "&amp;C680</f>
        <v>-- バックアップ_MML_検歴情報モジュール_報告コメント登録</v>
      </c>
    </row>
    <row r="681" spans="2:23" ht="18.75" customHeight="1">
      <c r="B681" s="43" t="s">
        <v>159</v>
      </c>
      <c r="C681" s="134" t="str">
        <f>C683&amp;"テーブルから名古屋第一の条件で絞り込んだ結果を"&amp;R683&amp;"テーブルに格納する。"</f>
        <v>MML_検歴情報モジュール_報告コメントテーブルから名古屋第一の条件で絞り込んだ結果をバックアップ_MML_検歴情報モジュール_報告コメントテーブルに格納する。</v>
      </c>
      <c r="D681" s="135"/>
      <c r="E681" s="135"/>
      <c r="F681" s="135"/>
      <c r="G681" s="135"/>
      <c r="H681" s="135"/>
      <c r="I681" s="135"/>
      <c r="J681" s="135"/>
      <c r="K681" s="135"/>
      <c r="L681" s="135"/>
      <c r="M681" s="135"/>
      <c r="N681" s="135"/>
      <c r="O681" s="135"/>
      <c r="P681" s="135"/>
      <c r="Q681" s="135"/>
      <c r="R681" s="135"/>
      <c r="S681" s="135"/>
      <c r="T681" s="135"/>
      <c r="U681" s="136"/>
      <c r="W681" s="35" t="str">
        <f>"-- "&amp;C681</f>
        <v>-- MML_検歴情報モジュール_報告コメントテーブルから名古屋第一の条件で絞り込んだ結果をバックアップ_MML_検歴情報モジュール_報告コメントテーブルに格納する。</v>
      </c>
    </row>
    <row r="683" spans="2:23" ht="18.75" customHeight="1">
      <c r="C683" s="137" t="s">
        <v>3816</v>
      </c>
      <c r="D683" s="138"/>
      <c r="E683" s="141" t="s">
        <v>162</v>
      </c>
      <c r="F683" s="36"/>
      <c r="G683" s="36"/>
      <c r="H683" s="36"/>
      <c r="I683" s="36"/>
      <c r="J683" s="36"/>
      <c r="M683" s="36"/>
      <c r="N683" s="36"/>
      <c r="O683" s="36"/>
      <c r="P683" s="36"/>
      <c r="Q683" s="36"/>
      <c r="R683" s="137" t="str">
        <f>"バックアップ_"&amp;SUBSTITUTE(C683,"_結合","")</f>
        <v>バックアップ_MML_検歴情報モジュール_報告コメント</v>
      </c>
      <c r="S683" s="138"/>
      <c r="T683" s="143" t="str">
        <f>エンティティ一覧!$O$2</f>
        <v>milscm_2023_010</v>
      </c>
    </row>
    <row r="684" spans="2:23" ht="18.75" customHeight="1">
      <c r="C684" s="139"/>
      <c r="D684" s="140"/>
      <c r="E684" s="142"/>
      <c r="F684" s="37"/>
      <c r="G684" s="37"/>
      <c r="H684" s="37"/>
      <c r="I684" s="37"/>
      <c r="J684" s="37"/>
      <c r="K684" s="37"/>
      <c r="L684" s="37"/>
      <c r="M684" s="37"/>
      <c r="N684" s="37"/>
      <c r="O684" s="37"/>
      <c r="P684" s="37"/>
      <c r="Q684" s="37"/>
      <c r="R684" s="139"/>
      <c r="S684" s="140"/>
      <c r="T684" s="144"/>
    </row>
    <row r="685" spans="2:23" ht="18.75" customHeight="1">
      <c r="K685" s="39"/>
      <c r="L685" s="94"/>
    </row>
    <row r="686" spans="2:23" ht="18.75" customHeight="1" thickBot="1">
      <c r="B686" s="42"/>
      <c r="C686" s="42"/>
      <c r="D686" s="42"/>
      <c r="E686" s="42"/>
      <c r="F686" s="42"/>
      <c r="G686" s="42"/>
      <c r="H686" s="42"/>
      <c r="I686" s="42"/>
      <c r="J686" s="42"/>
      <c r="K686" s="42"/>
      <c r="L686" s="42"/>
      <c r="M686" s="42"/>
      <c r="N686" s="42"/>
      <c r="O686" s="42"/>
      <c r="P686" s="42"/>
      <c r="Q686" s="42"/>
      <c r="R686" s="42"/>
      <c r="S686" s="42"/>
      <c r="T686" s="42"/>
      <c r="U686" s="42"/>
    </row>
    <row r="688" spans="2:23" ht="18.75" customHeight="1">
      <c r="B688" s="43" t="s">
        <v>163</v>
      </c>
      <c r="C688" s="51" t="s">
        <v>3817</v>
      </c>
      <c r="D688" s="93"/>
      <c r="W688" s="35" t="str">
        <f>"-- "&amp;B688&amp;" : "&amp;C688</f>
        <v>-- SQL_ID : 01_A6-20</v>
      </c>
    </row>
    <row r="689" spans="2:23" ht="18.75" customHeight="1">
      <c r="B689" s="43" t="s">
        <v>158</v>
      </c>
      <c r="C689" s="145" t="str">
        <f>R692&amp;"登録"</f>
        <v>バックアップ_MML_検歴情報モジュール_検体検査結果情報登録</v>
      </c>
      <c r="D689" s="146"/>
      <c r="E689" s="146"/>
      <c r="F689" s="146"/>
      <c r="G689" s="146"/>
      <c r="H689" s="146"/>
      <c r="I689" s="146"/>
      <c r="J689" s="146"/>
      <c r="K689" s="146"/>
      <c r="L689" s="146"/>
      <c r="M689" s="146"/>
      <c r="N689" s="146"/>
      <c r="O689" s="146"/>
      <c r="P689" s="146"/>
      <c r="Q689" s="146"/>
      <c r="R689" s="146"/>
      <c r="S689" s="146"/>
      <c r="T689" s="146"/>
      <c r="U689" s="147"/>
      <c r="W689" s="35" t="str">
        <f>"-- "&amp;C689</f>
        <v>-- バックアップ_MML_検歴情報モジュール_検体検査結果情報登録</v>
      </c>
    </row>
    <row r="690" spans="2:23" ht="18.75" customHeight="1">
      <c r="B690" s="43" t="s">
        <v>159</v>
      </c>
      <c r="C690" s="134" t="str">
        <f>C692&amp;"テーブルから名古屋第一の条件で絞り込んだ結果を"&amp;R692&amp;"テーブルに格納する。"</f>
        <v>MML_検歴情報モジュール_検体検査結果情報テーブルから名古屋第一の条件で絞り込んだ結果をバックアップ_MML_検歴情報モジュール_検体検査結果情報テーブルに格納する。</v>
      </c>
      <c r="D690" s="135"/>
      <c r="E690" s="135"/>
      <c r="F690" s="135"/>
      <c r="G690" s="135"/>
      <c r="H690" s="135"/>
      <c r="I690" s="135"/>
      <c r="J690" s="135"/>
      <c r="K690" s="135"/>
      <c r="L690" s="135"/>
      <c r="M690" s="135"/>
      <c r="N690" s="135"/>
      <c r="O690" s="135"/>
      <c r="P690" s="135"/>
      <c r="Q690" s="135"/>
      <c r="R690" s="135"/>
      <c r="S690" s="135"/>
      <c r="T690" s="135"/>
      <c r="U690" s="136"/>
      <c r="W690" s="35" t="str">
        <f>"-- "&amp;C690</f>
        <v>-- MML_検歴情報モジュール_検体検査結果情報テーブルから名古屋第一の条件で絞り込んだ結果をバックアップ_MML_検歴情報モジュール_検体検査結果情報テーブルに格納する。</v>
      </c>
    </row>
    <row r="692" spans="2:23" ht="18.75" customHeight="1">
      <c r="C692" s="137" t="s">
        <v>3818</v>
      </c>
      <c r="D692" s="138"/>
      <c r="E692" s="141" t="s">
        <v>162</v>
      </c>
      <c r="F692" s="36"/>
      <c r="G692" s="36"/>
      <c r="H692" s="36"/>
      <c r="I692" s="36"/>
      <c r="J692" s="36"/>
      <c r="M692" s="36"/>
      <c r="N692" s="36"/>
      <c r="O692" s="36"/>
      <c r="P692" s="36"/>
      <c r="Q692" s="36"/>
      <c r="R692" s="148" t="str">
        <f>"バックアップ_"&amp;SUBSTITUTE(C692,"_結合","")</f>
        <v>バックアップ_MML_検歴情報モジュール_検体検査結果情報</v>
      </c>
      <c r="S692" s="149"/>
      <c r="T692" s="143" t="str">
        <f>エンティティ一覧!$O$2</f>
        <v>milscm_2023_010</v>
      </c>
    </row>
    <row r="693" spans="2:23" ht="18.75" customHeight="1">
      <c r="C693" s="139"/>
      <c r="D693" s="140"/>
      <c r="E693" s="142"/>
      <c r="F693" s="37"/>
      <c r="G693" s="37"/>
      <c r="H693" s="37"/>
      <c r="I693" s="37"/>
      <c r="J693" s="37"/>
      <c r="K693" s="37"/>
      <c r="L693" s="37"/>
      <c r="M693" s="37"/>
      <c r="N693" s="37"/>
      <c r="O693" s="37"/>
      <c r="P693" s="37"/>
      <c r="Q693" s="37"/>
      <c r="R693" s="150"/>
      <c r="S693" s="151"/>
      <c r="T693" s="144"/>
    </row>
    <row r="694" spans="2:23" ht="18.75" customHeight="1">
      <c r="K694" s="39"/>
      <c r="L694" s="94"/>
    </row>
    <row r="695" spans="2:23" ht="18.75" customHeight="1" thickBot="1">
      <c r="B695" s="42"/>
      <c r="C695" s="42"/>
      <c r="D695" s="42"/>
      <c r="E695" s="42"/>
      <c r="F695" s="42"/>
      <c r="G695" s="42"/>
      <c r="H695" s="42"/>
      <c r="I695" s="42"/>
      <c r="J695" s="42"/>
      <c r="K695" s="42"/>
      <c r="L695" s="42"/>
      <c r="M695" s="42"/>
      <c r="N695" s="42"/>
      <c r="O695" s="42"/>
      <c r="P695" s="42"/>
      <c r="Q695" s="42"/>
      <c r="R695" s="42"/>
      <c r="S695" s="42"/>
      <c r="T695" s="42"/>
      <c r="U695" s="42"/>
    </row>
    <row r="697" spans="2:23" ht="18.75" customHeight="1">
      <c r="B697" s="43" t="s">
        <v>163</v>
      </c>
      <c r="C697" s="51" t="s">
        <v>3819</v>
      </c>
      <c r="D697" s="93"/>
      <c r="W697" s="35" t="str">
        <f>"-- "&amp;B697&amp;" : "&amp;C697</f>
        <v>-- SQL_ID : 01_A6-21</v>
      </c>
    </row>
    <row r="698" spans="2:23" ht="18.75" customHeight="1">
      <c r="B698" s="43" t="s">
        <v>158</v>
      </c>
      <c r="C698" s="145" t="str">
        <f>R701&amp;"登録"</f>
        <v>バックアップ_MML_検歴情報モジュール_検体コメント登録</v>
      </c>
      <c r="D698" s="146"/>
      <c r="E698" s="146"/>
      <c r="F698" s="146"/>
      <c r="G698" s="146"/>
      <c r="H698" s="146"/>
      <c r="I698" s="146"/>
      <c r="J698" s="146"/>
      <c r="K698" s="146"/>
      <c r="L698" s="146"/>
      <c r="M698" s="146"/>
      <c r="N698" s="146"/>
      <c r="O698" s="146"/>
      <c r="P698" s="146"/>
      <c r="Q698" s="146"/>
      <c r="R698" s="146"/>
      <c r="S698" s="146"/>
      <c r="T698" s="146"/>
      <c r="U698" s="147"/>
      <c r="W698" s="35" t="str">
        <f>"-- "&amp;C698</f>
        <v>-- バックアップ_MML_検歴情報モジュール_検体コメント登録</v>
      </c>
    </row>
    <row r="699" spans="2:23" ht="18.75" customHeight="1">
      <c r="B699" s="43" t="s">
        <v>159</v>
      </c>
      <c r="C699" s="134" t="str">
        <f>C701&amp;"テーブルから名古屋第一の条件で絞り込んだ結果を"&amp;R701&amp;"テーブルに格納する。"</f>
        <v>MML_検歴情報モジュール_検体コメントテーブルから名古屋第一の条件で絞り込んだ結果をバックアップ_MML_検歴情報モジュール_検体コメントテーブルに格納する。</v>
      </c>
      <c r="D699" s="135"/>
      <c r="E699" s="135"/>
      <c r="F699" s="135"/>
      <c r="G699" s="135"/>
      <c r="H699" s="135"/>
      <c r="I699" s="135"/>
      <c r="J699" s="135"/>
      <c r="K699" s="135"/>
      <c r="L699" s="135"/>
      <c r="M699" s="135"/>
      <c r="N699" s="135"/>
      <c r="O699" s="135"/>
      <c r="P699" s="135"/>
      <c r="Q699" s="135"/>
      <c r="R699" s="135"/>
      <c r="S699" s="135"/>
      <c r="T699" s="135"/>
      <c r="U699" s="136"/>
      <c r="W699" s="35" t="str">
        <f>"-- "&amp;C699</f>
        <v>-- MML_検歴情報モジュール_検体コメントテーブルから名古屋第一の条件で絞り込んだ結果をバックアップ_MML_検歴情報モジュール_検体コメントテーブルに格納する。</v>
      </c>
    </row>
    <row r="701" spans="2:23" ht="18.75" customHeight="1">
      <c r="C701" s="137" t="s">
        <v>3820</v>
      </c>
      <c r="D701" s="138"/>
      <c r="E701" s="141" t="s">
        <v>162</v>
      </c>
      <c r="F701" s="36"/>
      <c r="G701" s="36"/>
      <c r="H701" s="36"/>
      <c r="I701" s="36"/>
      <c r="J701" s="36"/>
      <c r="M701" s="36"/>
      <c r="N701" s="36"/>
      <c r="O701" s="36"/>
      <c r="P701" s="36"/>
      <c r="Q701" s="36"/>
      <c r="R701" s="137" t="str">
        <f>"バックアップ_"&amp;SUBSTITUTE(C701,"_結合","")</f>
        <v>バックアップ_MML_検歴情報モジュール_検体コメント</v>
      </c>
      <c r="S701" s="138"/>
      <c r="T701" s="143" t="str">
        <f>エンティティ一覧!$O$2</f>
        <v>milscm_2023_010</v>
      </c>
    </row>
    <row r="702" spans="2:23" ht="18.75" customHeight="1">
      <c r="C702" s="139"/>
      <c r="D702" s="140"/>
      <c r="E702" s="142"/>
      <c r="F702" s="37"/>
      <c r="G702" s="37"/>
      <c r="H702" s="37"/>
      <c r="I702" s="37"/>
      <c r="J702" s="37"/>
      <c r="K702" s="37"/>
      <c r="L702" s="37"/>
      <c r="M702" s="37"/>
      <c r="N702" s="37"/>
      <c r="O702" s="37"/>
      <c r="P702" s="37"/>
      <c r="Q702" s="37"/>
      <c r="R702" s="139"/>
      <c r="S702" s="140"/>
      <c r="T702" s="144"/>
    </row>
    <row r="703" spans="2:23" ht="18.75" customHeight="1">
      <c r="K703" s="39"/>
      <c r="L703" s="94"/>
    </row>
    <row r="704" spans="2:23" ht="18.75" customHeight="1" thickBot="1">
      <c r="B704" s="42"/>
      <c r="C704" s="42"/>
      <c r="D704" s="42"/>
      <c r="E704" s="42"/>
      <c r="F704" s="42"/>
      <c r="G704" s="42"/>
      <c r="H704" s="42"/>
      <c r="I704" s="42"/>
      <c r="J704" s="42"/>
      <c r="K704" s="42"/>
      <c r="L704" s="42"/>
      <c r="M704" s="42"/>
      <c r="N704" s="42"/>
      <c r="O704" s="42"/>
      <c r="P704" s="42"/>
      <c r="Q704" s="42"/>
      <c r="R704" s="42"/>
      <c r="S704" s="42"/>
      <c r="T704" s="42"/>
      <c r="U704" s="42"/>
    </row>
    <row r="706" spans="2:23" ht="18.75" customHeight="1">
      <c r="B706" s="43" t="s">
        <v>163</v>
      </c>
      <c r="C706" s="51" t="s">
        <v>3821</v>
      </c>
      <c r="D706" s="93"/>
      <c r="W706" s="35" t="str">
        <f>"-- "&amp;B706&amp;" : "&amp;C706</f>
        <v>-- SQL_ID : 01_A6-22</v>
      </c>
    </row>
    <row r="707" spans="2:23" ht="18.75" customHeight="1">
      <c r="B707" s="43" t="s">
        <v>158</v>
      </c>
      <c r="C707" s="145" t="str">
        <f>R710&amp;"登録"</f>
        <v>バックアップ_MML_検歴情報モジュール_検査項目登録</v>
      </c>
      <c r="D707" s="146"/>
      <c r="E707" s="146"/>
      <c r="F707" s="146"/>
      <c r="G707" s="146"/>
      <c r="H707" s="146"/>
      <c r="I707" s="146"/>
      <c r="J707" s="146"/>
      <c r="K707" s="146"/>
      <c r="L707" s="146"/>
      <c r="M707" s="146"/>
      <c r="N707" s="146"/>
      <c r="O707" s="146"/>
      <c r="P707" s="146"/>
      <c r="Q707" s="146"/>
      <c r="R707" s="146"/>
      <c r="S707" s="146"/>
      <c r="T707" s="146"/>
      <c r="U707" s="147"/>
      <c r="W707" s="35" t="str">
        <f>"-- "&amp;C707</f>
        <v>-- バックアップ_MML_検歴情報モジュール_検査項目登録</v>
      </c>
    </row>
    <row r="708" spans="2:23" ht="18.75" customHeight="1">
      <c r="B708" s="43" t="s">
        <v>159</v>
      </c>
      <c r="C708" s="134" t="str">
        <f>C710&amp;"テーブルから名古屋第一の条件で絞り込んだ結果を"&amp;R710&amp;"テーブルに格納する。"</f>
        <v>MML_検歴情報モジュール_検査項目テーブルから名古屋第一の条件で絞り込んだ結果をバックアップ_MML_検歴情報モジュール_検査項目テーブルに格納する。</v>
      </c>
      <c r="D708" s="135"/>
      <c r="E708" s="135"/>
      <c r="F708" s="135"/>
      <c r="G708" s="135"/>
      <c r="H708" s="135"/>
      <c r="I708" s="135"/>
      <c r="J708" s="135"/>
      <c r="K708" s="135"/>
      <c r="L708" s="135"/>
      <c r="M708" s="135"/>
      <c r="N708" s="135"/>
      <c r="O708" s="135"/>
      <c r="P708" s="135"/>
      <c r="Q708" s="135"/>
      <c r="R708" s="135"/>
      <c r="S708" s="135"/>
      <c r="T708" s="135"/>
      <c r="U708" s="136"/>
      <c r="W708" s="35" t="str">
        <f>"-- "&amp;C708</f>
        <v>-- MML_検歴情報モジュール_検査項目テーブルから名古屋第一の条件で絞り込んだ結果をバックアップ_MML_検歴情報モジュール_検査項目テーブルに格納する。</v>
      </c>
    </row>
    <row r="710" spans="2:23" ht="18.75" customHeight="1">
      <c r="C710" s="137" t="s">
        <v>3822</v>
      </c>
      <c r="D710" s="138"/>
      <c r="E710" s="141" t="s">
        <v>162</v>
      </c>
      <c r="F710" s="36"/>
      <c r="G710" s="36"/>
      <c r="H710" s="36"/>
      <c r="I710" s="36"/>
      <c r="J710" s="36"/>
      <c r="M710" s="36"/>
      <c r="N710" s="36"/>
      <c r="O710" s="36"/>
      <c r="P710" s="36"/>
      <c r="Q710" s="36"/>
      <c r="R710" s="137" t="str">
        <f>"バックアップ_"&amp;SUBSTITUTE(C710,"_結合","")</f>
        <v>バックアップ_MML_検歴情報モジュール_検査項目</v>
      </c>
      <c r="S710" s="138"/>
      <c r="T710" s="143" t="str">
        <f>エンティティ一覧!$O$2</f>
        <v>milscm_2023_010</v>
      </c>
    </row>
    <row r="711" spans="2:23" ht="18.75" customHeight="1">
      <c r="C711" s="139"/>
      <c r="D711" s="140"/>
      <c r="E711" s="142"/>
      <c r="F711" s="37"/>
      <c r="G711" s="37"/>
      <c r="H711" s="37"/>
      <c r="I711" s="37"/>
      <c r="J711" s="37"/>
      <c r="K711" s="37"/>
      <c r="L711" s="37"/>
      <c r="M711" s="37"/>
      <c r="N711" s="37"/>
      <c r="O711" s="37"/>
      <c r="P711" s="37"/>
      <c r="Q711" s="37"/>
      <c r="R711" s="139"/>
      <c r="S711" s="140"/>
      <c r="T711" s="144"/>
    </row>
    <row r="712" spans="2:23" ht="18.75" customHeight="1">
      <c r="K712" s="39"/>
      <c r="L712" s="94"/>
    </row>
    <row r="713" spans="2:23" ht="18.75" customHeight="1" thickBot="1">
      <c r="B713" s="42"/>
      <c r="C713" s="42"/>
      <c r="D713" s="42"/>
      <c r="E713" s="42"/>
      <c r="F713" s="42"/>
      <c r="G713" s="42"/>
      <c r="H713" s="42"/>
      <c r="I713" s="42"/>
      <c r="J713" s="42"/>
      <c r="K713" s="42"/>
      <c r="L713" s="42"/>
      <c r="M713" s="42"/>
      <c r="N713" s="42"/>
      <c r="O713" s="42"/>
      <c r="P713" s="42"/>
      <c r="Q713" s="42"/>
      <c r="R713" s="42"/>
      <c r="S713" s="42"/>
      <c r="T713" s="42"/>
      <c r="U713" s="42"/>
    </row>
    <row r="715" spans="2:23" ht="18.75" customHeight="1">
      <c r="B715" s="43" t="s">
        <v>163</v>
      </c>
      <c r="C715" s="51" t="s">
        <v>3823</v>
      </c>
      <c r="D715" s="93"/>
      <c r="W715" s="35" t="str">
        <f>"-- "&amp;B715&amp;" : "&amp;C715</f>
        <v>-- SQL_ID : 01_A6-23</v>
      </c>
    </row>
    <row r="716" spans="2:23" ht="18.75" customHeight="1">
      <c r="B716" s="43" t="s">
        <v>158</v>
      </c>
      <c r="C716" s="145" t="str">
        <f>R719&amp;"登録"</f>
        <v>バックアップ_MML_検歴情報モジュール_検査項目コメント登録</v>
      </c>
      <c r="D716" s="146"/>
      <c r="E716" s="146"/>
      <c r="F716" s="146"/>
      <c r="G716" s="146"/>
      <c r="H716" s="146"/>
      <c r="I716" s="146"/>
      <c r="J716" s="146"/>
      <c r="K716" s="146"/>
      <c r="L716" s="146"/>
      <c r="M716" s="146"/>
      <c r="N716" s="146"/>
      <c r="O716" s="146"/>
      <c r="P716" s="146"/>
      <c r="Q716" s="146"/>
      <c r="R716" s="146"/>
      <c r="S716" s="146"/>
      <c r="T716" s="146"/>
      <c r="U716" s="147"/>
      <c r="W716" s="35" t="str">
        <f>"-- "&amp;C716</f>
        <v>-- バックアップ_MML_検歴情報モジュール_検査項目コメント登録</v>
      </c>
    </row>
    <row r="717" spans="2:23" ht="18.75" customHeight="1">
      <c r="B717" s="43" t="s">
        <v>159</v>
      </c>
      <c r="C717" s="134" t="str">
        <f>C719&amp;"テーブルから名古屋第一の条件で絞り込んだ結果を"&amp;R719&amp;"テーブルに格納する。"</f>
        <v>MML_検歴情報モジュール_検査項目コメントテーブルから名古屋第一の条件で絞り込んだ結果をバックアップ_MML_検歴情報モジュール_検査項目コメントテーブルに格納する。</v>
      </c>
      <c r="D717" s="135"/>
      <c r="E717" s="135"/>
      <c r="F717" s="135"/>
      <c r="G717" s="135"/>
      <c r="H717" s="135"/>
      <c r="I717" s="135"/>
      <c r="J717" s="135"/>
      <c r="K717" s="135"/>
      <c r="L717" s="135"/>
      <c r="M717" s="135"/>
      <c r="N717" s="135"/>
      <c r="O717" s="135"/>
      <c r="P717" s="135"/>
      <c r="Q717" s="135"/>
      <c r="R717" s="135"/>
      <c r="S717" s="135"/>
      <c r="T717" s="135"/>
      <c r="U717" s="136"/>
      <c r="W717" s="35" t="str">
        <f>"-- "&amp;C717</f>
        <v>-- MML_検歴情報モジュール_検査項目コメントテーブルから名古屋第一の条件で絞り込んだ結果をバックアップ_MML_検歴情報モジュール_検査項目コメントテーブルに格納する。</v>
      </c>
    </row>
    <row r="719" spans="2:23" ht="18.75" customHeight="1">
      <c r="C719" s="137" t="s">
        <v>3824</v>
      </c>
      <c r="D719" s="138"/>
      <c r="E719" s="141" t="s">
        <v>162</v>
      </c>
      <c r="F719" s="36"/>
      <c r="G719" s="36"/>
      <c r="H719" s="36"/>
      <c r="I719" s="36"/>
      <c r="J719" s="36"/>
      <c r="M719" s="36"/>
      <c r="N719" s="36"/>
      <c r="O719" s="36"/>
      <c r="P719" s="36"/>
      <c r="Q719" s="36"/>
      <c r="R719" s="148" t="str">
        <f>"バックアップ_"&amp;SUBSTITUTE(C719,"_結合","")</f>
        <v>バックアップ_MML_検歴情報モジュール_検査項目コメント</v>
      </c>
      <c r="S719" s="149"/>
      <c r="T719" s="143" t="str">
        <f>エンティティ一覧!$O$2</f>
        <v>milscm_2023_010</v>
      </c>
    </row>
    <row r="720" spans="2:23" ht="18.75" customHeight="1">
      <c r="C720" s="139"/>
      <c r="D720" s="140"/>
      <c r="E720" s="142"/>
      <c r="F720" s="37"/>
      <c r="G720" s="37"/>
      <c r="H720" s="37"/>
      <c r="I720" s="37"/>
      <c r="J720" s="37"/>
      <c r="K720" s="37"/>
      <c r="L720" s="37"/>
      <c r="M720" s="37"/>
      <c r="N720" s="37"/>
      <c r="O720" s="37"/>
      <c r="P720" s="37"/>
      <c r="Q720" s="37"/>
      <c r="R720" s="150"/>
      <c r="S720" s="151"/>
      <c r="T720" s="144"/>
    </row>
    <row r="721" spans="2:23" ht="18.75" customHeight="1">
      <c r="K721" s="39"/>
      <c r="L721" s="94"/>
    </row>
    <row r="722" spans="2:23" ht="18.75" customHeight="1" thickBot="1">
      <c r="B722" s="42"/>
      <c r="C722" s="42"/>
      <c r="D722" s="42"/>
      <c r="E722" s="42"/>
      <c r="F722" s="42"/>
      <c r="G722" s="42"/>
      <c r="H722" s="42"/>
      <c r="I722" s="42"/>
      <c r="J722" s="42"/>
      <c r="K722" s="42"/>
      <c r="L722" s="42"/>
      <c r="M722" s="42"/>
      <c r="N722" s="42"/>
      <c r="O722" s="42"/>
      <c r="P722" s="42"/>
      <c r="Q722" s="42"/>
      <c r="R722" s="42"/>
      <c r="S722" s="42"/>
      <c r="T722" s="42"/>
      <c r="U722" s="42"/>
    </row>
    <row r="724" spans="2:23" ht="18.75" customHeight="1">
      <c r="B724" s="43" t="s">
        <v>163</v>
      </c>
      <c r="C724" s="51" t="s">
        <v>3610</v>
      </c>
      <c r="D724" s="88"/>
      <c r="W724" s="35" t="str">
        <f>"-- "&amp;B724&amp;" : "&amp;C724</f>
        <v>-- SQL_ID : 01_A6-24</v>
      </c>
    </row>
    <row r="725" spans="2:23" ht="18.75" customHeight="1">
      <c r="B725" s="43" t="s">
        <v>158</v>
      </c>
      <c r="C725" s="145" t="str">
        <f>R728&amp;"登録"</f>
        <v>バックアップ_MML_処方箋モジュール_本文登録</v>
      </c>
      <c r="D725" s="146"/>
      <c r="E725" s="146"/>
      <c r="F725" s="146"/>
      <c r="G725" s="146"/>
      <c r="H725" s="146"/>
      <c r="I725" s="146"/>
      <c r="J725" s="146"/>
      <c r="K725" s="146"/>
      <c r="L725" s="146"/>
      <c r="M725" s="146"/>
      <c r="N725" s="146"/>
      <c r="O725" s="146"/>
      <c r="P725" s="146"/>
      <c r="Q725" s="146"/>
      <c r="R725" s="146"/>
      <c r="S725" s="146"/>
      <c r="T725" s="146"/>
      <c r="U725" s="147"/>
      <c r="W725" s="35" t="str">
        <f>"-- "&amp;C725</f>
        <v>-- バックアップ_MML_処方箋モジュール_本文登録</v>
      </c>
    </row>
    <row r="726" spans="2:23" ht="18.75" customHeight="1">
      <c r="B726" s="43" t="s">
        <v>159</v>
      </c>
      <c r="C726" s="134" t="str">
        <f>C728&amp;"テーブルから組入れ条件の第一条件で絞り込んだ結果を"&amp;R728&amp;"テーブルに格納する。"</f>
        <v>MML_処方箋モジュール_本文テーブルから組入れ条件の第一条件で絞り込んだ結果をバックアップ_MML_処方箋モジュール_本文テーブルに格納する。</v>
      </c>
      <c r="D726" s="135"/>
      <c r="E726" s="135"/>
      <c r="F726" s="135"/>
      <c r="G726" s="135"/>
      <c r="H726" s="135"/>
      <c r="I726" s="135"/>
      <c r="J726" s="135"/>
      <c r="K726" s="135"/>
      <c r="L726" s="135"/>
      <c r="M726" s="135"/>
      <c r="N726" s="135"/>
      <c r="O726" s="135"/>
      <c r="P726" s="135"/>
      <c r="Q726" s="135"/>
      <c r="R726" s="135"/>
      <c r="S726" s="135"/>
      <c r="T726" s="135"/>
      <c r="U726" s="136"/>
      <c r="W726" s="35" t="str">
        <f>"-- "&amp;C726</f>
        <v>-- MML_処方箋モジュール_本文テーブルから組入れ条件の第一条件で絞り込んだ結果をバックアップ_MML_処方箋モジュール_本文テーブルに格納する。</v>
      </c>
    </row>
    <row r="728" spans="2:23" ht="18.75" customHeight="1">
      <c r="C728" s="137" t="s">
        <v>3611</v>
      </c>
      <c r="D728" s="138"/>
      <c r="E728" s="141" t="s">
        <v>162</v>
      </c>
      <c r="H728" s="36"/>
      <c r="I728" s="36"/>
      <c r="J728" s="36"/>
      <c r="K728" s="36"/>
      <c r="L728" s="36"/>
      <c r="M728" s="36"/>
      <c r="N728" s="36"/>
      <c r="O728" s="36"/>
      <c r="P728" s="36"/>
      <c r="Q728" s="36"/>
      <c r="R728" s="137" t="str">
        <f>"バックアップ_"&amp;SUBSTITUTE(C728,"_結合","")</f>
        <v>バックアップ_MML_処方箋モジュール_本文</v>
      </c>
      <c r="S728" s="138"/>
      <c r="T728" s="143" t="str">
        <f>エンティティ一覧!$O$2</f>
        <v>milscm_2023_010</v>
      </c>
    </row>
    <row r="729" spans="2:23" ht="18.75" customHeight="1">
      <c r="C729" s="139"/>
      <c r="D729" s="140"/>
      <c r="E729" s="142"/>
      <c r="F729" s="37"/>
      <c r="G729" s="38"/>
      <c r="H729" s="37"/>
      <c r="I729" s="37"/>
      <c r="J729" s="37"/>
      <c r="K729" s="37"/>
      <c r="L729" s="37"/>
      <c r="M729" s="37"/>
      <c r="N729" s="37"/>
      <c r="O729" s="37"/>
      <c r="P729" s="37"/>
      <c r="Q729" s="37"/>
      <c r="R729" s="139"/>
      <c r="S729" s="140"/>
      <c r="T729" s="144"/>
    </row>
    <row r="730" spans="2:23" ht="18.75" customHeight="1">
      <c r="F730" s="39"/>
      <c r="G730" s="40"/>
    </row>
    <row r="731" spans="2:23" ht="18.75" customHeight="1">
      <c r="C731" s="137" t="s">
        <v>3182</v>
      </c>
      <c r="D731" s="138"/>
      <c r="E731" s="143" t="str">
        <f>エンティティ一覧!$O$2</f>
        <v>milscm_2023_010</v>
      </c>
      <c r="G731" s="41"/>
    </row>
    <row r="732" spans="2:23" ht="18.75" customHeight="1">
      <c r="C732" s="139"/>
      <c r="D732" s="140"/>
      <c r="E732" s="144"/>
      <c r="F732" s="37"/>
    </row>
    <row r="734" spans="2:23" ht="18.75" customHeight="1" thickBot="1">
      <c r="B734" s="42"/>
      <c r="C734" s="42"/>
      <c r="D734" s="42"/>
      <c r="E734" s="42"/>
      <c r="F734" s="42"/>
      <c r="G734" s="42"/>
      <c r="H734" s="42"/>
      <c r="I734" s="42"/>
      <c r="J734" s="42"/>
      <c r="K734" s="42"/>
      <c r="L734" s="42"/>
      <c r="M734" s="42"/>
      <c r="N734" s="42"/>
      <c r="O734" s="42"/>
      <c r="P734" s="42"/>
      <c r="Q734" s="42"/>
      <c r="R734" s="42"/>
      <c r="S734" s="42"/>
      <c r="T734" s="42"/>
      <c r="U734" s="42"/>
    </row>
    <row r="736" spans="2:23" ht="18.75" customHeight="1">
      <c r="B736" s="43" t="s">
        <v>163</v>
      </c>
      <c r="C736" s="51" t="s">
        <v>3612</v>
      </c>
      <c r="D736" s="88"/>
      <c r="W736" s="35" t="str">
        <f>"-- "&amp;B736&amp;" : "&amp;C736</f>
        <v>-- SQL_ID : 01_A6-25</v>
      </c>
    </row>
    <row r="737" spans="2:23" ht="18.75" customHeight="1">
      <c r="B737" s="43" t="s">
        <v>158</v>
      </c>
      <c r="C737" s="145" t="str">
        <f>R740&amp;"登録"</f>
        <v>バックアップ_MML_処方箋モジュール_投薬登録</v>
      </c>
      <c r="D737" s="146"/>
      <c r="E737" s="146"/>
      <c r="F737" s="146"/>
      <c r="G737" s="146"/>
      <c r="H737" s="146"/>
      <c r="I737" s="146"/>
      <c r="J737" s="146"/>
      <c r="K737" s="146"/>
      <c r="L737" s="146"/>
      <c r="M737" s="146"/>
      <c r="N737" s="146"/>
      <c r="O737" s="146"/>
      <c r="P737" s="146"/>
      <c r="Q737" s="146"/>
      <c r="R737" s="146"/>
      <c r="S737" s="146"/>
      <c r="T737" s="146"/>
      <c r="U737" s="147"/>
      <c r="W737" s="35" t="str">
        <f>"-- "&amp;C737</f>
        <v>-- バックアップ_MML_処方箋モジュール_投薬登録</v>
      </c>
    </row>
    <row r="738" spans="2:23" ht="18.75" customHeight="1">
      <c r="B738" s="43" t="s">
        <v>159</v>
      </c>
      <c r="C738" s="134" t="str">
        <f>C740&amp;"テーブルから組入れ条件の第一条件で絞り込んだ結果を"&amp;R740&amp;"テーブルに格納する。"</f>
        <v>MML_処方箋モジュール_投薬テーブルから組入れ条件の第一条件で絞り込んだ結果をバックアップ_MML_処方箋モジュール_投薬テーブルに格納する。</v>
      </c>
      <c r="D738" s="135"/>
      <c r="E738" s="135"/>
      <c r="F738" s="135"/>
      <c r="G738" s="135"/>
      <c r="H738" s="135"/>
      <c r="I738" s="135"/>
      <c r="J738" s="135"/>
      <c r="K738" s="135"/>
      <c r="L738" s="135"/>
      <c r="M738" s="135"/>
      <c r="N738" s="135"/>
      <c r="O738" s="135"/>
      <c r="P738" s="135"/>
      <c r="Q738" s="135"/>
      <c r="R738" s="135"/>
      <c r="S738" s="135"/>
      <c r="T738" s="135"/>
      <c r="U738" s="136"/>
      <c r="W738" s="35" t="str">
        <f>"-- "&amp;C738</f>
        <v>-- MML_処方箋モジュール_投薬テーブルから組入れ条件の第一条件で絞り込んだ結果をバックアップ_MML_処方箋モジュール_投薬テーブルに格納する。</v>
      </c>
    </row>
    <row r="740" spans="2:23" ht="18.75" customHeight="1">
      <c r="C740" s="137" t="s">
        <v>3613</v>
      </c>
      <c r="D740" s="138"/>
      <c r="E740" s="141" t="s">
        <v>162</v>
      </c>
      <c r="H740" s="36"/>
      <c r="I740" s="36"/>
      <c r="J740" s="36"/>
      <c r="K740" s="36"/>
      <c r="L740" s="36"/>
      <c r="M740" s="36"/>
      <c r="N740" s="36"/>
      <c r="O740" s="36"/>
      <c r="P740" s="36"/>
      <c r="Q740" s="36"/>
      <c r="R740" s="137" t="str">
        <f>"バックアップ_"&amp;SUBSTITUTE(C740,"_結合","")</f>
        <v>バックアップ_MML_処方箋モジュール_投薬</v>
      </c>
      <c r="S740" s="138"/>
      <c r="T740" s="143" t="str">
        <f>エンティティ一覧!$O$2</f>
        <v>milscm_2023_010</v>
      </c>
    </row>
    <row r="741" spans="2:23" ht="18.75" customHeight="1">
      <c r="C741" s="139"/>
      <c r="D741" s="140"/>
      <c r="E741" s="142"/>
      <c r="F741" s="37"/>
      <c r="G741" s="38"/>
      <c r="H741" s="37"/>
      <c r="I741" s="37"/>
      <c r="J741" s="37"/>
      <c r="K741" s="37"/>
      <c r="L741" s="37"/>
      <c r="M741" s="37"/>
      <c r="N741" s="37"/>
      <c r="O741" s="37"/>
      <c r="P741" s="37"/>
      <c r="Q741" s="37"/>
      <c r="R741" s="139"/>
      <c r="S741" s="140"/>
      <c r="T741" s="144"/>
    </row>
    <row r="742" spans="2:23" ht="18.75" customHeight="1">
      <c r="F742" s="39"/>
      <c r="G742" s="40"/>
    </row>
    <row r="743" spans="2:23" ht="18.75" customHeight="1">
      <c r="C743" s="137" t="s">
        <v>3182</v>
      </c>
      <c r="D743" s="138"/>
      <c r="E743" s="143" t="str">
        <f>エンティティ一覧!$O$2</f>
        <v>milscm_2023_010</v>
      </c>
      <c r="G743" s="41"/>
    </row>
    <row r="744" spans="2:23" ht="18.75" customHeight="1">
      <c r="C744" s="139"/>
      <c r="D744" s="140"/>
      <c r="E744" s="144"/>
      <c r="F744" s="37"/>
    </row>
    <row r="746" spans="2:23" ht="18.75" customHeight="1" thickBot="1">
      <c r="B746" s="42"/>
      <c r="C746" s="42"/>
      <c r="D746" s="42"/>
      <c r="E746" s="42"/>
      <c r="F746" s="42"/>
      <c r="G746" s="42"/>
      <c r="H746" s="42"/>
      <c r="I746" s="42"/>
      <c r="J746" s="42"/>
      <c r="K746" s="42"/>
      <c r="L746" s="42"/>
      <c r="M746" s="42"/>
      <c r="N746" s="42"/>
      <c r="O746" s="42"/>
      <c r="P746" s="42"/>
      <c r="Q746" s="42"/>
      <c r="R746" s="42"/>
      <c r="S746" s="42"/>
      <c r="T746" s="42"/>
      <c r="U746" s="42"/>
    </row>
    <row r="748" spans="2:23" ht="18.75" customHeight="1">
      <c r="B748" s="43" t="s">
        <v>163</v>
      </c>
      <c r="C748" s="51" t="s">
        <v>3614</v>
      </c>
      <c r="D748" s="88"/>
      <c r="W748" s="35" t="str">
        <f>"-- "&amp;B748&amp;" : "&amp;C748</f>
        <v>-- SQL_ID : 01_A6-26</v>
      </c>
    </row>
    <row r="749" spans="2:23" ht="18.75" customHeight="1">
      <c r="B749" s="43" t="s">
        <v>158</v>
      </c>
      <c r="C749" s="145" t="str">
        <f>R752&amp;"登録"</f>
        <v>バックアップ_MML_処方箋モジュール_薬剤登録</v>
      </c>
      <c r="D749" s="146"/>
      <c r="E749" s="146"/>
      <c r="F749" s="146"/>
      <c r="G749" s="146"/>
      <c r="H749" s="146"/>
      <c r="I749" s="146"/>
      <c r="J749" s="146"/>
      <c r="K749" s="146"/>
      <c r="L749" s="146"/>
      <c r="M749" s="146"/>
      <c r="N749" s="146"/>
      <c r="O749" s="146"/>
      <c r="P749" s="146"/>
      <c r="Q749" s="146"/>
      <c r="R749" s="146"/>
      <c r="S749" s="146"/>
      <c r="T749" s="146"/>
      <c r="U749" s="147"/>
      <c r="W749" s="35" t="str">
        <f>"-- "&amp;C749</f>
        <v>-- バックアップ_MML_処方箋モジュール_薬剤登録</v>
      </c>
    </row>
    <row r="750" spans="2:23" ht="18.75" customHeight="1">
      <c r="B750" s="43" t="s">
        <v>159</v>
      </c>
      <c r="C750" s="134" t="str">
        <f>C752&amp;"テーブルから組入れ条件の第一条件で絞り込んだ結果を"&amp;R752&amp;"テーブルに格納する。"</f>
        <v>MML_処方箋モジュール_薬剤テーブルから組入れ条件の第一条件で絞り込んだ結果をバックアップ_MML_処方箋モジュール_薬剤テーブルに格納する。</v>
      </c>
      <c r="D750" s="135"/>
      <c r="E750" s="135"/>
      <c r="F750" s="135"/>
      <c r="G750" s="135"/>
      <c r="H750" s="135"/>
      <c r="I750" s="135"/>
      <c r="J750" s="135"/>
      <c r="K750" s="135"/>
      <c r="L750" s="135"/>
      <c r="M750" s="135"/>
      <c r="N750" s="135"/>
      <c r="O750" s="135"/>
      <c r="P750" s="135"/>
      <c r="Q750" s="135"/>
      <c r="R750" s="135"/>
      <c r="S750" s="135"/>
      <c r="T750" s="135"/>
      <c r="U750" s="136"/>
      <c r="W750" s="35" t="str">
        <f>"-- "&amp;C750</f>
        <v>-- MML_処方箋モジュール_薬剤テーブルから組入れ条件の第一条件で絞り込んだ結果をバックアップ_MML_処方箋モジュール_薬剤テーブルに格納する。</v>
      </c>
    </row>
    <row r="752" spans="2:23" ht="18.75" customHeight="1">
      <c r="C752" s="137" t="s">
        <v>3615</v>
      </c>
      <c r="D752" s="138"/>
      <c r="E752" s="141" t="s">
        <v>162</v>
      </c>
      <c r="H752" s="36"/>
      <c r="I752" s="36"/>
      <c r="J752" s="36"/>
      <c r="K752" s="36"/>
      <c r="L752" s="36"/>
      <c r="M752" s="36"/>
      <c r="N752" s="36"/>
      <c r="O752" s="36"/>
      <c r="P752" s="36"/>
      <c r="Q752" s="36"/>
      <c r="R752" s="137" t="str">
        <f>"バックアップ_"&amp;SUBSTITUTE(C752,"_結合","")</f>
        <v>バックアップ_MML_処方箋モジュール_薬剤</v>
      </c>
      <c r="S752" s="138"/>
      <c r="T752" s="143" t="str">
        <f>エンティティ一覧!$O$2</f>
        <v>milscm_2023_010</v>
      </c>
    </row>
    <row r="753" spans="2:23" ht="18.75" customHeight="1">
      <c r="C753" s="139"/>
      <c r="D753" s="140"/>
      <c r="E753" s="142"/>
      <c r="F753" s="37"/>
      <c r="G753" s="38"/>
      <c r="H753" s="37"/>
      <c r="I753" s="37"/>
      <c r="J753" s="37"/>
      <c r="K753" s="37"/>
      <c r="L753" s="37"/>
      <c r="M753" s="37"/>
      <c r="N753" s="37"/>
      <c r="O753" s="37"/>
      <c r="P753" s="37"/>
      <c r="Q753" s="37"/>
      <c r="R753" s="139"/>
      <c r="S753" s="140"/>
      <c r="T753" s="144"/>
    </row>
    <row r="754" spans="2:23" ht="18.75" customHeight="1">
      <c r="F754" s="39"/>
      <c r="G754" s="40"/>
    </row>
    <row r="755" spans="2:23" ht="18.75" customHeight="1">
      <c r="C755" s="137" t="s">
        <v>3182</v>
      </c>
      <c r="D755" s="138"/>
      <c r="E755" s="143" t="str">
        <f>エンティティ一覧!$O$2</f>
        <v>milscm_2023_010</v>
      </c>
      <c r="G755" s="41"/>
    </row>
    <row r="756" spans="2:23" ht="18.75" customHeight="1">
      <c r="C756" s="139"/>
      <c r="D756" s="140"/>
      <c r="E756" s="144"/>
      <c r="F756" s="37"/>
    </row>
    <row r="758" spans="2:23" ht="18.75" customHeight="1" thickBot="1">
      <c r="B758" s="42"/>
      <c r="C758" s="42"/>
      <c r="D758" s="42"/>
      <c r="E758" s="42"/>
      <c r="F758" s="42"/>
      <c r="G758" s="42"/>
      <c r="H758" s="42"/>
      <c r="I758" s="42"/>
      <c r="J758" s="42"/>
      <c r="K758" s="42"/>
      <c r="L758" s="42"/>
      <c r="M758" s="42"/>
      <c r="N758" s="42"/>
      <c r="O758" s="42"/>
      <c r="P758" s="42"/>
      <c r="Q758" s="42"/>
      <c r="R758" s="42"/>
      <c r="S758" s="42"/>
      <c r="T758" s="42"/>
      <c r="U758" s="42"/>
    </row>
    <row r="760" spans="2:23" ht="18.75" customHeight="1">
      <c r="B760" s="43" t="s">
        <v>163</v>
      </c>
      <c r="C760" s="51" t="s">
        <v>3616</v>
      </c>
      <c r="D760" s="88"/>
      <c r="W760" s="35" t="str">
        <f>"-- "&amp;B760&amp;" : "&amp;C760</f>
        <v>-- SQL_ID : 01_A6-27</v>
      </c>
    </row>
    <row r="761" spans="2:23" ht="18.75" customHeight="1">
      <c r="B761" s="43" t="s">
        <v>158</v>
      </c>
      <c r="C761" s="145" t="str">
        <f>R764&amp;"登録"</f>
        <v>バックアップ_MML_注射記録モジュール_本文登録</v>
      </c>
      <c r="D761" s="146"/>
      <c r="E761" s="146"/>
      <c r="F761" s="146"/>
      <c r="G761" s="146"/>
      <c r="H761" s="146"/>
      <c r="I761" s="146"/>
      <c r="J761" s="146"/>
      <c r="K761" s="146"/>
      <c r="L761" s="146"/>
      <c r="M761" s="146"/>
      <c r="N761" s="146"/>
      <c r="O761" s="146"/>
      <c r="P761" s="146"/>
      <c r="Q761" s="146"/>
      <c r="R761" s="146"/>
      <c r="S761" s="146"/>
      <c r="T761" s="146"/>
      <c r="U761" s="147"/>
      <c r="W761" s="35" t="str">
        <f>"-- "&amp;C761</f>
        <v>-- バックアップ_MML_注射記録モジュール_本文登録</v>
      </c>
    </row>
    <row r="762" spans="2:23" ht="18.75" customHeight="1">
      <c r="B762" s="43" t="s">
        <v>159</v>
      </c>
      <c r="C762" s="134" t="str">
        <f>C764&amp;"テーブルから組入れ条件の第一条件で絞り込んだ結果を"&amp;R764&amp;"テーブルに格納する。"</f>
        <v>MML_注射記録モジュール_本文テーブルから組入れ条件の第一条件で絞り込んだ結果をバックアップ_MML_注射記録モジュール_本文テーブルに格納する。</v>
      </c>
      <c r="D762" s="135"/>
      <c r="E762" s="135"/>
      <c r="F762" s="135"/>
      <c r="G762" s="135"/>
      <c r="H762" s="135"/>
      <c r="I762" s="135"/>
      <c r="J762" s="135"/>
      <c r="K762" s="135"/>
      <c r="L762" s="135"/>
      <c r="M762" s="135"/>
      <c r="N762" s="135"/>
      <c r="O762" s="135"/>
      <c r="P762" s="135"/>
      <c r="Q762" s="135"/>
      <c r="R762" s="135"/>
      <c r="S762" s="135"/>
      <c r="T762" s="135"/>
      <c r="U762" s="136"/>
      <c r="W762" s="35" t="str">
        <f>"-- "&amp;C762</f>
        <v>-- MML_注射記録モジュール_本文テーブルから組入れ条件の第一条件で絞り込んだ結果をバックアップ_MML_注射記録モジュール_本文テーブルに格納する。</v>
      </c>
    </row>
    <row r="764" spans="2:23" ht="18.75" customHeight="1">
      <c r="C764" s="137" t="s">
        <v>3617</v>
      </c>
      <c r="D764" s="138"/>
      <c r="E764" s="141" t="s">
        <v>162</v>
      </c>
      <c r="H764" s="36"/>
      <c r="I764" s="36"/>
      <c r="J764" s="36"/>
      <c r="K764" s="36"/>
      <c r="L764" s="36"/>
      <c r="M764" s="36"/>
      <c r="N764" s="36"/>
      <c r="O764" s="36"/>
      <c r="P764" s="36"/>
      <c r="Q764" s="36"/>
      <c r="R764" s="137" t="str">
        <f>"バックアップ_"&amp;SUBSTITUTE(C764,"_結合","")</f>
        <v>バックアップ_MML_注射記録モジュール_本文</v>
      </c>
      <c r="S764" s="138"/>
      <c r="T764" s="143" t="str">
        <f>エンティティ一覧!$O$2</f>
        <v>milscm_2023_010</v>
      </c>
    </row>
    <row r="765" spans="2:23" ht="18.75" customHeight="1">
      <c r="C765" s="139"/>
      <c r="D765" s="140"/>
      <c r="E765" s="142"/>
      <c r="F765" s="37"/>
      <c r="G765" s="38"/>
      <c r="H765" s="37"/>
      <c r="I765" s="37"/>
      <c r="J765" s="37"/>
      <c r="K765" s="37"/>
      <c r="L765" s="37"/>
      <c r="M765" s="37"/>
      <c r="N765" s="37"/>
      <c r="O765" s="37"/>
      <c r="P765" s="37"/>
      <c r="Q765" s="37"/>
      <c r="R765" s="139"/>
      <c r="S765" s="140"/>
      <c r="T765" s="144"/>
    </row>
    <row r="766" spans="2:23" ht="18.75" customHeight="1">
      <c r="F766" s="39"/>
      <c r="G766" s="40"/>
    </row>
    <row r="767" spans="2:23" ht="18.75" customHeight="1">
      <c r="C767" s="137" t="s">
        <v>3182</v>
      </c>
      <c r="D767" s="138"/>
      <c r="E767" s="143" t="str">
        <f>エンティティ一覧!$O$2</f>
        <v>milscm_2023_010</v>
      </c>
      <c r="G767" s="41"/>
    </row>
    <row r="768" spans="2:23" ht="18.75" customHeight="1">
      <c r="C768" s="139"/>
      <c r="D768" s="140"/>
      <c r="E768" s="144"/>
      <c r="F768" s="37"/>
    </row>
    <row r="770" spans="2:23" ht="18.75" customHeight="1" thickBot="1">
      <c r="B770" s="42"/>
      <c r="C770" s="42"/>
      <c r="D770" s="42"/>
      <c r="E770" s="42"/>
      <c r="F770" s="42"/>
      <c r="G770" s="42"/>
      <c r="H770" s="42"/>
      <c r="I770" s="42"/>
      <c r="J770" s="42"/>
      <c r="K770" s="42"/>
      <c r="L770" s="42"/>
      <c r="M770" s="42"/>
      <c r="N770" s="42"/>
      <c r="O770" s="42"/>
      <c r="P770" s="42"/>
      <c r="Q770" s="42"/>
      <c r="R770" s="42"/>
      <c r="S770" s="42"/>
      <c r="T770" s="42"/>
      <c r="U770" s="42"/>
    </row>
    <row r="772" spans="2:23" ht="18.75" customHeight="1">
      <c r="B772" s="43" t="s">
        <v>163</v>
      </c>
      <c r="C772" s="51" t="s">
        <v>3618</v>
      </c>
      <c r="D772" s="88"/>
      <c r="W772" s="35" t="str">
        <f>"-- "&amp;B772&amp;" : "&amp;C772</f>
        <v>-- SQL_ID : 01_A6-28</v>
      </c>
    </row>
    <row r="773" spans="2:23" ht="18.75" customHeight="1">
      <c r="B773" s="43" t="s">
        <v>158</v>
      </c>
      <c r="C773" s="145" t="str">
        <f>R776&amp;"登録"</f>
        <v>バックアップ_MML_注射記録モジュール_投薬登録</v>
      </c>
      <c r="D773" s="146"/>
      <c r="E773" s="146"/>
      <c r="F773" s="146"/>
      <c r="G773" s="146"/>
      <c r="H773" s="146"/>
      <c r="I773" s="146"/>
      <c r="J773" s="146"/>
      <c r="K773" s="146"/>
      <c r="L773" s="146"/>
      <c r="M773" s="146"/>
      <c r="N773" s="146"/>
      <c r="O773" s="146"/>
      <c r="P773" s="146"/>
      <c r="Q773" s="146"/>
      <c r="R773" s="146"/>
      <c r="S773" s="146"/>
      <c r="T773" s="146"/>
      <c r="U773" s="147"/>
      <c r="W773" s="35" t="str">
        <f>"-- "&amp;C773</f>
        <v>-- バックアップ_MML_注射記録モジュール_投薬登録</v>
      </c>
    </row>
    <row r="774" spans="2:23" ht="18.75" customHeight="1">
      <c r="B774" s="43" t="s">
        <v>159</v>
      </c>
      <c r="C774" s="134" t="str">
        <f>C776&amp;"テーブルから組入れ条件の第一条件で絞り込んだ結果を"&amp;R776&amp;"テーブルに格納する。"</f>
        <v>MML_注射記録モジュール_投薬テーブルから組入れ条件の第一条件で絞り込んだ結果をバックアップ_MML_注射記録モジュール_投薬テーブルに格納する。</v>
      </c>
      <c r="D774" s="135"/>
      <c r="E774" s="135"/>
      <c r="F774" s="135"/>
      <c r="G774" s="135"/>
      <c r="H774" s="135"/>
      <c r="I774" s="135"/>
      <c r="J774" s="135"/>
      <c r="K774" s="135"/>
      <c r="L774" s="135"/>
      <c r="M774" s="135"/>
      <c r="N774" s="135"/>
      <c r="O774" s="135"/>
      <c r="P774" s="135"/>
      <c r="Q774" s="135"/>
      <c r="R774" s="135"/>
      <c r="S774" s="135"/>
      <c r="T774" s="135"/>
      <c r="U774" s="136"/>
      <c r="W774" s="35" t="str">
        <f>"-- "&amp;C774</f>
        <v>-- MML_注射記録モジュール_投薬テーブルから組入れ条件の第一条件で絞り込んだ結果をバックアップ_MML_注射記録モジュール_投薬テーブルに格納する。</v>
      </c>
    </row>
    <row r="776" spans="2:23" ht="18.75" customHeight="1">
      <c r="C776" s="137" t="s">
        <v>3619</v>
      </c>
      <c r="D776" s="138"/>
      <c r="E776" s="141" t="s">
        <v>162</v>
      </c>
      <c r="H776" s="36"/>
      <c r="I776" s="36"/>
      <c r="J776" s="36"/>
      <c r="K776" s="36"/>
      <c r="L776" s="36"/>
      <c r="M776" s="36"/>
      <c r="N776" s="36"/>
      <c r="O776" s="36"/>
      <c r="P776" s="36"/>
      <c r="Q776" s="36"/>
      <c r="R776" s="137" t="str">
        <f>"バックアップ_"&amp;SUBSTITUTE(C776,"_結合","")</f>
        <v>バックアップ_MML_注射記録モジュール_投薬</v>
      </c>
      <c r="S776" s="138"/>
      <c r="T776" s="143" t="str">
        <f>エンティティ一覧!$O$2</f>
        <v>milscm_2023_010</v>
      </c>
    </row>
    <row r="777" spans="2:23" ht="18.75" customHeight="1">
      <c r="C777" s="139"/>
      <c r="D777" s="140"/>
      <c r="E777" s="142"/>
      <c r="F777" s="37"/>
      <c r="G777" s="38"/>
      <c r="H777" s="37"/>
      <c r="I777" s="37"/>
      <c r="J777" s="37"/>
      <c r="K777" s="37"/>
      <c r="L777" s="37"/>
      <c r="M777" s="37"/>
      <c r="N777" s="37"/>
      <c r="O777" s="37"/>
      <c r="P777" s="37"/>
      <c r="Q777" s="37"/>
      <c r="R777" s="139"/>
      <c r="S777" s="140"/>
      <c r="T777" s="144"/>
    </row>
    <row r="778" spans="2:23" ht="18.75" customHeight="1">
      <c r="F778" s="39"/>
      <c r="G778" s="40"/>
    </row>
    <row r="779" spans="2:23" ht="18.75" customHeight="1">
      <c r="C779" s="137" t="s">
        <v>3182</v>
      </c>
      <c r="D779" s="138"/>
      <c r="E779" s="143" t="str">
        <f>エンティティ一覧!$O$2</f>
        <v>milscm_2023_010</v>
      </c>
      <c r="G779" s="41"/>
    </row>
    <row r="780" spans="2:23" ht="18.75" customHeight="1">
      <c r="C780" s="139"/>
      <c r="D780" s="140"/>
      <c r="E780" s="144"/>
      <c r="F780" s="37"/>
    </row>
    <row r="782" spans="2:23" ht="18.75" customHeight="1" thickBot="1">
      <c r="B782" s="42"/>
      <c r="C782" s="42"/>
      <c r="D782" s="42"/>
      <c r="E782" s="42"/>
      <c r="F782" s="42"/>
      <c r="G782" s="42"/>
      <c r="H782" s="42"/>
      <c r="I782" s="42"/>
      <c r="J782" s="42"/>
      <c r="K782" s="42"/>
      <c r="L782" s="42"/>
      <c r="M782" s="42"/>
      <c r="N782" s="42"/>
      <c r="O782" s="42"/>
      <c r="P782" s="42"/>
      <c r="Q782" s="42"/>
      <c r="R782" s="42"/>
      <c r="S782" s="42"/>
      <c r="T782" s="42"/>
      <c r="U782" s="42"/>
    </row>
    <row r="784" spans="2:23" ht="18.75" customHeight="1">
      <c r="B784" s="43" t="s">
        <v>163</v>
      </c>
      <c r="C784" s="51" t="s">
        <v>3620</v>
      </c>
      <c r="D784" s="88"/>
      <c r="W784" s="35" t="str">
        <f>"-- "&amp;B784&amp;" : "&amp;C784</f>
        <v>-- SQL_ID : 01_A6-29</v>
      </c>
    </row>
    <row r="785" spans="2:23" ht="18.75" customHeight="1">
      <c r="B785" s="43" t="s">
        <v>158</v>
      </c>
      <c r="C785" s="145" t="str">
        <f>R788&amp;"登録"</f>
        <v>バックアップ_MML_注射記録モジュール_薬剤登録</v>
      </c>
      <c r="D785" s="146"/>
      <c r="E785" s="146"/>
      <c r="F785" s="146"/>
      <c r="G785" s="146"/>
      <c r="H785" s="146"/>
      <c r="I785" s="146"/>
      <c r="J785" s="146"/>
      <c r="K785" s="146"/>
      <c r="L785" s="146"/>
      <c r="M785" s="146"/>
      <c r="N785" s="146"/>
      <c r="O785" s="146"/>
      <c r="P785" s="146"/>
      <c r="Q785" s="146"/>
      <c r="R785" s="146"/>
      <c r="S785" s="146"/>
      <c r="T785" s="146"/>
      <c r="U785" s="147"/>
      <c r="W785" s="35" t="str">
        <f>"-- "&amp;C785</f>
        <v>-- バックアップ_MML_注射記録モジュール_薬剤登録</v>
      </c>
    </row>
    <row r="786" spans="2:23" ht="18.75" customHeight="1">
      <c r="B786" s="43" t="s">
        <v>159</v>
      </c>
      <c r="C786" s="134" t="str">
        <f>C788&amp;"テーブルから組入れ条件の第一条件で絞り込んだ結果を"&amp;R788&amp;"テーブルに格納する。"</f>
        <v>MML_注射記録モジュール_薬剤テーブルから組入れ条件の第一条件で絞り込んだ結果をバックアップ_MML_注射記録モジュール_薬剤テーブルに格納する。</v>
      </c>
      <c r="D786" s="135"/>
      <c r="E786" s="135"/>
      <c r="F786" s="135"/>
      <c r="G786" s="135"/>
      <c r="H786" s="135"/>
      <c r="I786" s="135"/>
      <c r="J786" s="135"/>
      <c r="K786" s="135"/>
      <c r="L786" s="135"/>
      <c r="M786" s="135"/>
      <c r="N786" s="135"/>
      <c r="O786" s="135"/>
      <c r="P786" s="135"/>
      <c r="Q786" s="135"/>
      <c r="R786" s="135"/>
      <c r="S786" s="135"/>
      <c r="T786" s="135"/>
      <c r="U786" s="136"/>
      <c r="W786" s="35" t="str">
        <f>"-- "&amp;C786</f>
        <v>-- MML_注射記録モジュール_薬剤テーブルから組入れ条件の第一条件で絞り込んだ結果をバックアップ_MML_注射記録モジュール_薬剤テーブルに格納する。</v>
      </c>
    </row>
    <row r="788" spans="2:23" ht="18.75" customHeight="1">
      <c r="C788" s="137" t="s">
        <v>3621</v>
      </c>
      <c r="D788" s="138"/>
      <c r="E788" s="141" t="s">
        <v>162</v>
      </c>
      <c r="H788" s="36"/>
      <c r="I788" s="36"/>
      <c r="J788" s="36"/>
      <c r="K788" s="36"/>
      <c r="L788" s="36"/>
      <c r="M788" s="36"/>
      <c r="N788" s="36"/>
      <c r="O788" s="36"/>
      <c r="P788" s="36"/>
      <c r="Q788" s="36"/>
      <c r="R788" s="137" t="str">
        <f>"バックアップ_"&amp;SUBSTITUTE(C788,"_結合","")</f>
        <v>バックアップ_MML_注射記録モジュール_薬剤</v>
      </c>
      <c r="S788" s="138"/>
      <c r="T788" s="143" t="str">
        <f>エンティティ一覧!$O$2</f>
        <v>milscm_2023_010</v>
      </c>
    </row>
    <row r="789" spans="2:23" ht="18.75" customHeight="1">
      <c r="C789" s="139"/>
      <c r="D789" s="140"/>
      <c r="E789" s="142"/>
      <c r="F789" s="37"/>
      <c r="G789" s="38"/>
      <c r="H789" s="37"/>
      <c r="I789" s="37"/>
      <c r="J789" s="37"/>
      <c r="K789" s="37"/>
      <c r="L789" s="37"/>
      <c r="M789" s="37"/>
      <c r="N789" s="37"/>
      <c r="O789" s="37"/>
      <c r="P789" s="37"/>
      <c r="Q789" s="37"/>
      <c r="R789" s="139"/>
      <c r="S789" s="140"/>
      <c r="T789" s="144"/>
    </row>
    <row r="790" spans="2:23" ht="18.75" customHeight="1">
      <c r="F790" s="39"/>
      <c r="G790" s="40"/>
    </row>
    <row r="791" spans="2:23" ht="18.75" customHeight="1">
      <c r="C791" s="137" t="s">
        <v>3182</v>
      </c>
      <c r="D791" s="138"/>
      <c r="E791" s="143" t="str">
        <f>エンティティ一覧!$O$2</f>
        <v>milscm_2023_010</v>
      </c>
      <c r="G791" s="41"/>
    </row>
    <row r="792" spans="2:23" ht="18.75" customHeight="1">
      <c r="C792" s="139"/>
      <c r="D792" s="140"/>
      <c r="E792" s="144"/>
      <c r="F792" s="37"/>
    </row>
    <row r="794" spans="2:23" ht="18.75" customHeight="1" thickBot="1">
      <c r="B794" s="42"/>
      <c r="C794" s="42"/>
      <c r="D794" s="42"/>
      <c r="E794" s="42"/>
      <c r="F794" s="42"/>
      <c r="G794" s="42"/>
      <c r="H794" s="42"/>
      <c r="I794" s="42"/>
      <c r="J794" s="42"/>
      <c r="K794" s="42"/>
      <c r="L794" s="42"/>
      <c r="M794" s="42"/>
      <c r="N794" s="42"/>
      <c r="O794" s="42"/>
      <c r="P794" s="42"/>
      <c r="Q794" s="42"/>
      <c r="R794" s="42"/>
      <c r="S794" s="42"/>
      <c r="T794" s="42"/>
      <c r="U794" s="42"/>
    </row>
    <row r="796" spans="2:23" ht="18.75" customHeight="1">
      <c r="B796" s="43" t="s">
        <v>163</v>
      </c>
      <c r="C796" s="51" t="s">
        <v>3622</v>
      </c>
      <c r="D796" s="88"/>
      <c r="W796" s="35" t="str">
        <f>"-- "&amp;B796&amp;" : "&amp;C796</f>
        <v>-- SQL_ID : 01_A6-42</v>
      </c>
    </row>
    <row r="797" spans="2:23" ht="18.75" customHeight="1">
      <c r="B797" s="43" t="s">
        <v>158</v>
      </c>
      <c r="C797" s="145" t="str">
        <f>R800&amp;"登録"</f>
        <v>バックアップ_MML_手術モジュール_手術項目登録</v>
      </c>
      <c r="D797" s="146"/>
      <c r="E797" s="146"/>
      <c r="F797" s="146"/>
      <c r="G797" s="146"/>
      <c r="H797" s="146"/>
      <c r="I797" s="146"/>
      <c r="J797" s="146"/>
      <c r="K797" s="146"/>
      <c r="L797" s="146"/>
      <c r="M797" s="146"/>
      <c r="N797" s="146"/>
      <c r="O797" s="146"/>
      <c r="P797" s="146"/>
      <c r="Q797" s="146"/>
      <c r="R797" s="146"/>
      <c r="S797" s="146"/>
      <c r="T797" s="146"/>
      <c r="U797" s="147"/>
      <c r="W797" s="35" t="str">
        <f>"-- "&amp;C797</f>
        <v>-- バックアップ_MML_手術モジュール_手術項目登録</v>
      </c>
    </row>
    <row r="798" spans="2:23" ht="18.75" customHeight="1">
      <c r="B798" s="43" t="s">
        <v>159</v>
      </c>
      <c r="C798" s="134" t="str">
        <f>C800&amp;"テーブルから組入れ条件の第一条件で絞り込んだ結果を"&amp;R800&amp;"テーブルに格納する。"</f>
        <v>MML_手術モジュール_手術項目テーブルから組入れ条件の第一条件で絞り込んだ結果をバックアップ_MML_手術モジュール_手術項目テーブルに格納する。</v>
      </c>
      <c r="D798" s="135"/>
      <c r="E798" s="135"/>
      <c r="F798" s="135"/>
      <c r="G798" s="135"/>
      <c r="H798" s="135"/>
      <c r="I798" s="135"/>
      <c r="J798" s="135"/>
      <c r="K798" s="135"/>
      <c r="L798" s="135"/>
      <c r="M798" s="135"/>
      <c r="N798" s="135"/>
      <c r="O798" s="135"/>
      <c r="P798" s="135"/>
      <c r="Q798" s="135"/>
      <c r="R798" s="135"/>
      <c r="S798" s="135"/>
      <c r="T798" s="135"/>
      <c r="U798" s="136"/>
      <c r="W798" s="35" t="str">
        <f>"-- "&amp;C798</f>
        <v>-- MML_手術モジュール_手術項目テーブルから組入れ条件の第一条件で絞り込んだ結果をバックアップ_MML_手術モジュール_手術項目テーブルに格納する。</v>
      </c>
    </row>
    <row r="800" spans="2:23" ht="18.75" customHeight="1">
      <c r="C800" s="137" t="s">
        <v>3623</v>
      </c>
      <c r="D800" s="138"/>
      <c r="E800" s="141" t="s">
        <v>162</v>
      </c>
      <c r="H800" s="36"/>
      <c r="I800" s="36"/>
      <c r="J800" s="36"/>
      <c r="K800" s="36"/>
      <c r="L800" s="36"/>
      <c r="M800" s="36"/>
      <c r="N800" s="36"/>
      <c r="O800" s="36"/>
      <c r="P800" s="36"/>
      <c r="Q800" s="36"/>
      <c r="R800" s="137" t="str">
        <f>"バックアップ_"&amp;SUBSTITUTE(C800,"_結合","")</f>
        <v>バックアップ_MML_手術モジュール_手術項目</v>
      </c>
      <c r="S800" s="138"/>
      <c r="T800" s="143" t="str">
        <f>エンティティ一覧!$O$2</f>
        <v>milscm_2023_010</v>
      </c>
    </row>
    <row r="801" spans="2:23" ht="18.75" customHeight="1">
      <c r="C801" s="139"/>
      <c r="D801" s="140"/>
      <c r="E801" s="142"/>
      <c r="F801" s="37"/>
      <c r="G801" s="38"/>
      <c r="H801" s="37"/>
      <c r="I801" s="37"/>
      <c r="J801" s="37"/>
      <c r="K801" s="37"/>
      <c r="L801" s="37"/>
      <c r="M801" s="37"/>
      <c r="N801" s="37"/>
      <c r="O801" s="37"/>
      <c r="P801" s="37"/>
      <c r="Q801" s="37"/>
      <c r="R801" s="139"/>
      <c r="S801" s="140"/>
      <c r="T801" s="144"/>
    </row>
    <row r="802" spans="2:23" ht="18.75" customHeight="1">
      <c r="F802" s="39"/>
      <c r="G802" s="40"/>
    </row>
    <row r="803" spans="2:23" ht="18.75" customHeight="1">
      <c r="C803" s="137" t="s">
        <v>3182</v>
      </c>
      <c r="D803" s="138"/>
      <c r="E803" s="143" t="str">
        <f>エンティティ一覧!$O$2</f>
        <v>milscm_2023_010</v>
      </c>
      <c r="G803" s="41"/>
    </row>
    <row r="804" spans="2:23" ht="18.75" customHeight="1">
      <c r="C804" s="139"/>
      <c r="D804" s="140"/>
      <c r="E804" s="144"/>
      <c r="F804" s="37"/>
    </row>
    <row r="806" spans="2:23" ht="18.75" customHeight="1" thickBot="1">
      <c r="B806" s="42"/>
      <c r="C806" s="42"/>
      <c r="D806" s="42"/>
      <c r="E806" s="42"/>
      <c r="F806" s="42"/>
      <c r="G806" s="42"/>
      <c r="H806" s="42"/>
      <c r="I806" s="42"/>
      <c r="J806" s="42"/>
      <c r="K806" s="42"/>
      <c r="L806" s="42"/>
      <c r="M806" s="42"/>
      <c r="N806" s="42"/>
      <c r="O806" s="42"/>
      <c r="P806" s="42"/>
      <c r="Q806" s="42"/>
      <c r="R806" s="42"/>
      <c r="S806" s="42"/>
      <c r="T806" s="42"/>
      <c r="U806" s="42"/>
    </row>
    <row r="808" spans="2:23" ht="18.75" customHeight="1">
      <c r="B808" s="43" t="s">
        <v>163</v>
      </c>
      <c r="C808" s="51" t="s">
        <v>3624</v>
      </c>
      <c r="D808" s="88"/>
      <c r="W808" s="35" t="str">
        <f>"-- "&amp;B808&amp;" : "&amp;C808</f>
        <v>-- SQL_ID : 01_A6-43</v>
      </c>
    </row>
    <row r="809" spans="2:23" ht="18.75" customHeight="1">
      <c r="B809" s="43" t="s">
        <v>158</v>
      </c>
      <c r="C809" s="145" t="str">
        <f>R812&amp;"登録"</f>
        <v>バックアップ_MML_手術モジュール_診療科情報登録</v>
      </c>
      <c r="D809" s="146"/>
      <c r="E809" s="146"/>
      <c r="F809" s="146"/>
      <c r="G809" s="146"/>
      <c r="H809" s="146"/>
      <c r="I809" s="146"/>
      <c r="J809" s="146"/>
      <c r="K809" s="146"/>
      <c r="L809" s="146"/>
      <c r="M809" s="146"/>
      <c r="N809" s="146"/>
      <c r="O809" s="146"/>
      <c r="P809" s="146"/>
      <c r="Q809" s="146"/>
      <c r="R809" s="146"/>
      <c r="S809" s="146"/>
      <c r="T809" s="146"/>
      <c r="U809" s="147"/>
      <c r="W809" s="35" t="str">
        <f>"-- "&amp;C809</f>
        <v>-- バックアップ_MML_手術モジュール_診療科情報登録</v>
      </c>
    </row>
    <row r="810" spans="2:23" ht="18.75" customHeight="1">
      <c r="B810" s="43" t="s">
        <v>159</v>
      </c>
      <c r="C810" s="134" t="str">
        <f>C812&amp;"テーブルから組入れ条件の第一条件で絞り込んだ結果を"&amp;R812&amp;"テーブルに格納する。"</f>
        <v>MML_手術モジュール_診療科情報テーブルから組入れ条件の第一条件で絞り込んだ結果をバックアップ_MML_手術モジュール_診療科情報テーブルに格納する。</v>
      </c>
      <c r="D810" s="135"/>
      <c r="E810" s="135"/>
      <c r="F810" s="135"/>
      <c r="G810" s="135"/>
      <c r="H810" s="135"/>
      <c r="I810" s="135"/>
      <c r="J810" s="135"/>
      <c r="K810" s="135"/>
      <c r="L810" s="135"/>
      <c r="M810" s="135"/>
      <c r="N810" s="135"/>
      <c r="O810" s="135"/>
      <c r="P810" s="135"/>
      <c r="Q810" s="135"/>
      <c r="R810" s="135"/>
      <c r="S810" s="135"/>
      <c r="T810" s="135"/>
      <c r="U810" s="136"/>
      <c r="W810" s="35" t="str">
        <f>"-- "&amp;C810</f>
        <v>-- MML_手術モジュール_診療科情報テーブルから組入れ条件の第一条件で絞り込んだ結果をバックアップ_MML_手術モジュール_診療科情報テーブルに格納する。</v>
      </c>
    </row>
    <row r="812" spans="2:23" ht="18.75" customHeight="1">
      <c r="C812" s="137" t="s">
        <v>3625</v>
      </c>
      <c r="D812" s="138"/>
      <c r="E812" s="141" t="s">
        <v>162</v>
      </c>
      <c r="H812" s="36"/>
      <c r="I812" s="36"/>
      <c r="J812" s="36"/>
      <c r="K812" s="36"/>
      <c r="L812" s="36"/>
      <c r="M812" s="36"/>
      <c r="N812" s="36"/>
      <c r="O812" s="36"/>
      <c r="P812" s="36"/>
      <c r="Q812" s="36"/>
      <c r="R812" s="137" t="str">
        <f>"バックアップ_"&amp;SUBSTITUTE(C812,"_結合","")</f>
        <v>バックアップ_MML_手術モジュール_診療科情報</v>
      </c>
      <c r="S812" s="138"/>
      <c r="T812" s="143" t="str">
        <f>エンティティ一覧!$O$2</f>
        <v>milscm_2023_010</v>
      </c>
    </row>
    <row r="813" spans="2:23" ht="18.75" customHeight="1">
      <c r="C813" s="139"/>
      <c r="D813" s="140"/>
      <c r="E813" s="142"/>
      <c r="F813" s="37"/>
      <c r="G813" s="38"/>
      <c r="H813" s="37"/>
      <c r="I813" s="37"/>
      <c r="J813" s="37"/>
      <c r="K813" s="37"/>
      <c r="L813" s="37"/>
      <c r="M813" s="37"/>
      <c r="N813" s="37"/>
      <c r="O813" s="37"/>
      <c r="P813" s="37"/>
      <c r="Q813" s="37"/>
      <c r="R813" s="139"/>
      <c r="S813" s="140"/>
      <c r="T813" s="144"/>
    </row>
    <row r="814" spans="2:23" ht="18.75" customHeight="1">
      <c r="F814" s="39"/>
      <c r="G814" s="40"/>
    </row>
    <row r="815" spans="2:23" ht="18.75" customHeight="1">
      <c r="C815" s="137" t="s">
        <v>3182</v>
      </c>
      <c r="D815" s="138"/>
      <c r="E815" s="143" t="str">
        <f>エンティティ一覧!$O$2</f>
        <v>milscm_2023_010</v>
      </c>
      <c r="G815" s="41"/>
    </row>
    <row r="816" spans="2:23" ht="18.75" customHeight="1">
      <c r="C816" s="139"/>
      <c r="D816" s="140"/>
      <c r="E816" s="144"/>
      <c r="F816" s="37"/>
    </row>
    <row r="818" spans="2:23" ht="18.75" customHeight="1" thickBot="1">
      <c r="B818" s="42"/>
      <c r="C818" s="42"/>
      <c r="D818" s="42"/>
      <c r="E818" s="42"/>
      <c r="F818" s="42"/>
      <c r="G818" s="42"/>
      <c r="H818" s="42"/>
      <c r="I818" s="42"/>
      <c r="J818" s="42"/>
      <c r="K818" s="42"/>
      <c r="L818" s="42"/>
      <c r="M818" s="42"/>
      <c r="N818" s="42"/>
      <c r="O818" s="42"/>
      <c r="P818" s="42"/>
      <c r="Q818" s="42"/>
      <c r="R818" s="42"/>
      <c r="S818" s="42"/>
      <c r="T818" s="42"/>
      <c r="U818" s="42"/>
    </row>
    <row r="820" spans="2:23" ht="18.75" customHeight="1">
      <c r="B820" s="43" t="s">
        <v>163</v>
      </c>
      <c r="C820" s="51" t="s">
        <v>3626</v>
      </c>
      <c r="D820" s="88"/>
      <c r="W820" s="35" t="str">
        <f>"-- "&amp;B820&amp;" : "&amp;C820</f>
        <v>-- SQL_ID : 01_A6-44</v>
      </c>
    </row>
    <row r="821" spans="2:23" ht="18.75" customHeight="1">
      <c r="B821" s="43" t="s">
        <v>158</v>
      </c>
      <c r="C821" s="145" t="str">
        <f>R824&amp;"登録"</f>
        <v>バックアップ_MML_手術モジュール_診断履歴情報登録</v>
      </c>
      <c r="D821" s="146"/>
      <c r="E821" s="146"/>
      <c r="F821" s="146"/>
      <c r="G821" s="146"/>
      <c r="H821" s="146"/>
      <c r="I821" s="146"/>
      <c r="J821" s="146"/>
      <c r="K821" s="146"/>
      <c r="L821" s="146"/>
      <c r="M821" s="146"/>
      <c r="N821" s="146"/>
      <c r="O821" s="146"/>
      <c r="P821" s="146"/>
      <c r="Q821" s="146"/>
      <c r="R821" s="146"/>
      <c r="S821" s="146"/>
      <c r="T821" s="146"/>
      <c r="U821" s="147"/>
      <c r="W821" s="35" t="str">
        <f>"-- "&amp;C821</f>
        <v>-- バックアップ_MML_手術モジュール_診断履歴情報登録</v>
      </c>
    </row>
    <row r="822" spans="2:23" ht="18.75" customHeight="1">
      <c r="B822" s="43" t="s">
        <v>159</v>
      </c>
      <c r="C822" s="134" t="str">
        <f>C824&amp;"テーブルから組入れ条件の第一条件で絞り込んだ結果を"&amp;R824&amp;"テーブルに格納する。"</f>
        <v>MML_手術モジュール_診断履歴情報テーブルから組入れ条件の第一条件で絞り込んだ結果をバックアップ_MML_手術モジュール_診断履歴情報テーブルに格納する。</v>
      </c>
      <c r="D822" s="135"/>
      <c r="E822" s="135"/>
      <c r="F822" s="135"/>
      <c r="G822" s="135"/>
      <c r="H822" s="135"/>
      <c r="I822" s="135"/>
      <c r="J822" s="135"/>
      <c r="K822" s="135"/>
      <c r="L822" s="135"/>
      <c r="M822" s="135"/>
      <c r="N822" s="135"/>
      <c r="O822" s="135"/>
      <c r="P822" s="135"/>
      <c r="Q822" s="135"/>
      <c r="R822" s="135"/>
      <c r="S822" s="135"/>
      <c r="T822" s="135"/>
      <c r="U822" s="136"/>
      <c r="W822" s="35" t="str">
        <f>"-- "&amp;C822</f>
        <v>-- MML_手術モジュール_診断履歴情報テーブルから組入れ条件の第一条件で絞り込んだ結果をバックアップ_MML_手術モジュール_診断履歴情報テーブルに格納する。</v>
      </c>
    </row>
    <row r="824" spans="2:23" ht="18.75" customHeight="1">
      <c r="C824" s="137" t="s">
        <v>3627</v>
      </c>
      <c r="D824" s="138"/>
      <c r="E824" s="141" t="s">
        <v>162</v>
      </c>
      <c r="H824" s="36"/>
      <c r="I824" s="36"/>
      <c r="J824" s="36"/>
      <c r="K824" s="36"/>
      <c r="L824" s="36"/>
      <c r="M824" s="36"/>
      <c r="N824" s="36"/>
      <c r="O824" s="36"/>
      <c r="P824" s="36"/>
      <c r="Q824" s="36"/>
      <c r="R824" s="137" t="str">
        <f>"バックアップ_"&amp;SUBSTITUTE(C824,"_結合","")</f>
        <v>バックアップ_MML_手術モジュール_診断履歴情報</v>
      </c>
      <c r="S824" s="138"/>
      <c r="T824" s="143" t="str">
        <f>エンティティ一覧!$O$2</f>
        <v>milscm_2023_010</v>
      </c>
    </row>
    <row r="825" spans="2:23" ht="18.75" customHeight="1">
      <c r="C825" s="139"/>
      <c r="D825" s="140"/>
      <c r="E825" s="142"/>
      <c r="F825" s="37"/>
      <c r="G825" s="38"/>
      <c r="H825" s="37"/>
      <c r="I825" s="37"/>
      <c r="J825" s="37"/>
      <c r="K825" s="37"/>
      <c r="L825" s="37"/>
      <c r="M825" s="37"/>
      <c r="N825" s="37"/>
      <c r="O825" s="37"/>
      <c r="P825" s="37"/>
      <c r="Q825" s="37"/>
      <c r="R825" s="139"/>
      <c r="S825" s="140"/>
      <c r="T825" s="144"/>
    </row>
    <row r="826" spans="2:23" ht="18.75" customHeight="1">
      <c r="F826" s="39"/>
      <c r="G826" s="40"/>
    </row>
    <row r="827" spans="2:23" ht="18.75" customHeight="1">
      <c r="C827" s="137" t="s">
        <v>3182</v>
      </c>
      <c r="D827" s="138"/>
      <c r="E827" s="143" t="str">
        <f>エンティティ一覧!$O$2</f>
        <v>milscm_2023_010</v>
      </c>
      <c r="G827" s="41"/>
    </row>
    <row r="828" spans="2:23" ht="18.75" customHeight="1">
      <c r="C828" s="139"/>
      <c r="D828" s="140"/>
      <c r="E828" s="144"/>
      <c r="F828" s="37"/>
    </row>
    <row r="830" spans="2:23" ht="18.75" customHeight="1" thickBot="1">
      <c r="B830" s="42"/>
      <c r="C830" s="42"/>
      <c r="D830" s="42"/>
      <c r="E830" s="42"/>
      <c r="F830" s="42"/>
      <c r="G830" s="42"/>
      <c r="H830" s="42"/>
      <c r="I830" s="42"/>
      <c r="J830" s="42"/>
      <c r="K830" s="42"/>
      <c r="L830" s="42"/>
      <c r="M830" s="42"/>
      <c r="N830" s="42"/>
      <c r="O830" s="42"/>
      <c r="P830" s="42"/>
      <c r="Q830" s="42"/>
      <c r="R830" s="42"/>
      <c r="S830" s="42"/>
      <c r="T830" s="42"/>
      <c r="U830" s="42"/>
    </row>
    <row r="832" spans="2:23" ht="18.75" customHeight="1">
      <c r="B832" s="43" t="s">
        <v>163</v>
      </c>
      <c r="C832" s="51" t="s">
        <v>3628</v>
      </c>
      <c r="D832" s="88"/>
      <c r="W832" s="35" t="str">
        <f>"-- "&amp;B832&amp;" : "&amp;C832</f>
        <v>-- SQL_ID : 01_A6-45</v>
      </c>
    </row>
    <row r="833" spans="2:23" ht="18.75" customHeight="1">
      <c r="B833" s="43" t="s">
        <v>158</v>
      </c>
      <c r="C833" s="145" t="str">
        <f>R836&amp;"登録"</f>
        <v>バックアップ_MML_手術モジュール_病名登録</v>
      </c>
      <c r="D833" s="146"/>
      <c r="E833" s="146"/>
      <c r="F833" s="146"/>
      <c r="G833" s="146"/>
      <c r="H833" s="146"/>
      <c r="I833" s="146"/>
      <c r="J833" s="146"/>
      <c r="K833" s="146"/>
      <c r="L833" s="146"/>
      <c r="M833" s="146"/>
      <c r="N833" s="146"/>
      <c r="O833" s="146"/>
      <c r="P833" s="146"/>
      <c r="Q833" s="146"/>
      <c r="R833" s="146"/>
      <c r="S833" s="146"/>
      <c r="T833" s="146"/>
      <c r="U833" s="147"/>
      <c r="W833" s="35" t="str">
        <f>"-- "&amp;C833</f>
        <v>-- バックアップ_MML_手術モジュール_病名登録</v>
      </c>
    </row>
    <row r="834" spans="2:23" ht="18.75" customHeight="1">
      <c r="B834" s="43" t="s">
        <v>159</v>
      </c>
      <c r="C834" s="134" t="str">
        <f>C836&amp;"テーブルから組入れ条件の第一条件で絞り込んだ結果を"&amp;R836&amp;"テーブルに格納する。"</f>
        <v>MML_手術モジュール_病名テーブルから組入れ条件の第一条件で絞り込んだ結果をバックアップ_MML_手術モジュール_病名テーブルに格納する。</v>
      </c>
      <c r="D834" s="135"/>
      <c r="E834" s="135"/>
      <c r="F834" s="135"/>
      <c r="G834" s="135"/>
      <c r="H834" s="135"/>
      <c r="I834" s="135"/>
      <c r="J834" s="135"/>
      <c r="K834" s="135"/>
      <c r="L834" s="135"/>
      <c r="M834" s="135"/>
      <c r="N834" s="135"/>
      <c r="O834" s="135"/>
      <c r="P834" s="135"/>
      <c r="Q834" s="135"/>
      <c r="R834" s="135"/>
      <c r="S834" s="135"/>
      <c r="T834" s="135"/>
      <c r="U834" s="136"/>
      <c r="W834" s="35" t="str">
        <f>"-- "&amp;C834</f>
        <v>-- MML_手術モジュール_病名テーブルから組入れ条件の第一条件で絞り込んだ結果をバックアップ_MML_手術モジュール_病名テーブルに格納する。</v>
      </c>
    </row>
    <row r="836" spans="2:23" ht="18.75" customHeight="1">
      <c r="C836" s="137" t="s">
        <v>3629</v>
      </c>
      <c r="D836" s="138"/>
      <c r="E836" s="141" t="s">
        <v>162</v>
      </c>
      <c r="H836" s="36"/>
      <c r="I836" s="36"/>
      <c r="J836" s="36"/>
      <c r="K836" s="36"/>
      <c r="L836" s="36"/>
      <c r="M836" s="36"/>
      <c r="N836" s="36"/>
      <c r="O836" s="36"/>
      <c r="P836" s="36"/>
      <c r="Q836" s="36"/>
      <c r="R836" s="137" t="str">
        <f>"バックアップ_"&amp;SUBSTITUTE(C836,"_結合","")</f>
        <v>バックアップ_MML_手術モジュール_病名</v>
      </c>
      <c r="S836" s="138"/>
      <c r="T836" s="143" t="str">
        <f>エンティティ一覧!$O$2</f>
        <v>milscm_2023_010</v>
      </c>
    </row>
    <row r="837" spans="2:23" ht="18.75" customHeight="1">
      <c r="C837" s="139"/>
      <c r="D837" s="140"/>
      <c r="E837" s="142"/>
      <c r="F837" s="37"/>
      <c r="G837" s="38"/>
      <c r="H837" s="37"/>
      <c r="I837" s="37"/>
      <c r="J837" s="37"/>
      <c r="K837" s="37"/>
      <c r="L837" s="37"/>
      <c r="M837" s="37"/>
      <c r="N837" s="37"/>
      <c r="O837" s="37"/>
      <c r="P837" s="37"/>
      <c r="Q837" s="37"/>
      <c r="R837" s="139"/>
      <c r="S837" s="140"/>
      <c r="T837" s="144"/>
    </row>
    <row r="838" spans="2:23" ht="18.75" customHeight="1">
      <c r="F838" s="39"/>
      <c r="G838" s="40"/>
    </row>
    <row r="839" spans="2:23" ht="18.75" customHeight="1">
      <c r="C839" s="137" t="s">
        <v>3182</v>
      </c>
      <c r="D839" s="138"/>
      <c r="E839" s="143" t="str">
        <f>エンティティ一覧!$O$2</f>
        <v>milscm_2023_010</v>
      </c>
      <c r="G839" s="41"/>
    </row>
    <row r="840" spans="2:23" ht="18.75" customHeight="1">
      <c r="C840" s="139"/>
      <c r="D840" s="140"/>
      <c r="E840" s="144"/>
      <c r="F840" s="37"/>
    </row>
    <row r="842" spans="2:23" ht="18.75" customHeight="1" thickBot="1">
      <c r="B842" s="42"/>
      <c r="C842" s="42"/>
      <c r="D842" s="42"/>
      <c r="E842" s="42"/>
      <c r="F842" s="42"/>
      <c r="G842" s="42"/>
      <c r="H842" s="42"/>
      <c r="I842" s="42"/>
      <c r="J842" s="42"/>
      <c r="K842" s="42"/>
      <c r="L842" s="42"/>
      <c r="M842" s="42"/>
      <c r="N842" s="42"/>
      <c r="O842" s="42"/>
      <c r="P842" s="42"/>
      <c r="Q842" s="42"/>
      <c r="R842" s="42"/>
      <c r="S842" s="42"/>
      <c r="T842" s="42"/>
      <c r="U842" s="42"/>
    </row>
    <row r="844" spans="2:23" ht="18.75" customHeight="1">
      <c r="B844" s="43" t="s">
        <v>163</v>
      </c>
      <c r="C844" s="51" t="s">
        <v>3630</v>
      </c>
      <c r="D844" s="88"/>
      <c r="W844" s="35" t="str">
        <f>"-- "&amp;B844&amp;" : "&amp;C844</f>
        <v>-- SQL_ID : 01_A6-46</v>
      </c>
    </row>
    <row r="845" spans="2:23" ht="18.75" customHeight="1">
      <c r="B845" s="43" t="s">
        <v>158</v>
      </c>
      <c r="C845" s="145" t="str">
        <f>R848&amp;"登録"</f>
        <v>バックアップ_MML_手術モジュール_カテゴリ名登録</v>
      </c>
      <c r="D845" s="146"/>
      <c r="E845" s="146"/>
      <c r="F845" s="146"/>
      <c r="G845" s="146"/>
      <c r="H845" s="146"/>
      <c r="I845" s="146"/>
      <c r="J845" s="146"/>
      <c r="K845" s="146"/>
      <c r="L845" s="146"/>
      <c r="M845" s="146"/>
      <c r="N845" s="146"/>
      <c r="O845" s="146"/>
      <c r="P845" s="146"/>
      <c r="Q845" s="146"/>
      <c r="R845" s="146"/>
      <c r="S845" s="146"/>
      <c r="T845" s="146"/>
      <c r="U845" s="147"/>
      <c r="W845" s="35" t="str">
        <f>"-- "&amp;C845</f>
        <v>-- バックアップ_MML_手術モジュール_カテゴリ名登録</v>
      </c>
    </row>
    <row r="846" spans="2:23" ht="18.75" customHeight="1">
      <c r="B846" s="43" t="s">
        <v>159</v>
      </c>
      <c r="C846" s="134" t="str">
        <f>C848&amp;"テーブルから組入れ条件の第一条件で絞り込んだ結果を"&amp;R848&amp;"テーブルに格納する。"</f>
        <v>MML_手術モジュール_カテゴリ名テーブルから組入れ条件の第一条件で絞り込んだ結果をバックアップ_MML_手術モジュール_カテゴリ名テーブルに格納する。</v>
      </c>
      <c r="D846" s="135"/>
      <c r="E846" s="135"/>
      <c r="F846" s="135"/>
      <c r="G846" s="135"/>
      <c r="H846" s="135"/>
      <c r="I846" s="135"/>
      <c r="J846" s="135"/>
      <c r="K846" s="135"/>
      <c r="L846" s="135"/>
      <c r="M846" s="135"/>
      <c r="N846" s="135"/>
      <c r="O846" s="135"/>
      <c r="P846" s="135"/>
      <c r="Q846" s="135"/>
      <c r="R846" s="135"/>
      <c r="S846" s="135"/>
      <c r="T846" s="135"/>
      <c r="U846" s="136"/>
      <c r="W846" s="35" t="str">
        <f>"-- "&amp;C846</f>
        <v>-- MML_手術モジュール_カテゴリ名テーブルから組入れ条件の第一条件で絞り込んだ結果をバックアップ_MML_手術モジュール_カテゴリ名テーブルに格納する。</v>
      </c>
    </row>
    <row r="848" spans="2:23" ht="18.75" customHeight="1">
      <c r="C848" s="137" t="s">
        <v>3631</v>
      </c>
      <c r="D848" s="138"/>
      <c r="E848" s="141" t="s">
        <v>162</v>
      </c>
      <c r="H848" s="36"/>
      <c r="I848" s="36"/>
      <c r="J848" s="36"/>
      <c r="K848" s="36"/>
      <c r="L848" s="36"/>
      <c r="M848" s="36"/>
      <c r="N848" s="36"/>
      <c r="O848" s="36"/>
      <c r="P848" s="36"/>
      <c r="Q848" s="36"/>
      <c r="R848" s="137" t="str">
        <f>"バックアップ_"&amp;SUBSTITUTE(C848,"_結合","")</f>
        <v>バックアップ_MML_手術モジュール_カテゴリ名</v>
      </c>
      <c r="S848" s="138"/>
      <c r="T848" s="143" t="str">
        <f>エンティティ一覧!$O$2</f>
        <v>milscm_2023_010</v>
      </c>
    </row>
    <row r="849" spans="2:23" ht="18.75" customHeight="1">
      <c r="C849" s="139"/>
      <c r="D849" s="140"/>
      <c r="E849" s="142"/>
      <c r="F849" s="37"/>
      <c r="G849" s="38"/>
      <c r="H849" s="37"/>
      <c r="I849" s="37"/>
      <c r="J849" s="37"/>
      <c r="K849" s="37"/>
      <c r="L849" s="37"/>
      <c r="M849" s="37"/>
      <c r="N849" s="37"/>
      <c r="O849" s="37"/>
      <c r="P849" s="37"/>
      <c r="Q849" s="37"/>
      <c r="R849" s="139"/>
      <c r="S849" s="140"/>
      <c r="T849" s="144"/>
    </row>
    <row r="850" spans="2:23" ht="18.75" customHeight="1">
      <c r="F850" s="39"/>
      <c r="G850" s="40"/>
    </row>
    <row r="851" spans="2:23" ht="18.75" customHeight="1">
      <c r="C851" s="137" t="s">
        <v>3182</v>
      </c>
      <c r="D851" s="138"/>
      <c r="E851" s="143" t="str">
        <f>エンティティ一覧!$O$2</f>
        <v>milscm_2023_010</v>
      </c>
      <c r="G851" s="41"/>
    </row>
    <row r="852" spans="2:23" ht="18.75" customHeight="1">
      <c r="C852" s="139"/>
      <c r="D852" s="140"/>
      <c r="E852" s="144"/>
      <c r="F852" s="37"/>
    </row>
    <row r="854" spans="2:23" ht="18.75" customHeight="1" thickBot="1">
      <c r="B854" s="42"/>
      <c r="C854" s="42"/>
      <c r="D854" s="42"/>
      <c r="E854" s="42"/>
      <c r="F854" s="42"/>
      <c r="G854" s="42"/>
      <c r="H854" s="42"/>
      <c r="I854" s="42"/>
      <c r="J854" s="42"/>
      <c r="K854" s="42"/>
      <c r="L854" s="42"/>
      <c r="M854" s="42"/>
      <c r="N854" s="42"/>
      <c r="O854" s="42"/>
      <c r="P854" s="42"/>
      <c r="Q854" s="42"/>
      <c r="R854" s="42"/>
      <c r="S854" s="42"/>
      <c r="T854" s="42"/>
      <c r="U854" s="42"/>
    </row>
    <row r="856" spans="2:23" ht="18.75" customHeight="1">
      <c r="B856" s="43" t="s">
        <v>163</v>
      </c>
      <c r="C856" s="51" t="s">
        <v>3632</v>
      </c>
      <c r="D856" s="88"/>
      <c r="W856" s="35" t="str">
        <f>"-- "&amp;B856&amp;" : "&amp;C856</f>
        <v>-- SQL_ID : 01_A6-47</v>
      </c>
    </row>
    <row r="857" spans="2:23" ht="18.75" customHeight="1">
      <c r="B857" s="43" t="s">
        <v>158</v>
      </c>
      <c r="C857" s="145" t="str">
        <f>R860&amp;"登録"</f>
        <v>バックアップ_MML_手術モジュール_手術法登録</v>
      </c>
      <c r="D857" s="146"/>
      <c r="E857" s="146"/>
      <c r="F857" s="146"/>
      <c r="G857" s="146"/>
      <c r="H857" s="146"/>
      <c r="I857" s="146"/>
      <c r="J857" s="146"/>
      <c r="K857" s="146"/>
      <c r="L857" s="146"/>
      <c r="M857" s="146"/>
      <c r="N857" s="146"/>
      <c r="O857" s="146"/>
      <c r="P857" s="146"/>
      <c r="Q857" s="146"/>
      <c r="R857" s="146"/>
      <c r="S857" s="146"/>
      <c r="T857" s="146"/>
      <c r="U857" s="147"/>
      <c r="W857" s="35" t="str">
        <f>"-- "&amp;C857</f>
        <v>-- バックアップ_MML_手術モジュール_手術法登録</v>
      </c>
    </row>
    <row r="858" spans="2:23" ht="18.75" customHeight="1">
      <c r="B858" s="43" t="s">
        <v>159</v>
      </c>
      <c r="C858" s="134" t="str">
        <f>C860&amp;"テーブルから組入れ条件の第一条件で絞り込んだ結果を"&amp;R860&amp;"テーブルに格納する。"</f>
        <v>MML_手術モジュール_手術法テーブルから組入れ条件の第一条件で絞り込んだ結果をバックアップ_MML_手術モジュール_手術法テーブルに格納する。</v>
      </c>
      <c r="D858" s="135"/>
      <c r="E858" s="135"/>
      <c r="F858" s="135"/>
      <c r="G858" s="135"/>
      <c r="H858" s="135"/>
      <c r="I858" s="135"/>
      <c r="J858" s="135"/>
      <c r="K858" s="135"/>
      <c r="L858" s="135"/>
      <c r="M858" s="135"/>
      <c r="N858" s="135"/>
      <c r="O858" s="135"/>
      <c r="P858" s="135"/>
      <c r="Q858" s="135"/>
      <c r="R858" s="135"/>
      <c r="S858" s="135"/>
      <c r="T858" s="135"/>
      <c r="U858" s="136"/>
      <c r="W858" s="35" t="str">
        <f>"-- "&amp;C858</f>
        <v>-- MML_手術モジュール_手術法テーブルから組入れ条件の第一条件で絞り込んだ結果をバックアップ_MML_手術モジュール_手術法テーブルに格納する。</v>
      </c>
    </row>
    <row r="860" spans="2:23" ht="18.75" customHeight="1">
      <c r="C860" s="137" t="s">
        <v>3633</v>
      </c>
      <c r="D860" s="138"/>
      <c r="E860" s="141" t="s">
        <v>162</v>
      </c>
      <c r="H860" s="36"/>
      <c r="I860" s="36"/>
      <c r="J860" s="36"/>
      <c r="K860" s="36"/>
      <c r="L860" s="36"/>
      <c r="M860" s="36"/>
      <c r="N860" s="36"/>
      <c r="O860" s="36"/>
      <c r="P860" s="36"/>
      <c r="Q860" s="36"/>
      <c r="R860" s="137" t="str">
        <f>"バックアップ_"&amp;SUBSTITUTE(C860,"_結合","")</f>
        <v>バックアップ_MML_手術モジュール_手術法</v>
      </c>
      <c r="S860" s="138"/>
      <c r="T860" s="143" t="str">
        <f>エンティティ一覧!$O$2</f>
        <v>milscm_2023_010</v>
      </c>
    </row>
    <row r="861" spans="2:23" ht="18.75" customHeight="1">
      <c r="C861" s="139"/>
      <c r="D861" s="140"/>
      <c r="E861" s="142"/>
      <c r="F861" s="37"/>
      <c r="G861" s="38"/>
      <c r="H861" s="37"/>
      <c r="I861" s="37"/>
      <c r="J861" s="37"/>
      <c r="K861" s="37"/>
      <c r="L861" s="37"/>
      <c r="M861" s="37"/>
      <c r="N861" s="37"/>
      <c r="O861" s="37"/>
      <c r="P861" s="37"/>
      <c r="Q861" s="37"/>
      <c r="R861" s="139"/>
      <c r="S861" s="140"/>
      <c r="T861" s="144"/>
    </row>
    <row r="862" spans="2:23" ht="18.75" customHeight="1">
      <c r="F862" s="39"/>
      <c r="G862" s="40"/>
    </row>
    <row r="863" spans="2:23" ht="18.75" customHeight="1">
      <c r="C863" s="137" t="s">
        <v>3182</v>
      </c>
      <c r="D863" s="138"/>
      <c r="E863" s="143" t="str">
        <f>エンティティ一覧!$O$2</f>
        <v>milscm_2023_010</v>
      </c>
      <c r="G863" s="41"/>
    </row>
    <row r="864" spans="2:23" ht="18.75" customHeight="1">
      <c r="C864" s="139"/>
      <c r="D864" s="140"/>
      <c r="E864" s="144"/>
      <c r="F864" s="37"/>
    </row>
    <row r="866" spans="2:23" ht="18.75" customHeight="1" thickBot="1">
      <c r="B866" s="42"/>
      <c r="C866" s="42"/>
      <c r="D866" s="42"/>
      <c r="E866" s="42"/>
      <c r="F866" s="42"/>
      <c r="G866" s="42"/>
      <c r="H866" s="42"/>
      <c r="I866" s="42"/>
      <c r="J866" s="42"/>
      <c r="K866" s="42"/>
      <c r="L866" s="42"/>
      <c r="M866" s="42"/>
      <c r="N866" s="42"/>
      <c r="O866" s="42"/>
      <c r="P866" s="42"/>
      <c r="Q866" s="42"/>
      <c r="R866" s="42"/>
      <c r="S866" s="42"/>
      <c r="T866" s="42"/>
      <c r="U866" s="42"/>
    </row>
    <row r="868" spans="2:23" ht="18.75" customHeight="1">
      <c r="B868" s="43" t="s">
        <v>163</v>
      </c>
      <c r="C868" s="51" t="s">
        <v>3634</v>
      </c>
      <c r="D868" s="88"/>
      <c r="W868" s="35" t="str">
        <f>"-- "&amp;B868&amp;" : "&amp;C868</f>
        <v>-- SQL_ID : 01_A6-48</v>
      </c>
    </row>
    <row r="869" spans="2:23" ht="18.75" customHeight="1">
      <c r="B869" s="43" t="s">
        <v>158</v>
      </c>
      <c r="C869" s="145" t="str">
        <f>R872&amp;"登録"</f>
        <v>バックアップ_MML_手術モジュール_手術要素登録</v>
      </c>
      <c r="D869" s="146"/>
      <c r="E869" s="146"/>
      <c r="F869" s="146"/>
      <c r="G869" s="146"/>
      <c r="H869" s="146"/>
      <c r="I869" s="146"/>
      <c r="J869" s="146"/>
      <c r="K869" s="146"/>
      <c r="L869" s="146"/>
      <c r="M869" s="146"/>
      <c r="N869" s="146"/>
      <c r="O869" s="146"/>
      <c r="P869" s="146"/>
      <c r="Q869" s="146"/>
      <c r="R869" s="146"/>
      <c r="S869" s="146"/>
      <c r="T869" s="146"/>
      <c r="U869" s="147"/>
      <c r="W869" s="35" t="str">
        <f>"-- "&amp;C869</f>
        <v>-- バックアップ_MML_手術モジュール_手術要素登録</v>
      </c>
    </row>
    <row r="870" spans="2:23" ht="18.75" customHeight="1">
      <c r="B870" s="43" t="s">
        <v>159</v>
      </c>
      <c r="C870" s="134" t="str">
        <f>C872&amp;"テーブルから組入れ条件の第一条件で絞り込んだ結果を"&amp;R872&amp;"テーブルに格納する。"</f>
        <v>MML_手術モジュール_手術要素テーブルから組入れ条件の第一条件で絞り込んだ結果をバックアップ_MML_手術モジュール_手術要素テーブルに格納する。</v>
      </c>
      <c r="D870" s="135"/>
      <c r="E870" s="135"/>
      <c r="F870" s="135"/>
      <c r="G870" s="135"/>
      <c r="H870" s="135"/>
      <c r="I870" s="135"/>
      <c r="J870" s="135"/>
      <c r="K870" s="135"/>
      <c r="L870" s="135"/>
      <c r="M870" s="135"/>
      <c r="N870" s="135"/>
      <c r="O870" s="135"/>
      <c r="P870" s="135"/>
      <c r="Q870" s="135"/>
      <c r="R870" s="135"/>
      <c r="S870" s="135"/>
      <c r="T870" s="135"/>
      <c r="U870" s="136"/>
      <c r="W870" s="35" t="str">
        <f>"-- "&amp;C870</f>
        <v>-- MML_手術モジュール_手術要素テーブルから組入れ条件の第一条件で絞り込んだ結果をバックアップ_MML_手術モジュール_手術要素テーブルに格納する。</v>
      </c>
    </row>
    <row r="872" spans="2:23" ht="18.75" customHeight="1">
      <c r="C872" s="137" t="s">
        <v>3635</v>
      </c>
      <c r="D872" s="138"/>
      <c r="E872" s="141" t="s">
        <v>162</v>
      </c>
      <c r="H872" s="36"/>
      <c r="I872" s="36"/>
      <c r="J872" s="36"/>
      <c r="K872" s="36"/>
      <c r="L872" s="36"/>
      <c r="M872" s="36"/>
      <c r="N872" s="36"/>
      <c r="O872" s="36"/>
      <c r="P872" s="36"/>
      <c r="Q872" s="36"/>
      <c r="R872" s="137" t="str">
        <f>"バックアップ_"&amp;SUBSTITUTE(C872,"_結合","")</f>
        <v>バックアップ_MML_手術モジュール_手術要素</v>
      </c>
      <c r="S872" s="138"/>
      <c r="T872" s="143" t="str">
        <f>エンティティ一覧!$O$2</f>
        <v>milscm_2023_010</v>
      </c>
    </row>
    <row r="873" spans="2:23" ht="18.75" customHeight="1">
      <c r="C873" s="139"/>
      <c r="D873" s="140"/>
      <c r="E873" s="142"/>
      <c r="F873" s="37"/>
      <c r="G873" s="38"/>
      <c r="H873" s="37"/>
      <c r="I873" s="37"/>
      <c r="J873" s="37"/>
      <c r="K873" s="37"/>
      <c r="L873" s="37"/>
      <c r="M873" s="37"/>
      <c r="N873" s="37"/>
      <c r="O873" s="37"/>
      <c r="P873" s="37"/>
      <c r="Q873" s="37"/>
      <c r="R873" s="139"/>
      <c r="S873" s="140"/>
      <c r="T873" s="144"/>
    </row>
    <row r="874" spans="2:23" ht="18.75" customHeight="1">
      <c r="F874" s="39"/>
      <c r="G874" s="40"/>
    </row>
    <row r="875" spans="2:23" ht="18.75" customHeight="1">
      <c r="C875" s="137" t="s">
        <v>3182</v>
      </c>
      <c r="D875" s="138"/>
      <c r="E875" s="143" t="str">
        <f>エンティティ一覧!$O$2</f>
        <v>milscm_2023_010</v>
      </c>
      <c r="G875" s="41"/>
    </row>
    <row r="876" spans="2:23" ht="18.75" customHeight="1">
      <c r="C876" s="139"/>
      <c r="D876" s="140"/>
      <c r="E876" s="144"/>
      <c r="F876" s="37"/>
    </row>
    <row r="878" spans="2:23" ht="18.75" customHeight="1" thickBot="1">
      <c r="B878" s="42"/>
      <c r="C878" s="42"/>
      <c r="D878" s="42"/>
      <c r="E878" s="42"/>
      <c r="F878" s="42"/>
      <c r="G878" s="42"/>
      <c r="H878" s="42"/>
      <c r="I878" s="42"/>
      <c r="J878" s="42"/>
      <c r="K878" s="42"/>
      <c r="L878" s="42"/>
      <c r="M878" s="42"/>
      <c r="N878" s="42"/>
      <c r="O878" s="42"/>
      <c r="P878" s="42"/>
      <c r="Q878" s="42"/>
      <c r="R878" s="42"/>
      <c r="S878" s="42"/>
      <c r="T878" s="42"/>
      <c r="U878" s="42"/>
    </row>
    <row r="880" spans="2:23" ht="18.75" customHeight="1">
      <c r="B880" s="43" t="s">
        <v>163</v>
      </c>
      <c r="C880" s="51" t="s">
        <v>3636</v>
      </c>
      <c r="D880" s="88"/>
      <c r="W880" s="35" t="str">
        <f>"-- "&amp;B880&amp;" : "&amp;C880</f>
        <v>-- SQL_ID : 01_A6-49</v>
      </c>
    </row>
    <row r="881" spans="2:23" ht="18.75" customHeight="1">
      <c r="B881" s="43" t="s">
        <v>158</v>
      </c>
      <c r="C881" s="145" t="str">
        <f>R884&amp;"登録"</f>
        <v>バックアップ_MML_手術モジュール_麻酔法登録</v>
      </c>
      <c r="D881" s="146"/>
      <c r="E881" s="146"/>
      <c r="F881" s="146"/>
      <c r="G881" s="146"/>
      <c r="H881" s="146"/>
      <c r="I881" s="146"/>
      <c r="J881" s="146"/>
      <c r="K881" s="146"/>
      <c r="L881" s="146"/>
      <c r="M881" s="146"/>
      <c r="N881" s="146"/>
      <c r="O881" s="146"/>
      <c r="P881" s="146"/>
      <c r="Q881" s="146"/>
      <c r="R881" s="146"/>
      <c r="S881" s="146"/>
      <c r="T881" s="146"/>
      <c r="U881" s="147"/>
      <c r="W881" s="35" t="str">
        <f>"-- "&amp;C881</f>
        <v>-- バックアップ_MML_手術モジュール_麻酔法登録</v>
      </c>
    </row>
    <row r="882" spans="2:23" ht="18.75" customHeight="1">
      <c r="B882" s="43" t="s">
        <v>159</v>
      </c>
      <c r="C882" s="134" t="str">
        <f>C884&amp;"テーブルから組入れ条件の第一条件で絞り込んだ結果を"&amp;R884&amp;"テーブルに格納する。"</f>
        <v>MML_手術モジュール_麻酔法テーブルから組入れ条件の第一条件で絞り込んだ結果をバックアップ_MML_手術モジュール_麻酔法テーブルに格納する。</v>
      </c>
      <c r="D882" s="135"/>
      <c r="E882" s="135"/>
      <c r="F882" s="135"/>
      <c r="G882" s="135"/>
      <c r="H882" s="135"/>
      <c r="I882" s="135"/>
      <c r="J882" s="135"/>
      <c r="K882" s="135"/>
      <c r="L882" s="135"/>
      <c r="M882" s="135"/>
      <c r="N882" s="135"/>
      <c r="O882" s="135"/>
      <c r="P882" s="135"/>
      <c r="Q882" s="135"/>
      <c r="R882" s="135"/>
      <c r="S882" s="135"/>
      <c r="T882" s="135"/>
      <c r="U882" s="136"/>
      <c r="W882" s="35" t="str">
        <f>"-- "&amp;C882</f>
        <v>-- MML_手術モジュール_麻酔法テーブルから組入れ条件の第一条件で絞り込んだ結果をバックアップ_MML_手術モジュール_麻酔法テーブルに格納する。</v>
      </c>
    </row>
    <row r="884" spans="2:23" ht="18.75" customHeight="1">
      <c r="C884" s="137" t="s">
        <v>3637</v>
      </c>
      <c r="D884" s="138"/>
      <c r="E884" s="141" t="s">
        <v>162</v>
      </c>
      <c r="H884" s="36"/>
      <c r="I884" s="36"/>
      <c r="J884" s="36"/>
      <c r="K884" s="36"/>
      <c r="L884" s="36"/>
      <c r="M884" s="36"/>
      <c r="N884" s="36"/>
      <c r="O884" s="36"/>
      <c r="P884" s="36"/>
      <c r="Q884" s="36"/>
      <c r="R884" s="137" t="str">
        <f>"バックアップ_"&amp;SUBSTITUTE(C884,"_結合","")</f>
        <v>バックアップ_MML_手術モジュール_麻酔法</v>
      </c>
      <c r="S884" s="138"/>
      <c r="T884" s="143" t="str">
        <f>エンティティ一覧!$O$2</f>
        <v>milscm_2023_010</v>
      </c>
    </row>
    <row r="885" spans="2:23" ht="18.75" customHeight="1">
      <c r="C885" s="139"/>
      <c r="D885" s="140"/>
      <c r="E885" s="142"/>
      <c r="F885" s="37"/>
      <c r="G885" s="38"/>
      <c r="H885" s="37"/>
      <c r="I885" s="37"/>
      <c r="J885" s="37"/>
      <c r="K885" s="37"/>
      <c r="L885" s="37"/>
      <c r="M885" s="37"/>
      <c r="N885" s="37"/>
      <c r="O885" s="37"/>
      <c r="P885" s="37"/>
      <c r="Q885" s="37"/>
      <c r="R885" s="139"/>
      <c r="S885" s="140"/>
      <c r="T885" s="144"/>
    </row>
    <row r="886" spans="2:23" ht="18.75" customHeight="1">
      <c r="F886" s="39"/>
      <c r="G886" s="40"/>
    </row>
    <row r="887" spans="2:23" ht="18.75" customHeight="1">
      <c r="C887" s="137" t="s">
        <v>3182</v>
      </c>
      <c r="D887" s="138"/>
      <c r="E887" s="143" t="str">
        <f>エンティティ一覧!$O$2</f>
        <v>milscm_2023_010</v>
      </c>
      <c r="G887" s="41"/>
    </row>
    <row r="888" spans="2:23" ht="18.75" customHeight="1">
      <c r="C888" s="139"/>
      <c r="D888" s="140"/>
      <c r="E888" s="144"/>
      <c r="F888" s="37"/>
    </row>
    <row r="890" spans="2:23" ht="18.75" customHeight="1" thickBot="1">
      <c r="B890" s="42"/>
      <c r="C890" s="42"/>
      <c r="D890" s="42"/>
      <c r="E890" s="42"/>
      <c r="F890" s="42"/>
      <c r="G890" s="42"/>
      <c r="H890" s="42"/>
      <c r="I890" s="42"/>
      <c r="J890" s="42"/>
      <c r="K890" s="42"/>
      <c r="L890" s="42"/>
      <c r="M890" s="42"/>
      <c r="N890" s="42"/>
      <c r="O890" s="42"/>
      <c r="P890" s="42"/>
      <c r="Q890" s="42"/>
      <c r="R890" s="42"/>
      <c r="S890" s="42"/>
      <c r="T890" s="42"/>
      <c r="U890" s="42"/>
    </row>
    <row r="892" spans="2:23" ht="18.75" customHeight="1">
      <c r="B892" s="43" t="s">
        <v>163</v>
      </c>
      <c r="C892" s="51" t="s">
        <v>3638</v>
      </c>
      <c r="D892" s="88"/>
      <c r="W892" s="35" t="str">
        <f>"-- "&amp;B892&amp;" : "&amp;C892</f>
        <v>-- SQL_ID : 01_A6-50</v>
      </c>
    </row>
    <row r="893" spans="2:23" ht="18.75" customHeight="1">
      <c r="B893" s="43" t="s">
        <v>158</v>
      </c>
      <c r="C893" s="145" t="str">
        <f>R896&amp;"登録"</f>
        <v>バックアップ_MML_報告書情報モジュール_本文登録</v>
      </c>
      <c r="D893" s="146"/>
      <c r="E893" s="146"/>
      <c r="F893" s="146"/>
      <c r="G893" s="146"/>
      <c r="H893" s="146"/>
      <c r="I893" s="146"/>
      <c r="J893" s="146"/>
      <c r="K893" s="146"/>
      <c r="L893" s="146"/>
      <c r="M893" s="146"/>
      <c r="N893" s="146"/>
      <c r="O893" s="146"/>
      <c r="P893" s="146"/>
      <c r="Q893" s="146"/>
      <c r="R893" s="146"/>
      <c r="S893" s="146"/>
      <c r="T893" s="146"/>
      <c r="U893" s="147"/>
      <c r="W893" s="35" t="str">
        <f>"-- "&amp;C893</f>
        <v>-- バックアップ_MML_報告書情報モジュール_本文登録</v>
      </c>
    </row>
    <row r="894" spans="2:23" ht="18.75" customHeight="1">
      <c r="B894" s="43" t="s">
        <v>159</v>
      </c>
      <c r="C894" s="134" t="str">
        <f>C896&amp;"テーブルから組入れ条件の第一条件で絞り込んだ結果を"&amp;R896&amp;"テーブルに格納する。"</f>
        <v>MML_報告書情報モジュール_本文テーブルから組入れ条件の第一条件で絞り込んだ結果をバックアップ_MML_報告書情報モジュール_本文テーブルに格納する。</v>
      </c>
      <c r="D894" s="135"/>
      <c r="E894" s="135"/>
      <c r="F894" s="135"/>
      <c r="G894" s="135"/>
      <c r="H894" s="135"/>
      <c r="I894" s="135"/>
      <c r="J894" s="135"/>
      <c r="K894" s="135"/>
      <c r="L894" s="135"/>
      <c r="M894" s="135"/>
      <c r="N894" s="135"/>
      <c r="O894" s="135"/>
      <c r="P894" s="135"/>
      <c r="Q894" s="135"/>
      <c r="R894" s="135"/>
      <c r="S894" s="135"/>
      <c r="T894" s="135"/>
      <c r="U894" s="136"/>
      <c r="W894" s="35" t="str">
        <f>"-- "&amp;C894</f>
        <v>-- MML_報告書情報モジュール_本文テーブルから組入れ条件の第一条件で絞り込んだ結果をバックアップ_MML_報告書情報モジュール_本文テーブルに格納する。</v>
      </c>
    </row>
    <row r="896" spans="2:23" ht="18.75" customHeight="1">
      <c r="C896" s="137" t="s">
        <v>3639</v>
      </c>
      <c r="D896" s="138"/>
      <c r="E896" s="141" t="s">
        <v>162</v>
      </c>
      <c r="H896" s="36"/>
      <c r="I896" s="36"/>
      <c r="J896" s="36"/>
      <c r="K896" s="36"/>
      <c r="L896" s="36"/>
      <c r="M896" s="36"/>
      <c r="N896" s="36"/>
      <c r="O896" s="36"/>
      <c r="P896" s="36"/>
      <c r="Q896" s="36"/>
      <c r="R896" s="137" t="str">
        <f>"バックアップ_"&amp;SUBSTITUTE(C896,"_結合","")</f>
        <v>バックアップ_MML_報告書情報モジュール_本文</v>
      </c>
      <c r="S896" s="138"/>
      <c r="T896" s="143" t="str">
        <f>エンティティ一覧!$O$2</f>
        <v>milscm_2023_010</v>
      </c>
    </row>
    <row r="897" spans="2:23" ht="18.75" customHeight="1">
      <c r="C897" s="139"/>
      <c r="D897" s="140"/>
      <c r="E897" s="142"/>
      <c r="F897" s="37"/>
      <c r="G897" s="38"/>
      <c r="H897" s="37"/>
      <c r="I897" s="37"/>
      <c r="J897" s="37"/>
      <c r="K897" s="37"/>
      <c r="L897" s="37"/>
      <c r="M897" s="37"/>
      <c r="N897" s="37"/>
      <c r="O897" s="37"/>
      <c r="P897" s="37"/>
      <c r="Q897" s="37"/>
      <c r="R897" s="139"/>
      <c r="S897" s="140"/>
      <c r="T897" s="144"/>
    </row>
    <row r="898" spans="2:23" ht="18.75" customHeight="1">
      <c r="F898" s="39"/>
      <c r="G898" s="40"/>
    </row>
    <row r="899" spans="2:23" ht="18.75" customHeight="1">
      <c r="C899" s="137" t="s">
        <v>3182</v>
      </c>
      <c r="D899" s="138"/>
      <c r="E899" s="143" t="str">
        <f>エンティティ一覧!$O$2</f>
        <v>milscm_2023_010</v>
      </c>
      <c r="G899" s="41"/>
    </row>
    <row r="900" spans="2:23" ht="18.75" customHeight="1">
      <c r="C900" s="139"/>
      <c r="D900" s="140"/>
      <c r="E900" s="144"/>
      <c r="F900" s="37"/>
    </row>
    <row r="902" spans="2:23" ht="18.75" customHeight="1" thickBot="1">
      <c r="B902" s="42"/>
      <c r="C902" s="42"/>
      <c r="D902" s="42"/>
      <c r="E902" s="42"/>
      <c r="F902" s="42"/>
      <c r="G902" s="42"/>
      <c r="H902" s="42"/>
      <c r="I902" s="42"/>
      <c r="J902" s="42"/>
      <c r="K902" s="42"/>
      <c r="L902" s="42"/>
      <c r="M902" s="42"/>
      <c r="N902" s="42"/>
      <c r="O902" s="42"/>
      <c r="P902" s="42"/>
      <c r="Q902" s="42"/>
      <c r="R902" s="42"/>
      <c r="S902" s="42"/>
      <c r="T902" s="42"/>
      <c r="U902" s="42"/>
    </row>
    <row r="904" spans="2:23" ht="18.75" customHeight="1">
      <c r="B904" s="43" t="s">
        <v>163</v>
      </c>
      <c r="C904" s="51" t="s">
        <v>3640</v>
      </c>
      <c r="D904" s="88"/>
      <c r="W904" s="35" t="str">
        <f>"-- "&amp;B904&amp;" : "&amp;C904</f>
        <v>-- SQL_ID : 01_A6-51</v>
      </c>
    </row>
    <row r="905" spans="2:23" ht="18.75" customHeight="1">
      <c r="B905" s="43" t="s">
        <v>158</v>
      </c>
      <c r="C905" s="145" t="str">
        <f>R908&amp;"登録"</f>
        <v>バックアップ_MML_報告書情報モジュール_検査コメント登録</v>
      </c>
      <c r="D905" s="146"/>
      <c r="E905" s="146"/>
      <c r="F905" s="146"/>
      <c r="G905" s="146"/>
      <c r="H905" s="146"/>
      <c r="I905" s="146"/>
      <c r="J905" s="146"/>
      <c r="K905" s="146"/>
      <c r="L905" s="146"/>
      <c r="M905" s="146"/>
      <c r="N905" s="146"/>
      <c r="O905" s="146"/>
      <c r="P905" s="146"/>
      <c r="Q905" s="146"/>
      <c r="R905" s="146"/>
      <c r="S905" s="146"/>
      <c r="T905" s="146"/>
      <c r="U905" s="147"/>
      <c r="W905" s="35" t="str">
        <f>"-- "&amp;C905</f>
        <v>-- バックアップ_MML_報告書情報モジュール_検査コメント登録</v>
      </c>
    </row>
    <row r="906" spans="2:23" ht="18.75" customHeight="1">
      <c r="B906" s="43" t="s">
        <v>159</v>
      </c>
      <c r="C906" s="134" t="str">
        <f>C908&amp;"テーブルから組入れ条件の第一条件で絞り込んだ結果を"&amp;R908&amp;"テーブルに格納する。"</f>
        <v>MML_報告書情報モジュール_検査コメントテーブルから組入れ条件の第一条件で絞り込んだ結果をバックアップ_MML_報告書情報モジュール_検査コメントテーブルに格納する。</v>
      </c>
      <c r="D906" s="135"/>
      <c r="E906" s="135"/>
      <c r="F906" s="135"/>
      <c r="G906" s="135"/>
      <c r="H906" s="135"/>
      <c r="I906" s="135"/>
      <c r="J906" s="135"/>
      <c r="K906" s="135"/>
      <c r="L906" s="135"/>
      <c r="M906" s="135"/>
      <c r="N906" s="135"/>
      <c r="O906" s="135"/>
      <c r="P906" s="135"/>
      <c r="Q906" s="135"/>
      <c r="R906" s="135"/>
      <c r="S906" s="135"/>
      <c r="T906" s="135"/>
      <c r="U906" s="136"/>
      <c r="W906" s="35" t="str">
        <f>"-- "&amp;C906</f>
        <v>-- MML_報告書情報モジュール_検査コメントテーブルから組入れ条件の第一条件で絞り込んだ結果をバックアップ_MML_報告書情報モジュール_検査コメントテーブルに格納する。</v>
      </c>
    </row>
    <row r="908" spans="2:23" ht="18.75" customHeight="1">
      <c r="C908" s="137" t="s">
        <v>3641</v>
      </c>
      <c r="D908" s="138"/>
      <c r="E908" s="141" t="s">
        <v>162</v>
      </c>
      <c r="H908" s="36"/>
      <c r="I908" s="36"/>
      <c r="J908" s="36"/>
      <c r="K908" s="36"/>
      <c r="L908" s="36"/>
      <c r="M908" s="36"/>
      <c r="N908" s="36"/>
      <c r="O908" s="36"/>
      <c r="P908" s="36"/>
      <c r="Q908" s="36"/>
      <c r="R908" s="148" t="str">
        <f>"バックアップ_"&amp;SUBSTITUTE(C908,"_結合","")</f>
        <v>バックアップ_MML_報告書情報モジュール_検査コメント</v>
      </c>
      <c r="S908" s="149"/>
      <c r="T908" s="143" t="str">
        <f>エンティティ一覧!$O$2</f>
        <v>milscm_2023_010</v>
      </c>
    </row>
    <row r="909" spans="2:23" ht="18.75" customHeight="1">
      <c r="C909" s="139"/>
      <c r="D909" s="140"/>
      <c r="E909" s="142"/>
      <c r="F909" s="37"/>
      <c r="G909" s="38"/>
      <c r="H909" s="37"/>
      <c r="I909" s="37"/>
      <c r="J909" s="37"/>
      <c r="K909" s="37"/>
      <c r="L909" s="37"/>
      <c r="M909" s="37"/>
      <c r="N909" s="37"/>
      <c r="O909" s="37"/>
      <c r="P909" s="37"/>
      <c r="Q909" s="37"/>
      <c r="R909" s="150"/>
      <c r="S909" s="151"/>
      <c r="T909" s="144"/>
    </row>
    <row r="910" spans="2:23" ht="18.75" customHeight="1">
      <c r="F910" s="39"/>
      <c r="G910" s="40"/>
    </row>
    <row r="911" spans="2:23" ht="18.75" customHeight="1">
      <c r="C911" s="137" t="s">
        <v>3182</v>
      </c>
      <c r="D911" s="138"/>
      <c r="E911" s="143" t="str">
        <f>エンティティ一覧!$O$2</f>
        <v>milscm_2023_010</v>
      </c>
      <c r="G911" s="41"/>
    </row>
    <row r="912" spans="2:23" ht="18.75" customHeight="1">
      <c r="C912" s="139"/>
      <c r="D912" s="140"/>
      <c r="E912" s="144"/>
      <c r="F912" s="37"/>
    </row>
    <row r="914" spans="2:23" ht="18.75" customHeight="1" thickBot="1">
      <c r="B914" s="42"/>
      <c r="C914" s="42"/>
      <c r="D914" s="42"/>
      <c r="E914" s="42"/>
      <c r="F914" s="42"/>
      <c r="G914" s="42"/>
      <c r="H914" s="42"/>
      <c r="I914" s="42"/>
      <c r="J914" s="42"/>
      <c r="K914" s="42"/>
      <c r="L914" s="42"/>
      <c r="M914" s="42"/>
      <c r="N914" s="42"/>
      <c r="O914" s="42"/>
      <c r="P914" s="42"/>
      <c r="Q914" s="42"/>
      <c r="R914" s="42"/>
      <c r="S914" s="42"/>
      <c r="T914" s="42"/>
      <c r="U914" s="42"/>
    </row>
    <row r="916" spans="2:23" ht="18.75" customHeight="1">
      <c r="B916" s="43" t="s">
        <v>163</v>
      </c>
      <c r="C916" s="51" t="s">
        <v>3642</v>
      </c>
      <c r="D916" s="88"/>
      <c r="W916" s="35" t="str">
        <f>"-- "&amp;B916&amp;" : "&amp;C916</f>
        <v>-- SQL_ID : 01_A6-52</v>
      </c>
    </row>
    <row r="917" spans="2:23" ht="18.75" customHeight="1">
      <c r="B917" s="43" t="s">
        <v>158</v>
      </c>
      <c r="C917" s="145" t="str">
        <f>R920&amp;"登録"</f>
        <v>バックアップ_MML_生活習慣情報モジュール_本文登録</v>
      </c>
      <c r="D917" s="146"/>
      <c r="E917" s="146"/>
      <c r="F917" s="146"/>
      <c r="G917" s="146"/>
      <c r="H917" s="146"/>
      <c r="I917" s="146"/>
      <c r="J917" s="146"/>
      <c r="K917" s="146"/>
      <c r="L917" s="146"/>
      <c r="M917" s="146"/>
      <c r="N917" s="146"/>
      <c r="O917" s="146"/>
      <c r="P917" s="146"/>
      <c r="Q917" s="146"/>
      <c r="R917" s="146"/>
      <c r="S917" s="146"/>
      <c r="T917" s="146"/>
      <c r="U917" s="147"/>
      <c r="W917" s="35" t="str">
        <f>"-- "&amp;C917</f>
        <v>-- バックアップ_MML_生活習慣情報モジュール_本文登録</v>
      </c>
    </row>
    <row r="918" spans="2:23" ht="18.75" customHeight="1">
      <c r="B918" s="43" t="s">
        <v>159</v>
      </c>
      <c r="C918" s="134" t="str">
        <f>C920&amp;"テーブルから組入れ条件の第一条件で絞り込んだ結果を"&amp;R920&amp;"テーブルに格納する。"</f>
        <v>MML_生活習慣情報モジュール_本文テーブルから組入れ条件の第一条件で絞り込んだ結果をバックアップ_MML_生活習慣情報モジュール_本文テーブルに格納する。</v>
      </c>
      <c r="D918" s="135"/>
      <c r="E918" s="135"/>
      <c r="F918" s="135"/>
      <c r="G918" s="135"/>
      <c r="H918" s="135"/>
      <c r="I918" s="135"/>
      <c r="J918" s="135"/>
      <c r="K918" s="135"/>
      <c r="L918" s="135"/>
      <c r="M918" s="135"/>
      <c r="N918" s="135"/>
      <c r="O918" s="135"/>
      <c r="P918" s="135"/>
      <c r="Q918" s="135"/>
      <c r="R918" s="135"/>
      <c r="S918" s="135"/>
      <c r="T918" s="135"/>
      <c r="U918" s="136"/>
      <c r="W918" s="35" t="str">
        <f>"-- "&amp;C918</f>
        <v>-- MML_生活習慣情報モジュール_本文テーブルから組入れ条件の第一条件で絞り込んだ結果をバックアップ_MML_生活習慣情報モジュール_本文テーブルに格納する。</v>
      </c>
    </row>
    <row r="920" spans="2:23" ht="18.75" customHeight="1">
      <c r="C920" s="137" t="s">
        <v>3643</v>
      </c>
      <c r="D920" s="138"/>
      <c r="E920" s="141" t="s">
        <v>162</v>
      </c>
      <c r="H920" s="36"/>
      <c r="I920" s="36"/>
      <c r="J920" s="36"/>
      <c r="K920" s="36"/>
      <c r="L920" s="36"/>
      <c r="M920" s="36"/>
      <c r="N920" s="36"/>
      <c r="O920" s="36"/>
      <c r="P920" s="36"/>
      <c r="Q920" s="36"/>
      <c r="R920" s="137" t="str">
        <f>"バックアップ_"&amp;SUBSTITUTE(C920,"_結合","")</f>
        <v>バックアップ_MML_生活習慣情報モジュール_本文</v>
      </c>
      <c r="S920" s="138"/>
      <c r="T920" s="143" t="str">
        <f>エンティティ一覧!$O$2</f>
        <v>milscm_2023_010</v>
      </c>
    </row>
    <row r="921" spans="2:23" ht="18.75" customHeight="1">
      <c r="C921" s="139"/>
      <c r="D921" s="140"/>
      <c r="E921" s="142"/>
      <c r="F921" s="37"/>
      <c r="G921" s="38"/>
      <c r="H921" s="37"/>
      <c r="I921" s="37"/>
      <c r="J921" s="37"/>
      <c r="K921" s="37"/>
      <c r="L921" s="37"/>
      <c r="M921" s="37"/>
      <c r="N921" s="37"/>
      <c r="O921" s="37"/>
      <c r="P921" s="37"/>
      <c r="Q921" s="37"/>
      <c r="R921" s="139"/>
      <c r="S921" s="140"/>
      <c r="T921" s="144"/>
    </row>
    <row r="922" spans="2:23" ht="18.75" customHeight="1">
      <c r="F922" s="39"/>
      <c r="G922" s="40"/>
    </row>
    <row r="923" spans="2:23" ht="18.75" customHeight="1">
      <c r="C923" s="137" t="s">
        <v>3182</v>
      </c>
      <c r="D923" s="138"/>
      <c r="E923" s="143" t="str">
        <f>エンティティ一覧!$O$2</f>
        <v>milscm_2023_010</v>
      </c>
      <c r="G923" s="41"/>
    </row>
    <row r="924" spans="2:23" ht="18.75" customHeight="1">
      <c r="C924" s="139"/>
      <c r="D924" s="140"/>
      <c r="E924" s="144"/>
      <c r="F924" s="37"/>
    </row>
    <row r="926" spans="2:23" ht="18.75" customHeight="1" thickBot="1">
      <c r="B926" s="42"/>
      <c r="C926" s="42"/>
      <c r="D926" s="42"/>
      <c r="E926" s="42"/>
      <c r="F926" s="42"/>
      <c r="G926" s="42"/>
      <c r="H926" s="42"/>
      <c r="I926" s="42"/>
      <c r="J926" s="42"/>
      <c r="K926" s="42"/>
      <c r="L926" s="42"/>
      <c r="M926" s="42"/>
      <c r="N926" s="42"/>
      <c r="O926" s="42"/>
      <c r="P926" s="42"/>
      <c r="Q926" s="42"/>
      <c r="R926" s="42"/>
      <c r="S926" s="42"/>
      <c r="T926" s="42"/>
      <c r="U926" s="42"/>
    </row>
    <row r="928" spans="2:23" ht="18.75" customHeight="1">
      <c r="B928" s="43" t="s">
        <v>163</v>
      </c>
      <c r="C928" s="51" t="s">
        <v>3644</v>
      </c>
      <c r="D928" s="88"/>
      <c r="W928" s="35" t="str">
        <f>"-- "&amp;B928&amp;" : "&amp;C928</f>
        <v>-- SQL_ID : 01_A6-53</v>
      </c>
    </row>
    <row r="929" spans="2:23" ht="18.75" customHeight="1">
      <c r="B929" s="43" t="s">
        <v>158</v>
      </c>
      <c r="C929" s="145" t="str">
        <f>R932&amp;"登録"</f>
        <v>バックアップ_MML_紹介状モジュール_本文登録</v>
      </c>
      <c r="D929" s="146"/>
      <c r="E929" s="146"/>
      <c r="F929" s="146"/>
      <c r="G929" s="146"/>
      <c r="H929" s="146"/>
      <c r="I929" s="146"/>
      <c r="J929" s="146"/>
      <c r="K929" s="146"/>
      <c r="L929" s="146"/>
      <c r="M929" s="146"/>
      <c r="N929" s="146"/>
      <c r="O929" s="146"/>
      <c r="P929" s="146"/>
      <c r="Q929" s="146"/>
      <c r="R929" s="146"/>
      <c r="S929" s="146"/>
      <c r="T929" s="146"/>
      <c r="U929" s="147"/>
      <c r="W929" s="35" t="str">
        <f>"-- "&amp;C929</f>
        <v>-- バックアップ_MML_紹介状モジュール_本文登録</v>
      </c>
    </row>
    <row r="930" spans="2:23" ht="18.75" customHeight="1">
      <c r="B930" s="43" t="s">
        <v>159</v>
      </c>
      <c r="C930" s="134" t="str">
        <f>C932&amp;"テーブルから組入れ条件の第一条件で絞り込んだ結果を"&amp;R932&amp;"テーブルに格納する。"</f>
        <v>MML_紹介状モジュール_本文テーブルから組入れ条件の第一条件で絞り込んだ結果をバックアップ_MML_紹介状モジュール_本文テーブルに格納する。</v>
      </c>
      <c r="D930" s="135"/>
      <c r="E930" s="135"/>
      <c r="F930" s="135"/>
      <c r="G930" s="135"/>
      <c r="H930" s="135"/>
      <c r="I930" s="135"/>
      <c r="J930" s="135"/>
      <c r="K930" s="135"/>
      <c r="L930" s="135"/>
      <c r="M930" s="135"/>
      <c r="N930" s="135"/>
      <c r="O930" s="135"/>
      <c r="P930" s="135"/>
      <c r="Q930" s="135"/>
      <c r="R930" s="135"/>
      <c r="S930" s="135"/>
      <c r="T930" s="135"/>
      <c r="U930" s="136"/>
      <c r="W930" s="35" t="str">
        <f>"-- "&amp;C930</f>
        <v>-- MML_紹介状モジュール_本文テーブルから組入れ条件の第一条件で絞り込んだ結果をバックアップ_MML_紹介状モジュール_本文テーブルに格納する。</v>
      </c>
    </row>
    <row r="932" spans="2:23" ht="18.75" customHeight="1">
      <c r="C932" s="137" t="s">
        <v>3645</v>
      </c>
      <c r="D932" s="138"/>
      <c r="E932" s="141" t="s">
        <v>162</v>
      </c>
      <c r="H932" s="36"/>
      <c r="I932" s="36"/>
      <c r="J932" s="36"/>
      <c r="K932" s="36"/>
      <c r="L932" s="36"/>
      <c r="M932" s="36"/>
      <c r="N932" s="36"/>
      <c r="O932" s="36"/>
      <c r="P932" s="36"/>
      <c r="Q932" s="36"/>
      <c r="R932" s="137" t="str">
        <f>"バックアップ_"&amp;SUBSTITUTE(C932,"_結合","")</f>
        <v>バックアップ_MML_紹介状モジュール_本文</v>
      </c>
      <c r="S932" s="138"/>
      <c r="T932" s="143" t="str">
        <f>エンティティ一覧!$O$2</f>
        <v>milscm_2023_010</v>
      </c>
    </row>
    <row r="933" spans="2:23" ht="18.75" customHeight="1">
      <c r="C933" s="139"/>
      <c r="D933" s="140"/>
      <c r="E933" s="142"/>
      <c r="F933" s="37"/>
      <c r="G933" s="38"/>
      <c r="H933" s="37"/>
      <c r="I933" s="37"/>
      <c r="J933" s="37"/>
      <c r="K933" s="37"/>
      <c r="L933" s="37"/>
      <c r="M933" s="37"/>
      <c r="N933" s="37"/>
      <c r="O933" s="37"/>
      <c r="P933" s="37"/>
      <c r="Q933" s="37"/>
      <c r="R933" s="139"/>
      <c r="S933" s="140"/>
      <c r="T933" s="144"/>
    </row>
    <row r="934" spans="2:23" ht="18.75" customHeight="1">
      <c r="F934" s="39"/>
      <c r="G934" s="40"/>
    </row>
    <row r="935" spans="2:23" ht="18.75" customHeight="1">
      <c r="C935" s="137" t="s">
        <v>3182</v>
      </c>
      <c r="D935" s="138"/>
      <c r="E935" s="143" t="str">
        <f>エンティティ一覧!$O$2</f>
        <v>milscm_2023_010</v>
      </c>
      <c r="G935" s="41"/>
    </row>
    <row r="936" spans="2:23" ht="18.75" customHeight="1">
      <c r="C936" s="139"/>
      <c r="D936" s="140"/>
      <c r="E936" s="144"/>
      <c r="F936" s="37"/>
    </row>
    <row r="938" spans="2:23" ht="18.75" customHeight="1" thickBot="1">
      <c r="B938" s="42"/>
      <c r="C938" s="42"/>
      <c r="D938" s="42"/>
      <c r="E938" s="42"/>
      <c r="F938" s="42"/>
      <c r="G938" s="42"/>
      <c r="H938" s="42"/>
      <c r="I938" s="42"/>
      <c r="J938" s="42"/>
      <c r="K938" s="42"/>
      <c r="L938" s="42"/>
      <c r="M938" s="42"/>
      <c r="N938" s="42"/>
      <c r="O938" s="42"/>
      <c r="P938" s="42"/>
      <c r="Q938" s="42"/>
      <c r="R938" s="42"/>
      <c r="S938" s="42"/>
      <c r="T938" s="42"/>
      <c r="U938" s="42"/>
    </row>
    <row r="940" spans="2:23" ht="18.75" customHeight="1">
      <c r="B940" s="43" t="s">
        <v>163</v>
      </c>
      <c r="C940" s="51" t="s">
        <v>3646</v>
      </c>
      <c r="D940" s="88"/>
      <c r="W940" s="35" t="str">
        <f>"-- "&amp;B940&amp;" : "&amp;C940</f>
        <v>-- SQL_ID : 01_A6-54</v>
      </c>
    </row>
    <row r="941" spans="2:23" ht="18.75" customHeight="1">
      <c r="B941" s="43" t="s">
        <v>158</v>
      </c>
      <c r="C941" s="145" t="str">
        <f>R944&amp;"登録"</f>
        <v>バックアップ_MML_紹介状モジュール_注射記録登録</v>
      </c>
      <c r="D941" s="146"/>
      <c r="E941" s="146"/>
      <c r="F941" s="146"/>
      <c r="G941" s="146"/>
      <c r="H941" s="146"/>
      <c r="I941" s="146"/>
      <c r="J941" s="146"/>
      <c r="K941" s="146"/>
      <c r="L941" s="146"/>
      <c r="M941" s="146"/>
      <c r="N941" s="146"/>
      <c r="O941" s="146"/>
      <c r="P941" s="146"/>
      <c r="Q941" s="146"/>
      <c r="R941" s="146"/>
      <c r="S941" s="146"/>
      <c r="T941" s="146"/>
      <c r="U941" s="147"/>
      <c r="W941" s="35" t="str">
        <f>"-- "&amp;C941</f>
        <v>-- バックアップ_MML_紹介状モジュール_注射記録登録</v>
      </c>
    </row>
    <row r="942" spans="2:23" ht="18.75" customHeight="1">
      <c r="B942" s="43" t="s">
        <v>159</v>
      </c>
      <c r="C942" s="134" t="str">
        <f>C944&amp;"テーブルから組入れ条件の第一条件で絞り込んだ結果を"&amp;R944&amp;"テーブルに格納する。"</f>
        <v>MML_紹介状モジュール_注射記録テーブルから組入れ条件の第一条件で絞り込んだ結果をバックアップ_MML_紹介状モジュール_注射記録テーブルに格納する。</v>
      </c>
      <c r="D942" s="135"/>
      <c r="E942" s="135"/>
      <c r="F942" s="135"/>
      <c r="G942" s="135"/>
      <c r="H942" s="135"/>
      <c r="I942" s="135"/>
      <c r="J942" s="135"/>
      <c r="K942" s="135"/>
      <c r="L942" s="135"/>
      <c r="M942" s="135"/>
      <c r="N942" s="135"/>
      <c r="O942" s="135"/>
      <c r="P942" s="135"/>
      <c r="Q942" s="135"/>
      <c r="R942" s="135"/>
      <c r="S942" s="135"/>
      <c r="T942" s="135"/>
      <c r="U942" s="136"/>
      <c r="W942" s="35" t="str">
        <f>"-- "&amp;C942</f>
        <v>-- MML_紹介状モジュール_注射記録テーブルから組入れ条件の第一条件で絞り込んだ結果をバックアップ_MML_紹介状モジュール_注射記録テーブルに格納する。</v>
      </c>
    </row>
    <row r="944" spans="2:23" ht="18.75" customHeight="1">
      <c r="C944" s="137" t="s">
        <v>3647</v>
      </c>
      <c r="D944" s="138"/>
      <c r="E944" s="141" t="s">
        <v>162</v>
      </c>
      <c r="H944" s="36"/>
      <c r="I944" s="36"/>
      <c r="J944" s="36"/>
      <c r="K944" s="36"/>
      <c r="L944" s="36"/>
      <c r="M944" s="36"/>
      <c r="N944" s="36"/>
      <c r="O944" s="36"/>
      <c r="P944" s="36"/>
      <c r="Q944" s="36"/>
      <c r="R944" s="137" t="str">
        <f>"バックアップ_"&amp;SUBSTITUTE(C944,"_結合","")</f>
        <v>バックアップ_MML_紹介状モジュール_注射記録</v>
      </c>
      <c r="S944" s="138"/>
      <c r="T944" s="143" t="str">
        <f>エンティティ一覧!$O$2</f>
        <v>milscm_2023_010</v>
      </c>
    </row>
    <row r="945" spans="2:23" ht="18.75" customHeight="1">
      <c r="C945" s="139"/>
      <c r="D945" s="140"/>
      <c r="E945" s="142"/>
      <c r="F945" s="37"/>
      <c r="G945" s="38"/>
      <c r="H945" s="37"/>
      <c r="I945" s="37"/>
      <c r="J945" s="37"/>
      <c r="K945" s="37"/>
      <c r="L945" s="37"/>
      <c r="M945" s="37"/>
      <c r="N945" s="37"/>
      <c r="O945" s="37"/>
      <c r="P945" s="37"/>
      <c r="Q945" s="37"/>
      <c r="R945" s="139"/>
      <c r="S945" s="140"/>
      <c r="T945" s="144"/>
    </row>
    <row r="946" spans="2:23" ht="18.75" customHeight="1">
      <c r="F946" s="39"/>
      <c r="G946" s="40"/>
    </row>
    <row r="947" spans="2:23" ht="18.75" customHeight="1">
      <c r="C947" s="137" t="s">
        <v>3182</v>
      </c>
      <c r="D947" s="138"/>
      <c r="E947" s="143" t="str">
        <f>エンティティ一覧!$O$2</f>
        <v>milscm_2023_010</v>
      </c>
      <c r="G947" s="41"/>
    </row>
    <row r="948" spans="2:23" ht="18.75" customHeight="1">
      <c r="C948" s="139"/>
      <c r="D948" s="140"/>
      <c r="E948" s="144"/>
      <c r="F948" s="37"/>
    </row>
    <row r="950" spans="2:23" ht="18.75" customHeight="1" thickBot="1">
      <c r="B950" s="42"/>
      <c r="C950" s="42"/>
      <c r="D950" s="42"/>
      <c r="E950" s="42"/>
      <c r="F950" s="42"/>
      <c r="G950" s="42"/>
      <c r="H950" s="42"/>
      <c r="I950" s="42"/>
      <c r="J950" s="42"/>
      <c r="K950" s="42"/>
      <c r="L950" s="42"/>
      <c r="M950" s="42"/>
      <c r="N950" s="42"/>
      <c r="O950" s="42"/>
      <c r="P950" s="42"/>
      <c r="Q950" s="42"/>
      <c r="R950" s="42"/>
      <c r="S950" s="42"/>
      <c r="T950" s="42"/>
      <c r="U950" s="42"/>
    </row>
    <row r="952" spans="2:23" ht="18.75" customHeight="1">
      <c r="B952" s="43" t="s">
        <v>163</v>
      </c>
      <c r="C952" s="51" t="s">
        <v>3648</v>
      </c>
      <c r="D952" s="88"/>
      <c r="W952" s="35" t="str">
        <f>"-- "&amp;B952&amp;" : "&amp;C952</f>
        <v>-- SQL_ID : 01_A6-55</v>
      </c>
    </row>
    <row r="953" spans="2:23" ht="18.75" customHeight="1">
      <c r="B953" s="43" t="s">
        <v>158</v>
      </c>
      <c r="C953" s="145" t="str">
        <f>R956&amp;"登録"</f>
        <v>バックアップ_MML_紹介状モジュール_注射記録投薬登録</v>
      </c>
      <c r="D953" s="146"/>
      <c r="E953" s="146"/>
      <c r="F953" s="146"/>
      <c r="G953" s="146"/>
      <c r="H953" s="146"/>
      <c r="I953" s="146"/>
      <c r="J953" s="146"/>
      <c r="K953" s="146"/>
      <c r="L953" s="146"/>
      <c r="M953" s="146"/>
      <c r="N953" s="146"/>
      <c r="O953" s="146"/>
      <c r="P953" s="146"/>
      <c r="Q953" s="146"/>
      <c r="R953" s="146"/>
      <c r="S953" s="146"/>
      <c r="T953" s="146"/>
      <c r="U953" s="147"/>
      <c r="W953" s="35" t="str">
        <f>"-- "&amp;C953</f>
        <v>-- バックアップ_MML_紹介状モジュール_注射記録投薬登録</v>
      </c>
    </row>
    <row r="954" spans="2:23" ht="18.75" customHeight="1">
      <c r="B954" s="43" t="s">
        <v>159</v>
      </c>
      <c r="C954" s="134" t="str">
        <f>C956&amp;"テーブルから組入れ条件の第一条件で絞り込んだ結果を"&amp;R956&amp;"テーブルに格納する。"</f>
        <v>MML_紹介状モジュール_注射記録投薬テーブルから組入れ条件の第一条件で絞り込んだ結果をバックアップ_MML_紹介状モジュール_注射記録投薬テーブルに格納する。</v>
      </c>
      <c r="D954" s="135"/>
      <c r="E954" s="135"/>
      <c r="F954" s="135"/>
      <c r="G954" s="135"/>
      <c r="H954" s="135"/>
      <c r="I954" s="135"/>
      <c r="J954" s="135"/>
      <c r="K954" s="135"/>
      <c r="L954" s="135"/>
      <c r="M954" s="135"/>
      <c r="N954" s="135"/>
      <c r="O954" s="135"/>
      <c r="P954" s="135"/>
      <c r="Q954" s="135"/>
      <c r="R954" s="135"/>
      <c r="S954" s="135"/>
      <c r="T954" s="135"/>
      <c r="U954" s="136"/>
      <c r="W954" s="35" t="str">
        <f>"-- "&amp;C954</f>
        <v>-- MML_紹介状モジュール_注射記録投薬テーブルから組入れ条件の第一条件で絞り込んだ結果をバックアップ_MML_紹介状モジュール_注射記録投薬テーブルに格納する。</v>
      </c>
    </row>
    <row r="956" spans="2:23" ht="18.75" customHeight="1">
      <c r="C956" s="137" t="s">
        <v>3649</v>
      </c>
      <c r="D956" s="138"/>
      <c r="E956" s="141" t="s">
        <v>162</v>
      </c>
      <c r="H956" s="36"/>
      <c r="I956" s="36"/>
      <c r="J956" s="36"/>
      <c r="K956" s="36"/>
      <c r="L956" s="36"/>
      <c r="M956" s="36"/>
      <c r="N956" s="36"/>
      <c r="O956" s="36"/>
      <c r="P956" s="36"/>
      <c r="Q956" s="36"/>
      <c r="R956" s="137" t="str">
        <f>"バックアップ_"&amp;SUBSTITUTE(C956,"_結合","")</f>
        <v>バックアップ_MML_紹介状モジュール_注射記録投薬</v>
      </c>
      <c r="S956" s="138"/>
      <c r="T956" s="143" t="str">
        <f>エンティティ一覧!$O$2</f>
        <v>milscm_2023_010</v>
      </c>
    </row>
    <row r="957" spans="2:23" ht="18.75" customHeight="1">
      <c r="C957" s="139"/>
      <c r="D957" s="140"/>
      <c r="E957" s="142"/>
      <c r="F957" s="37"/>
      <c r="G957" s="38"/>
      <c r="H957" s="37"/>
      <c r="I957" s="37"/>
      <c r="J957" s="37"/>
      <c r="K957" s="37"/>
      <c r="L957" s="37"/>
      <c r="M957" s="37"/>
      <c r="N957" s="37"/>
      <c r="O957" s="37"/>
      <c r="P957" s="37"/>
      <c r="Q957" s="37"/>
      <c r="R957" s="139"/>
      <c r="S957" s="140"/>
      <c r="T957" s="144"/>
    </row>
    <row r="958" spans="2:23" ht="18.75" customHeight="1">
      <c r="F958" s="39"/>
      <c r="G958" s="40"/>
    </row>
    <row r="959" spans="2:23" ht="18.75" customHeight="1">
      <c r="C959" s="137" t="s">
        <v>3182</v>
      </c>
      <c r="D959" s="138"/>
      <c r="E959" s="143" t="str">
        <f>エンティティ一覧!$O$2</f>
        <v>milscm_2023_010</v>
      </c>
      <c r="G959" s="41"/>
    </row>
    <row r="960" spans="2:23" ht="18.75" customHeight="1">
      <c r="C960" s="139"/>
      <c r="D960" s="140"/>
      <c r="E960" s="144"/>
      <c r="F960" s="37"/>
    </row>
    <row r="962" spans="2:23" ht="18.75" customHeight="1" thickBot="1">
      <c r="B962" s="42"/>
      <c r="C962" s="42"/>
      <c r="D962" s="42"/>
      <c r="E962" s="42"/>
      <c r="F962" s="42"/>
      <c r="G962" s="42"/>
      <c r="H962" s="42"/>
      <c r="I962" s="42"/>
      <c r="J962" s="42"/>
      <c r="K962" s="42"/>
      <c r="L962" s="42"/>
      <c r="M962" s="42"/>
      <c r="N962" s="42"/>
      <c r="O962" s="42"/>
      <c r="P962" s="42"/>
      <c r="Q962" s="42"/>
      <c r="R962" s="42"/>
      <c r="S962" s="42"/>
      <c r="T962" s="42"/>
      <c r="U962" s="42"/>
    </row>
    <row r="964" spans="2:23" ht="18.75" customHeight="1">
      <c r="B964" s="43" t="s">
        <v>163</v>
      </c>
      <c r="C964" s="51" t="s">
        <v>3650</v>
      </c>
      <c r="D964" s="88"/>
      <c r="W964" s="35" t="str">
        <f>"-- "&amp;B964&amp;" : "&amp;C964</f>
        <v>-- SQL_ID : 01_A6-56</v>
      </c>
    </row>
    <row r="965" spans="2:23" ht="18.75" customHeight="1">
      <c r="B965" s="43" t="s">
        <v>158</v>
      </c>
      <c r="C965" s="145" t="str">
        <f>R968&amp;"登録"</f>
        <v>バックアップ_MML_紹介状モジュール_注射記録薬剤登録</v>
      </c>
      <c r="D965" s="146"/>
      <c r="E965" s="146"/>
      <c r="F965" s="146"/>
      <c r="G965" s="146"/>
      <c r="H965" s="146"/>
      <c r="I965" s="146"/>
      <c r="J965" s="146"/>
      <c r="K965" s="146"/>
      <c r="L965" s="146"/>
      <c r="M965" s="146"/>
      <c r="N965" s="146"/>
      <c r="O965" s="146"/>
      <c r="P965" s="146"/>
      <c r="Q965" s="146"/>
      <c r="R965" s="146"/>
      <c r="S965" s="146"/>
      <c r="T965" s="146"/>
      <c r="U965" s="147"/>
      <c r="W965" s="35" t="str">
        <f>"-- "&amp;C965</f>
        <v>-- バックアップ_MML_紹介状モジュール_注射記録薬剤登録</v>
      </c>
    </row>
    <row r="966" spans="2:23" ht="18.75" customHeight="1">
      <c r="B966" s="43" t="s">
        <v>159</v>
      </c>
      <c r="C966" s="134" t="str">
        <f>C968&amp;"テーブルから組入れ条件の第一条件で絞り込んだ結果を"&amp;R968&amp;"テーブルに格納する。"</f>
        <v>MML_紹介状モジュール_注射記録薬剤テーブルから組入れ条件の第一条件で絞り込んだ結果をバックアップ_MML_紹介状モジュール_注射記録薬剤テーブルに格納する。</v>
      </c>
      <c r="D966" s="135"/>
      <c r="E966" s="135"/>
      <c r="F966" s="135"/>
      <c r="G966" s="135"/>
      <c r="H966" s="135"/>
      <c r="I966" s="135"/>
      <c r="J966" s="135"/>
      <c r="K966" s="135"/>
      <c r="L966" s="135"/>
      <c r="M966" s="135"/>
      <c r="N966" s="135"/>
      <c r="O966" s="135"/>
      <c r="P966" s="135"/>
      <c r="Q966" s="135"/>
      <c r="R966" s="135"/>
      <c r="S966" s="135"/>
      <c r="T966" s="135"/>
      <c r="U966" s="136"/>
      <c r="W966" s="35" t="str">
        <f>"-- "&amp;C966</f>
        <v>-- MML_紹介状モジュール_注射記録薬剤テーブルから組入れ条件の第一条件で絞り込んだ結果をバックアップ_MML_紹介状モジュール_注射記録薬剤テーブルに格納する。</v>
      </c>
    </row>
    <row r="968" spans="2:23" ht="18.75" customHeight="1">
      <c r="C968" s="137" t="s">
        <v>3651</v>
      </c>
      <c r="D968" s="138"/>
      <c r="E968" s="141" t="s">
        <v>162</v>
      </c>
      <c r="H968" s="36"/>
      <c r="I968" s="36"/>
      <c r="J968" s="36"/>
      <c r="K968" s="36"/>
      <c r="L968" s="36"/>
      <c r="M968" s="36"/>
      <c r="N968" s="36"/>
      <c r="O968" s="36"/>
      <c r="P968" s="36"/>
      <c r="Q968" s="36"/>
      <c r="R968" s="137" t="str">
        <f>"バックアップ_"&amp;SUBSTITUTE(C968,"_結合","")</f>
        <v>バックアップ_MML_紹介状モジュール_注射記録薬剤</v>
      </c>
      <c r="S968" s="138"/>
      <c r="T968" s="143" t="str">
        <f>エンティティ一覧!$O$2</f>
        <v>milscm_2023_010</v>
      </c>
    </row>
    <row r="969" spans="2:23" ht="18.75" customHeight="1">
      <c r="C969" s="139"/>
      <c r="D969" s="140"/>
      <c r="E969" s="142"/>
      <c r="F969" s="37"/>
      <c r="G969" s="38"/>
      <c r="H969" s="37"/>
      <c r="I969" s="37"/>
      <c r="J969" s="37"/>
      <c r="K969" s="37"/>
      <c r="L969" s="37"/>
      <c r="M969" s="37"/>
      <c r="N969" s="37"/>
      <c r="O969" s="37"/>
      <c r="P969" s="37"/>
      <c r="Q969" s="37"/>
      <c r="R969" s="139"/>
      <c r="S969" s="140"/>
      <c r="T969" s="144"/>
    </row>
    <row r="970" spans="2:23" ht="18.75" customHeight="1">
      <c r="F970" s="39"/>
      <c r="G970" s="40"/>
    </row>
    <row r="971" spans="2:23" ht="18.75" customHeight="1">
      <c r="C971" s="137" t="s">
        <v>3182</v>
      </c>
      <c r="D971" s="138"/>
      <c r="E971" s="143" t="str">
        <f>エンティティ一覧!$O$2</f>
        <v>milscm_2023_010</v>
      </c>
      <c r="G971" s="41"/>
    </row>
    <row r="972" spans="2:23" ht="18.75" customHeight="1">
      <c r="C972" s="139"/>
      <c r="D972" s="140"/>
      <c r="E972" s="144"/>
      <c r="F972" s="37"/>
    </row>
    <row r="974" spans="2:23" ht="18.75" customHeight="1" thickBot="1">
      <c r="B974" s="42"/>
      <c r="C974" s="42"/>
      <c r="D974" s="42"/>
      <c r="E974" s="42"/>
      <c r="F974" s="42"/>
      <c r="G974" s="42"/>
      <c r="H974" s="42"/>
      <c r="I974" s="42"/>
      <c r="J974" s="42"/>
      <c r="K974" s="42"/>
      <c r="L974" s="42"/>
      <c r="M974" s="42"/>
      <c r="N974" s="42"/>
      <c r="O974" s="42"/>
      <c r="P974" s="42"/>
      <c r="Q974" s="42"/>
      <c r="R974" s="42"/>
      <c r="S974" s="42"/>
      <c r="T974" s="42"/>
      <c r="U974" s="42"/>
    </row>
    <row r="976" spans="2:23" ht="18.75" customHeight="1">
      <c r="B976" s="43" t="s">
        <v>163</v>
      </c>
      <c r="C976" s="51" t="s">
        <v>3652</v>
      </c>
      <c r="D976" s="88"/>
      <c r="W976" s="35" t="str">
        <f>"-- "&amp;B976&amp;" : "&amp;C976</f>
        <v>-- SQL_ID : 01_A6-57</v>
      </c>
    </row>
    <row r="977" spans="2:23" ht="18.75" customHeight="1">
      <c r="B977" s="43" t="s">
        <v>158</v>
      </c>
      <c r="C977" s="145" t="str">
        <f>R980&amp;"登録"</f>
        <v>バックアップ_MML_紹介状モジュール_患者情報登録</v>
      </c>
      <c r="D977" s="146"/>
      <c r="E977" s="146"/>
      <c r="F977" s="146"/>
      <c r="G977" s="146"/>
      <c r="H977" s="146"/>
      <c r="I977" s="146"/>
      <c r="J977" s="146"/>
      <c r="K977" s="146"/>
      <c r="L977" s="146"/>
      <c r="M977" s="146"/>
      <c r="N977" s="146"/>
      <c r="O977" s="146"/>
      <c r="P977" s="146"/>
      <c r="Q977" s="146"/>
      <c r="R977" s="146"/>
      <c r="S977" s="146"/>
      <c r="T977" s="146"/>
      <c r="U977" s="147"/>
      <c r="W977" s="35" t="str">
        <f>"-- "&amp;C977</f>
        <v>-- バックアップ_MML_紹介状モジュール_患者情報登録</v>
      </c>
    </row>
    <row r="978" spans="2:23" ht="18.75" customHeight="1">
      <c r="B978" s="43" t="s">
        <v>159</v>
      </c>
      <c r="C978" s="134" t="str">
        <f>C980&amp;"テーブルから組入れ条件の第一条件で絞り込んだ結果を"&amp;R980&amp;"テーブルに格納する。"</f>
        <v>MML_紹介状モジュール_患者情報テーブルから組入れ条件の第一条件で絞り込んだ結果をバックアップ_MML_紹介状モジュール_患者情報テーブルに格納する。</v>
      </c>
      <c r="D978" s="135"/>
      <c r="E978" s="135"/>
      <c r="F978" s="135"/>
      <c r="G978" s="135"/>
      <c r="H978" s="135"/>
      <c r="I978" s="135"/>
      <c r="J978" s="135"/>
      <c r="K978" s="135"/>
      <c r="L978" s="135"/>
      <c r="M978" s="135"/>
      <c r="N978" s="135"/>
      <c r="O978" s="135"/>
      <c r="P978" s="135"/>
      <c r="Q978" s="135"/>
      <c r="R978" s="135"/>
      <c r="S978" s="135"/>
      <c r="T978" s="135"/>
      <c r="U978" s="136"/>
      <c r="W978" s="35" t="str">
        <f>"-- "&amp;C978</f>
        <v>-- MML_紹介状モジュール_患者情報テーブルから組入れ条件の第一条件で絞り込んだ結果をバックアップ_MML_紹介状モジュール_患者情報テーブルに格納する。</v>
      </c>
    </row>
    <row r="980" spans="2:23" ht="18.75" customHeight="1">
      <c r="C980" s="137" t="s">
        <v>3653</v>
      </c>
      <c r="D980" s="138"/>
      <c r="E980" s="141" t="s">
        <v>162</v>
      </c>
      <c r="H980" s="36"/>
      <c r="I980" s="36"/>
      <c r="J980" s="36"/>
      <c r="K980" s="36"/>
      <c r="L980" s="36"/>
      <c r="M980" s="36"/>
      <c r="N980" s="36"/>
      <c r="O980" s="36"/>
      <c r="P980" s="36"/>
      <c r="Q980" s="36"/>
      <c r="R980" s="137" t="str">
        <f>"バックアップ_"&amp;SUBSTITUTE(C980,"_結合","")</f>
        <v>バックアップ_MML_紹介状モジュール_患者情報</v>
      </c>
      <c r="S980" s="138"/>
      <c r="T980" s="143" t="str">
        <f>エンティティ一覧!$O$2</f>
        <v>milscm_2023_010</v>
      </c>
    </row>
    <row r="981" spans="2:23" ht="18.75" customHeight="1">
      <c r="C981" s="139"/>
      <c r="D981" s="140"/>
      <c r="E981" s="142"/>
      <c r="F981" s="37"/>
      <c r="G981" s="38"/>
      <c r="H981" s="37"/>
      <c r="I981" s="37"/>
      <c r="J981" s="37"/>
      <c r="K981" s="37"/>
      <c r="L981" s="37"/>
      <c r="M981" s="37"/>
      <c r="N981" s="37"/>
      <c r="O981" s="37"/>
      <c r="P981" s="37"/>
      <c r="Q981" s="37"/>
      <c r="R981" s="139"/>
      <c r="S981" s="140"/>
      <c r="T981" s="144"/>
    </row>
    <row r="982" spans="2:23" ht="18.75" customHeight="1">
      <c r="F982" s="39"/>
      <c r="G982" s="40"/>
    </row>
    <row r="983" spans="2:23" ht="18.75" customHeight="1">
      <c r="C983" s="137" t="s">
        <v>3182</v>
      </c>
      <c r="D983" s="138"/>
      <c r="E983" s="143" t="str">
        <f>エンティティ一覧!$O$2</f>
        <v>milscm_2023_010</v>
      </c>
      <c r="G983" s="41"/>
    </row>
    <row r="984" spans="2:23" ht="18.75" customHeight="1">
      <c r="C984" s="139"/>
      <c r="D984" s="140"/>
      <c r="E984" s="144"/>
      <c r="F984" s="37"/>
    </row>
    <row r="986" spans="2:23" ht="18.75" customHeight="1" thickBot="1">
      <c r="B986" s="42"/>
      <c r="C986" s="42"/>
      <c r="D986" s="42"/>
      <c r="E986" s="42"/>
      <c r="F986" s="42"/>
      <c r="G986" s="42"/>
      <c r="H986" s="42"/>
      <c r="I986" s="42"/>
      <c r="J986" s="42"/>
      <c r="K986" s="42"/>
      <c r="L986" s="42"/>
      <c r="M986" s="42"/>
      <c r="N986" s="42"/>
      <c r="O986" s="42"/>
      <c r="P986" s="42"/>
      <c r="Q986" s="42"/>
      <c r="R986" s="42"/>
      <c r="S986" s="42"/>
      <c r="T986" s="42"/>
      <c r="U986" s="42"/>
    </row>
    <row r="988" spans="2:23" ht="18.75" customHeight="1">
      <c r="B988" s="43" t="s">
        <v>163</v>
      </c>
      <c r="C988" s="51" t="s">
        <v>3654</v>
      </c>
      <c r="D988" s="88"/>
      <c r="W988" s="35" t="str">
        <f>"-- "&amp;B988&amp;" : "&amp;C988</f>
        <v>-- SQL_ID : 01_A6-58</v>
      </c>
    </row>
    <row r="989" spans="2:23" ht="18.75" customHeight="1">
      <c r="B989" s="43" t="s">
        <v>158</v>
      </c>
      <c r="C989" s="145" t="str">
        <f>R992&amp;"登録"</f>
        <v>バックアップ_MML_紹介状モジュール_患者情報住所登録</v>
      </c>
      <c r="D989" s="146"/>
      <c r="E989" s="146"/>
      <c r="F989" s="146"/>
      <c r="G989" s="146"/>
      <c r="H989" s="146"/>
      <c r="I989" s="146"/>
      <c r="J989" s="146"/>
      <c r="K989" s="146"/>
      <c r="L989" s="146"/>
      <c r="M989" s="146"/>
      <c r="N989" s="146"/>
      <c r="O989" s="146"/>
      <c r="P989" s="146"/>
      <c r="Q989" s="146"/>
      <c r="R989" s="146"/>
      <c r="S989" s="146"/>
      <c r="T989" s="146"/>
      <c r="U989" s="147"/>
      <c r="W989" s="35" t="str">
        <f>"-- "&amp;C989</f>
        <v>-- バックアップ_MML_紹介状モジュール_患者情報住所登録</v>
      </c>
    </row>
    <row r="990" spans="2:23" ht="18.75" customHeight="1">
      <c r="B990" s="43" t="s">
        <v>159</v>
      </c>
      <c r="C990" s="134" t="str">
        <f>C992&amp;"テーブルから組入れ条件の第一条件で絞り込んだ結果を"&amp;R992&amp;"テーブルに格納する。"</f>
        <v>MML_紹介状モジュール_患者情報住所テーブルから組入れ条件の第一条件で絞り込んだ結果をバックアップ_MML_紹介状モジュール_患者情報住所テーブルに格納する。</v>
      </c>
      <c r="D990" s="135"/>
      <c r="E990" s="135"/>
      <c r="F990" s="135"/>
      <c r="G990" s="135"/>
      <c r="H990" s="135"/>
      <c r="I990" s="135"/>
      <c r="J990" s="135"/>
      <c r="K990" s="135"/>
      <c r="L990" s="135"/>
      <c r="M990" s="135"/>
      <c r="N990" s="135"/>
      <c r="O990" s="135"/>
      <c r="P990" s="135"/>
      <c r="Q990" s="135"/>
      <c r="R990" s="135"/>
      <c r="S990" s="135"/>
      <c r="T990" s="135"/>
      <c r="U990" s="136"/>
      <c r="W990" s="35" t="str">
        <f>"-- "&amp;C990</f>
        <v>-- MML_紹介状モジュール_患者情報住所テーブルから組入れ条件の第一条件で絞り込んだ結果をバックアップ_MML_紹介状モジュール_患者情報住所テーブルに格納する。</v>
      </c>
    </row>
    <row r="992" spans="2:23" ht="18.75" customHeight="1">
      <c r="C992" s="137" t="s">
        <v>3655</v>
      </c>
      <c r="D992" s="138"/>
      <c r="E992" s="141" t="s">
        <v>162</v>
      </c>
      <c r="H992" s="36"/>
      <c r="I992" s="36"/>
      <c r="J992" s="36"/>
      <c r="K992" s="36"/>
      <c r="L992" s="36"/>
      <c r="M992" s="36"/>
      <c r="N992" s="36"/>
      <c r="O992" s="36"/>
      <c r="P992" s="36"/>
      <c r="Q992" s="36"/>
      <c r="R992" s="137" t="str">
        <f>"バックアップ_"&amp;SUBSTITUTE(C992,"_結合","")</f>
        <v>バックアップ_MML_紹介状モジュール_患者情報住所</v>
      </c>
      <c r="S992" s="138"/>
      <c r="T992" s="143" t="str">
        <f>エンティティ一覧!$O$2</f>
        <v>milscm_2023_010</v>
      </c>
    </row>
    <row r="993" spans="2:23" ht="18.75" customHeight="1">
      <c r="C993" s="139"/>
      <c r="D993" s="140"/>
      <c r="E993" s="142"/>
      <c r="F993" s="37"/>
      <c r="G993" s="38"/>
      <c r="H993" s="37"/>
      <c r="I993" s="37"/>
      <c r="J993" s="37"/>
      <c r="K993" s="37"/>
      <c r="L993" s="37"/>
      <c r="M993" s="37"/>
      <c r="N993" s="37"/>
      <c r="O993" s="37"/>
      <c r="P993" s="37"/>
      <c r="Q993" s="37"/>
      <c r="R993" s="139"/>
      <c r="S993" s="140"/>
      <c r="T993" s="144"/>
    </row>
    <row r="994" spans="2:23" ht="18.75" customHeight="1">
      <c r="F994" s="39"/>
      <c r="G994" s="40"/>
    </row>
    <row r="995" spans="2:23" ht="18.75" customHeight="1">
      <c r="C995" s="137" t="s">
        <v>3182</v>
      </c>
      <c r="D995" s="138"/>
      <c r="E995" s="143" t="str">
        <f>エンティティ一覧!$O$2</f>
        <v>milscm_2023_010</v>
      </c>
      <c r="G995" s="41"/>
    </row>
    <row r="996" spans="2:23" ht="18.75" customHeight="1">
      <c r="C996" s="139"/>
      <c r="D996" s="140"/>
      <c r="E996" s="144"/>
      <c r="F996" s="37"/>
    </row>
    <row r="998" spans="2:23" ht="18.75" customHeight="1" thickBot="1">
      <c r="B998" s="42"/>
      <c r="C998" s="42"/>
      <c r="D998" s="42"/>
      <c r="E998" s="42"/>
      <c r="F998" s="42"/>
      <c r="G998" s="42"/>
      <c r="H998" s="42"/>
      <c r="I998" s="42"/>
      <c r="J998" s="42"/>
      <c r="K998" s="42"/>
      <c r="L998" s="42"/>
      <c r="M998" s="42"/>
      <c r="N998" s="42"/>
      <c r="O998" s="42"/>
      <c r="P998" s="42"/>
      <c r="Q998" s="42"/>
      <c r="R998" s="42"/>
      <c r="S998" s="42"/>
      <c r="T998" s="42"/>
      <c r="U998" s="42"/>
    </row>
    <row r="1000" spans="2:23" ht="18.75" customHeight="1">
      <c r="B1000" s="43" t="s">
        <v>163</v>
      </c>
      <c r="C1000" s="51" t="s">
        <v>3656</v>
      </c>
      <c r="D1000" s="88"/>
      <c r="W1000" s="35" t="str">
        <f>"-- "&amp;B1000&amp;" : "&amp;C1000</f>
        <v>-- SQL_ID : 01_A6-59</v>
      </c>
    </row>
    <row r="1001" spans="2:23" ht="18.75" customHeight="1">
      <c r="B1001" s="43" t="s">
        <v>158</v>
      </c>
      <c r="C1001" s="145" t="str">
        <f>R1004&amp;"登録"</f>
        <v>バックアップ_MML_紹介状モジュール_処方箋登録</v>
      </c>
      <c r="D1001" s="146"/>
      <c r="E1001" s="146"/>
      <c r="F1001" s="146"/>
      <c r="G1001" s="146"/>
      <c r="H1001" s="146"/>
      <c r="I1001" s="146"/>
      <c r="J1001" s="146"/>
      <c r="K1001" s="146"/>
      <c r="L1001" s="146"/>
      <c r="M1001" s="146"/>
      <c r="N1001" s="146"/>
      <c r="O1001" s="146"/>
      <c r="P1001" s="146"/>
      <c r="Q1001" s="146"/>
      <c r="R1001" s="146"/>
      <c r="S1001" s="146"/>
      <c r="T1001" s="146"/>
      <c r="U1001" s="147"/>
      <c r="W1001" s="35" t="str">
        <f>"-- "&amp;C1001</f>
        <v>-- バックアップ_MML_紹介状モジュール_処方箋登録</v>
      </c>
    </row>
    <row r="1002" spans="2:23" ht="18.75" customHeight="1">
      <c r="B1002" s="43" t="s">
        <v>159</v>
      </c>
      <c r="C1002" s="134" t="str">
        <f>C1004&amp;"テーブルから組入れ条件の第一条件で絞り込んだ結果を"&amp;R1004&amp;"テーブルに格納する。"</f>
        <v>MML_紹介状モジュール_処方箋テーブルから組入れ条件の第一条件で絞り込んだ結果をバックアップ_MML_紹介状モジュール_処方箋テーブルに格納する。</v>
      </c>
      <c r="D1002" s="135"/>
      <c r="E1002" s="135"/>
      <c r="F1002" s="135"/>
      <c r="G1002" s="135"/>
      <c r="H1002" s="135"/>
      <c r="I1002" s="135"/>
      <c r="J1002" s="135"/>
      <c r="K1002" s="135"/>
      <c r="L1002" s="135"/>
      <c r="M1002" s="135"/>
      <c r="N1002" s="135"/>
      <c r="O1002" s="135"/>
      <c r="P1002" s="135"/>
      <c r="Q1002" s="135"/>
      <c r="R1002" s="135"/>
      <c r="S1002" s="135"/>
      <c r="T1002" s="135"/>
      <c r="U1002" s="136"/>
      <c r="W1002" s="35" t="str">
        <f>"-- "&amp;C1002</f>
        <v>-- MML_紹介状モジュール_処方箋テーブルから組入れ条件の第一条件で絞り込んだ結果をバックアップ_MML_紹介状モジュール_処方箋テーブルに格納する。</v>
      </c>
    </row>
    <row r="1004" spans="2:23" ht="18.75" customHeight="1">
      <c r="C1004" s="137" t="s">
        <v>3657</v>
      </c>
      <c r="D1004" s="138"/>
      <c r="E1004" s="141" t="s">
        <v>162</v>
      </c>
      <c r="H1004" s="36"/>
      <c r="I1004" s="36"/>
      <c r="J1004" s="36"/>
      <c r="K1004" s="36"/>
      <c r="L1004" s="36"/>
      <c r="M1004" s="36"/>
      <c r="N1004" s="36"/>
      <c r="O1004" s="36"/>
      <c r="P1004" s="36"/>
      <c r="Q1004" s="36"/>
      <c r="R1004" s="137" t="str">
        <f>"バックアップ_"&amp;SUBSTITUTE(C1004,"_結合","")</f>
        <v>バックアップ_MML_紹介状モジュール_処方箋</v>
      </c>
      <c r="S1004" s="138"/>
      <c r="T1004" s="143" t="str">
        <f>エンティティ一覧!$O$2</f>
        <v>milscm_2023_010</v>
      </c>
    </row>
    <row r="1005" spans="2:23" ht="18.75" customHeight="1">
      <c r="C1005" s="139"/>
      <c r="D1005" s="140"/>
      <c r="E1005" s="142"/>
      <c r="F1005" s="37"/>
      <c r="G1005" s="38"/>
      <c r="H1005" s="37"/>
      <c r="I1005" s="37"/>
      <c r="J1005" s="37"/>
      <c r="K1005" s="37"/>
      <c r="L1005" s="37"/>
      <c r="M1005" s="37"/>
      <c r="N1005" s="37"/>
      <c r="O1005" s="37"/>
      <c r="P1005" s="37"/>
      <c r="Q1005" s="37"/>
      <c r="R1005" s="139"/>
      <c r="S1005" s="140"/>
      <c r="T1005" s="144"/>
    </row>
    <row r="1006" spans="2:23" ht="18.75" customHeight="1">
      <c r="F1006" s="39"/>
      <c r="G1006" s="40"/>
    </row>
    <row r="1007" spans="2:23" ht="18.75" customHeight="1">
      <c r="C1007" s="137" t="s">
        <v>3182</v>
      </c>
      <c r="D1007" s="138"/>
      <c r="E1007" s="143" t="str">
        <f>エンティティ一覧!$O$2</f>
        <v>milscm_2023_010</v>
      </c>
      <c r="G1007" s="41"/>
    </row>
    <row r="1008" spans="2:23" ht="18.75" customHeight="1">
      <c r="C1008" s="139"/>
      <c r="D1008" s="140"/>
      <c r="E1008" s="144"/>
      <c r="F1008" s="37"/>
    </row>
    <row r="1010" spans="2:23" ht="18.75" customHeight="1" thickBot="1">
      <c r="B1010" s="42"/>
      <c r="C1010" s="42"/>
      <c r="D1010" s="42"/>
      <c r="E1010" s="42"/>
      <c r="F1010" s="42"/>
      <c r="G1010" s="42"/>
      <c r="H1010" s="42"/>
      <c r="I1010" s="42"/>
      <c r="J1010" s="42"/>
      <c r="K1010" s="42"/>
      <c r="L1010" s="42"/>
      <c r="M1010" s="42"/>
      <c r="N1010" s="42"/>
      <c r="O1010" s="42"/>
      <c r="P1010" s="42"/>
      <c r="Q1010" s="42"/>
      <c r="R1010" s="42"/>
      <c r="S1010" s="42"/>
      <c r="T1010" s="42"/>
      <c r="U1010" s="42"/>
    </row>
    <row r="1012" spans="2:23" ht="18.75" customHeight="1">
      <c r="B1012" s="43" t="s">
        <v>163</v>
      </c>
      <c r="C1012" s="51" t="s">
        <v>3658</v>
      </c>
      <c r="D1012" s="88"/>
      <c r="W1012" s="35" t="str">
        <f>"-- "&amp;B1012&amp;" : "&amp;C1012</f>
        <v>-- SQL_ID : 01_A6-60</v>
      </c>
    </row>
    <row r="1013" spans="2:23" ht="18.75" customHeight="1">
      <c r="B1013" s="43" t="s">
        <v>158</v>
      </c>
      <c r="C1013" s="145" t="str">
        <f>R1016&amp;"登録"</f>
        <v>バックアップ_MML_紹介状モジュール_処方箋投薬登録</v>
      </c>
      <c r="D1013" s="146"/>
      <c r="E1013" s="146"/>
      <c r="F1013" s="146"/>
      <c r="G1013" s="146"/>
      <c r="H1013" s="146"/>
      <c r="I1013" s="146"/>
      <c r="J1013" s="146"/>
      <c r="K1013" s="146"/>
      <c r="L1013" s="146"/>
      <c r="M1013" s="146"/>
      <c r="N1013" s="146"/>
      <c r="O1013" s="146"/>
      <c r="P1013" s="146"/>
      <c r="Q1013" s="146"/>
      <c r="R1013" s="146"/>
      <c r="S1013" s="146"/>
      <c r="T1013" s="146"/>
      <c r="U1013" s="147"/>
      <c r="W1013" s="35" t="str">
        <f>"-- "&amp;C1013</f>
        <v>-- バックアップ_MML_紹介状モジュール_処方箋投薬登録</v>
      </c>
    </row>
    <row r="1014" spans="2:23" ht="18.75" customHeight="1">
      <c r="B1014" s="43" t="s">
        <v>159</v>
      </c>
      <c r="C1014" s="134" t="str">
        <f>C1016&amp;"テーブルから組入れ条件の第一条件で絞り込んだ結果を"&amp;R1016&amp;"テーブルに格納する。"</f>
        <v>MML_紹介状モジュール_処方箋投薬テーブルから組入れ条件の第一条件で絞り込んだ結果をバックアップ_MML_紹介状モジュール_処方箋投薬テーブルに格納する。</v>
      </c>
      <c r="D1014" s="135"/>
      <c r="E1014" s="135"/>
      <c r="F1014" s="135"/>
      <c r="G1014" s="135"/>
      <c r="H1014" s="135"/>
      <c r="I1014" s="135"/>
      <c r="J1014" s="135"/>
      <c r="K1014" s="135"/>
      <c r="L1014" s="135"/>
      <c r="M1014" s="135"/>
      <c r="N1014" s="135"/>
      <c r="O1014" s="135"/>
      <c r="P1014" s="135"/>
      <c r="Q1014" s="135"/>
      <c r="R1014" s="135"/>
      <c r="S1014" s="135"/>
      <c r="T1014" s="135"/>
      <c r="U1014" s="136"/>
      <c r="W1014" s="35" t="str">
        <f>"-- "&amp;C1014</f>
        <v>-- MML_紹介状モジュール_処方箋投薬テーブルから組入れ条件の第一条件で絞り込んだ結果をバックアップ_MML_紹介状モジュール_処方箋投薬テーブルに格納する。</v>
      </c>
    </row>
    <row r="1016" spans="2:23" ht="18.75" customHeight="1">
      <c r="C1016" s="137" t="s">
        <v>3659</v>
      </c>
      <c r="D1016" s="138"/>
      <c r="E1016" s="141" t="s">
        <v>162</v>
      </c>
      <c r="H1016" s="36"/>
      <c r="I1016" s="36"/>
      <c r="J1016" s="36"/>
      <c r="K1016" s="36"/>
      <c r="L1016" s="36"/>
      <c r="M1016" s="36"/>
      <c r="N1016" s="36"/>
      <c r="O1016" s="36"/>
      <c r="P1016" s="36"/>
      <c r="Q1016" s="36"/>
      <c r="R1016" s="137" t="str">
        <f>"バックアップ_"&amp;SUBSTITUTE(C1016,"_結合","")</f>
        <v>バックアップ_MML_紹介状モジュール_処方箋投薬</v>
      </c>
      <c r="S1016" s="138"/>
      <c r="T1016" s="143" t="str">
        <f>エンティティ一覧!$O$2</f>
        <v>milscm_2023_010</v>
      </c>
    </row>
    <row r="1017" spans="2:23" ht="18.75" customHeight="1">
      <c r="C1017" s="139"/>
      <c r="D1017" s="140"/>
      <c r="E1017" s="142"/>
      <c r="F1017" s="37"/>
      <c r="G1017" s="38"/>
      <c r="H1017" s="37"/>
      <c r="I1017" s="37"/>
      <c r="J1017" s="37"/>
      <c r="K1017" s="37"/>
      <c r="L1017" s="37"/>
      <c r="M1017" s="37"/>
      <c r="N1017" s="37"/>
      <c r="O1017" s="37"/>
      <c r="P1017" s="37"/>
      <c r="Q1017" s="37"/>
      <c r="R1017" s="139"/>
      <c r="S1017" s="140"/>
      <c r="T1017" s="144"/>
    </row>
    <row r="1018" spans="2:23" ht="18.75" customHeight="1">
      <c r="F1018" s="39"/>
      <c r="G1018" s="40"/>
    </row>
    <row r="1019" spans="2:23" ht="18.75" customHeight="1">
      <c r="C1019" s="137" t="s">
        <v>3182</v>
      </c>
      <c r="D1019" s="138"/>
      <c r="E1019" s="143" t="str">
        <f>エンティティ一覧!$O$2</f>
        <v>milscm_2023_010</v>
      </c>
      <c r="G1019" s="41"/>
    </row>
    <row r="1020" spans="2:23" ht="18.75" customHeight="1">
      <c r="C1020" s="139"/>
      <c r="D1020" s="140"/>
      <c r="E1020" s="144"/>
      <c r="F1020" s="37"/>
    </row>
    <row r="1022" spans="2:23" ht="18.75" customHeight="1" thickBot="1">
      <c r="B1022" s="42"/>
      <c r="C1022" s="42"/>
      <c r="D1022" s="42"/>
      <c r="E1022" s="42"/>
      <c r="F1022" s="42"/>
      <c r="G1022" s="42"/>
      <c r="H1022" s="42"/>
      <c r="I1022" s="42"/>
      <c r="J1022" s="42"/>
      <c r="K1022" s="42"/>
      <c r="L1022" s="42"/>
      <c r="M1022" s="42"/>
      <c r="N1022" s="42"/>
      <c r="O1022" s="42"/>
      <c r="P1022" s="42"/>
      <c r="Q1022" s="42"/>
      <c r="R1022" s="42"/>
      <c r="S1022" s="42"/>
      <c r="T1022" s="42"/>
      <c r="U1022" s="42"/>
    </row>
    <row r="1024" spans="2:23" ht="18.75" customHeight="1">
      <c r="B1024" s="43" t="s">
        <v>163</v>
      </c>
      <c r="C1024" s="51" t="s">
        <v>3660</v>
      </c>
      <c r="D1024" s="88"/>
      <c r="W1024" s="35" t="str">
        <f>"-- "&amp;B1024&amp;" : "&amp;C1024</f>
        <v>-- SQL_ID : 01_A6-61</v>
      </c>
    </row>
    <row r="1025" spans="2:23" ht="18.75" customHeight="1">
      <c r="B1025" s="43" t="s">
        <v>158</v>
      </c>
      <c r="C1025" s="145" t="str">
        <f>R1028&amp;"登録"</f>
        <v>バックアップ_MML_紹介状モジュール_処方箋薬剤登録</v>
      </c>
      <c r="D1025" s="146"/>
      <c r="E1025" s="146"/>
      <c r="F1025" s="146"/>
      <c r="G1025" s="146"/>
      <c r="H1025" s="146"/>
      <c r="I1025" s="146"/>
      <c r="J1025" s="146"/>
      <c r="K1025" s="146"/>
      <c r="L1025" s="146"/>
      <c r="M1025" s="146"/>
      <c r="N1025" s="146"/>
      <c r="O1025" s="146"/>
      <c r="P1025" s="146"/>
      <c r="Q1025" s="146"/>
      <c r="R1025" s="146"/>
      <c r="S1025" s="146"/>
      <c r="T1025" s="146"/>
      <c r="U1025" s="147"/>
      <c r="W1025" s="35" t="str">
        <f>"-- "&amp;C1025</f>
        <v>-- バックアップ_MML_紹介状モジュール_処方箋薬剤登録</v>
      </c>
    </row>
    <row r="1026" spans="2:23" ht="18.75" customHeight="1">
      <c r="B1026" s="43" t="s">
        <v>159</v>
      </c>
      <c r="C1026" s="134" t="str">
        <f>C1028&amp;"テーブルから組入れ条件の第一条件で絞り込んだ結果を"&amp;R1028&amp;"テーブルに格納する。"</f>
        <v>MML_紹介状モジュール_処方箋薬剤テーブルから組入れ条件の第一条件で絞り込んだ結果をバックアップ_MML_紹介状モジュール_処方箋薬剤テーブルに格納する。</v>
      </c>
      <c r="D1026" s="135"/>
      <c r="E1026" s="135"/>
      <c r="F1026" s="135"/>
      <c r="G1026" s="135"/>
      <c r="H1026" s="135"/>
      <c r="I1026" s="135"/>
      <c r="J1026" s="135"/>
      <c r="K1026" s="135"/>
      <c r="L1026" s="135"/>
      <c r="M1026" s="135"/>
      <c r="N1026" s="135"/>
      <c r="O1026" s="135"/>
      <c r="P1026" s="135"/>
      <c r="Q1026" s="135"/>
      <c r="R1026" s="135"/>
      <c r="S1026" s="135"/>
      <c r="T1026" s="135"/>
      <c r="U1026" s="136"/>
      <c r="W1026" s="35" t="str">
        <f>"-- "&amp;C1026</f>
        <v>-- MML_紹介状モジュール_処方箋薬剤テーブルから組入れ条件の第一条件で絞り込んだ結果をバックアップ_MML_紹介状モジュール_処方箋薬剤テーブルに格納する。</v>
      </c>
    </row>
    <row r="1028" spans="2:23" ht="18.75" customHeight="1">
      <c r="C1028" s="137" t="s">
        <v>3661</v>
      </c>
      <c r="D1028" s="138"/>
      <c r="E1028" s="141" t="s">
        <v>162</v>
      </c>
      <c r="H1028" s="36"/>
      <c r="I1028" s="36"/>
      <c r="J1028" s="36"/>
      <c r="K1028" s="36"/>
      <c r="L1028" s="36"/>
      <c r="M1028" s="36"/>
      <c r="N1028" s="36"/>
      <c r="O1028" s="36"/>
      <c r="P1028" s="36"/>
      <c r="Q1028" s="36"/>
      <c r="R1028" s="137" t="str">
        <f>"バックアップ_"&amp;SUBSTITUTE(C1028,"_結合","")</f>
        <v>バックアップ_MML_紹介状モジュール_処方箋薬剤</v>
      </c>
      <c r="S1028" s="138"/>
      <c r="T1028" s="143" t="str">
        <f>エンティティ一覧!$O$2</f>
        <v>milscm_2023_010</v>
      </c>
    </row>
    <row r="1029" spans="2:23" ht="18.75" customHeight="1">
      <c r="C1029" s="139"/>
      <c r="D1029" s="140"/>
      <c r="E1029" s="142"/>
      <c r="F1029" s="37"/>
      <c r="G1029" s="38"/>
      <c r="H1029" s="37"/>
      <c r="I1029" s="37"/>
      <c r="J1029" s="37"/>
      <c r="K1029" s="37"/>
      <c r="L1029" s="37"/>
      <c r="M1029" s="37"/>
      <c r="N1029" s="37"/>
      <c r="O1029" s="37"/>
      <c r="P1029" s="37"/>
      <c r="Q1029" s="37"/>
      <c r="R1029" s="139"/>
      <c r="S1029" s="140"/>
      <c r="T1029" s="144"/>
    </row>
    <row r="1030" spans="2:23" ht="18.75" customHeight="1">
      <c r="F1030" s="39"/>
      <c r="G1030" s="40"/>
    </row>
    <row r="1031" spans="2:23" ht="18.75" customHeight="1">
      <c r="C1031" s="137" t="s">
        <v>3182</v>
      </c>
      <c r="D1031" s="138"/>
      <c r="E1031" s="143" t="str">
        <f>エンティティ一覧!$O$2</f>
        <v>milscm_2023_010</v>
      </c>
      <c r="G1031" s="41"/>
    </row>
    <row r="1032" spans="2:23" ht="18.75" customHeight="1">
      <c r="C1032" s="139"/>
      <c r="D1032" s="140"/>
      <c r="E1032" s="144"/>
      <c r="F1032" s="37"/>
    </row>
    <row r="1034" spans="2:23" ht="18.75" customHeight="1" thickBot="1">
      <c r="B1034" s="42"/>
      <c r="C1034" s="42"/>
      <c r="D1034" s="42"/>
      <c r="E1034" s="42"/>
      <c r="F1034" s="42"/>
      <c r="G1034" s="42"/>
      <c r="H1034" s="42"/>
      <c r="I1034" s="42"/>
      <c r="J1034" s="42"/>
      <c r="K1034" s="42"/>
      <c r="L1034" s="42"/>
      <c r="M1034" s="42"/>
      <c r="N1034" s="42"/>
      <c r="O1034" s="42"/>
      <c r="P1034" s="42"/>
      <c r="Q1034" s="42"/>
      <c r="R1034" s="42"/>
      <c r="S1034" s="42"/>
      <c r="T1034" s="42"/>
      <c r="U1034" s="42"/>
    </row>
    <row r="1036" spans="2:23" ht="18.75" customHeight="1">
      <c r="B1036" s="43" t="s">
        <v>163</v>
      </c>
      <c r="C1036" s="51" t="s">
        <v>3662</v>
      </c>
      <c r="D1036" s="88"/>
      <c r="W1036" s="35" t="str">
        <f>"-- "&amp;B1036&amp;" : "&amp;C1036</f>
        <v>-- SQL_ID : 01_A6-62</v>
      </c>
    </row>
    <row r="1037" spans="2:23" ht="18.75" customHeight="1">
      <c r="B1037" s="43" t="s">
        <v>158</v>
      </c>
      <c r="C1037" s="145" t="str">
        <f>R1040&amp;"登録"</f>
        <v>バックアップ_MML_紹介状モジュール_臨床サマリー情報経過記録登録</v>
      </c>
      <c r="D1037" s="146"/>
      <c r="E1037" s="146"/>
      <c r="F1037" s="146"/>
      <c r="G1037" s="146"/>
      <c r="H1037" s="146"/>
      <c r="I1037" s="146"/>
      <c r="J1037" s="146"/>
      <c r="K1037" s="146"/>
      <c r="L1037" s="146"/>
      <c r="M1037" s="146"/>
      <c r="N1037" s="146"/>
      <c r="O1037" s="146"/>
      <c r="P1037" s="146"/>
      <c r="Q1037" s="146"/>
      <c r="R1037" s="146"/>
      <c r="S1037" s="146"/>
      <c r="T1037" s="146"/>
      <c r="U1037" s="147"/>
      <c r="W1037" s="35" t="str">
        <f>"-- "&amp;C1037</f>
        <v>-- バックアップ_MML_紹介状モジュール_臨床サマリー情報経過記録登録</v>
      </c>
    </row>
    <row r="1038" spans="2:23" ht="18.75" customHeight="1">
      <c r="B1038" s="43" t="s">
        <v>159</v>
      </c>
      <c r="C1038" s="134" t="str">
        <f>C1040&amp;"テーブルから組入れ条件の第一条件で絞り込んだ結果を"&amp;R1040&amp;"テーブルに格納する。"</f>
        <v>MML_紹介状モジュール_臨床サマリー情報経過記録テーブルから組入れ条件の第一条件で絞り込んだ結果をバックアップ_MML_紹介状モジュール_臨床サマリー情報経過記録テーブルに格納する。</v>
      </c>
      <c r="D1038" s="135"/>
      <c r="E1038" s="135"/>
      <c r="F1038" s="135"/>
      <c r="G1038" s="135"/>
      <c r="H1038" s="135"/>
      <c r="I1038" s="135"/>
      <c r="J1038" s="135"/>
      <c r="K1038" s="135"/>
      <c r="L1038" s="135"/>
      <c r="M1038" s="135"/>
      <c r="N1038" s="135"/>
      <c r="O1038" s="135"/>
      <c r="P1038" s="135"/>
      <c r="Q1038" s="135"/>
      <c r="R1038" s="135"/>
      <c r="S1038" s="135"/>
      <c r="T1038" s="135"/>
      <c r="U1038" s="136"/>
      <c r="W1038" s="35" t="str">
        <f>"-- "&amp;C1038</f>
        <v>-- MML_紹介状モジュール_臨床サマリー情報経過記録テーブルから組入れ条件の第一条件で絞り込んだ結果をバックアップ_MML_紹介状モジュール_臨床サマリー情報経過記録テーブルに格納する。</v>
      </c>
    </row>
    <row r="1040" spans="2:23" ht="18.75" customHeight="1">
      <c r="C1040" s="137" t="s">
        <v>3663</v>
      </c>
      <c r="D1040" s="138"/>
      <c r="E1040" s="141" t="s">
        <v>162</v>
      </c>
      <c r="H1040" s="36"/>
      <c r="I1040" s="36"/>
      <c r="J1040" s="36"/>
      <c r="K1040" s="36"/>
      <c r="L1040" s="36"/>
      <c r="M1040" s="36"/>
      <c r="N1040" s="36"/>
      <c r="O1040" s="36"/>
      <c r="P1040" s="36"/>
      <c r="Q1040" s="36"/>
      <c r="R1040" s="152" t="str">
        <f>"バックアップ_"&amp;SUBSTITUTE(C1040,"_結合","")</f>
        <v>バックアップ_MML_紹介状モジュール_臨床サマリー情報経過記録</v>
      </c>
      <c r="S1040" s="153"/>
      <c r="T1040" s="143" t="str">
        <f>エンティティ一覧!$O$2</f>
        <v>milscm_2023_010</v>
      </c>
    </row>
    <row r="1041" spans="2:23" ht="18.75" customHeight="1">
      <c r="C1041" s="139"/>
      <c r="D1041" s="140"/>
      <c r="E1041" s="142"/>
      <c r="F1041" s="37"/>
      <c r="G1041" s="38"/>
      <c r="H1041" s="37"/>
      <c r="I1041" s="37"/>
      <c r="J1041" s="37"/>
      <c r="K1041" s="37"/>
      <c r="L1041" s="37"/>
      <c r="M1041" s="37"/>
      <c r="N1041" s="37"/>
      <c r="O1041" s="37"/>
      <c r="P1041" s="37"/>
      <c r="Q1041" s="37"/>
      <c r="R1041" s="154"/>
      <c r="S1041" s="155"/>
      <c r="T1041" s="144"/>
    </row>
    <row r="1042" spans="2:23" ht="18.75" customHeight="1">
      <c r="F1042" s="39"/>
      <c r="G1042" s="40"/>
    </row>
    <row r="1043" spans="2:23" ht="18.75" customHeight="1">
      <c r="C1043" s="137" t="s">
        <v>3182</v>
      </c>
      <c r="D1043" s="138"/>
      <c r="E1043" s="143" t="str">
        <f>エンティティ一覧!$O$2</f>
        <v>milscm_2023_010</v>
      </c>
      <c r="G1043" s="41"/>
    </row>
    <row r="1044" spans="2:23" ht="18.75" customHeight="1">
      <c r="C1044" s="139"/>
      <c r="D1044" s="140"/>
      <c r="E1044" s="144"/>
      <c r="F1044" s="37"/>
    </row>
    <row r="1046" spans="2:23" ht="18.75" customHeight="1" thickBot="1">
      <c r="B1046" s="42"/>
      <c r="C1046" s="42"/>
      <c r="D1046" s="42"/>
      <c r="E1046" s="42"/>
      <c r="F1046" s="42"/>
      <c r="G1046" s="42"/>
      <c r="H1046" s="42"/>
      <c r="I1046" s="42"/>
      <c r="J1046" s="42"/>
      <c r="K1046" s="42"/>
      <c r="L1046" s="42"/>
      <c r="M1046" s="42"/>
      <c r="N1046" s="42"/>
      <c r="O1046" s="42"/>
      <c r="P1046" s="42"/>
      <c r="Q1046" s="42"/>
      <c r="R1046" s="42"/>
      <c r="S1046" s="42"/>
      <c r="T1046" s="42"/>
      <c r="U1046" s="42"/>
    </row>
    <row r="1048" spans="2:23" ht="18.75" customHeight="1">
      <c r="B1048" s="43" t="s">
        <v>163</v>
      </c>
      <c r="C1048" s="51" t="s">
        <v>3664</v>
      </c>
      <c r="D1048" s="88"/>
      <c r="W1048" s="35" t="str">
        <f>"-- "&amp;B1048&amp;" : "&amp;C1048</f>
        <v>-- SQL_ID : 01_A6-63</v>
      </c>
    </row>
    <row r="1049" spans="2:23" ht="18.75" customHeight="1">
      <c r="B1049" s="43" t="s">
        <v>158</v>
      </c>
      <c r="C1049" s="145" t="str">
        <f>R1052&amp;"登録"</f>
        <v>バックアップ_MML_紹介状モジュール_診療科情報登録</v>
      </c>
      <c r="D1049" s="146"/>
      <c r="E1049" s="146"/>
      <c r="F1049" s="146"/>
      <c r="G1049" s="146"/>
      <c r="H1049" s="146"/>
      <c r="I1049" s="146"/>
      <c r="J1049" s="146"/>
      <c r="K1049" s="146"/>
      <c r="L1049" s="146"/>
      <c r="M1049" s="146"/>
      <c r="N1049" s="146"/>
      <c r="O1049" s="146"/>
      <c r="P1049" s="146"/>
      <c r="Q1049" s="146"/>
      <c r="R1049" s="146"/>
      <c r="S1049" s="146"/>
      <c r="T1049" s="146"/>
      <c r="U1049" s="147"/>
      <c r="W1049" s="35" t="str">
        <f>"-- "&amp;C1049</f>
        <v>-- バックアップ_MML_紹介状モジュール_診療科情報登録</v>
      </c>
    </row>
    <row r="1050" spans="2:23" ht="18.75" customHeight="1">
      <c r="B1050" s="43" t="s">
        <v>159</v>
      </c>
      <c r="C1050" s="134" t="str">
        <f>C1052&amp;"テーブルから組入れ条件の第一条件で絞り込んだ結果を"&amp;R1052&amp;"テーブルに格納する。"</f>
        <v>MML_紹介状モジュール_診療科情報テーブルから組入れ条件の第一条件で絞り込んだ結果をバックアップ_MML_紹介状モジュール_診療科情報テーブルに格納する。</v>
      </c>
      <c r="D1050" s="135"/>
      <c r="E1050" s="135"/>
      <c r="F1050" s="135"/>
      <c r="G1050" s="135"/>
      <c r="H1050" s="135"/>
      <c r="I1050" s="135"/>
      <c r="J1050" s="135"/>
      <c r="K1050" s="135"/>
      <c r="L1050" s="135"/>
      <c r="M1050" s="135"/>
      <c r="N1050" s="135"/>
      <c r="O1050" s="135"/>
      <c r="P1050" s="135"/>
      <c r="Q1050" s="135"/>
      <c r="R1050" s="135"/>
      <c r="S1050" s="135"/>
      <c r="T1050" s="135"/>
      <c r="U1050" s="136"/>
      <c r="W1050" s="35" t="str">
        <f>"-- "&amp;C1050</f>
        <v>-- MML_紹介状モジュール_診療科情報テーブルから組入れ条件の第一条件で絞り込んだ結果をバックアップ_MML_紹介状モジュール_診療科情報テーブルに格納する。</v>
      </c>
    </row>
    <row r="1052" spans="2:23" ht="18.75" customHeight="1">
      <c r="C1052" s="137" t="s">
        <v>3665</v>
      </c>
      <c r="D1052" s="138"/>
      <c r="E1052" s="141" t="s">
        <v>162</v>
      </c>
      <c r="H1052" s="36"/>
      <c r="I1052" s="36"/>
      <c r="J1052" s="36"/>
      <c r="K1052" s="36"/>
      <c r="L1052" s="36"/>
      <c r="M1052" s="36"/>
      <c r="N1052" s="36"/>
      <c r="O1052" s="36"/>
      <c r="P1052" s="36"/>
      <c r="Q1052" s="36"/>
      <c r="R1052" s="137" t="str">
        <f>"バックアップ_"&amp;SUBSTITUTE(C1052,"_結合","")</f>
        <v>バックアップ_MML_紹介状モジュール_診療科情報</v>
      </c>
      <c r="S1052" s="138"/>
      <c r="T1052" s="143" t="str">
        <f>エンティティ一覧!$O$2</f>
        <v>milscm_2023_010</v>
      </c>
    </row>
    <row r="1053" spans="2:23" ht="18.75" customHeight="1">
      <c r="C1053" s="139"/>
      <c r="D1053" s="140"/>
      <c r="E1053" s="142"/>
      <c r="F1053" s="37"/>
      <c r="G1053" s="38"/>
      <c r="H1053" s="37"/>
      <c r="I1053" s="37"/>
      <c r="J1053" s="37"/>
      <c r="K1053" s="37"/>
      <c r="L1053" s="37"/>
      <c r="M1053" s="37"/>
      <c r="N1053" s="37"/>
      <c r="O1053" s="37"/>
      <c r="P1053" s="37"/>
      <c r="Q1053" s="37"/>
      <c r="R1053" s="139"/>
      <c r="S1053" s="140"/>
      <c r="T1053" s="144"/>
    </row>
    <row r="1054" spans="2:23" ht="18.75" customHeight="1">
      <c r="F1054" s="39"/>
      <c r="G1054" s="40"/>
    </row>
    <row r="1055" spans="2:23" ht="18.75" customHeight="1">
      <c r="C1055" s="137" t="s">
        <v>3182</v>
      </c>
      <c r="D1055" s="138"/>
      <c r="E1055" s="143" t="str">
        <f>エンティティ一覧!$O$2</f>
        <v>milscm_2023_010</v>
      </c>
      <c r="G1055" s="41"/>
    </row>
    <row r="1056" spans="2:23" ht="18.75" customHeight="1">
      <c r="C1056" s="139"/>
      <c r="D1056" s="140"/>
      <c r="E1056" s="144"/>
      <c r="F1056" s="37"/>
    </row>
    <row r="1058" spans="2:23" ht="18.75" customHeight="1" thickBot="1">
      <c r="B1058" s="42"/>
      <c r="C1058" s="42"/>
      <c r="D1058" s="42"/>
      <c r="E1058" s="42"/>
      <c r="F1058" s="42"/>
      <c r="G1058" s="42"/>
      <c r="H1058" s="42"/>
      <c r="I1058" s="42"/>
      <c r="J1058" s="42"/>
      <c r="K1058" s="42"/>
      <c r="L1058" s="42"/>
      <c r="M1058" s="42"/>
      <c r="N1058" s="42"/>
      <c r="O1058" s="42"/>
      <c r="P1058" s="42"/>
      <c r="Q1058" s="42"/>
      <c r="R1058" s="42"/>
      <c r="S1058" s="42"/>
      <c r="T1058" s="42"/>
      <c r="U1058" s="42"/>
    </row>
    <row r="1060" spans="2:23" ht="18.75" customHeight="1">
      <c r="B1060" s="43" t="s">
        <v>163</v>
      </c>
      <c r="C1060" s="51" t="s">
        <v>3170</v>
      </c>
      <c r="D1060" s="50"/>
      <c r="W1060" s="35" t="str">
        <f>"-- "&amp;B1060&amp;" : "&amp;C1060</f>
        <v>-- SQL_ID : 01_C1-01</v>
      </c>
    </row>
    <row r="1061" spans="2:23" ht="18.75" customHeight="1">
      <c r="B1061" s="43" t="s">
        <v>158</v>
      </c>
      <c r="C1061" s="145" t="str">
        <f>R1064&amp;"登録"</f>
        <v>バックアップ_DPC調査データ_Dファイル登録</v>
      </c>
      <c r="D1061" s="146"/>
      <c r="E1061" s="146"/>
      <c r="F1061" s="146"/>
      <c r="G1061" s="146"/>
      <c r="H1061" s="146"/>
      <c r="I1061" s="146"/>
      <c r="J1061" s="146"/>
      <c r="K1061" s="146"/>
      <c r="L1061" s="146"/>
      <c r="M1061" s="146"/>
      <c r="N1061" s="146"/>
      <c r="O1061" s="146"/>
      <c r="P1061" s="146"/>
      <c r="Q1061" s="146"/>
      <c r="R1061" s="146"/>
      <c r="S1061" s="146"/>
      <c r="T1061" s="146"/>
      <c r="U1061" s="147"/>
      <c r="W1061" s="35" t="str">
        <f>"-- "&amp;C1061</f>
        <v>-- バックアップ_DPC調査データ_Dファイル登録</v>
      </c>
    </row>
    <row r="1062" spans="2:23" ht="18.75" customHeight="1">
      <c r="B1062" s="43" t="s">
        <v>159</v>
      </c>
      <c r="C1062" s="134" t="str">
        <f>C1064&amp;"テーブルから組入れ条件の第一条件で絞り込んだ結果を"&amp;R1064&amp;"テーブルに格納する。"</f>
        <v>DPC調査データ_Dファイル_結合テーブルから組入れ条件の第一条件で絞り込んだ結果をバックアップ_DPC調査データ_Dファイルテーブルに格納する。</v>
      </c>
      <c r="D1062" s="135"/>
      <c r="E1062" s="135"/>
      <c r="F1062" s="135"/>
      <c r="G1062" s="135"/>
      <c r="H1062" s="135"/>
      <c r="I1062" s="135"/>
      <c r="J1062" s="135"/>
      <c r="K1062" s="135"/>
      <c r="L1062" s="135"/>
      <c r="M1062" s="135"/>
      <c r="N1062" s="135"/>
      <c r="O1062" s="135"/>
      <c r="P1062" s="135"/>
      <c r="Q1062" s="135"/>
      <c r="R1062" s="135"/>
      <c r="S1062" s="135"/>
      <c r="T1062" s="135"/>
      <c r="U1062" s="136"/>
      <c r="W1062" s="35" t="str">
        <f>"-- "&amp;C1062</f>
        <v>-- DPC調査データ_Dファイル_結合テーブルから組入れ条件の第一条件で絞り込んだ結果をバックアップ_DPC調査データ_Dファイルテーブルに格納する。</v>
      </c>
    </row>
    <row r="1064" spans="2:23" ht="18.75" customHeight="1">
      <c r="C1064" s="137" t="s">
        <v>166</v>
      </c>
      <c r="D1064" s="138"/>
      <c r="E1064" s="141" t="s">
        <v>162</v>
      </c>
      <c r="H1064" s="36"/>
      <c r="I1064" s="36"/>
      <c r="J1064" s="36"/>
      <c r="K1064" s="36"/>
      <c r="L1064" s="36"/>
      <c r="M1064" s="36"/>
      <c r="N1064" s="36"/>
      <c r="O1064" s="36"/>
      <c r="P1064" s="36"/>
      <c r="Q1064" s="36"/>
      <c r="R1064" s="137" t="str">
        <f>"バックアップ_"&amp;SUBSTITUTE(C1064,"_結合","")</f>
        <v>バックアップ_DPC調査データ_Dファイル</v>
      </c>
      <c r="S1064" s="138"/>
      <c r="T1064" s="143" t="str">
        <f>エンティティ一覧!$O$2</f>
        <v>milscm_2023_010</v>
      </c>
    </row>
    <row r="1065" spans="2:23" ht="18.75" customHeight="1">
      <c r="C1065" s="139"/>
      <c r="D1065" s="140"/>
      <c r="E1065" s="142"/>
      <c r="F1065" s="37"/>
      <c r="G1065" s="38"/>
      <c r="H1065" s="37"/>
      <c r="I1065" s="37"/>
      <c r="J1065" s="37"/>
      <c r="K1065" s="37"/>
      <c r="L1065" s="37"/>
      <c r="M1065" s="37"/>
      <c r="N1065" s="37"/>
      <c r="O1065" s="37"/>
      <c r="P1065" s="37"/>
      <c r="Q1065" s="37"/>
      <c r="R1065" s="139"/>
      <c r="S1065" s="140"/>
      <c r="T1065" s="144"/>
    </row>
    <row r="1066" spans="2:23" ht="18.75" customHeight="1">
      <c r="F1066" s="39"/>
      <c r="G1066" s="40"/>
    </row>
    <row r="1067" spans="2:23" ht="18.75" customHeight="1">
      <c r="C1067" s="137" t="s">
        <v>3182</v>
      </c>
      <c r="D1067" s="138"/>
      <c r="E1067" s="143" t="str">
        <f>エンティティ一覧!$O$2</f>
        <v>milscm_2023_010</v>
      </c>
      <c r="G1067" s="41"/>
    </row>
    <row r="1068" spans="2:23" ht="18.75" customHeight="1">
      <c r="C1068" s="139"/>
      <c r="D1068" s="140"/>
      <c r="E1068" s="144"/>
      <c r="F1068" s="37"/>
    </row>
    <row r="1070" spans="2:23" ht="18.75" customHeight="1" thickBot="1">
      <c r="B1070" s="42"/>
      <c r="C1070" s="42"/>
      <c r="D1070" s="42"/>
      <c r="E1070" s="42"/>
      <c r="F1070" s="42"/>
      <c r="G1070" s="42"/>
      <c r="H1070" s="42"/>
      <c r="I1070" s="42"/>
      <c r="J1070" s="42"/>
      <c r="K1070" s="42"/>
      <c r="L1070" s="42"/>
      <c r="M1070" s="42"/>
      <c r="N1070" s="42"/>
      <c r="O1070" s="42"/>
      <c r="P1070" s="42"/>
      <c r="Q1070" s="42"/>
      <c r="R1070" s="42"/>
      <c r="S1070" s="42"/>
      <c r="T1070" s="42"/>
      <c r="U1070" s="42"/>
    </row>
    <row r="1072" spans="2:23" ht="18.75" customHeight="1">
      <c r="B1072" s="43" t="s">
        <v>163</v>
      </c>
      <c r="C1072" s="51" t="s">
        <v>3171</v>
      </c>
      <c r="D1072" s="50"/>
      <c r="W1072" s="35" t="str">
        <f>"-- "&amp;B1072&amp;" : "&amp;C1072</f>
        <v>-- SQL_ID : 01_C1-02</v>
      </c>
    </row>
    <row r="1073" spans="2:23" ht="18.75" customHeight="1">
      <c r="B1073" s="43" t="s">
        <v>158</v>
      </c>
      <c r="C1073" s="145" t="str">
        <f>R1076&amp;"登録"</f>
        <v>バックアップ_DPC調査データ_入院EF統合ファイル登録</v>
      </c>
      <c r="D1073" s="146"/>
      <c r="E1073" s="146"/>
      <c r="F1073" s="146"/>
      <c r="G1073" s="146"/>
      <c r="H1073" s="146"/>
      <c r="I1073" s="146"/>
      <c r="J1073" s="146"/>
      <c r="K1073" s="146"/>
      <c r="L1073" s="146"/>
      <c r="M1073" s="146"/>
      <c r="N1073" s="146"/>
      <c r="O1073" s="146"/>
      <c r="P1073" s="146"/>
      <c r="Q1073" s="146"/>
      <c r="R1073" s="146"/>
      <c r="S1073" s="146"/>
      <c r="T1073" s="146"/>
      <c r="U1073" s="147"/>
      <c r="W1073" s="35" t="str">
        <f>"-- "&amp;C1073</f>
        <v>-- バックアップ_DPC調査データ_入院EF統合ファイル登録</v>
      </c>
    </row>
    <row r="1074" spans="2:23" ht="18.75" customHeight="1">
      <c r="B1074" s="43" t="s">
        <v>159</v>
      </c>
      <c r="C1074" s="134" t="str">
        <f>C1076&amp;"テーブルから組入れ条件の第一条件で絞り込んだ結果を"&amp;R1076&amp;"テーブルに格納する。"</f>
        <v>DPC調査データ_入院EF統合ファイル_結合テーブルから組入れ条件の第一条件で絞り込んだ結果をバックアップ_DPC調査データ_入院EF統合ファイルテーブルに格納する。</v>
      </c>
      <c r="D1074" s="135"/>
      <c r="E1074" s="135"/>
      <c r="F1074" s="135"/>
      <c r="G1074" s="135"/>
      <c r="H1074" s="135"/>
      <c r="I1074" s="135"/>
      <c r="J1074" s="135"/>
      <c r="K1074" s="135"/>
      <c r="L1074" s="135"/>
      <c r="M1074" s="135"/>
      <c r="N1074" s="135"/>
      <c r="O1074" s="135"/>
      <c r="P1074" s="135"/>
      <c r="Q1074" s="135"/>
      <c r="R1074" s="135"/>
      <c r="S1074" s="135"/>
      <c r="T1074" s="135"/>
      <c r="U1074" s="136"/>
      <c r="W1074" s="35" t="str">
        <f>"-- "&amp;C1074</f>
        <v>-- DPC調査データ_入院EF統合ファイル_結合テーブルから組入れ条件の第一条件で絞り込んだ結果をバックアップ_DPC調査データ_入院EF統合ファイルテーブルに格納する。</v>
      </c>
    </row>
    <row r="1076" spans="2:23" ht="18.75" customHeight="1">
      <c r="C1076" s="137" t="s">
        <v>167</v>
      </c>
      <c r="D1076" s="138"/>
      <c r="E1076" s="141" t="s">
        <v>162</v>
      </c>
      <c r="H1076" s="36"/>
      <c r="I1076" s="36"/>
      <c r="J1076" s="36"/>
      <c r="K1076" s="36"/>
      <c r="L1076" s="36"/>
      <c r="M1076" s="36"/>
      <c r="N1076" s="36"/>
      <c r="O1076" s="36"/>
      <c r="P1076" s="36"/>
      <c r="Q1076" s="36"/>
      <c r="R1076" s="137" t="str">
        <f>"バックアップ_"&amp;SUBSTITUTE(C1076,"_結合","")</f>
        <v>バックアップ_DPC調査データ_入院EF統合ファイル</v>
      </c>
      <c r="S1076" s="138"/>
      <c r="T1076" s="143" t="str">
        <f>エンティティ一覧!$O$2</f>
        <v>milscm_2023_010</v>
      </c>
    </row>
    <row r="1077" spans="2:23" ht="18.75" customHeight="1">
      <c r="C1077" s="139"/>
      <c r="D1077" s="140"/>
      <c r="E1077" s="142"/>
      <c r="F1077" s="37"/>
      <c r="G1077" s="38"/>
      <c r="H1077" s="37"/>
      <c r="I1077" s="37"/>
      <c r="J1077" s="37"/>
      <c r="K1077" s="37"/>
      <c r="L1077" s="37"/>
      <c r="M1077" s="37"/>
      <c r="N1077" s="37"/>
      <c r="O1077" s="37"/>
      <c r="P1077" s="37"/>
      <c r="Q1077" s="37"/>
      <c r="R1077" s="139"/>
      <c r="S1077" s="140"/>
      <c r="T1077" s="144"/>
    </row>
    <row r="1078" spans="2:23" ht="18.75" customHeight="1">
      <c r="F1078" s="39"/>
      <c r="G1078" s="40"/>
    </row>
    <row r="1079" spans="2:23" ht="18.75" customHeight="1">
      <c r="C1079" s="137" t="s">
        <v>3182</v>
      </c>
      <c r="D1079" s="138"/>
      <c r="E1079" s="143" t="str">
        <f>エンティティ一覧!$O$2</f>
        <v>milscm_2023_010</v>
      </c>
      <c r="G1079" s="41"/>
    </row>
    <row r="1080" spans="2:23" ht="18.75" customHeight="1">
      <c r="C1080" s="139"/>
      <c r="D1080" s="140"/>
      <c r="E1080" s="144"/>
      <c r="F1080" s="37"/>
    </row>
    <row r="1082" spans="2:23" ht="18.75" customHeight="1" thickBot="1">
      <c r="B1082" s="42"/>
      <c r="C1082" s="42"/>
      <c r="D1082" s="42"/>
      <c r="E1082" s="42"/>
      <c r="F1082" s="42"/>
      <c r="G1082" s="42"/>
      <c r="H1082" s="42"/>
      <c r="I1082" s="42"/>
      <c r="J1082" s="42"/>
      <c r="K1082" s="42"/>
      <c r="L1082" s="42"/>
      <c r="M1082" s="42"/>
      <c r="N1082" s="42"/>
      <c r="O1082" s="42"/>
      <c r="P1082" s="42"/>
      <c r="Q1082" s="42"/>
      <c r="R1082" s="42"/>
      <c r="S1082" s="42"/>
      <c r="T1082" s="42"/>
      <c r="U1082" s="42"/>
    </row>
    <row r="1084" spans="2:23" ht="18.75" customHeight="1">
      <c r="B1084" s="43" t="s">
        <v>163</v>
      </c>
      <c r="C1084" s="51" t="s">
        <v>3172</v>
      </c>
      <c r="D1084" s="50"/>
      <c r="W1084" s="35" t="str">
        <f>"-- "&amp;B1084&amp;" : "&amp;C1084</f>
        <v>-- SQL_ID : 01_C1-03</v>
      </c>
    </row>
    <row r="1085" spans="2:23" ht="18.75" customHeight="1">
      <c r="B1085" s="43" t="s">
        <v>158</v>
      </c>
      <c r="C1085" s="145" t="str">
        <f>R1088&amp;"登録"</f>
        <v>バックアップ_DPC調査データ_外来EF統合ファイル登録</v>
      </c>
      <c r="D1085" s="146"/>
      <c r="E1085" s="146"/>
      <c r="F1085" s="146"/>
      <c r="G1085" s="146"/>
      <c r="H1085" s="146"/>
      <c r="I1085" s="146"/>
      <c r="J1085" s="146"/>
      <c r="K1085" s="146"/>
      <c r="L1085" s="146"/>
      <c r="M1085" s="146"/>
      <c r="N1085" s="146"/>
      <c r="O1085" s="146"/>
      <c r="P1085" s="146"/>
      <c r="Q1085" s="146"/>
      <c r="R1085" s="146"/>
      <c r="S1085" s="146"/>
      <c r="T1085" s="146"/>
      <c r="U1085" s="147"/>
      <c r="W1085" s="35" t="str">
        <f>"-- "&amp;C1085</f>
        <v>-- バックアップ_DPC調査データ_外来EF統合ファイル登録</v>
      </c>
    </row>
    <row r="1086" spans="2:23" ht="18.75" customHeight="1">
      <c r="B1086" s="43" t="s">
        <v>159</v>
      </c>
      <c r="C1086" s="134" t="str">
        <f>C1088&amp;"テーブルから組入れ条件の第一条件で絞り込んだ結果を"&amp;R1088&amp;"テーブルに格納する。"</f>
        <v>DPC調査データ_外来EF統合ファイル_結合テーブルから組入れ条件の第一条件で絞り込んだ結果をバックアップ_DPC調査データ_外来EF統合ファイルテーブルに格納する。</v>
      </c>
      <c r="D1086" s="135"/>
      <c r="E1086" s="135"/>
      <c r="F1086" s="135"/>
      <c r="G1086" s="135"/>
      <c r="H1086" s="135"/>
      <c r="I1086" s="135"/>
      <c r="J1086" s="135"/>
      <c r="K1086" s="135"/>
      <c r="L1086" s="135"/>
      <c r="M1086" s="135"/>
      <c r="N1086" s="135"/>
      <c r="O1086" s="135"/>
      <c r="P1086" s="135"/>
      <c r="Q1086" s="135"/>
      <c r="R1086" s="135"/>
      <c r="S1086" s="135"/>
      <c r="T1086" s="135"/>
      <c r="U1086" s="136"/>
      <c r="W1086" s="35" t="str">
        <f>"-- "&amp;C1086</f>
        <v>-- DPC調査データ_外来EF統合ファイル_結合テーブルから組入れ条件の第一条件で絞り込んだ結果をバックアップ_DPC調査データ_外来EF統合ファイルテーブルに格納する。</v>
      </c>
    </row>
    <row r="1088" spans="2:23" ht="18.75" customHeight="1">
      <c r="C1088" s="137" t="s">
        <v>168</v>
      </c>
      <c r="D1088" s="138"/>
      <c r="E1088" s="141" t="s">
        <v>162</v>
      </c>
      <c r="H1088" s="36"/>
      <c r="I1088" s="36"/>
      <c r="J1088" s="36"/>
      <c r="K1088" s="36"/>
      <c r="L1088" s="36"/>
      <c r="M1088" s="36"/>
      <c r="N1088" s="36"/>
      <c r="O1088" s="36"/>
      <c r="P1088" s="36"/>
      <c r="Q1088" s="36"/>
      <c r="R1088" s="137" t="str">
        <f>"バックアップ_"&amp;SUBSTITUTE(C1088,"_結合","")</f>
        <v>バックアップ_DPC調査データ_外来EF統合ファイル</v>
      </c>
      <c r="S1088" s="138"/>
      <c r="T1088" s="143" t="str">
        <f>エンティティ一覧!$O$2</f>
        <v>milscm_2023_010</v>
      </c>
    </row>
    <row r="1089" spans="2:23" ht="18.75" customHeight="1">
      <c r="C1089" s="139"/>
      <c r="D1089" s="140"/>
      <c r="E1089" s="142"/>
      <c r="F1089" s="37"/>
      <c r="G1089" s="38"/>
      <c r="H1089" s="37"/>
      <c r="I1089" s="37"/>
      <c r="J1089" s="37"/>
      <c r="K1089" s="37"/>
      <c r="L1089" s="37"/>
      <c r="M1089" s="37"/>
      <c r="N1089" s="37"/>
      <c r="O1089" s="37"/>
      <c r="P1089" s="37"/>
      <c r="Q1089" s="37"/>
      <c r="R1089" s="139"/>
      <c r="S1089" s="140"/>
      <c r="T1089" s="144"/>
    </row>
    <row r="1090" spans="2:23" ht="18.75" customHeight="1">
      <c r="F1090" s="39"/>
      <c r="G1090" s="40"/>
    </row>
    <row r="1091" spans="2:23" ht="18.75" customHeight="1">
      <c r="C1091" s="137" t="s">
        <v>3182</v>
      </c>
      <c r="D1091" s="138"/>
      <c r="E1091" s="143" t="str">
        <f>エンティティ一覧!$O$2</f>
        <v>milscm_2023_010</v>
      </c>
      <c r="G1091" s="41"/>
    </row>
    <row r="1092" spans="2:23" ht="18.75" customHeight="1">
      <c r="C1092" s="139"/>
      <c r="D1092" s="140"/>
      <c r="E1092" s="144"/>
      <c r="F1092" s="37"/>
    </row>
    <row r="1094" spans="2:23" ht="18.75" customHeight="1" thickBot="1">
      <c r="B1094" s="42"/>
      <c r="C1094" s="42"/>
      <c r="D1094" s="42"/>
      <c r="E1094" s="42"/>
      <c r="F1094" s="42"/>
      <c r="G1094" s="42"/>
      <c r="H1094" s="42"/>
      <c r="I1094" s="42"/>
      <c r="J1094" s="42"/>
      <c r="K1094" s="42"/>
      <c r="L1094" s="42"/>
      <c r="M1094" s="42"/>
      <c r="N1094" s="42"/>
      <c r="O1094" s="42"/>
      <c r="P1094" s="42"/>
      <c r="Q1094" s="42"/>
      <c r="R1094" s="42"/>
      <c r="S1094" s="42"/>
      <c r="T1094" s="42"/>
      <c r="U1094" s="42"/>
    </row>
    <row r="1096" spans="2:23" ht="18.75" customHeight="1">
      <c r="B1096" s="43" t="s">
        <v>163</v>
      </c>
      <c r="C1096" s="51" t="s">
        <v>3173</v>
      </c>
      <c r="D1096" s="50"/>
      <c r="W1096" s="35" t="str">
        <f>"-- "&amp;B1096&amp;" : "&amp;C1096</f>
        <v>-- SQL_ID : 01_C1-04</v>
      </c>
    </row>
    <row r="1097" spans="2:23" ht="18.75" customHeight="1">
      <c r="B1097" s="43" t="s">
        <v>158</v>
      </c>
      <c r="C1097" s="145" t="str">
        <f>R1100&amp;"登録"</f>
        <v>バックアップ_DPC調査データ_Hファイル登録</v>
      </c>
      <c r="D1097" s="146"/>
      <c r="E1097" s="146"/>
      <c r="F1097" s="146"/>
      <c r="G1097" s="146"/>
      <c r="H1097" s="146"/>
      <c r="I1097" s="146"/>
      <c r="J1097" s="146"/>
      <c r="K1097" s="146"/>
      <c r="L1097" s="146"/>
      <c r="M1097" s="146"/>
      <c r="N1097" s="146"/>
      <c r="O1097" s="146"/>
      <c r="P1097" s="146"/>
      <c r="Q1097" s="146"/>
      <c r="R1097" s="146"/>
      <c r="S1097" s="146"/>
      <c r="T1097" s="146"/>
      <c r="U1097" s="147"/>
      <c r="W1097" s="35" t="str">
        <f>"-- "&amp;C1097</f>
        <v>-- バックアップ_DPC調査データ_Hファイル登録</v>
      </c>
    </row>
    <row r="1098" spans="2:23" ht="18.75" customHeight="1">
      <c r="B1098" s="43" t="s">
        <v>159</v>
      </c>
      <c r="C1098" s="134" t="str">
        <f>C1100&amp;"テーブルから組入れ条件の第一条件で絞り込んだ結果を"&amp;R1100&amp;"テーブルに格納する。"</f>
        <v>DPC調査データ_Hファイル_結合テーブルから組入れ条件の第一条件で絞り込んだ結果をバックアップ_DPC調査データ_Hファイルテーブルに格納する。</v>
      </c>
      <c r="D1098" s="135"/>
      <c r="E1098" s="135"/>
      <c r="F1098" s="135"/>
      <c r="G1098" s="135"/>
      <c r="H1098" s="135"/>
      <c r="I1098" s="135"/>
      <c r="J1098" s="135"/>
      <c r="K1098" s="135"/>
      <c r="L1098" s="135"/>
      <c r="M1098" s="135"/>
      <c r="N1098" s="135"/>
      <c r="O1098" s="135"/>
      <c r="P1098" s="135"/>
      <c r="Q1098" s="135"/>
      <c r="R1098" s="135"/>
      <c r="S1098" s="135"/>
      <c r="T1098" s="135"/>
      <c r="U1098" s="136"/>
      <c r="W1098" s="35" t="str">
        <f>"-- "&amp;C1098</f>
        <v>-- DPC調査データ_Hファイル_結合テーブルから組入れ条件の第一条件で絞り込んだ結果をバックアップ_DPC調査データ_Hファイルテーブルに格納する。</v>
      </c>
    </row>
    <row r="1100" spans="2:23" ht="18.75" customHeight="1">
      <c r="C1100" s="137" t="s">
        <v>169</v>
      </c>
      <c r="D1100" s="138"/>
      <c r="E1100" s="141" t="s">
        <v>162</v>
      </c>
      <c r="H1100" s="36"/>
      <c r="I1100" s="36"/>
      <c r="J1100" s="36"/>
      <c r="K1100" s="36"/>
      <c r="L1100" s="36"/>
      <c r="M1100" s="36"/>
      <c r="N1100" s="36"/>
      <c r="O1100" s="36"/>
      <c r="P1100" s="36"/>
      <c r="Q1100" s="36"/>
      <c r="R1100" s="137" t="str">
        <f>"バックアップ_"&amp;SUBSTITUTE(C1100,"_結合","")</f>
        <v>バックアップ_DPC調査データ_Hファイル</v>
      </c>
      <c r="S1100" s="138"/>
      <c r="T1100" s="143" t="str">
        <f>エンティティ一覧!$O$2</f>
        <v>milscm_2023_010</v>
      </c>
    </row>
    <row r="1101" spans="2:23" ht="18.75" customHeight="1">
      <c r="C1101" s="139"/>
      <c r="D1101" s="140"/>
      <c r="E1101" s="142"/>
      <c r="F1101" s="37"/>
      <c r="G1101" s="38"/>
      <c r="H1101" s="37"/>
      <c r="I1101" s="37"/>
      <c r="J1101" s="37"/>
      <c r="K1101" s="37"/>
      <c r="L1101" s="37"/>
      <c r="M1101" s="37"/>
      <c r="N1101" s="37"/>
      <c r="O1101" s="37"/>
      <c r="P1101" s="37"/>
      <c r="Q1101" s="37"/>
      <c r="R1101" s="139"/>
      <c r="S1101" s="140"/>
      <c r="T1101" s="144"/>
    </row>
    <row r="1102" spans="2:23" ht="18.75" customHeight="1">
      <c r="F1102" s="39"/>
      <c r="G1102" s="40"/>
    </row>
    <row r="1103" spans="2:23" ht="18.75" customHeight="1">
      <c r="C1103" s="137" t="s">
        <v>3182</v>
      </c>
      <c r="D1103" s="138"/>
      <c r="E1103" s="143" t="str">
        <f>エンティティ一覧!$O$2</f>
        <v>milscm_2023_010</v>
      </c>
      <c r="G1103" s="41"/>
    </row>
    <row r="1104" spans="2:23" ht="18.75" customHeight="1">
      <c r="C1104" s="139"/>
      <c r="D1104" s="140"/>
      <c r="E1104" s="144"/>
      <c r="F1104" s="37"/>
    </row>
    <row r="1106" spans="2:23" ht="18.75" customHeight="1" thickBot="1">
      <c r="B1106" s="42"/>
      <c r="C1106" s="42"/>
      <c r="D1106" s="42"/>
      <c r="E1106" s="42"/>
      <c r="F1106" s="42"/>
      <c r="G1106" s="42"/>
      <c r="H1106" s="42"/>
      <c r="I1106" s="42"/>
      <c r="J1106" s="42"/>
      <c r="K1106" s="42"/>
      <c r="L1106" s="42"/>
      <c r="M1106" s="42"/>
      <c r="N1106" s="42"/>
      <c r="O1106" s="42"/>
      <c r="P1106" s="42"/>
      <c r="Q1106" s="42"/>
      <c r="R1106" s="42"/>
      <c r="S1106" s="42"/>
      <c r="T1106" s="42"/>
      <c r="U1106" s="42"/>
    </row>
    <row r="1108" spans="2:23" ht="18.75" customHeight="1">
      <c r="B1108" s="43" t="s">
        <v>163</v>
      </c>
      <c r="C1108" s="51" t="s">
        <v>3174</v>
      </c>
      <c r="D1108" s="50"/>
      <c r="W1108" s="35" t="str">
        <f>"-- "&amp;B1108&amp;" : "&amp;C1108</f>
        <v>-- SQL_ID : 01_C1-05</v>
      </c>
    </row>
    <row r="1109" spans="2:23" ht="18.75" customHeight="1">
      <c r="B1109" s="43" t="s">
        <v>158</v>
      </c>
      <c r="C1109" s="145" t="str">
        <f>R1112&amp;"登録"</f>
        <v>バックアップ_DPC調査データ_様式1登録</v>
      </c>
      <c r="D1109" s="146"/>
      <c r="E1109" s="146"/>
      <c r="F1109" s="146"/>
      <c r="G1109" s="146"/>
      <c r="H1109" s="146"/>
      <c r="I1109" s="146"/>
      <c r="J1109" s="146"/>
      <c r="K1109" s="146"/>
      <c r="L1109" s="146"/>
      <c r="M1109" s="146"/>
      <c r="N1109" s="146"/>
      <c r="O1109" s="146"/>
      <c r="P1109" s="146"/>
      <c r="Q1109" s="146"/>
      <c r="R1109" s="146"/>
      <c r="S1109" s="146"/>
      <c r="T1109" s="146"/>
      <c r="U1109" s="147"/>
      <c r="W1109" s="35" t="str">
        <f>"-- "&amp;C1109</f>
        <v>-- バックアップ_DPC調査データ_様式1登録</v>
      </c>
    </row>
    <row r="1110" spans="2:23" ht="18.75" customHeight="1">
      <c r="B1110" s="43" t="s">
        <v>159</v>
      </c>
      <c r="C1110" s="134" t="str">
        <f>C1112&amp;"テーブルから組入れ条件の第一条件で絞り込んだ結果を"&amp;R1112&amp;"テーブルに格納する。"</f>
        <v>DPC調査データ_様式1_結合テーブルから組入れ条件の第一条件で絞り込んだ結果をバックアップ_DPC調査データ_様式1テーブルに格納する。</v>
      </c>
      <c r="D1110" s="135"/>
      <c r="E1110" s="135"/>
      <c r="F1110" s="135"/>
      <c r="G1110" s="135"/>
      <c r="H1110" s="135"/>
      <c r="I1110" s="135"/>
      <c r="J1110" s="135"/>
      <c r="K1110" s="135"/>
      <c r="L1110" s="135"/>
      <c r="M1110" s="135"/>
      <c r="N1110" s="135"/>
      <c r="O1110" s="135"/>
      <c r="P1110" s="135"/>
      <c r="Q1110" s="135"/>
      <c r="R1110" s="135"/>
      <c r="S1110" s="135"/>
      <c r="T1110" s="135"/>
      <c r="U1110" s="136"/>
      <c r="W1110" s="35" t="str">
        <f>"-- "&amp;C1110</f>
        <v>-- DPC調査データ_様式1_結合テーブルから組入れ条件の第一条件で絞り込んだ結果をバックアップ_DPC調査データ_様式1テーブルに格納する。</v>
      </c>
    </row>
    <row r="1112" spans="2:23" ht="18.75" customHeight="1">
      <c r="C1112" s="137" t="s">
        <v>170</v>
      </c>
      <c r="D1112" s="138"/>
      <c r="E1112" s="141" t="s">
        <v>162</v>
      </c>
      <c r="H1112" s="36"/>
      <c r="I1112" s="36"/>
      <c r="J1112" s="36"/>
      <c r="K1112" s="36"/>
      <c r="L1112" s="36"/>
      <c r="M1112" s="36"/>
      <c r="N1112" s="36"/>
      <c r="O1112" s="36"/>
      <c r="P1112" s="36"/>
      <c r="Q1112" s="36"/>
      <c r="R1112" s="137" t="str">
        <f>"バックアップ_"&amp;SUBSTITUTE(C1112,"_結合","")</f>
        <v>バックアップ_DPC調査データ_様式1</v>
      </c>
      <c r="S1112" s="138"/>
      <c r="T1112" s="143" t="str">
        <f>エンティティ一覧!$O$2</f>
        <v>milscm_2023_010</v>
      </c>
    </row>
    <row r="1113" spans="2:23" ht="18.75" customHeight="1">
      <c r="C1113" s="139"/>
      <c r="D1113" s="140"/>
      <c r="E1113" s="142"/>
      <c r="F1113" s="37"/>
      <c r="G1113" s="38"/>
      <c r="H1113" s="37"/>
      <c r="I1113" s="37"/>
      <c r="J1113" s="37"/>
      <c r="K1113" s="37"/>
      <c r="L1113" s="37"/>
      <c r="M1113" s="37"/>
      <c r="N1113" s="37"/>
      <c r="O1113" s="37"/>
      <c r="P1113" s="37"/>
      <c r="Q1113" s="37"/>
      <c r="R1113" s="139"/>
      <c r="S1113" s="140"/>
      <c r="T1113" s="144"/>
    </row>
    <row r="1114" spans="2:23" ht="18.75" customHeight="1">
      <c r="F1114" s="39"/>
      <c r="G1114" s="40"/>
    </row>
    <row r="1115" spans="2:23" ht="18.75" customHeight="1">
      <c r="C1115" s="137" t="s">
        <v>3182</v>
      </c>
      <c r="D1115" s="138"/>
      <c r="E1115" s="143" t="str">
        <f>エンティティ一覧!$O$2</f>
        <v>milscm_2023_010</v>
      </c>
      <c r="G1115" s="41"/>
    </row>
    <row r="1116" spans="2:23" ht="18.75" customHeight="1">
      <c r="C1116" s="139"/>
      <c r="D1116" s="140"/>
      <c r="E1116" s="144"/>
      <c r="F1116" s="37"/>
    </row>
    <row r="1118" spans="2:23" ht="18.75" customHeight="1" thickBot="1">
      <c r="B1118" s="42"/>
      <c r="C1118" s="42"/>
      <c r="D1118" s="42"/>
      <c r="E1118" s="42"/>
      <c r="F1118" s="42"/>
      <c r="G1118" s="42"/>
      <c r="H1118" s="42"/>
      <c r="I1118" s="42"/>
      <c r="J1118" s="42"/>
      <c r="K1118" s="42"/>
      <c r="L1118" s="42"/>
      <c r="M1118" s="42"/>
      <c r="N1118" s="42"/>
      <c r="O1118" s="42"/>
      <c r="P1118" s="42"/>
      <c r="Q1118" s="42"/>
      <c r="R1118" s="42"/>
      <c r="S1118" s="42"/>
      <c r="T1118" s="42"/>
      <c r="U1118" s="42"/>
    </row>
    <row r="1120" spans="2:23" ht="18.75" customHeight="1">
      <c r="B1120" s="43" t="s">
        <v>163</v>
      </c>
      <c r="C1120" s="51" t="s">
        <v>3175</v>
      </c>
      <c r="D1120" s="50"/>
      <c r="W1120" s="35" t="str">
        <f>"-- "&amp;B1120&amp;" : "&amp;C1120</f>
        <v>-- SQL_ID : 01_C1-07</v>
      </c>
    </row>
    <row r="1121" spans="2:23" ht="18.75" customHeight="1">
      <c r="B1121" s="43" t="s">
        <v>158</v>
      </c>
      <c r="C1121" s="145" t="str">
        <f>R1124&amp;"登録"</f>
        <v>バックアップ_DPC調査データ_様式1_診断情報_併存症登録</v>
      </c>
      <c r="D1121" s="146"/>
      <c r="E1121" s="146"/>
      <c r="F1121" s="146"/>
      <c r="G1121" s="146"/>
      <c r="H1121" s="146"/>
      <c r="I1121" s="146"/>
      <c r="J1121" s="146"/>
      <c r="K1121" s="146"/>
      <c r="L1121" s="146"/>
      <c r="M1121" s="146"/>
      <c r="N1121" s="146"/>
      <c r="O1121" s="146"/>
      <c r="P1121" s="146"/>
      <c r="Q1121" s="146"/>
      <c r="R1121" s="146"/>
      <c r="S1121" s="146"/>
      <c r="T1121" s="146"/>
      <c r="U1121" s="147"/>
      <c r="W1121" s="35" t="str">
        <f>"-- "&amp;C1121</f>
        <v>-- バックアップ_DPC調査データ_様式1_診断情報_併存症登録</v>
      </c>
    </row>
    <row r="1122" spans="2:23" ht="18.75" customHeight="1">
      <c r="B1122" s="43" t="s">
        <v>159</v>
      </c>
      <c r="C1122" s="134" t="str">
        <f>C1124&amp;"テーブルから組入れ条件の第一条件で絞り込んだ結果を"&amp;R1124&amp;"テーブルに格納する。"</f>
        <v>DPC調査データ_様式1_診断情報_併存症_結合テーブルから組入れ条件の第一条件で絞り込んだ結果をバックアップ_DPC調査データ_様式1_診断情報_併存症テーブルに格納する。</v>
      </c>
      <c r="D1122" s="135"/>
      <c r="E1122" s="135"/>
      <c r="F1122" s="135"/>
      <c r="G1122" s="135"/>
      <c r="H1122" s="135"/>
      <c r="I1122" s="135"/>
      <c r="J1122" s="135"/>
      <c r="K1122" s="135"/>
      <c r="L1122" s="135"/>
      <c r="M1122" s="135"/>
      <c r="N1122" s="135"/>
      <c r="O1122" s="135"/>
      <c r="P1122" s="135"/>
      <c r="Q1122" s="135"/>
      <c r="R1122" s="135"/>
      <c r="S1122" s="135"/>
      <c r="T1122" s="135"/>
      <c r="U1122" s="136"/>
      <c r="W1122" s="35" t="str">
        <f>"-- "&amp;C1122</f>
        <v>-- DPC調査データ_様式1_診断情報_併存症_結合テーブルから組入れ条件の第一条件で絞り込んだ結果をバックアップ_DPC調査データ_様式1_診断情報_併存症テーブルに格納する。</v>
      </c>
    </row>
    <row r="1124" spans="2:23" ht="18.75" customHeight="1">
      <c r="C1124" s="137" t="s">
        <v>171</v>
      </c>
      <c r="D1124" s="138"/>
      <c r="E1124" s="141" t="s">
        <v>162</v>
      </c>
      <c r="H1124" s="36"/>
      <c r="I1124" s="36"/>
      <c r="J1124" s="36"/>
      <c r="K1124" s="36"/>
      <c r="L1124" s="36"/>
      <c r="M1124" s="36"/>
      <c r="N1124" s="36"/>
      <c r="O1124" s="36"/>
      <c r="P1124" s="36"/>
      <c r="Q1124" s="36"/>
      <c r="R1124" s="137" t="str">
        <f>"バックアップ_"&amp;SUBSTITUTE(C1124,"_結合","")</f>
        <v>バックアップ_DPC調査データ_様式1_診断情報_併存症</v>
      </c>
      <c r="S1124" s="138"/>
      <c r="T1124" s="143" t="str">
        <f>エンティティ一覧!$O$2</f>
        <v>milscm_2023_010</v>
      </c>
    </row>
    <row r="1125" spans="2:23" ht="18.75" customHeight="1">
      <c r="C1125" s="139"/>
      <c r="D1125" s="140"/>
      <c r="E1125" s="142"/>
      <c r="F1125" s="37"/>
      <c r="G1125" s="38"/>
      <c r="H1125" s="37"/>
      <c r="I1125" s="37"/>
      <c r="J1125" s="37"/>
      <c r="K1125" s="37"/>
      <c r="L1125" s="37"/>
      <c r="M1125" s="37"/>
      <c r="N1125" s="37"/>
      <c r="O1125" s="37"/>
      <c r="P1125" s="37"/>
      <c r="Q1125" s="37"/>
      <c r="R1125" s="139"/>
      <c r="S1125" s="140"/>
      <c r="T1125" s="144"/>
    </row>
    <row r="1126" spans="2:23" ht="18.75" customHeight="1">
      <c r="F1126" s="39"/>
      <c r="G1126" s="40"/>
    </row>
    <row r="1127" spans="2:23" ht="18.75" customHeight="1">
      <c r="C1127" s="137" t="s">
        <v>3182</v>
      </c>
      <c r="D1127" s="138"/>
      <c r="E1127" s="143" t="str">
        <f>エンティティ一覧!$O$2</f>
        <v>milscm_2023_010</v>
      </c>
      <c r="G1127" s="41"/>
    </row>
    <row r="1128" spans="2:23" ht="18.75" customHeight="1">
      <c r="C1128" s="139"/>
      <c r="D1128" s="140"/>
      <c r="E1128" s="144"/>
      <c r="F1128" s="37"/>
    </row>
    <row r="1130" spans="2:23" ht="18.75" customHeight="1" thickBot="1">
      <c r="B1130" s="42"/>
      <c r="C1130" s="42"/>
      <c r="D1130" s="42"/>
      <c r="E1130" s="42"/>
      <c r="F1130" s="42"/>
      <c r="G1130" s="42"/>
      <c r="H1130" s="42"/>
      <c r="I1130" s="42"/>
      <c r="J1130" s="42"/>
      <c r="K1130" s="42"/>
      <c r="L1130" s="42"/>
      <c r="M1130" s="42"/>
      <c r="N1130" s="42"/>
      <c r="O1130" s="42"/>
      <c r="P1130" s="42"/>
      <c r="Q1130" s="42"/>
      <c r="R1130" s="42"/>
      <c r="S1130" s="42"/>
      <c r="T1130" s="42"/>
      <c r="U1130" s="42"/>
    </row>
    <row r="1132" spans="2:23" ht="18.75" customHeight="1">
      <c r="B1132" s="43" t="s">
        <v>163</v>
      </c>
      <c r="C1132" s="51" t="s">
        <v>3176</v>
      </c>
      <c r="D1132" s="50"/>
      <c r="W1132" s="35" t="str">
        <f>"-- "&amp;B1132&amp;" : "&amp;C1132</f>
        <v>-- SQL_ID : 01_C1-08</v>
      </c>
    </row>
    <row r="1133" spans="2:23" ht="18.75" customHeight="1">
      <c r="B1133" s="43" t="s">
        <v>158</v>
      </c>
      <c r="C1133" s="145" t="str">
        <f>R1136&amp;"登録"</f>
        <v>バックアップ_DPC調査データ_様式1_診断情報_続発症登録</v>
      </c>
      <c r="D1133" s="146"/>
      <c r="E1133" s="146"/>
      <c r="F1133" s="146"/>
      <c r="G1133" s="146"/>
      <c r="H1133" s="146"/>
      <c r="I1133" s="146"/>
      <c r="J1133" s="146"/>
      <c r="K1133" s="146"/>
      <c r="L1133" s="146"/>
      <c r="M1133" s="146"/>
      <c r="N1133" s="146"/>
      <c r="O1133" s="146"/>
      <c r="P1133" s="146"/>
      <c r="Q1133" s="146"/>
      <c r="R1133" s="146"/>
      <c r="S1133" s="146"/>
      <c r="T1133" s="146"/>
      <c r="U1133" s="147"/>
      <c r="W1133" s="35" t="str">
        <f>"-- "&amp;C1133</f>
        <v>-- バックアップ_DPC調査データ_様式1_診断情報_続発症登録</v>
      </c>
    </row>
    <row r="1134" spans="2:23" ht="18.75" customHeight="1">
      <c r="B1134" s="43" t="s">
        <v>159</v>
      </c>
      <c r="C1134" s="134" t="str">
        <f>C1136&amp;"テーブルから組入れ条件の第一条件で絞り込んだ結果を"&amp;R1136&amp;"テーブルに格納する。"</f>
        <v>DPC調査データ_様式1_診断情報_続発症_結合テーブルから組入れ条件の第一条件で絞り込んだ結果をバックアップ_DPC調査データ_様式1_診断情報_続発症テーブルに格納する。</v>
      </c>
      <c r="D1134" s="135"/>
      <c r="E1134" s="135"/>
      <c r="F1134" s="135"/>
      <c r="G1134" s="135"/>
      <c r="H1134" s="135"/>
      <c r="I1134" s="135"/>
      <c r="J1134" s="135"/>
      <c r="K1134" s="135"/>
      <c r="L1134" s="135"/>
      <c r="M1134" s="135"/>
      <c r="N1134" s="135"/>
      <c r="O1134" s="135"/>
      <c r="P1134" s="135"/>
      <c r="Q1134" s="135"/>
      <c r="R1134" s="135"/>
      <c r="S1134" s="135"/>
      <c r="T1134" s="135"/>
      <c r="U1134" s="136"/>
      <c r="W1134" s="35" t="str">
        <f>"-- "&amp;C1134</f>
        <v>-- DPC調査データ_様式1_診断情報_続発症_結合テーブルから組入れ条件の第一条件で絞り込んだ結果をバックアップ_DPC調査データ_様式1_診断情報_続発症テーブルに格納する。</v>
      </c>
    </row>
    <row r="1136" spans="2:23" ht="18.75" customHeight="1">
      <c r="C1136" s="137" t="s">
        <v>172</v>
      </c>
      <c r="D1136" s="138"/>
      <c r="E1136" s="141" t="s">
        <v>162</v>
      </c>
      <c r="H1136" s="36"/>
      <c r="I1136" s="36"/>
      <c r="J1136" s="36"/>
      <c r="K1136" s="36"/>
      <c r="L1136" s="36"/>
      <c r="M1136" s="36"/>
      <c r="N1136" s="36"/>
      <c r="O1136" s="36"/>
      <c r="P1136" s="36"/>
      <c r="Q1136" s="36"/>
      <c r="R1136" s="137" t="str">
        <f>"バックアップ_"&amp;SUBSTITUTE(C1136,"_結合","")</f>
        <v>バックアップ_DPC調査データ_様式1_診断情報_続発症</v>
      </c>
      <c r="S1136" s="138"/>
      <c r="T1136" s="143" t="str">
        <f>エンティティ一覧!$O$2</f>
        <v>milscm_2023_010</v>
      </c>
    </row>
    <row r="1137" spans="2:23" ht="18.75" customHeight="1">
      <c r="C1137" s="139"/>
      <c r="D1137" s="140"/>
      <c r="E1137" s="142"/>
      <c r="F1137" s="37"/>
      <c r="G1137" s="38"/>
      <c r="H1137" s="37"/>
      <c r="I1137" s="37"/>
      <c r="J1137" s="37"/>
      <c r="K1137" s="37"/>
      <c r="L1137" s="37"/>
      <c r="M1137" s="37"/>
      <c r="N1137" s="37"/>
      <c r="O1137" s="37"/>
      <c r="P1137" s="37"/>
      <c r="Q1137" s="37"/>
      <c r="R1137" s="139"/>
      <c r="S1137" s="140"/>
      <c r="T1137" s="144"/>
    </row>
    <row r="1138" spans="2:23" ht="18.75" customHeight="1">
      <c r="F1138" s="39"/>
      <c r="G1138" s="40"/>
    </row>
    <row r="1139" spans="2:23" ht="18.75" customHeight="1">
      <c r="C1139" s="137" t="s">
        <v>3182</v>
      </c>
      <c r="D1139" s="138"/>
      <c r="E1139" s="143" t="str">
        <f>エンティティ一覧!$O$2</f>
        <v>milscm_2023_010</v>
      </c>
      <c r="G1139" s="41"/>
    </row>
    <row r="1140" spans="2:23" ht="18.75" customHeight="1">
      <c r="C1140" s="139"/>
      <c r="D1140" s="140"/>
      <c r="E1140" s="144"/>
      <c r="F1140" s="37"/>
    </row>
    <row r="1142" spans="2:23" ht="18.75" customHeight="1" thickBot="1">
      <c r="B1142" s="42"/>
      <c r="C1142" s="42"/>
      <c r="D1142" s="42"/>
      <c r="E1142" s="42"/>
      <c r="F1142" s="42"/>
      <c r="G1142" s="42"/>
      <c r="H1142" s="42"/>
      <c r="I1142" s="42"/>
      <c r="J1142" s="42"/>
      <c r="K1142" s="42"/>
      <c r="L1142" s="42"/>
      <c r="M1142" s="42"/>
      <c r="N1142" s="42"/>
      <c r="O1142" s="42"/>
      <c r="P1142" s="42"/>
      <c r="Q1142" s="42"/>
      <c r="R1142" s="42"/>
      <c r="S1142" s="42"/>
      <c r="T1142" s="42"/>
      <c r="U1142" s="42"/>
    </row>
    <row r="1144" spans="2:23" ht="18.75" customHeight="1">
      <c r="B1144" s="43" t="s">
        <v>163</v>
      </c>
      <c r="C1144" s="51" t="s">
        <v>3402</v>
      </c>
      <c r="D1144" s="88"/>
      <c r="W1144" s="35" t="str">
        <f>"-- "&amp;B1144&amp;" : "&amp;C1144</f>
        <v>-- SQL_ID : 01_C2-01</v>
      </c>
    </row>
    <row r="1145" spans="2:23" ht="18.75" customHeight="1">
      <c r="B1145" s="43" t="s">
        <v>158</v>
      </c>
      <c r="C1145" s="145" t="str">
        <f>R1148&amp;"登録"</f>
        <v>バックアップ_医科レセプト_医療機関情報レコード登録</v>
      </c>
      <c r="D1145" s="146"/>
      <c r="E1145" s="146"/>
      <c r="F1145" s="146"/>
      <c r="G1145" s="146"/>
      <c r="H1145" s="146"/>
      <c r="I1145" s="146"/>
      <c r="J1145" s="146"/>
      <c r="K1145" s="146"/>
      <c r="L1145" s="146"/>
      <c r="M1145" s="146"/>
      <c r="N1145" s="146"/>
      <c r="O1145" s="146"/>
      <c r="P1145" s="146"/>
      <c r="Q1145" s="146"/>
      <c r="R1145" s="146"/>
      <c r="S1145" s="146"/>
      <c r="T1145" s="146"/>
      <c r="U1145" s="147"/>
      <c r="W1145" s="35" t="str">
        <f>"-- "&amp;C1145</f>
        <v>-- バックアップ_医科レセプト_医療機関情報レコード登録</v>
      </c>
    </row>
    <row r="1146" spans="2:23" ht="18.75" customHeight="1">
      <c r="B1146" s="43" t="s">
        <v>159</v>
      </c>
      <c r="C1146" s="134" t="str">
        <f>C1148&amp;"テーブルから組入れ条件の第一条件で絞り込んだ結果を"&amp;R1148&amp;"テーブルに格納する。"</f>
        <v>医科レセプト_医療機関情報レコード_結合テーブルから組入れ条件の第一条件で絞り込んだ結果をバックアップ_医科レセプト_医療機関情報レコードテーブルに格納する。</v>
      </c>
      <c r="D1146" s="135"/>
      <c r="E1146" s="135"/>
      <c r="F1146" s="135"/>
      <c r="G1146" s="135"/>
      <c r="H1146" s="135"/>
      <c r="I1146" s="135"/>
      <c r="J1146" s="135"/>
      <c r="K1146" s="135"/>
      <c r="L1146" s="135"/>
      <c r="M1146" s="135"/>
      <c r="N1146" s="135"/>
      <c r="O1146" s="135"/>
      <c r="P1146" s="135"/>
      <c r="Q1146" s="135"/>
      <c r="R1146" s="135"/>
      <c r="S1146" s="135"/>
      <c r="T1146" s="135"/>
      <c r="U1146" s="136"/>
      <c r="W1146" s="35" t="str">
        <f>"-- "&amp;C1146</f>
        <v>-- 医科レセプト_医療機関情報レコード_結合テーブルから組入れ条件の第一条件で絞り込んだ結果をバックアップ_医科レセプト_医療機関情報レコードテーブルに格納する。</v>
      </c>
    </row>
    <row r="1148" spans="2:23" ht="18.75" customHeight="1">
      <c r="C1148" s="137" t="s">
        <v>3403</v>
      </c>
      <c r="D1148" s="138"/>
      <c r="E1148" s="141" t="s">
        <v>162</v>
      </c>
      <c r="H1148" s="36"/>
      <c r="I1148" s="36"/>
      <c r="J1148" s="36"/>
      <c r="K1148" s="36"/>
      <c r="L1148" s="36"/>
      <c r="M1148" s="36"/>
      <c r="N1148" s="36"/>
      <c r="O1148" s="36"/>
      <c r="P1148" s="36"/>
      <c r="Q1148" s="36"/>
      <c r="R1148" s="137" t="str">
        <f>"バックアップ_"&amp;SUBSTITUTE(C1148,"_結合","")</f>
        <v>バックアップ_医科レセプト_医療機関情報レコード</v>
      </c>
      <c r="S1148" s="138"/>
      <c r="T1148" s="143" t="str">
        <f>エンティティ一覧!$O$2</f>
        <v>milscm_2023_010</v>
      </c>
    </row>
    <row r="1149" spans="2:23" ht="18.75" customHeight="1">
      <c r="C1149" s="139"/>
      <c r="D1149" s="140"/>
      <c r="E1149" s="142"/>
      <c r="F1149" s="37"/>
      <c r="G1149" s="38"/>
      <c r="H1149" s="37"/>
      <c r="I1149" s="37"/>
      <c r="J1149" s="37"/>
      <c r="K1149" s="37"/>
      <c r="L1149" s="37"/>
      <c r="M1149" s="37"/>
      <c r="N1149" s="37"/>
      <c r="O1149" s="37"/>
      <c r="P1149" s="37"/>
      <c r="Q1149" s="37"/>
      <c r="R1149" s="139"/>
      <c r="S1149" s="140"/>
      <c r="T1149" s="144"/>
    </row>
    <row r="1150" spans="2:23" ht="18.75" customHeight="1">
      <c r="F1150" s="39"/>
      <c r="G1150" s="40"/>
    </row>
    <row r="1151" spans="2:23" ht="18.75" customHeight="1">
      <c r="C1151" s="137" t="s">
        <v>3182</v>
      </c>
      <c r="D1151" s="138"/>
      <c r="E1151" s="143" t="str">
        <f>エンティティ一覧!$O$2</f>
        <v>milscm_2023_010</v>
      </c>
      <c r="G1151" s="41"/>
    </row>
    <row r="1152" spans="2:23" ht="18.75" customHeight="1">
      <c r="C1152" s="139"/>
      <c r="D1152" s="140"/>
      <c r="E1152" s="144"/>
      <c r="F1152" s="37"/>
    </row>
    <row r="1154" spans="2:23" ht="18.75" customHeight="1" thickBot="1">
      <c r="B1154" s="42"/>
      <c r="C1154" s="42"/>
      <c r="D1154" s="42"/>
      <c r="E1154" s="42"/>
      <c r="F1154" s="42"/>
      <c r="G1154" s="42"/>
      <c r="H1154" s="42"/>
      <c r="I1154" s="42"/>
      <c r="J1154" s="42"/>
      <c r="K1154" s="42"/>
      <c r="L1154" s="42"/>
      <c r="M1154" s="42"/>
      <c r="N1154" s="42"/>
      <c r="O1154" s="42"/>
      <c r="P1154" s="42"/>
      <c r="Q1154" s="42"/>
      <c r="R1154" s="42"/>
      <c r="S1154" s="42"/>
      <c r="T1154" s="42"/>
      <c r="U1154" s="42"/>
    </row>
    <row r="1156" spans="2:23" ht="18.75" customHeight="1">
      <c r="B1156" s="43" t="s">
        <v>163</v>
      </c>
      <c r="C1156" s="51" t="s">
        <v>3404</v>
      </c>
      <c r="D1156" s="88"/>
      <c r="W1156" s="35" t="str">
        <f>"-- "&amp;B1156&amp;" : "&amp;C1156</f>
        <v>-- SQL_ID : 01_C2-02</v>
      </c>
    </row>
    <row r="1157" spans="2:23" ht="18.75" customHeight="1">
      <c r="B1157" s="43" t="s">
        <v>158</v>
      </c>
      <c r="C1157" s="145" t="str">
        <f>R1160&amp;"登録"</f>
        <v>バックアップ_医科レセプト_レセプト共通レコード登録</v>
      </c>
      <c r="D1157" s="146"/>
      <c r="E1157" s="146"/>
      <c r="F1157" s="146"/>
      <c r="G1157" s="146"/>
      <c r="H1157" s="146"/>
      <c r="I1157" s="146"/>
      <c r="J1157" s="146"/>
      <c r="K1157" s="146"/>
      <c r="L1157" s="146"/>
      <c r="M1157" s="146"/>
      <c r="N1157" s="146"/>
      <c r="O1157" s="146"/>
      <c r="P1157" s="146"/>
      <c r="Q1157" s="146"/>
      <c r="R1157" s="146"/>
      <c r="S1157" s="146"/>
      <c r="T1157" s="146"/>
      <c r="U1157" s="147"/>
      <c r="W1157" s="35" t="str">
        <f>"-- "&amp;C1157</f>
        <v>-- バックアップ_医科レセプト_レセプト共通レコード登録</v>
      </c>
    </row>
    <row r="1158" spans="2:23" ht="18.75" customHeight="1">
      <c r="B1158" s="43" t="s">
        <v>159</v>
      </c>
      <c r="C1158" s="134" t="str">
        <f>C1160&amp;"テーブルから組入れ条件の第一条件で絞り込んだ結果を"&amp;R1160&amp;"テーブルに格納する。"</f>
        <v>医科レセプト_レセプト共通レコード_結合テーブルから組入れ条件の第一条件で絞り込んだ結果をバックアップ_医科レセプト_レセプト共通レコードテーブルに格納する。</v>
      </c>
      <c r="D1158" s="135"/>
      <c r="E1158" s="135"/>
      <c r="F1158" s="135"/>
      <c r="G1158" s="135"/>
      <c r="H1158" s="135"/>
      <c r="I1158" s="135"/>
      <c r="J1158" s="135"/>
      <c r="K1158" s="135"/>
      <c r="L1158" s="135"/>
      <c r="M1158" s="135"/>
      <c r="N1158" s="135"/>
      <c r="O1158" s="135"/>
      <c r="P1158" s="135"/>
      <c r="Q1158" s="135"/>
      <c r="R1158" s="135"/>
      <c r="S1158" s="135"/>
      <c r="T1158" s="135"/>
      <c r="U1158" s="136"/>
      <c r="W1158" s="35" t="str">
        <f>"-- "&amp;C1158</f>
        <v>-- 医科レセプト_レセプト共通レコード_結合テーブルから組入れ条件の第一条件で絞り込んだ結果をバックアップ_医科レセプト_レセプト共通レコードテーブルに格納する。</v>
      </c>
    </row>
    <row r="1160" spans="2:23" ht="18.75" customHeight="1">
      <c r="C1160" s="137" t="s">
        <v>3405</v>
      </c>
      <c r="D1160" s="138"/>
      <c r="E1160" s="141" t="s">
        <v>162</v>
      </c>
      <c r="H1160" s="36"/>
      <c r="I1160" s="36"/>
      <c r="J1160" s="36"/>
      <c r="K1160" s="36"/>
      <c r="L1160" s="36"/>
      <c r="M1160" s="36"/>
      <c r="N1160" s="36"/>
      <c r="O1160" s="36"/>
      <c r="P1160" s="36"/>
      <c r="Q1160" s="36"/>
      <c r="R1160" s="137" t="str">
        <f>"バックアップ_"&amp;SUBSTITUTE(C1160,"_結合","")</f>
        <v>バックアップ_医科レセプト_レセプト共通レコード</v>
      </c>
      <c r="S1160" s="138"/>
      <c r="T1160" s="143" t="str">
        <f>エンティティ一覧!$O$2</f>
        <v>milscm_2023_010</v>
      </c>
    </row>
    <row r="1161" spans="2:23" ht="18.75" customHeight="1">
      <c r="C1161" s="139"/>
      <c r="D1161" s="140"/>
      <c r="E1161" s="142"/>
      <c r="F1161" s="37"/>
      <c r="G1161" s="38"/>
      <c r="H1161" s="37"/>
      <c r="I1161" s="37"/>
      <c r="J1161" s="37"/>
      <c r="K1161" s="37"/>
      <c r="L1161" s="37"/>
      <c r="M1161" s="37"/>
      <c r="N1161" s="37"/>
      <c r="O1161" s="37"/>
      <c r="P1161" s="37"/>
      <c r="Q1161" s="37"/>
      <c r="R1161" s="139"/>
      <c r="S1161" s="140"/>
      <c r="T1161" s="144"/>
    </row>
    <row r="1162" spans="2:23" ht="18.75" customHeight="1">
      <c r="F1162" s="39"/>
      <c r="G1162" s="40"/>
    </row>
    <row r="1163" spans="2:23" ht="18.75" customHeight="1">
      <c r="C1163" s="137" t="s">
        <v>3182</v>
      </c>
      <c r="D1163" s="138"/>
      <c r="E1163" s="143" t="str">
        <f>エンティティ一覧!$O$2</f>
        <v>milscm_2023_010</v>
      </c>
      <c r="G1163" s="41"/>
    </row>
    <row r="1164" spans="2:23" ht="18.75" customHeight="1">
      <c r="C1164" s="139"/>
      <c r="D1164" s="140"/>
      <c r="E1164" s="144"/>
      <c r="F1164" s="37"/>
    </row>
    <row r="1166" spans="2:23" ht="18.75" customHeight="1" thickBot="1">
      <c r="B1166" s="42"/>
      <c r="C1166" s="42"/>
      <c r="D1166" s="42"/>
      <c r="E1166" s="42"/>
      <c r="F1166" s="42"/>
      <c r="G1166" s="42"/>
      <c r="H1166" s="42"/>
      <c r="I1166" s="42"/>
      <c r="J1166" s="42"/>
      <c r="K1166" s="42"/>
      <c r="L1166" s="42"/>
      <c r="M1166" s="42"/>
      <c r="N1166" s="42"/>
      <c r="O1166" s="42"/>
      <c r="P1166" s="42"/>
      <c r="Q1166" s="42"/>
      <c r="R1166" s="42"/>
      <c r="S1166" s="42"/>
      <c r="T1166" s="42"/>
      <c r="U1166" s="42"/>
    </row>
    <row r="1168" spans="2:23" ht="18.75" customHeight="1">
      <c r="B1168" s="43" t="s">
        <v>163</v>
      </c>
      <c r="C1168" s="51" t="s">
        <v>3406</v>
      </c>
      <c r="D1168" s="88"/>
      <c r="W1168" s="35" t="str">
        <f>"-- "&amp;B1168&amp;" : "&amp;C1168</f>
        <v>-- SQL_ID : 01_C2-06</v>
      </c>
    </row>
    <row r="1169" spans="2:23" ht="18.75" customHeight="1">
      <c r="B1169" s="43" t="s">
        <v>158</v>
      </c>
      <c r="C1169" s="145" t="str">
        <f>R1172&amp;"登録"</f>
        <v>バックアップ_医科レセプト_傷病名レコード登録</v>
      </c>
      <c r="D1169" s="146"/>
      <c r="E1169" s="146"/>
      <c r="F1169" s="146"/>
      <c r="G1169" s="146"/>
      <c r="H1169" s="146"/>
      <c r="I1169" s="146"/>
      <c r="J1169" s="146"/>
      <c r="K1169" s="146"/>
      <c r="L1169" s="146"/>
      <c r="M1169" s="146"/>
      <c r="N1169" s="146"/>
      <c r="O1169" s="146"/>
      <c r="P1169" s="146"/>
      <c r="Q1169" s="146"/>
      <c r="R1169" s="146"/>
      <c r="S1169" s="146"/>
      <c r="T1169" s="146"/>
      <c r="U1169" s="147"/>
      <c r="W1169" s="35" t="str">
        <f>"-- "&amp;C1169</f>
        <v>-- バックアップ_医科レセプト_傷病名レコード登録</v>
      </c>
    </row>
    <row r="1170" spans="2:23" ht="18.75" customHeight="1">
      <c r="B1170" s="43" t="s">
        <v>159</v>
      </c>
      <c r="C1170" s="134" t="str">
        <f>C1172&amp;"テーブルから組入れ条件の第一条件で絞り込んだ結果を"&amp;R1172&amp;"テーブルに格納する。"</f>
        <v>医科レセプト_傷病名レコード_結合テーブルから組入れ条件の第一条件で絞り込んだ結果をバックアップ_医科レセプト_傷病名レコードテーブルに格納する。</v>
      </c>
      <c r="D1170" s="135"/>
      <c r="E1170" s="135"/>
      <c r="F1170" s="135"/>
      <c r="G1170" s="135"/>
      <c r="H1170" s="135"/>
      <c r="I1170" s="135"/>
      <c r="J1170" s="135"/>
      <c r="K1170" s="135"/>
      <c r="L1170" s="135"/>
      <c r="M1170" s="135"/>
      <c r="N1170" s="135"/>
      <c r="O1170" s="135"/>
      <c r="P1170" s="135"/>
      <c r="Q1170" s="135"/>
      <c r="R1170" s="135"/>
      <c r="S1170" s="135"/>
      <c r="T1170" s="135"/>
      <c r="U1170" s="136"/>
      <c r="W1170" s="35" t="str">
        <f>"-- "&amp;C1170</f>
        <v>-- 医科レセプト_傷病名レコード_結合テーブルから組入れ条件の第一条件で絞り込んだ結果をバックアップ_医科レセプト_傷病名レコードテーブルに格納する。</v>
      </c>
    </row>
    <row r="1172" spans="2:23" ht="18.75" customHeight="1">
      <c r="C1172" s="137" t="s">
        <v>3407</v>
      </c>
      <c r="D1172" s="138"/>
      <c r="E1172" s="141" t="s">
        <v>162</v>
      </c>
      <c r="H1172" s="36"/>
      <c r="I1172" s="36"/>
      <c r="J1172" s="36"/>
      <c r="K1172" s="36"/>
      <c r="L1172" s="36"/>
      <c r="M1172" s="36"/>
      <c r="N1172" s="36"/>
      <c r="O1172" s="36"/>
      <c r="P1172" s="36"/>
      <c r="Q1172" s="36"/>
      <c r="R1172" s="137" t="str">
        <f>"バックアップ_"&amp;SUBSTITUTE(C1172,"_結合","")</f>
        <v>バックアップ_医科レセプト_傷病名レコード</v>
      </c>
      <c r="S1172" s="138"/>
      <c r="T1172" s="143" t="str">
        <f>エンティティ一覧!$O$2</f>
        <v>milscm_2023_010</v>
      </c>
    </row>
    <row r="1173" spans="2:23" ht="18.75" customHeight="1">
      <c r="C1173" s="139"/>
      <c r="D1173" s="140"/>
      <c r="E1173" s="142"/>
      <c r="F1173" s="37"/>
      <c r="G1173" s="38"/>
      <c r="H1173" s="37"/>
      <c r="I1173" s="37"/>
      <c r="J1173" s="37"/>
      <c r="K1173" s="37"/>
      <c r="L1173" s="37"/>
      <c r="M1173" s="37"/>
      <c r="N1173" s="37"/>
      <c r="O1173" s="37"/>
      <c r="P1173" s="37"/>
      <c r="Q1173" s="37"/>
      <c r="R1173" s="139"/>
      <c r="S1173" s="140"/>
      <c r="T1173" s="144"/>
    </row>
    <row r="1174" spans="2:23" ht="18.75" customHeight="1">
      <c r="F1174" s="39"/>
      <c r="G1174" s="40"/>
    </row>
    <row r="1175" spans="2:23" ht="18.75" customHeight="1">
      <c r="C1175" s="137" t="s">
        <v>3182</v>
      </c>
      <c r="D1175" s="138"/>
      <c r="E1175" s="143" t="str">
        <f>エンティティ一覧!$O$2</f>
        <v>milscm_2023_010</v>
      </c>
      <c r="G1175" s="41"/>
    </row>
    <row r="1176" spans="2:23" ht="18.75" customHeight="1">
      <c r="C1176" s="139"/>
      <c r="D1176" s="140"/>
      <c r="E1176" s="144"/>
      <c r="F1176" s="37"/>
    </row>
    <row r="1178" spans="2:23" ht="18.75" customHeight="1" thickBot="1">
      <c r="B1178" s="42"/>
      <c r="C1178" s="42"/>
      <c r="D1178" s="42"/>
      <c r="E1178" s="42"/>
      <c r="F1178" s="42"/>
      <c r="G1178" s="42"/>
      <c r="H1178" s="42"/>
      <c r="I1178" s="42"/>
      <c r="J1178" s="42"/>
      <c r="K1178" s="42"/>
      <c r="L1178" s="42"/>
      <c r="M1178" s="42"/>
      <c r="N1178" s="42"/>
      <c r="O1178" s="42"/>
      <c r="P1178" s="42"/>
      <c r="Q1178" s="42"/>
      <c r="R1178" s="42"/>
      <c r="S1178" s="42"/>
      <c r="T1178" s="42"/>
      <c r="U1178" s="42"/>
    </row>
    <row r="1180" spans="2:23" ht="18.75" customHeight="1">
      <c r="B1180" s="43" t="s">
        <v>163</v>
      </c>
      <c r="C1180" s="51" t="s">
        <v>3408</v>
      </c>
      <c r="D1180" s="88"/>
      <c r="W1180" s="35" t="str">
        <f>"-- "&amp;B1180&amp;" : "&amp;C1180</f>
        <v>-- SQL_ID : 01_C2-07</v>
      </c>
    </row>
    <row r="1181" spans="2:23" ht="18.75" customHeight="1">
      <c r="B1181" s="43" t="s">
        <v>158</v>
      </c>
      <c r="C1181" s="145" t="str">
        <f>R1184&amp;"登録"</f>
        <v>バックアップ_医科レセプト_診療行為レコード登録</v>
      </c>
      <c r="D1181" s="146"/>
      <c r="E1181" s="146"/>
      <c r="F1181" s="146"/>
      <c r="G1181" s="146"/>
      <c r="H1181" s="146"/>
      <c r="I1181" s="146"/>
      <c r="J1181" s="146"/>
      <c r="K1181" s="146"/>
      <c r="L1181" s="146"/>
      <c r="M1181" s="146"/>
      <c r="N1181" s="146"/>
      <c r="O1181" s="146"/>
      <c r="P1181" s="146"/>
      <c r="Q1181" s="146"/>
      <c r="R1181" s="146"/>
      <c r="S1181" s="146"/>
      <c r="T1181" s="146"/>
      <c r="U1181" s="147"/>
      <c r="W1181" s="35" t="str">
        <f>"-- "&amp;C1181</f>
        <v>-- バックアップ_医科レセプト_診療行為レコード登録</v>
      </c>
    </row>
    <row r="1182" spans="2:23" ht="18.75" customHeight="1">
      <c r="B1182" s="43" t="s">
        <v>159</v>
      </c>
      <c r="C1182" s="134" t="str">
        <f>C1184&amp;"テーブルから組入れ条件の第一条件で絞り込んだ結果を"&amp;R1184&amp;"テーブルに格納する。"</f>
        <v>医科レセプト_診療行為レコード_結合テーブルから組入れ条件の第一条件で絞り込んだ結果をバックアップ_医科レセプト_診療行為レコードテーブルに格納する。</v>
      </c>
      <c r="D1182" s="135"/>
      <c r="E1182" s="135"/>
      <c r="F1182" s="135"/>
      <c r="G1182" s="135"/>
      <c r="H1182" s="135"/>
      <c r="I1182" s="135"/>
      <c r="J1182" s="135"/>
      <c r="K1182" s="135"/>
      <c r="L1182" s="135"/>
      <c r="M1182" s="135"/>
      <c r="N1182" s="135"/>
      <c r="O1182" s="135"/>
      <c r="P1182" s="135"/>
      <c r="Q1182" s="135"/>
      <c r="R1182" s="135"/>
      <c r="S1182" s="135"/>
      <c r="T1182" s="135"/>
      <c r="U1182" s="136"/>
      <c r="W1182" s="35" t="str">
        <f>"-- "&amp;C1182</f>
        <v>-- 医科レセプト_診療行為レコード_結合テーブルから組入れ条件の第一条件で絞り込んだ結果をバックアップ_医科レセプト_診療行為レコードテーブルに格納する。</v>
      </c>
    </row>
    <row r="1184" spans="2:23" ht="18.75" customHeight="1">
      <c r="C1184" s="137" t="s">
        <v>3409</v>
      </c>
      <c r="D1184" s="138"/>
      <c r="E1184" s="141" t="s">
        <v>162</v>
      </c>
      <c r="H1184" s="36"/>
      <c r="I1184" s="36"/>
      <c r="J1184" s="36"/>
      <c r="K1184" s="36"/>
      <c r="L1184" s="36"/>
      <c r="M1184" s="36"/>
      <c r="N1184" s="36"/>
      <c r="O1184" s="36"/>
      <c r="P1184" s="36"/>
      <c r="Q1184" s="36"/>
      <c r="R1184" s="137" t="str">
        <f>"バックアップ_"&amp;SUBSTITUTE(C1184,"_結合","")</f>
        <v>バックアップ_医科レセプト_診療行為レコード</v>
      </c>
      <c r="S1184" s="138"/>
      <c r="T1184" s="143" t="str">
        <f>エンティティ一覧!$O$2</f>
        <v>milscm_2023_010</v>
      </c>
    </row>
    <row r="1185" spans="2:23" ht="18.75" customHeight="1">
      <c r="C1185" s="139"/>
      <c r="D1185" s="140"/>
      <c r="E1185" s="142"/>
      <c r="F1185" s="37"/>
      <c r="G1185" s="38"/>
      <c r="H1185" s="37"/>
      <c r="I1185" s="37"/>
      <c r="J1185" s="37"/>
      <c r="K1185" s="37"/>
      <c r="L1185" s="37"/>
      <c r="M1185" s="37"/>
      <c r="N1185" s="37"/>
      <c r="O1185" s="37"/>
      <c r="P1185" s="37"/>
      <c r="Q1185" s="37"/>
      <c r="R1185" s="139"/>
      <c r="S1185" s="140"/>
      <c r="T1185" s="144"/>
    </row>
    <row r="1186" spans="2:23" ht="18.75" customHeight="1">
      <c r="F1186" s="39"/>
      <c r="G1186" s="40"/>
    </row>
    <row r="1187" spans="2:23" ht="18.75" customHeight="1">
      <c r="C1187" s="137" t="s">
        <v>3182</v>
      </c>
      <c r="D1187" s="138"/>
      <c r="E1187" s="143" t="str">
        <f>エンティティ一覧!$O$2</f>
        <v>milscm_2023_010</v>
      </c>
      <c r="G1187" s="41"/>
    </row>
    <row r="1188" spans="2:23" ht="18.75" customHeight="1">
      <c r="C1188" s="139"/>
      <c r="D1188" s="140"/>
      <c r="E1188" s="144"/>
      <c r="F1188" s="37"/>
    </row>
    <row r="1190" spans="2:23" ht="18.75" customHeight="1" thickBot="1">
      <c r="B1190" s="42"/>
      <c r="C1190" s="42"/>
      <c r="D1190" s="42"/>
      <c r="E1190" s="42"/>
      <c r="F1190" s="42"/>
      <c r="G1190" s="42"/>
      <c r="H1190" s="42"/>
      <c r="I1190" s="42"/>
      <c r="J1190" s="42"/>
      <c r="K1190" s="42"/>
      <c r="L1190" s="42"/>
      <c r="M1190" s="42"/>
      <c r="N1190" s="42"/>
      <c r="O1190" s="42"/>
      <c r="P1190" s="42"/>
      <c r="Q1190" s="42"/>
      <c r="R1190" s="42"/>
      <c r="S1190" s="42"/>
      <c r="T1190" s="42"/>
      <c r="U1190" s="42"/>
    </row>
    <row r="1192" spans="2:23" ht="18.75" customHeight="1">
      <c r="B1192" s="43" t="s">
        <v>163</v>
      </c>
      <c r="C1192" s="51" t="s">
        <v>3410</v>
      </c>
      <c r="D1192" s="88"/>
      <c r="W1192" s="35" t="str">
        <f>"-- "&amp;B1192&amp;" : "&amp;C1192</f>
        <v>-- SQL_ID : 01_C2-08</v>
      </c>
    </row>
    <row r="1193" spans="2:23" ht="18.75" customHeight="1">
      <c r="B1193" s="43" t="s">
        <v>158</v>
      </c>
      <c r="C1193" s="145" t="str">
        <f>R1196&amp;"登録"</f>
        <v>バックアップ_医科レセプト_診療行為レコード_算定日情報登録</v>
      </c>
      <c r="D1193" s="146"/>
      <c r="E1193" s="146"/>
      <c r="F1193" s="146"/>
      <c r="G1193" s="146"/>
      <c r="H1193" s="146"/>
      <c r="I1193" s="146"/>
      <c r="J1193" s="146"/>
      <c r="K1193" s="146"/>
      <c r="L1193" s="146"/>
      <c r="M1193" s="146"/>
      <c r="N1193" s="146"/>
      <c r="O1193" s="146"/>
      <c r="P1193" s="146"/>
      <c r="Q1193" s="146"/>
      <c r="R1193" s="146"/>
      <c r="S1193" s="146"/>
      <c r="T1193" s="146"/>
      <c r="U1193" s="147"/>
      <c r="W1193" s="35" t="str">
        <f>"-- "&amp;C1193</f>
        <v>-- バックアップ_医科レセプト_診療行為レコード_算定日情報登録</v>
      </c>
    </row>
    <row r="1194" spans="2:23" ht="18.75" customHeight="1">
      <c r="B1194" s="43" t="s">
        <v>159</v>
      </c>
      <c r="C1194" s="134" t="str">
        <f>C1196&amp;"テーブルから組入れ条件の第一条件で絞り込んだ結果を"&amp;R1196&amp;"テーブルに格納する。"</f>
        <v>医科レセプト_診療行為レコード_算定日情報_結合テーブルから組入れ条件の第一条件で絞り込んだ結果をバックアップ_医科レセプト_診療行為レコード_算定日情報テーブルに格納する。</v>
      </c>
      <c r="D1194" s="135"/>
      <c r="E1194" s="135"/>
      <c r="F1194" s="135"/>
      <c r="G1194" s="135"/>
      <c r="H1194" s="135"/>
      <c r="I1194" s="135"/>
      <c r="J1194" s="135"/>
      <c r="K1194" s="135"/>
      <c r="L1194" s="135"/>
      <c r="M1194" s="135"/>
      <c r="N1194" s="135"/>
      <c r="O1194" s="135"/>
      <c r="P1194" s="135"/>
      <c r="Q1194" s="135"/>
      <c r="R1194" s="135"/>
      <c r="S1194" s="135"/>
      <c r="T1194" s="135"/>
      <c r="U1194" s="136"/>
      <c r="W1194" s="35" t="str">
        <f>"-- "&amp;C1194</f>
        <v>-- 医科レセプト_診療行為レコード_算定日情報_結合テーブルから組入れ条件の第一条件で絞り込んだ結果をバックアップ_医科レセプト_診療行為レコード_算定日情報テーブルに格納する。</v>
      </c>
    </row>
    <row r="1196" spans="2:23" ht="18.75" customHeight="1">
      <c r="C1196" s="137" t="s">
        <v>3411</v>
      </c>
      <c r="D1196" s="138"/>
      <c r="E1196" s="141" t="s">
        <v>162</v>
      </c>
      <c r="H1196" s="36"/>
      <c r="I1196" s="36"/>
      <c r="J1196" s="36"/>
      <c r="K1196" s="36"/>
      <c r="L1196" s="36"/>
      <c r="M1196" s="36"/>
      <c r="N1196" s="36"/>
      <c r="O1196" s="36"/>
      <c r="P1196" s="36"/>
      <c r="Q1196" s="36"/>
      <c r="R1196" s="148" t="str">
        <f>"バックアップ_"&amp;SUBSTITUTE(C1196,"_結合","")</f>
        <v>バックアップ_医科レセプト_診療行為レコード_算定日情報</v>
      </c>
      <c r="S1196" s="149"/>
      <c r="T1196" s="143" t="str">
        <f>エンティティ一覧!$O$2</f>
        <v>milscm_2023_010</v>
      </c>
    </row>
    <row r="1197" spans="2:23" ht="18.75" customHeight="1">
      <c r="C1197" s="139"/>
      <c r="D1197" s="140"/>
      <c r="E1197" s="142"/>
      <c r="F1197" s="37"/>
      <c r="G1197" s="38"/>
      <c r="H1197" s="37"/>
      <c r="I1197" s="37"/>
      <c r="J1197" s="37"/>
      <c r="K1197" s="37"/>
      <c r="L1197" s="37"/>
      <c r="M1197" s="37"/>
      <c r="N1197" s="37"/>
      <c r="O1197" s="37"/>
      <c r="P1197" s="37"/>
      <c r="Q1197" s="37"/>
      <c r="R1197" s="150"/>
      <c r="S1197" s="151"/>
      <c r="T1197" s="144"/>
    </row>
    <row r="1198" spans="2:23" ht="18.75" customHeight="1">
      <c r="F1198" s="39"/>
      <c r="G1198" s="40"/>
    </row>
    <row r="1199" spans="2:23" ht="18.75" customHeight="1">
      <c r="C1199" s="137" t="s">
        <v>3182</v>
      </c>
      <c r="D1199" s="138"/>
      <c r="E1199" s="143" t="str">
        <f>エンティティ一覧!$O$2</f>
        <v>milscm_2023_010</v>
      </c>
      <c r="G1199" s="41"/>
    </row>
    <row r="1200" spans="2:23" ht="18.75" customHeight="1">
      <c r="C1200" s="139"/>
      <c r="D1200" s="140"/>
      <c r="E1200" s="144"/>
      <c r="F1200" s="37"/>
    </row>
    <row r="1202" spans="2:23" ht="18.75" customHeight="1" thickBot="1">
      <c r="B1202" s="42"/>
      <c r="C1202" s="42"/>
      <c r="D1202" s="42"/>
      <c r="E1202" s="42"/>
      <c r="F1202" s="42"/>
      <c r="G1202" s="42"/>
      <c r="H1202" s="42"/>
      <c r="I1202" s="42"/>
      <c r="J1202" s="42"/>
      <c r="K1202" s="42"/>
      <c r="L1202" s="42"/>
      <c r="M1202" s="42"/>
      <c r="N1202" s="42"/>
      <c r="O1202" s="42"/>
      <c r="P1202" s="42"/>
      <c r="Q1202" s="42"/>
      <c r="R1202" s="42"/>
      <c r="S1202" s="42"/>
      <c r="T1202" s="42"/>
      <c r="U1202" s="42"/>
    </row>
    <row r="1204" spans="2:23" ht="18.75" customHeight="1">
      <c r="B1204" s="43" t="s">
        <v>163</v>
      </c>
      <c r="C1204" s="51" t="s">
        <v>3412</v>
      </c>
      <c r="D1204" s="88"/>
      <c r="W1204" s="35" t="str">
        <f>"-- "&amp;B1204&amp;" : "&amp;C1204</f>
        <v>-- SQL_ID : 01_C2-09</v>
      </c>
    </row>
    <row r="1205" spans="2:23" ht="18.75" customHeight="1">
      <c r="B1205" s="43" t="s">
        <v>158</v>
      </c>
      <c r="C1205" s="145" t="str">
        <f>R1208&amp;"登録"</f>
        <v>バックアップ_医科レセプト_医薬品レコード登録</v>
      </c>
      <c r="D1205" s="146"/>
      <c r="E1205" s="146"/>
      <c r="F1205" s="146"/>
      <c r="G1205" s="146"/>
      <c r="H1205" s="146"/>
      <c r="I1205" s="146"/>
      <c r="J1205" s="146"/>
      <c r="K1205" s="146"/>
      <c r="L1205" s="146"/>
      <c r="M1205" s="146"/>
      <c r="N1205" s="146"/>
      <c r="O1205" s="146"/>
      <c r="P1205" s="146"/>
      <c r="Q1205" s="146"/>
      <c r="R1205" s="146"/>
      <c r="S1205" s="146"/>
      <c r="T1205" s="146"/>
      <c r="U1205" s="147"/>
      <c r="W1205" s="35" t="str">
        <f>"-- "&amp;C1205</f>
        <v>-- バックアップ_医科レセプト_医薬品レコード登録</v>
      </c>
    </row>
    <row r="1206" spans="2:23" ht="18.75" customHeight="1">
      <c r="B1206" s="43" t="s">
        <v>159</v>
      </c>
      <c r="C1206" s="134" t="str">
        <f>C1208&amp;"テーブルから組入れ条件の第一条件で絞り込んだ結果を"&amp;R1208&amp;"テーブルに格納する。"</f>
        <v>医科レセプト_医薬品レコード_結合テーブルから組入れ条件の第一条件で絞り込んだ結果をバックアップ_医科レセプト_医薬品レコードテーブルに格納する。</v>
      </c>
      <c r="D1206" s="135"/>
      <c r="E1206" s="135"/>
      <c r="F1206" s="135"/>
      <c r="G1206" s="135"/>
      <c r="H1206" s="135"/>
      <c r="I1206" s="135"/>
      <c r="J1206" s="135"/>
      <c r="K1206" s="135"/>
      <c r="L1206" s="135"/>
      <c r="M1206" s="135"/>
      <c r="N1206" s="135"/>
      <c r="O1206" s="135"/>
      <c r="P1206" s="135"/>
      <c r="Q1206" s="135"/>
      <c r="R1206" s="135"/>
      <c r="S1206" s="135"/>
      <c r="T1206" s="135"/>
      <c r="U1206" s="136"/>
      <c r="W1206" s="35" t="str">
        <f>"-- "&amp;C1206</f>
        <v>-- 医科レセプト_医薬品レコード_結合テーブルから組入れ条件の第一条件で絞り込んだ結果をバックアップ_医科レセプト_医薬品レコードテーブルに格納する。</v>
      </c>
    </row>
    <row r="1208" spans="2:23" ht="18.75" customHeight="1">
      <c r="C1208" s="137" t="s">
        <v>3413</v>
      </c>
      <c r="D1208" s="138"/>
      <c r="E1208" s="141" t="s">
        <v>162</v>
      </c>
      <c r="H1208" s="36"/>
      <c r="I1208" s="36"/>
      <c r="J1208" s="36"/>
      <c r="K1208" s="36"/>
      <c r="L1208" s="36"/>
      <c r="M1208" s="36"/>
      <c r="N1208" s="36"/>
      <c r="O1208" s="36"/>
      <c r="P1208" s="36"/>
      <c r="Q1208" s="36"/>
      <c r="R1208" s="137" t="str">
        <f>"バックアップ_"&amp;SUBSTITUTE(C1208,"_結合","")</f>
        <v>バックアップ_医科レセプト_医薬品レコード</v>
      </c>
      <c r="S1208" s="138"/>
      <c r="T1208" s="143" t="str">
        <f>エンティティ一覧!$O$2</f>
        <v>milscm_2023_010</v>
      </c>
    </row>
    <row r="1209" spans="2:23" ht="18.75" customHeight="1">
      <c r="C1209" s="139"/>
      <c r="D1209" s="140"/>
      <c r="E1209" s="142"/>
      <c r="F1209" s="37"/>
      <c r="G1209" s="38"/>
      <c r="H1209" s="37"/>
      <c r="I1209" s="37"/>
      <c r="J1209" s="37"/>
      <c r="K1209" s="37"/>
      <c r="L1209" s="37"/>
      <c r="M1209" s="37"/>
      <c r="N1209" s="37"/>
      <c r="O1209" s="37"/>
      <c r="P1209" s="37"/>
      <c r="Q1209" s="37"/>
      <c r="R1209" s="139"/>
      <c r="S1209" s="140"/>
      <c r="T1209" s="144"/>
    </row>
    <row r="1210" spans="2:23" ht="18.75" customHeight="1">
      <c r="F1210" s="39"/>
      <c r="G1210" s="40"/>
    </row>
    <row r="1211" spans="2:23" ht="18.75" customHeight="1">
      <c r="C1211" s="137" t="s">
        <v>3182</v>
      </c>
      <c r="D1211" s="138"/>
      <c r="E1211" s="143" t="str">
        <f>エンティティ一覧!$O$2</f>
        <v>milscm_2023_010</v>
      </c>
      <c r="G1211" s="41"/>
    </row>
    <row r="1212" spans="2:23" ht="18.75" customHeight="1">
      <c r="C1212" s="139"/>
      <c r="D1212" s="140"/>
      <c r="E1212" s="144"/>
      <c r="F1212" s="37"/>
    </row>
    <row r="1214" spans="2:23" ht="18.75" customHeight="1" thickBot="1">
      <c r="B1214" s="42"/>
      <c r="C1214" s="42"/>
      <c r="D1214" s="42"/>
      <c r="E1214" s="42"/>
      <c r="F1214" s="42"/>
      <c r="G1214" s="42"/>
      <c r="H1214" s="42"/>
      <c r="I1214" s="42"/>
      <c r="J1214" s="42"/>
      <c r="K1214" s="42"/>
      <c r="L1214" s="42"/>
      <c r="M1214" s="42"/>
      <c r="N1214" s="42"/>
      <c r="O1214" s="42"/>
      <c r="P1214" s="42"/>
      <c r="Q1214" s="42"/>
      <c r="R1214" s="42"/>
      <c r="S1214" s="42"/>
      <c r="T1214" s="42"/>
      <c r="U1214" s="42"/>
    </row>
    <row r="1216" spans="2:23" ht="18.75" customHeight="1">
      <c r="B1216" s="43" t="s">
        <v>163</v>
      </c>
      <c r="C1216" s="51" t="s">
        <v>3414</v>
      </c>
      <c r="D1216" s="88"/>
      <c r="W1216" s="35" t="str">
        <f>"-- "&amp;B1216&amp;" : "&amp;C1216</f>
        <v>-- SQL_ID : 01_C2-10</v>
      </c>
    </row>
    <row r="1217" spans="2:23" ht="18.75" customHeight="1">
      <c r="B1217" s="43" t="s">
        <v>158</v>
      </c>
      <c r="C1217" s="145" t="str">
        <f>R1220&amp;"登録"</f>
        <v>バックアップ_医科レセプト_医薬品レコード_算定日情報登録</v>
      </c>
      <c r="D1217" s="146"/>
      <c r="E1217" s="146"/>
      <c r="F1217" s="146"/>
      <c r="G1217" s="146"/>
      <c r="H1217" s="146"/>
      <c r="I1217" s="146"/>
      <c r="J1217" s="146"/>
      <c r="K1217" s="146"/>
      <c r="L1217" s="146"/>
      <c r="M1217" s="146"/>
      <c r="N1217" s="146"/>
      <c r="O1217" s="146"/>
      <c r="P1217" s="146"/>
      <c r="Q1217" s="146"/>
      <c r="R1217" s="146"/>
      <c r="S1217" s="146"/>
      <c r="T1217" s="146"/>
      <c r="U1217" s="147"/>
      <c r="W1217" s="35" t="str">
        <f>"-- "&amp;C1217</f>
        <v>-- バックアップ_医科レセプト_医薬品レコード_算定日情報登録</v>
      </c>
    </row>
    <row r="1218" spans="2:23" ht="18.75" customHeight="1">
      <c r="B1218" s="43" t="s">
        <v>159</v>
      </c>
      <c r="C1218" s="134" t="str">
        <f>C1220&amp;"テーブルから組入れ条件の第一条件で絞り込んだ結果を"&amp;R1220&amp;"テーブルに格納する。"</f>
        <v>医科レセプト_医薬品レコード_算定日情報_結合テーブルから組入れ条件の第一条件で絞り込んだ結果をバックアップ_医科レセプト_医薬品レコード_算定日情報テーブルに格納する。</v>
      </c>
      <c r="D1218" s="135"/>
      <c r="E1218" s="135"/>
      <c r="F1218" s="135"/>
      <c r="G1218" s="135"/>
      <c r="H1218" s="135"/>
      <c r="I1218" s="135"/>
      <c r="J1218" s="135"/>
      <c r="K1218" s="135"/>
      <c r="L1218" s="135"/>
      <c r="M1218" s="135"/>
      <c r="N1218" s="135"/>
      <c r="O1218" s="135"/>
      <c r="P1218" s="135"/>
      <c r="Q1218" s="135"/>
      <c r="R1218" s="135"/>
      <c r="S1218" s="135"/>
      <c r="T1218" s="135"/>
      <c r="U1218" s="136"/>
      <c r="W1218" s="35" t="str">
        <f>"-- "&amp;C1218</f>
        <v>-- 医科レセプト_医薬品レコード_算定日情報_結合テーブルから組入れ条件の第一条件で絞り込んだ結果をバックアップ_医科レセプト_医薬品レコード_算定日情報テーブルに格納する。</v>
      </c>
    </row>
    <row r="1220" spans="2:23" ht="18.75" customHeight="1">
      <c r="C1220" s="137" t="s">
        <v>3415</v>
      </c>
      <c r="D1220" s="138"/>
      <c r="E1220" s="141" t="s">
        <v>162</v>
      </c>
      <c r="H1220" s="36"/>
      <c r="I1220" s="36"/>
      <c r="J1220" s="36"/>
      <c r="K1220" s="36"/>
      <c r="L1220" s="36"/>
      <c r="M1220" s="36"/>
      <c r="N1220" s="36"/>
      <c r="O1220" s="36"/>
      <c r="P1220" s="36"/>
      <c r="Q1220" s="36"/>
      <c r="R1220" s="148" t="str">
        <f>"バックアップ_"&amp;SUBSTITUTE(C1220,"_結合","")</f>
        <v>バックアップ_医科レセプト_医薬品レコード_算定日情報</v>
      </c>
      <c r="S1220" s="149"/>
      <c r="T1220" s="143" t="str">
        <f>エンティティ一覧!$O$2</f>
        <v>milscm_2023_010</v>
      </c>
    </row>
    <row r="1221" spans="2:23" ht="18.75" customHeight="1">
      <c r="C1221" s="139"/>
      <c r="D1221" s="140"/>
      <c r="E1221" s="142"/>
      <c r="F1221" s="37"/>
      <c r="G1221" s="38"/>
      <c r="H1221" s="37"/>
      <c r="I1221" s="37"/>
      <c r="J1221" s="37"/>
      <c r="K1221" s="37"/>
      <c r="L1221" s="37"/>
      <c r="M1221" s="37"/>
      <c r="N1221" s="37"/>
      <c r="O1221" s="37"/>
      <c r="P1221" s="37"/>
      <c r="Q1221" s="37"/>
      <c r="R1221" s="150"/>
      <c r="S1221" s="151"/>
      <c r="T1221" s="144"/>
    </row>
    <row r="1222" spans="2:23" ht="18.75" customHeight="1">
      <c r="F1222" s="39"/>
      <c r="G1222" s="40"/>
    </row>
    <row r="1223" spans="2:23" ht="18.75" customHeight="1">
      <c r="C1223" s="137" t="s">
        <v>3182</v>
      </c>
      <c r="D1223" s="138"/>
      <c r="E1223" s="143" t="str">
        <f>エンティティ一覧!$O$2</f>
        <v>milscm_2023_010</v>
      </c>
      <c r="G1223" s="41"/>
    </row>
    <row r="1224" spans="2:23" ht="18.75" customHeight="1">
      <c r="C1224" s="139"/>
      <c r="D1224" s="140"/>
      <c r="E1224" s="144"/>
      <c r="F1224" s="37"/>
    </row>
    <row r="1226" spans="2:23" ht="18.75" customHeight="1" thickBot="1">
      <c r="B1226" s="42"/>
      <c r="C1226" s="42"/>
      <c r="D1226" s="42"/>
      <c r="E1226" s="42"/>
      <c r="F1226" s="42"/>
      <c r="G1226" s="42"/>
      <c r="H1226" s="42"/>
      <c r="I1226" s="42"/>
      <c r="J1226" s="42"/>
      <c r="K1226" s="42"/>
      <c r="L1226" s="42"/>
      <c r="M1226" s="42"/>
      <c r="N1226" s="42"/>
      <c r="O1226" s="42"/>
      <c r="P1226" s="42"/>
      <c r="Q1226" s="42"/>
      <c r="R1226" s="42"/>
      <c r="S1226" s="42"/>
      <c r="T1226" s="42"/>
      <c r="U1226" s="42"/>
    </row>
    <row r="1228" spans="2:23" ht="18.75" customHeight="1">
      <c r="B1228" s="43" t="s">
        <v>163</v>
      </c>
      <c r="C1228" s="51" t="s">
        <v>3416</v>
      </c>
      <c r="D1228" s="88"/>
      <c r="W1228" s="35" t="str">
        <f>"-- "&amp;B1228&amp;" : "&amp;C1228</f>
        <v>-- SQL_ID : 01_C2-16</v>
      </c>
    </row>
    <row r="1229" spans="2:23" ht="18.75" customHeight="1">
      <c r="B1229" s="43" t="s">
        <v>158</v>
      </c>
      <c r="C1229" s="145" t="str">
        <f>R1232&amp;"登録"</f>
        <v>バックアップ_医科レセプト_臓器提供者レセプト情報レコード登録</v>
      </c>
      <c r="D1229" s="146"/>
      <c r="E1229" s="146"/>
      <c r="F1229" s="146"/>
      <c r="G1229" s="146"/>
      <c r="H1229" s="146"/>
      <c r="I1229" s="146"/>
      <c r="J1229" s="146"/>
      <c r="K1229" s="146"/>
      <c r="L1229" s="146"/>
      <c r="M1229" s="146"/>
      <c r="N1229" s="146"/>
      <c r="O1229" s="146"/>
      <c r="P1229" s="146"/>
      <c r="Q1229" s="146"/>
      <c r="R1229" s="146"/>
      <c r="S1229" s="146"/>
      <c r="T1229" s="146"/>
      <c r="U1229" s="147"/>
      <c r="W1229" s="35" t="str">
        <f>"-- "&amp;C1229</f>
        <v>-- バックアップ_医科レセプト_臓器提供者レセプト情報レコード登録</v>
      </c>
    </row>
    <row r="1230" spans="2:23" ht="18.75" customHeight="1">
      <c r="B1230" s="43" t="s">
        <v>159</v>
      </c>
      <c r="C1230" s="134" t="str">
        <f>C1232&amp;"テーブルから組入れ条件の第一条件で絞り込んだ結果を"&amp;R1232&amp;"テーブルに格納する。"</f>
        <v>医科レセプト_臓器提供者レセプト情報レコード_結合テーブルから組入れ条件の第一条件で絞り込んだ結果をバックアップ_医科レセプト_臓器提供者レセプト情報レコードテーブルに格納する。</v>
      </c>
      <c r="D1230" s="135"/>
      <c r="E1230" s="135"/>
      <c r="F1230" s="135"/>
      <c r="G1230" s="135"/>
      <c r="H1230" s="135"/>
      <c r="I1230" s="135"/>
      <c r="J1230" s="135"/>
      <c r="K1230" s="135"/>
      <c r="L1230" s="135"/>
      <c r="M1230" s="135"/>
      <c r="N1230" s="135"/>
      <c r="O1230" s="135"/>
      <c r="P1230" s="135"/>
      <c r="Q1230" s="135"/>
      <c r="R1230" s="135"/>
      <c r="S1230" s="135"/>
      <c r="T1230" s="135"/>
      <c r="U1230" s="136"/>
      <c r="W1230" s="35" t="str">
        <f>"-- "&amp;C1230</f>
        <v>-- 医科レセプト_臓器提供者レセプト情報レコード_結合テーブルから組入れ条件の第一条件で絞り込んだ結果をバックアップ_医科レセプト_臓器提供者レセプト情報レコードテーブルに格納する。</v>
      </c>
    </row>
    <row r="1232" spans="2:23" ht="18.75" customHeight="1">
      <c r="C1232" s="137" t="s">
        <v>3417</v>
      </c>
      <c r="D1232" s="138"/>
      <c r="E1232" s="141" t="s">
        <v>162</v>
      </c>
      <c r="H1232" s="36"/>
      <c r="I1232" s="36"/>
      <c r="J1232" s="36"/>
      <c r="K1232" s="36"/>
      <c r="L1232" s="36"/>
      <c r="M1232" s="36"/>
      <c r="N1232" s="36"/>
      <c r="O1232" s="36"/>
      <c r="P1232" s="36"/>
      <c r="Q1232" s="36"/>
      <c r="R1232" s="156" t="str">
        <f>"バックアップ_"&amp;SUBSTITUTE(C1232,"_結合","")</f>
        <v>バックアップ_医科レセプト_臓器提供者レセプト情報レコード</v>
      </c>
      <c r="S1232" s="157"/>
      <c r="T1232" s="143" t="str">
        <f>エンティティ一覧!$O$2</f>
        <v>milscm_2023_010</v>
      </c>
    </row>
    <row r="1233" spans="2:23" ht="18.75" customHeight="1">
      <c r="C1233" s="139"/>
      <c r="D1233" s="140"/>
      <c r="E1233" s="142"/>
      <c r="F1233" s="37"/>
      <c r="G1233" s="38"/>
      <c r="H1233" s="37"/>
      <c r="I1233" s="37"/>
      <c r="J1233" s="37"/>
      <c r="K1233" s="37"/>
      <c r="L1233" s="37"/>
      <c r="M1233" s="37"/>
      <c r="N1233" s="37"/>
      <c r="O1233" s="37"/>
      <c r="P1233" s="37"/>
      <c r="Q1233" s="37"/>
      <c r="R1233" s="158"/>
      <c r="S1233" s="159"/>
      <c r="T1233" s="144"/>
    </row>
    <row r="1234" spans="2:23" ht="18.75" customHeight="1">
      <c r="F1234" s="39"/>
      <c r="G1234" s="40"/>
    </row>
    <row r="1235" spans="2:23" ht="18.75" customHeight="1">
      <c r="C1235" s="137" t="s">
        <v>3182</v>
      </c>
      <c r="D1235" s="138"/>
      <c r="E1235" s="143" t="str">
        <f>エンティティ一覧!$O$2</f>
        <v>milscm_2023_010</v>
      </c>
      <c r="G1235" s="41"/>
    </row>
    <row r="1236" spans="2:23" ht="18.75" customHeight="1">
      <c r="C1236" s="139"/>
      <c r="D1236" s="140"/>
      <c r="E1236" s="144"/>
      <c r="F1236" s="37"/>
    </row>
    <row r="1238" spans="2:23" ht="18.75" customHeight="1" thickBot="1">
      <c r="B1238" s="42"/>
      <c r="C1238" s="42"/>
      <c r="D1238" s="42"/>
      <c r="E1238" s="42"/>
      <c r="F1238" s="42"/>
      <c r="G1238" s="42"/>
      <c r="H1238" s="42"/>
      <c r="I1238" s="42"/>
      <c r="J1238" s="42"/>
      <c r="K1238" s="42"/>
      <c r="L1238" s="42"/>
      <c r="M1238" s="42"/>
      <c r="N1238" s="42"/>
      <c r="O1238" s="42"/>
      <c r="P1238" s="42"/>
      <c r="Q1238" s="42"/>
      <c r="R1238" s="42"/>
      <c r="S1238" s="42"/>
      <c r="T1238" s="42"/>
      <c r="U1238" s="42"/>
    </row>
    <row r="1240" spans="2:23" ht="18.75" customHeight="1">
      <c r="B1240" s="43" t="s">
        <v>163</v>
      </c>
      <c r="C1240" s="51" t="s">
        <v>3418</v>
      </c>
      <c r="D1240" s="88"/>
      <c r="W1240" s="35" t="str">
        <f>"-- "&amp;B1240&amp;" : "&amp;C1240</f>
        <v>-- SQL_ID : 01_C3-01</v>
      </c>
    </row>
    <row r="1241" spans="2:23" ht="18.75" customHeight="1">
      <c r="B1241" s="43" t="s">
        <v>158</v>
      </c>
      <c r="C1241" s="145" t="str">
        <f>R1244&amp;"登録"</f>
        <v>バックアップ_DPCレセプト_医療機関情報レコード登録</v>
      </c>
      <c r="D1241" s="146"/>
      <c r="E1241" s="146"/>
      <c r="F1241" s="146"/>
      <c r="G1241" s="146"/>
      <c r="H1241" s="146"/>
      <c r="I1241" s="146"/>
      <c r="J1241" s="146"/>
      <c r="K1241" s="146"/>
      <c r="L1241" s="146"/>
      <c r="M1241" s="146"/>
      <c r="N1241" s="146"/>
      <c r="O1241" s="146"/>
      <c r="P1241" s="146"/>
      <c r="Q1241" s="146"/>
      <c r="R1241" s="146"/>
      <c r="S1241" s="146"/>
      <c r="T1241" s="146"/>
      <c r="U1241" s="147"/>
      <c r="W1241" s="35" t="str">
        <f>"-- "&amp;C1241</f>
        <v>-- バックアップ_DPCレセプト_医療機関情報レコード登録</v>
      </c>
    </row>
    <row r="1242" spans="2:23" ht="18.75" customHeight="1">
      <c r="B1242" s="43" t="s">
        <v>159</v>
      </c>
      <c r="C1242" s="134" t="str">
        <f>C1244&amp;"テーブルから組入れ条件の第一条件で絞り込んだ結果を"&amp;R1244&amp;"テーブルに格納する。"</f>
        <v>DPCレセプト_医療機関情報レコード_結合テーブルから組入れ条件の第一条件で絞り込んだ結果をバックアップ_DPCレセプト_医療機関情報レコードテーブルに格納する。</v>
      </c>
      <c r="D1242" s="135"/>
      <c r="E1242" s="135"/>
      <c r="F1242" s="135"/>
      <c r="G1242" s="135"/>
      <c r="H1242" s="135"/>
      <c r="I1242" s="135"/>
      <c r="J1242" s="135"/>
      <c r="K1242" s="135"/>
      <c r="L1242" s="135"/>
      <c r="M1242" s="135"/>
      <c r="N1242" s="135"/>
      <c r="O1242" s="135"/>
      <c r="P1242" s="135"/>
      <c r="Q1242" s="135"/>
      <c r="R1242" s="135"/>
      <c r="S1242" s="135"/>
      <c r="T1242" s="135"/>
      <c r="U1242" s="136"/>
      <c r="W1242" s="35" t="str">
        <f>"-- "&amp;C1242</f>
        <v>-- DPCレセプト_医療機関情報レコード_結合テーブルから組入れ条件の第一条件で絞り込んだ結果をバックアップ_DPCレセプト_医療機関情報レコードテーブルに格納する。</v>
      </c>
    </row>
    <row r="1244" spans="2:23" ht="18.75" customHeight="1">
      <c r="C1244" s="137" t="s">
        <v>3419</v>
      </c>
      <c r="D1244" s="138"/>
      <c r="E1244" s="141" t="s">
        <v>162</v>
      </c>
      <c r="H1244" s="36"/>
      <c r="I1244" s="36"/>
      <c r="J1244" s="36"/>
      <c r="K1244" s="36"/>
      <c r="L1244" s="36"/>
      <c r="M1244" s="36"/>
      <c r="N1244" s="36"/>
      <c r="O1244" s="36"/>
      <c r="P1244" s="36"/>
      <c r="Q1244" s="36"/>
      <c r="R1244" s="137" t="str">
        <f>"バックアップ_"&amp;SUBSTITUTE(C1244,"_結合","")</f>
        <v>バックアップ_DPCレセプト_医療機関情報レコード</v>
      </c>
      <c r="S1244" s="138"/>
      <c r="T1244" s="143" t="str">
        <f>エンティティ一覧!$O$2</f>
        <v>milscm_2023_010</v>
      </c>
    </row>
    <row r="1245" spans="2:23" ht="18.75" customHeight="1">
      <c r="C1245" s="139"/>
      <c r="D1245" s="140"/>
      <c r="E1245" s="142"/>
      <c r="F1245" s="37"/>
      <c r="G1245" s="38"/>
      <c r="H1245" s="37"/>
      <c r="I1245" s="37"/>
      <c r="J1245" s="37"/>
      <c r="K1245" s="37"/>
      <c r="L1245" s="37"/>
      <c r="M1245" s="37"/>
      <c r="N1245" s="37"/>
      <c r="O1245" s="37"/>
      <c r="P1245" s="37"/>
      <c r="Q1245" s="37"/>
      <c r="R1245" s="139"/>
      <c r="S1245" s="140"/>
      <c r="T1245" s="144"/>
    </row>
    <row r="1246" spans="2:23" ht="18.75" customHeight="1">
      <c r="F1246" s="39"/>
      <c r="G1246" s="40"/>
    </row>
    <row r="1247" spans="2:23" ht="18.75" customHeight="1">
      <c r="C1247" s="137" t="s">
        <v>3182</v>
      </c>
      <c r="D1247" s="138"/>
      <c r="E1247" s="143" t="str">
        <f>エンティティ一覧!$O$2</f>
        <v>milscm_2023_010</v>
      </c>
      <c r="G1247" s="41"/>
    </row>
    <row r="1248" spans="2:23" ht="18.75" customHeight="1">
      <c r="C1248" s="139"/>
      <c r="D1248" s="140"/>
      <c r="E1248" s="144"/>
      <c r="F1248" s="37"/>
    </row>
    <row r="1250" spans="2:23" ht="18.75" customHeight="1" thickBot="1">
      <c r="B1250" s="42"/>
      <c r="C1250" s="42"/>
      <c r="D1250" s="42"/>
      <c r="E1250" s="42"/>
      <c r="F1250" s="42"/>
      <c r="G1250" s="42"/>
      <c r="H1250" s="42"/>
      <c r="I1250" s="42"/>
      <c r="J1250" s="42"/>
      <c r="K1250" s="42"/>
      <c r="L1250" s="42"/>
      <c r="M1250" s="42"/>
      <c r="N1250" s="42"/>
      <c r="O1250" s="42"/>
      <c r="P1250" s="42"/>
      <c r="Q1250" s="42"/>
      <c r="R1250" s="42"/>
      <c r="S1250" s="42"/>
      <c r="T1250" s="42"/>
      <c r="U1250" s="42"/>
    </row>
    <row r="1252" spans="2:23" ht="18.75" customHeight="1">
      <c r="B1252" s="43" t="s">
        <v>163</v>
      </c>
      <c r="C1252" s="51" t="s">
        <v>3420</v>
      </c>
      <c r="D1252" s="88"/>
      <c r="W1252" s="35" t="str">
        <f>"-- "&amp;B1252&amp;" : "&amp;C1252</f>
        <v>-- SQL_ID : 01_C3-02</v>
      </c>
    </row>
    <row r="1253" spans="2:23" ht="18.75" customHeight="1">
      <c r="B1253" s="43" t="s">
        <v>158</v>
      </c>
      <c r="C1253" s="145" t="str">
        <f>R1256&amp;"登録"</f>
        <v>バックアップ_DPCレセプト_レセプト共通レコード登録</v>
      </c>
      <c r="D1253" s="146"/>
      <c r="E1253" s="146"/>
      <c r="F1253" s="146"/>
      <c r="G1253" s="146"/>
      <c r="H1253" s="146"/>
      <c r="I1253" s="146"/>
      <c r="J1253" s="146"/>
      <c r="K1253" s="146"/>
      <c r="L1253" s="146"/>
      <c r="M1253" s="146"/>
      <c r="N1253" s="146"/>
      <c r="O1253" s="146"/>
      <c r="P1253" s="146"/>
      <c r="Q1253" s="146"/>
      <c r="R1253" s="146"/>
      <c r="S1253" s="146"/>
      <c r="T1253" s="146"/>
      <c r="U1253" s="147"/>
      <c r="W1253" s="35" t="str">
        <f>"-- "&amp;C1253</f>
        <v>-- バックアップ_DPCレセプト_レセプト共通レコード登録</v>
      </c>
    </row>
    <row r="1254" spans="2:23" ht="18.75" customHeight="1">
      <c r="B1254" s="43" t="s">
        <v>159</v>
      </c>
      <c r="C1254" s="134" t="str">
        <f>C1256&amp;"テーブルから組入れ条件の第一条件で絞り込んだ結果を"&amp;R1256&amp;"テーブルに格納する。"</f>
        <v>DPCレセプト_レセプト共通レコード_結合テーブルから組入れ条件の第一条件で絞り込んだ結果をバックアップ_DPCレセプト_レセプト共通レコードテーブルに格納する。</v>
      </c>
      <c r="D1254" s="135"/>
      <c r="E1254" s="135"/>
      <c r="F1254" s="135"/>
      <c r="G1254" s="135"/>
      <c r="H1254" s="135"/>
      <c r="I1254" s="135"/>
      <c r="J1254" s="135"/>
      <c r="K1254" s="135"/>
      <c r="L1254" s="135"/>
      <c r="M1254" s="135"/>
      <c r="N1254" s="135"/>
      <c r="O1254" s="135"/>
      <c r="P1254" s="135"/>
      <c r="Q1254" s="135"/>
      <c r="R1254" s="135"/>
      <c r="S1254" s="135"/>
      <c r="T1254" s="135"/>
      <c r="U1254" s="136"/>
      <c r="W1254" s="35" t="str">
        <f>"-- "&amp;C1254</f>
        <v>-- DPCレセプト_レセプト共通レコード_結合テーブルから組入れ条件の第一条件で絞り込んだ結果をバックアップ_DPCレセプト_レセプト共通レコードテーブルに格納する。</v>
      </c>
    </row>
    <row r="1256" spans="2:23" ht="18.75" customHeight="1">
      <c r="C1256" s="137" t="s">
        <v>3421</v>
      </c>
      <c r="D1256" s="138"/>
      <c r="E1256" s="141" t="s">
        <v>162</v>
      </c>
      <c r="H1256" s="36"/>
      <c r="I1256" s="36"/>
      <c r="J1256" s="36"/>
      <c r="K1256" s="36"/>
      <c r="L1256" s="36"/>
      <c r="M1256" s="36"/>
      <c r="N1256" s="36"/>
      <c r="O1256" s="36"/>
      <c r="P1256" s="36"/>
      <c r="Q1256" s="36"/>
      <c r="R1256" s="137" t="str">
        <f>"バックアップ_"&amp;SUBSTITUTE(C1256,"_結合","")</f>
        <v>バックアップ_DPCレセプト_レセプト共通レコード</v>
      </c>
      <c r="S1256" s="138"/>
      <c r="T1256" s="143" t="str">
        <f>エンティティ一覧!$O$2</f>
        <v>milscm_2023_010</v>
      </c>
    </row>
    <row r="1257" spans="2:23" ht="18.75" customHeight="1">
      <c r="C1257" s="139"/>
      <c r="D1257" s="140"/>
      <c r="E1257" s="142"/>
      <c r="F1257" s="37"/>
      <c r="G1257" s="38"/>
      <c r="H1257" s="37"/>
      <c r="I1257" s="37"/>
      <c r="J1257" s="37"/>
      <c r="K1257" s="37"/>
      <c r="L1257" s="37"/>
      <c r="M1257" s="37"/>
      <c r="N1257" s="37"/>
      <c r="O1257" s="37"/>
      <c r="P1257" s="37"/>
      <c r="Q1257" s="37"/>
      <c r="R1257" s="139"/>
      <c r="S1257" s="140"/>
      <c r="T1257" s="144"/>
    </row>
    <row r="1258" spans="2:23" ht="18.75" customHeight="1">
      <c r="F1258" s="39"/>
      <c r="G1258" s="40"/>
    </row>
    <row r="1259" spans="2:23" ht="18.75" customHeight="1">
      <c r="C1259" s="137" t="s">
        <v>3182</v>
      </c>
      <c r="D1259" s="138"/>
      <c r="E1259" s="143" t="str">
        <f>エンティティ一覧!$O$2</f>
        <v>milscm_2023_010</v>
      </c>
      <c r="G1259" s="41"/>
    </row>
    <row r="1260" spans="2:23" ht="18.75" customHeight="1">
      <c r="C1260" s="139"/>
      <c r="D1260" s="140"/>
      <c r="E1260" s="144"/>
      <c r="F1260" s="37"/>
    </row>
    <row r="1262" spans="2:23" ht="18.75" customHeight="1" thickBot="1">
      <c r="B1262" s="42"/>
      <c r="C1262" s="42"/>
      <c r="D1262" s="42"/>
      <c r="E1262" s="42"/>
      <c r="F1262" s="42"/>
      <c r="G1262" s="42"/>
      <c r="H1262" s="42"/>
      <c r="I1262" s="42"/>
      <c r="J1262" s="42"/>
      <c r="K1262" s="42"/>
      <c r="L1262" s="42"/>
      <c r="M1262" s="42"/>
      <c r="N1262" s="42"/>
      <c r="O1262" s="42"/>
      <c r="P1262" s="42"/>
      <c r="Q1262" s="42"/>
      <c r="R1262" s="42"/>
      <c r="S1262" s="42"/>
      <c r="T1262" s="42"/>
      <c r="U1262" s="42"/>
    </row>
    <row r="1264" spans="2:23" ht="18.75" customHeight="1">
      <c r="B1264" s="43" t="s">
        <v>163</v>
      </c>
      <c r="C1264" s="51" t="s">
        <v>3422</v>
      </c>
      <c r="D1264" s="88"/>
      <c r="W1264" s="35" t="str">
        <f>"-- "&amp;B1264&amp;" : "&amp;C1264</f>
        <v>-- SQL_ID : 01_C3-08</v>
      </c>
    </row>
    <row r="1265" spans="2:23" ht="18.75" customHeight="1">
      <c r="B1265" s="43" t="s">
        <v>158</v>
      </c>
      <c r="C1265" s="145" t="str">
        <f>R1268&amp;"登録"</f>
        <v>バックアップ_DPCレセプト_診断群分類レコード登録</v>
      </c>
      <c r="D1265" s="146"/>
      <c r="E1265" s="146"/>
      <c r="F1265" s="146"/>
      <c r="G1265" s="146"/>
      <c r="H1265" s="146"/>
      <c r="I1265" s="146"/>
      <c r="J1265" s="146"/>
      <c r="K1265" s="146"/>
      <c r="L1265" s="146"/>
      <c r="M1265" s="146"/>
      <c r="N1265" s="146"/>
      <c r="O1265" s="146"/>
      <c r="P1265" s="146"/>
      <c r="Q1265" s="146"/>
      <c r="R1265" s="146"/>
      <c r="S1265" s="146"/>
      <c r="T1265" s="146"/>
      <c r="U1265" s="147"/>
      <c r="W1265" s="35" t="str">
        <f>"-- "&amp;C1265</f>
        <v>-- バックアップ_DPCレセプト_診断群分類レコード登録</v>
      </c>
    </row>
    <row r="1266" spans="2:23" ht="18.75" customHeight="1">
      <c r="B1266" s="43" t="s">
        <v>159</v>
      </c>
      <c r="C1266" s="134" t="str">
        <f>C1268&amp;"テーブルから組入れ条件の第一条件で絞り込んだ結果を"&amp;R1268&amp;"テーブルに格納する。"</f>
        <v>DPCレセプト_診断群分類レコード_結合テーブルから組入れ条件の第一条件で絞り込んだ結果をバックアップ_DPCレセプト_診断群分類レコードテーブルに格納する。</v>
      </c>
      <c r="D1266" s="135"/>
      <c r="E1266" s="135"/>
      <c r="F1266" s="135"/>
      <c r="G1266" s="135"/>
      <c r="H1266" s="135"/>
      <c r="I1266" s="135"/>
      <c r="J1266" s="135"/>
      <c r="K1266" s="135"/>
      <c r="L1266" s="135"/>
      <c r="M1266" s="135"/>
      <c r="N1266" s="135"/>
      <c r="O1266" s="135"/>
      <c r="P1266" s="135"/>
      <c r="Q1266" s="135"/>
      <c r="R1266" s="135"/>
      <c r="S1266" s="135"/>
      <c r="T1266" s="135"/>
      <c r="U1266" s="136"/>
      <c r="W1266" s="35" t="str">
        <f>"-- "&amp;C1266</f>
        <v>-- DPCレセプト_診断群分類レコード_結合テーブルから組入れ条件の第一条件で絞り込んだ結果をバックアップ_DPCレセプト_診断群分類レコードテーブルに格納する。</v>
      </c>
    </row>
    <row r="1268" spans="2:23" ht="18.75" customHeight="1">
      <c r="C1268" s="137" t="s">
        <v>3423</v>
      </c>
      <c r="D1268" s="138"/>
      <c r="E1268" s="141" t="s">
        <v>162</v>
      </c>
      <c r="H1268" s="36"/>
      <c r="I1268" s="36"/>
      <c r="J1268" s="36"/>
      <c r="K1268" s="36"/>
      <c r="L1268" s="36"/>
      <c r="M1268" s="36"/>
      <c r="N1268" s="36"/>
      <c r="O1268" s="36"/>
      <c r="P1268" s="36"/>
      <c r="Q1268" s="36"/>
      <c r="R1268" s="137" t="str">
        <f>"バックアップ_"&amp;SUBSTITUTE(C1268,"_結合","")</f>
        <v>バックアップ_DPCレセプト_診断群分類レコード</v>
      </c>
      <c r="S1268" s="138"/>
      <c r="T1268" s="143" t="str">
        <f>エンティティ一覧!$O$2</f>
        <v>milscm_2023_010</v>
      </c>
    </row>
    <row r="1269" spans="2:23" ht="18.75" customHeight="1">
      <c r="C1269" s="139"/>
      <c r="D1269" s="140"/>
      <c r="E1269" s="142"/>
      <c r="F1269" s="37"/>
      <c r="G1269" s="38"/>
      <c r="H1269" s="37"/>
      <c r="I1269" s="37"/>
      <c r="J1269" s="37"/>
      <c r="K1269" s="37"/>
      <c r="L1269" s="37"/>
      <c r="M1269" s="37"/>
      <c r="N1269" s="37"/>
      <c r="O1269" s="37"/>
      <c r="P1269" s="37"/>
      <c r="Q1269" s="37"/>
      <c r="R1269" s="139"/>
      <c r="S1269" s="140"/>
      <c r="T1269" s="144"/>
    </row>
    <row r="1270" spans="2:23" ht="18.75" customHeight="1">
      <c r="F1270" s="39"/>
      <c r="G1270" s="40"/>
    </row>
    <row r="1271" spans="2:23" ht="18.75" customHeight="1">
      <c r="C1271" s="137" t="s">
        <v>3182</v>
      </c>
      <c r="D1271" s="138"/>
      <c r="E1271" s="143" t="str">
        <f>エンティティ一覧!$O$2</f>
        <v>milscm_2023_010</v>
      </c>
      <c r="G1271" s="41"/>
    </row>
    <row r="1272" spans="2:23" ht="18.75" customHeight="1">
      <c r="C1272" s="139"/>
      <c r="D1272" s="140"/>
      <c r="E1272" s="144"/>
      <c r="F1272" s="37"/>
    </row>
    <row r="1274" spans="2:23" ht="18.75" customHeight="1" thickBot="1">
      <c r="B1274" s="42"/>
      <c r="C1274" s="42"/>
      <c r="D1274" s="42"/>
      <c r="E1274" s="42"/>
      <c r="F1274" s="42"/>
      <c r="G1274" s="42"/>
      <c r="H1274" s="42"/>
      <c r="I1274" s="42"/>
      <c r="J1274" s="42"/>
      <c r="K1274" s="42"/>
      <c r="L1274" s="42"/>
      <c r="M1274" s="42"/>
      <c r="N1274" s="42"/>
      <c r="O1274" s="42"/>
      <c r="P1274" s="42"/>
      <c r="Q1274" s="42"/>
      <c r="R1274" s="42"/>
      <c r="S1274" s="42"/>
      <c r="T1274" s="42"/>
      <c r="U1274" s="42"/>
    </row>
    <row r="1276" spans="2:23" ht="18.75" customHeight="1">
      <c r="B1276" s="43" t="s">
        <v>163</v>
      </c>
      <c r="C1276" s="51" t="s">
        <v>3424</v>
      </c>
      <c r="D1276" s="88"/>
      <c r="W1276" s="35" t="str">
        <f>"-- "&amp;B1276&amp;" : "&amp;C1276</f>
        <v>-- SQL_ID : 01_C3-09</v>
      </c>
    </row>
    <row r="1277" spans="2:23" ht="18.75" customHeight="1">
      <c r="B1277" s="43" t="s">
        <v>158</v>
      </c>
      <c r="C1277" s="145" t="str">
        <f>R1280&amp;"登録"</f>
        <v>バックアップ_DPCレセプト_傷病レコード登録</v>
      </c>
      <c r="D1277" s="146"/>
      <c r="E1277" s="146"/>
      <c r="F1277" s="146"/>
      <c r="G1277" s="146"/>
      <c r="H1277" s="146"/>
      <c r="I1277" s="146"/>
      <c r="J1277" s="146"/>
      <c r="K1277" s="146"/>
      <c r="L1277" s="146"/>
      <c r="M1277" s="146"/>
      <c r="N1277" s="146"/>
      <c r="O1277" s="146"/>
      <c r="P1277" s="146"/>
      <c r="Q1277" s="146"/>
      <c r="R1277" s="146"/>
      <c r="S1277" s="146"/>
      <c r="T1277" s="146"/>
      <c r="U1277" s="147"/>
      <c r="W1277" s="35" t="str">
        <f>"-- "&amp;C1277</f>
        <v>-- バックアップ_DPCレセプト_傷病レコード登録</v>
      </c>
    </row>
    <row r="1278" spans="2:23" ht="18.75" customHeight="1">
      <c r="B1278" s="43" t="s">
        <v>159</v>
      </c>
      <c r="C1278" s="134" t="str">
        <f>C1280&amp;"テーブルから組入れ条件の第一条件で絞り込んだ結果を"&amp;R1280&amp;"テーブルに格納する。"</f>
        <v>DPCレセプト_傷病レコード_結合テーブルから組入れ条件の第一条件で絞り込んだ結果をバックアップ_DPCレセプト_傷病レコードテーブルに格納する。</v>
      </c>
      <c r="D1278" s="135"/>
      <c r="E1278" s="135"/>
      <c r="F1278" s="135"/>
      <c r="G1278" s="135"/>
      <c r="H1278" s="135"/>
      <c r="I1278" s="135"/>
      <c r="J1278" s="135"/>
      <c r="K1278" s="135"/>
      <c r="L1278" s="135"/>
      <c r="M1278" s="135"/>
      <c r="N1278" s="135"/>
      <c r="O1278" s="135"/>
      <c r="P1278" s="135"/>
      <c r="Q1278" s="135"/>
      <c r="R1278" s="135"/>
      <c r="S1278" s="135"/>
      <c r="T1278" s="135"/>
      <c r="U1278" s="136"/>
      <c r="W1278" s="35" t="str">
        <f>"-- "&amp;C1278</f>
        <v>-- DPCレセプト_傷病レコード_結合テーブルから組入れ条件の第一条件で絞り込んだ結果をバックアップ_DPCレセプト_傷病レコードテーブルに格納する。</v>
      </c>
    </row>
    <row r="1280" spans="2:23" ht="18.75" customHeight="1">
      <c r="C1280" s="137" t="s">
        <v>3425</v>
      </c>
      <c r="D1280" s="138"/>
      <c r="E1280" s="141" t="s">
        <v>162</v>
      </c>
      <c r="H1280" s="36"/>
      <c r="I1280" s="36"/>
      <c r="J1280" s="36"/>
      <c r="K1280" s="36"/>
      <c r="L1280" s="36"/>
      <c r="M1280" s="36"/>
      <c r="N1280" s="36"/>
      <c r="O1280" s="36"/>
      <c r="P1280" s="36"/>
      <c r="Q1280" s="36"/>
      <c r="R1280" s="137" t="str">
        <f>"バックアップ_"&amp;SUBSTITUTE(C1280,"_結合","")</f>
        <v>バックアップ_DPCレセプト_傷病レコード</v>
      </c>
      <c r="S1280" s="138"/>
      <c r="T1280" s="143" t="str">
        <f>エンティティ一覧!$O$2</f>
        <v>milscm_2023_010</v>
      </c>
    </row>
    <row r="1281" spans="2:23" ht="18.75" customHeight="1">
      <c r="C1281" s="139"/>
      <c r="D1281" s="140"/>
      <c r="E1281" s="142"/>
      <c r="F1281" s="37"/>
      <c r="G1281" s="38"/>
      <c r="H1281" s="37"/>
      <c r="I1281" s="37"/>
      <c r="J1281" s="37"/>
      <c r="K1281" s="37"/>
      <c r="L1281" s="37"/>
      <c r="M1281" s="37"/>
      <c r="N1281" s="37"/>
      <c r="O1281" s="37"/>
      <c r="P1281" s="37"/>
      <c r="Q1281" s="37"/>
      <c r="R1281" s="139"/>
      <c r="S1281" s="140"/>
      <c r="T1281" s="144"/>
    </row>
    <row r="1282" spans="2:23" ht="18.75" customHeight="1">
      <c r="F1282" s="39"/>
      <c r="G1282" s="40"/>
    </row>
    <row r="1283" spans="2:23" ht="18.75" customHeight="1">
      <c r="C1283" s="137" t="s">
        <v>3182</v>
      </c>
      <c r="D1283" s="138"/>
      <c r="E1283" s="143" t="str">
        <f>エンティティ一覧!$O$2</f>
        <v>milscm_2023_010</v>
      </c>
      <c r="G1283" s="41"/>
    </row>
    <row r="1284" spans="2:23" ht="18.75" customHeight="1">
      <c r="C1284" s="139"/>
      <c r="D1284" s="140"/>
      <c r="E1284" s="144"/>
      <c r="F1284" s="37"/>
    </row>
    <row r="1286" spans="2:23" ht="18.75" customHeight="1" thickBot="1">
      <c r="B1286" s="42"/>
      <c r="C1286" s="42"/>
      <c r="D1286" s="42"/>
      <c r="E1286" s="42"/>
      <c r="F1286" s="42"/>
      <c r="G1286" s="42"/>
      <c r="H1286" s="42"/>
      <c r="I1286" s="42"/>
      <c r="J1286" s="42"/>
      <c r="K1286" s="42"/>
      <c r="L1286" s="42"/>
      <c r="M1286" s="42"/>
      <c r="N1286" s="42"/>
      <c r="O1286" s="42"/>
      <c r="P1286" s="42"/>
      <c r="Q1286" s="42"/>
      <c r="R1286" s="42"/>
      <c r="S1286" s="42"/>
      <c r="T1286" s="42"/>
      <c r="U1286" s="42"/>
    </row>
    <row r="1288" spans="2:23" ht="18.75" customHeight="1">
      <c r="B1288" s="43" t="s">
        <v>163</v>
      </c>
      <c r="C1288" s="51" t="s">
        <v>3426</v>
      </c>
      <c r="D1288" s="88"/>
      <c r="W1288" s="35" t="str">
        <f>"-- "&amp;B1288&amp;" : "&amp;C1288</f>
        <v>-- SQL_ID : 01_C3-10</v>
      </c>
    </row>
    <row r="1289" spans="2:23" ht="18.75" customHeight="1">
      <c r="B1289" s="43" t="s">
        <v>158</v>
      </c>
      <c r="C1289" s="145" t="str">
        <f>R1292&amp;"登録"</f>
        <v>バックアップ_DPCレセプト_傷病名レコード登録</v>
      </c>
      <c r="D1289" s="146"/>
      <c r="E1289" s="146"/>
      <c r="F1289" s="146"/>
      <c r="G1289" s="146"/>
      <c r="H1289" s="146"/>
      <c r="I1289" s="146"/>
      <c r="J1289" s="146"/>
      <c r="K1289" s="146"/>
      <c r="L1289" s="146"/>
      <c r="M1289" s="146"/>
      <c r="N1289" s="146"/>
      <c r="O1289" s="146"/>
      <c r="P1289" s="146"/>
      <c r="Q1289" s="146"/>
      <c r="R1289" s="146"/>
      <c r="S1289" s="146"/>
      <c r="T1289" s="146"/>
      <c r="U1289" s="147"/>
      <c r="W1289" s="35" t="str">
        <f>"-- "&amp;C1289</f>
        <v>-- バックアップ_DPCレセプト_傷病名レコード登録</v>
      </c>
    </row>
    <row r="1290" spans="2:23" ht="18.75" customHeight="1">
      <c r="B1290" s="43" t="s">
        <v>159</v>
      </c>
      <c r="C1290" s="134" t="str">
        <f>C1292&amp;"テーブルから組入れ条件の第一条件で絞り込んだ結果を"&amp;R1292&amp;"テーブルに格納する。"</f>
        <v>DPCレセプト_傷病名レコード_結合テーブルから組入れ条件の第一条件で絞り込んだ結果をバックアップ_DPCレセプト_傷病名レコードテーブルに格納する。</v>
      </c>
      <c r="D1290" s="135"/>
      <c r="E1290" s="135"/>
      <c r="F1290" s="135"/>
      <c r="G1290" s="135"/>
      <c r="H1290" s="135"/>
      <c r="I1290" s="135"/>
      <c r="J1290" s="135"/>
      <c r="K1290" s="135"/>
      <c r="L1290" s="135"/>
      <c r="M1290" s="135"/>
      <c r="N1290" s="135"/>
      <c r="O1290" s="135"/>
      <c r="P1290" s="135"/>
      <c r="Q1290" s="135"/>
      <c r="R1290" s="135"/>
      <c r="S1290" s="135"/>
      <c r="T1290" s="135"/>
      <c r="U1290" s="136"/>
      <c r="W1290" s="35" t="str">
        <f>"-- "&amp;C1290</f>
        <v>-- DPCレセプト_傷病名レコード_結合テーブルから組入れ条件の第一条件で絞り込んだ結果をバックアップ_DPCレセプト_傷病名レコードテーブルに格納する。</v>
      </c>
    </row>
    <row r="1292" spans="2:23" ht="18.75" customHeight="1">
      <c r="C1292" s="137" t="s">
        <v>3427</v>
      </c>
      <c r="D1292" s="138"/>
      <c r="E1292" s="141" t="s">
        <v>162</v>
      </c>
      <c r="H1292" s="36"/>
      <c r="I1292" s="36"/>
      <c r="J1292" s="36"/>
      <c r="K1292" s="36"/>
      <c r="L1292" s="36"/>
      <c r="M1292" s="36"/>
      <c r="N1292" s="36"/>
      <c r="O1292" s="36"/>
      <c r="P1292" s="36"/>
      <c r="Q1292" s="36"/>
      <c r="R1292" s="137" t="str">
        <f>"バックアップ_"&amp;SUBSTITUTE(C1292,"_結合","")</f>
        <v>バックアップ_DPCレセプト_傷病名レコード</v>
      </c>
      <c r="S1292" s="138"/>
      <c r="T1292" s="143" t="str">
        <f>エンティティ一覧!$O$2</f>
        <v>milscm_2023_010</v>
      </c>
    </row>
    <row r="1293" spans="2:23" ht="18.75" customHeight="1">
      <c r="C1293" s="139"/>
      <c r="D1293" s="140"/>
      <c r="E1293" s="142"/>
      <c r="F1293" s="37"/>
      <c r="G1293" s="38"/>
      <c r="H1293" s="37"/>
      <c r="I1293" s="37"/>
      <c r="J1293" s="37"/>
      <c r="K1293" s="37"/>
      <c r="L1293" s="37"/>
      <c r="M1293" s="37"/>
      <c r="N1293" s="37"/>
      <c r="O1293" s="37"/>
      <c r="P1293" s="37"/>
      <c r="Q1293" s="37"/>
      <c r="R1293" s="139"/>
      <c r="S1293" s="140"/>
      <c r="T1293" s="144"/>
    </row>
    <row r="1294" spans="2:23" ht="18.75" customHeight="1">
      <c r="F1294" s="39"/>
      <c r="G1294" s="40"/>
    </row>
    <row r="1295" spans="2:23" ht="18.75" customHeight="1">
      <c r="C1295" s="137" t="s">
        <v>3182</v>
      </c>
      <c r="D1295" s="138"/>
      <c r="E1295" s="143" t="str">
        <f>エンティティ一覧!$O$2</f>
        <v>milscm_2023_010</v>
      </c>
      <c r="G1295" s="41"/>
    </row>
    <row r="1296" spans="2:23" ht="18.75" customHeight="1">
      <c r="C1296" s="139"/>
      <c r="D1296" s="140"/>
      <c r="E1296" s="144"/>
      <c r="F1296" s="37"/>
    </row>
    <row r="1298" spans="2:23" ht="18.75" customHeight="1" thickBot="1">
      <c r="B1298" s="42"/>
      <c r="C1298" s="42"/>
      <c r="D1298" s="42"/>
      <c r="E1298" s="42"/>
      <c r="F1298" s="42"/>
      <c r="G1298" s="42"/>
      <c r="H1298" s="42"/>
      <c r="I1298" s="42"/>
      <c r="J1298" s="42"/>
      <c r="K1298" s="42"/>
      <c r="L1298" s="42"/>
      <c r="M1298" s="42"/>
      <c r="N1298" s="42"/>
      <c r="O1298" s="42"/>
      <c r="P1298" s="42"/>
      <c r="Q1298" s="42"/>
      <c r="R1298" s="42"/>
      <c r="S1298" s="42"/>
      <c r="T1298" s="42"/>
      <c r="U1298" s="42"/>
    </row>
    <row r="1300" spans="2:23" ht="18.75" customHeight="1">
      <c r="B1300" s="43" t="s">
        <v>163</v>
      </c>
      <c r="C1300" s="51" t="s">
        <v>3428</v>
      </c>
      <c r="D1300" s="88"/>
      <c r="W1300" s="35" t="str">
        <f>"-- "&amp;B1300&amp;" : "&amp;C1300</f>
        <v>-- SQL_ID : 01_C3-16</v>
      </c>
    </row>
    <row r="1301" spans="2:23" ht="18.75" customHeight="1">
      <c r="B1301" s="43" t="s">
        <v>158</v>
      </c>
      <c r="C1301" s="145" t="str">
        <f>R1304&amp;"登録"</f>
        <v>バックアップ_DPCレセプト_診療行為レコード登録</v>
      </c>
      <c r="D1301" s="146"/>
      <c r="E1301" s="146"/>
      <c r="F1301" s="146"/>
      <c r="G1301" s="146"/>
      <c r="H1301" s="146"/>
      <c r="I1301" s="146"/>
      <c r="J1301" s="146"/>
      <c r="K1301" s="146"/>
      <c r="L1301" s="146"/>
      <c r="M1301" s="146"/>
      <c r="N1301" s="146"/>
      <c r="O1301" s="146"/>
      <c r="P1301" s="146"/>
      <c r="Q1301" s="146"/>
      <c r="R1301" s="146"/>
      <c r="S1301" s="146"/>
      <c r="T1301" s="146"/>
      <c r="U1301" s="147"/>
      <c r="W1301" s="35" t="str">
        <f>"-- "&amp;C1301</f>
        <v>-- バックアップ_DPCレセプト_診療行為レコード登録</v>
      </c>
    </row>
    <row r="1302" spans="2:23" ht="18.75" customHeight="1">
      <c r="B1302" s="43" t="s">
        <v>159</v>
      </c>
      <c r="C1302" s="134" t="str">
        <f>C1304&amp;"テーブルから組入れ条件の第一条件で絞り込んだ結果を"&amp;R1304&amp;"テーブルに格納する。"</f>
        <v>DPCレセプト_診療行為レコード_結合テーブルから組入れ条件の第一条件で絞り込んだ結果をバックアップ_DPCレセプト_診療行為レコードテーブルに格納する。</v>
      </c>
      <c r="D1302" s="135"/>
      <c r="E1302" s="135"/>
      <c r="F1302" s="135"/>
      <c r="G1302" s="135"/>
      <c r="H1302" s="135"/>
      <c r="I1302" s="135"/>
      <c r="J1302" s="135"/>
      <c r="K1302" s="135"/>
      <c r="L1302" s="135"/>
      <c r="M1302" s="135"/>
      <c r="N1302" s="135"/>
      <c r="O1302" s="135"/>
      <c r="P1302" s="135"/>
      <c r="Q1302" s="135"/>
      <c r="R1302" s="135"/>
      <c r="S1302" s="135"/>
      <c r="T1302" s="135"/>
      <c r="U1302" s="136"/>
      <c r="W1302" s="35" t="str">
        <f>"-- "&amp;C1302</f>
        <v>-- DPCレセプト_診療行為レコード_結合テーブルから組入れ条件の第一条件で絞り込んだ結果をバックアップ_DPCレセプト_診療行為レコードテーブルに格納する。</v>
      </c>
    </row>
    <row r="1304" spans="2:23" ht="18.75" customHeight="1">
      <c r="C1304" s="137" t="s">
        <v>3429</v>
      </c>
      <c r="D1304" s="138"/>
      <c r="E1304" s="141" t="s">
        <v>162</v>
      </c>
      <c r="H1304" s="36"/>
      <c r="I1304" s="36"/>
      <c r="J1304" s="36"/>
      <c r="K1304" s="36"/>
      <c r="L1304" s="36"/>
      <c r="M1304" s="36"/>
      <c r="N1304" s="36"/>
      <c r="O1304" s="36"/>
      <c r="P1304" s="36"/>
      <c r="Q1304" s="36"/>
      <c r="R1304" s="137" t="str">
        <f>"バックアップ_"&amp;SUBSTITUTE(C1304,"_結合","")</f>
        <v>バックアップ_DPCレセプト_診療行為レコード</v>
      </c>
      <c r="S1304" s="138"/>
      <c r="T1304" s="143" t="str">
        <f>エンティティ一覧!$O$2</f>
        <v>milscm_2023_010</v>
      </c>
    </row>
    <row r="1305" spans="2:23" ht="18.75" customHeight="1">
      <c r="C1305" s="139"/>
      <c r="D1305" s="140"/>
      <c r="E1305" s="142"/>
      <c r="F1305" s="37"/>
      <c r="G1305" s="38"/>
      <c r="H1305" s="37"/>
      <c r="I1305" s="37"/>
      <c r="J1305" s="37"/>
      <c r="K1305" s="37"/>
      <c r="L1305" s="37"/>
      <c r="M1305" s="37"/>
      <c r="N1305" s="37"/>
      <c r="O1305" s="37"/>
      <c r="P1305" s="37"/>
      <c r="Q1305" s="37"/>
      <c r="R1305" s="139"/>
      <c r="S1305" s="140"/>
      <c r="T1305" s="144"/>
    </row>
    <row r="1306" spans="2:23" ht="18.75" customHeight="1">
      <c r="F1306" s="39"/>
      <c r="G1306" s="40"/>
    </row>
    <row r="1307" spans="2:23" ht="18.75" customHeight="1">
      <c r="C1307" s="137" t="s">
        <v>3182</v>
      </c>
      <c r="D1307" s="138"/>
      <c r="E1307" s="143" t="str">
        <f>エンティティ一覧!$O$2</f>
        <v>milscm_2023_010</v>
      </c>
      <c r="G1307" s="41"/>
    </row>
    <row r="1308" spans="2:23" ht="18.75" customHeight="1">
      <c r="C1308" s="139"/>
      <c r="D1308" s="140"/>
      <c r="E1308" s="144"/>
      <c r="F1308" s="37"/>
    </row>
    <row r="1310" spans="2:23" ht="18.75" customHeight="1" thickBot="1">
      <c r="B1310" s="42"/>
      <c r="C1310" s="42"/>
      <c r="D1310" s="42"/>
      <c r="E1310" s="42"/>
      <c r="F1310" s="42"/>
      <c r="G1310" s="42"/>
      <c r="H1310" s="42"/>
      <c r="I1310" s="42"/>
      <c r="J1310" s="42"/>
      <c r="K1310" s="42"/>
      <c r="L1310" s="42"/>
      <c r="M1310" s="42"/>
      <c r="N1310" s="42"/>
      <c r="O1310" s="42"/>
      <c r="P1310" s="42"/>
      <c r="Q1310" s="42"/>
      <c r="R1310" s="42"/>
      <c r="S1310" s="42"/>
      <c r="T1310" s="42"/>
      <c r="U1310" s="42"/>
    </row>
    <row r="1312" spans="2:23" ht="18.75" customHeight="1">
      <c r="B1312" s="43" t="s">
        <v>163</v>
      </c>
      <c r="C1312" s="51" t="s">
        <v>3430</v>
      </c>
      <c r="D1312" s="88"/>
      <c r="W1312" s="35" t="str">
        <f>"-- "&amp;B1312&amp;" : "&amp;C1312</f>
        <v>-- SQL_ID : 01_C3-17</v>
      </c>
    </row>
    <row r="1313" spans="2:23" ht="18.75" customHeight="1">
      <c r="B1313" s="43" t="s">
        <v>158</v>
      </c>
      <c r="C1313" s="145" t="str">
        <f>R1316&amp;"登録"</f>
        <v>バックアップ_DPCレセプト_診療行為レコード_算定日情報登録</v>
      </c>
      <c r="D1313" s="146"/>
      <c r="E1313" s="146"/>
      <c r="F1313" s="146"/>
      <c r="G1313" s="146"/>
      <c r="H1313" s="146"/>
      <c r="I1313" s="146"/>
      <c r="J1313" s="146"/>
      <c r="K1313" s="146"/>
      <c r="L1313" s="146"/>
      <c r="M1313" s="146"/>
      <c r="N1313" s="146"/>
      <c r="O1313" s="146"/>
      <c r="P1313" s="146"/>
      <c r="Q1313" s="146"/>
      <c r="R1313" s="146"/>
      <c r="S1313" s="146"/>
      <c r="T1313" s="146"/>
      <c r="U1313" s="147"/>
      <c r="W1313" s="35" t="str">
        <f>"-- "&amp;C1313</f>
        <v>-- バックアップ_DPCレセプト_診療行為レコード_算定日情報登録</v>
      </c>
    </row>
    <row r="1314" spans="2:23" ht="18.75" customHeight="1">
      <c r="B1314" s="43" t="s">
        <v>159</v>
      </c>
      <c r="C1314" s="134" t="str">
        <f>C1316&amp;"テーブルから組入れ条件の第一条件で絞り込んだ結果を"&amp;R1316&amp;"テーブルに格納する。"</f>
        <v>DPCレセプト_診療行為レコード_算定日情報_結合テーブルから組入れ条件の第一条件で絞り込んだ結果をバックアップ_DPCレセプト_診療行為レコード_算定日情報テーブルに格納する。</v>
      </c>
      <c r="D1314" s="135"/>
      <c r="E1314" s="135"/>
      <c r="F1314" s="135"/>
      <c r="G1314" s="135"/>
      <c r="H1314" s="135"/>
      <c r="I1314" s="135"/>
      <c r="J1314" s="135"/>
      <c r="K1314" s="135"/>
      <c r="L1314" s="135"/>
      <c r="M1314" s="135"/>
      <c r="N1314" s="135"/>
      <c r="O1314" s="135"/>
      <c r="P1314" s="135"/>
      <c r="Q1314" s="135"/>
      <c r="R1314" s="135"/>
      <c r="S1314" s="135"/>
      <c r="T1314" s="135"/>
      <c r="U1314" s="136"/>
      <c r="W1314" s="35" t="str">
        <f>"-- "&amp;C1314</f>
        <v>-- DPCレセプト_診療行為レコード_算定日情報_結合テーブルから組入れ条件の第一条件で絞り込んだ結果をバックアップ_DPCレセプト_診療行為レコード_算定日情報テーブルに格納する。</v>
      </c>
    </row>
    <row r="1316" spans="2:23" ht="18.75" customHeight="1">
      <c r="C1316" s="137" t="s">
        <v>3431</v>
      </c>
      <c r="D1316" s="138"/>
      <c r="E1316" s="141" t="s">
        <v>162</v>
      </c>
      <c r="H1316" s="36"/>
      <c r="I1316" s="36"/>
      <c r="J1316" s="36"/>
      <c r="K1316" s="36"/>
      <c r="L1316" s="36"/>
      <c r="M1316" s="36"/>
      <c r="N1316" s="36"/>
      <c r="O1316" s="36"/>
      <c r="P1316" s="36"/>
      <c r="Q1316" s="36"/>
      <c r="R1316" s="148" t="str">
        <f>"バックアップ_"&amp;SUBSTITUTE(C1316,"_結合","")</f>
        <v>バックアップ_DPCレセプト_診療行為レコード_算定日情報</v>
      </c>
      <c r="S1316" s="149"/>
      <c r="T1316" s="143" t="str">
        <f>エンティティ一覧!$O$2</f>
        <v>milscm_2023_010</v>
      </c>
    </row>
    <row r="1317" spans="2:23" ht="18.75" customHeight="1">
      <c r="C1317" s="139"/>
      <c r="D1317" s="140"/>
      <c r="E1317" s="142"/>
      <c r="F1317" s="37"/>
      <c r="G1317" s="38"/>
      <c r="H1317" s="37"/>
      <c r="I1317" s="37"/>
      <c r="J1317" s="37"/>
      <c r="K1317" s="37"/>
      <c r="L1317" s="37"/>
      <c r="M1317" s="37"/>
      <c r="N1317" s="37"/>
      <c r="O1317" s="37"/>
      <c r="P1317" s="37"/>
      <c r="Q1317" s="37"/>
      <c r="R1317" s="150"/>
      <c r="S1317" s="151"/>
      <c r="T1317" s="144"/>
    </row>
    <row r="1318" spans="2:23" ht="18.75" customHeight="1">
      <c r="F1318" s="39"/>
      <c r="G1318" s="40"/>
    </row>
    <row r="1319" spans="2:23" ht="18.75" customHeight="1">
      <c r="C1319" s="137" t="s">
        <v>3182</v>
      </c>
      <c r="D1319" s="138"/>
      <c r="E1319" s="143" t="str">
        <f>エンティティ一覧!$O$2</f>
        <v>milscm_2023_010</v>
      </c>
      <c r="G1319" s="41"/>
    </row>
    <row r="1320" spans="2:23" ht="18.75" customHeight="1">
      <c r="C1320" s="139"/>
      <c r="D1320" s="140"/>
      <c r="E1320" s="144"/>
      <c r="F1320" s="37"/>
    </row>
    <row r="1322" spans="2:23" ht="18.75" customHeight="1" thickBot="1">
      <c r="B1322" s="42"/>
      <c r="C1322" s="42"/>
      <c r="D1322" s="42"/>
      <c r="E1322" s="42"/>
      <c r="F1322" s="42"/>
      <c r="G1322" s="42"/>
      <c r="H1322" s="42"/>
      <c r="I1322" s="42"/>
      <c r="J1322" s="42"/>
      <c r="K1322" s="42"/>
      <c r="L1322" s="42"/>
      <c r="M1322" s="42"/>
      <c r="N1322" s="42"/>
      <c r="O1322" s="42"/>
      <c r="P1322" s="42"/>
      <c r="Q1322" s="42"/>
      <c r="R1322" s="42"/>
      <c r="S1322" s="42"/>
      <c r="T1322" s="42"/>
      <c r="U1322" s="42"/>
    </row>
    <row r="1324" spans="2:23" ht="18.75" customHeight="1">
      <c r="B1324" s="43" t="s">
        <v>163</v>
      </c>
      <c r="C1324" s="51" t="s">
        <v>3432</v>
      </c>
      <c r="D1324" s="88"/>
      <c r="W1324" s="35" t="str">
        <f>"-- "&amp;B1324&amp;" : "&amp;C1324</f>
        <v>-- SQL_ID : 01_C3-18</v>
      </c>
    </row>
    <row r="1325" spans="2:23" ht="18.75" customHeight="1">
      <c r="B1325" s="43" t="s">
        <v>158</v>
      </c>
      <c r="C1325" s="145" t="str">
        <f>R1328&amp;"登録"</f>
        <v>バックアップ_DPCレセプト_医薬品レコード登録</v>
      </c>
      <c r="D1325" s="146"/>
      <c r="E1325" s="146"/>
      <c r="F1325" s="146"/>
      <c r="G1325" s="146"/>
      <c r="H1325" s="146"/>
      <c r="I1325" s="146"/>
      <c r="J1325" s="146"/>
      <c r="K1325" s="146"/>
      <c r="L1325" s="146"/>
      <c r="M1325" s="146"/>
      <c r="N1325" s="146"/>
      <c r="O1325" s="146"/>
      <c r="P1325" s="146"/>
      <c r="Q1325" s="146"/>
      <c r="R1325" s="146"/>
      <c r="S1325" s="146"/>
      <c r="T1325" s="146"/>
      <c r="U1325" s="147"/>
      <c r="W1325" s="35" t="str">
        <f>"-- "&amp;C1325</f>
        <v>-- バックアップ_DPCレセプト_医薬品レコード登録</v>
      </c>
    </row>
    <row r="1326" spans="2:23" ht="18.75" customHeight="1">
      <c r="B1326" s="43" t="s">
        <v>159</v>
      </c>
      <c r="C1326" s="134" t="str">
        <f>C1328&amp;"テーブルから組入れ条件の第一条件で絞り込んだ結果を"&amp;R1328&amp;"テーブルに格納する。"</f>
        <v>DPCレセプト_医薬品レコード_結合テーブルから組入れ条件の第一条件で絞り込んだ結果をバックアップ_DPCレセプト_医薬品レコードテーブルに格納する。</v>
      </c>
      <c r="D1326" s="135"/>
      <c r="E1326" s="135"/>
      <c r="F1326" s="135"/>
      <c r="G1326" s="135"/>
      <c r="H1326" s="135"/>
      <c r="I1326" s="135"/>
      <c r="J1326" s="135"/>
      <c r="K1326" s="135"/>
      <c r="L1326" s="135"/>
      <c r="M1326" s="135"/>
      <c r="N1326" s="135"/>
      <c r="O1326" s="135"/>
      <c r="P1326" s="135"/>
      <c r="Q1326" s="135"/>
      <c r="R1326" s="135"/>
      <c r="S1326" s="135"/>
      <c r="T1326" s="135"/>
      <c r="U1326" s="136"/>
      <c r="W1326" s="35" t="str">
        <f>"-- "&amp;C1326</f>
        <v>-- DPCレセプト_医薬品レコード_結合テーブルから組入れ条件の第一条件で絞り込んだ結果をバックアップ_DPCレセプト_医薬品レコードテーブルに格納する。</v>
      </c>
    </row>
    <row r="1328" spans="2:23" ht="18.75" customHeight="1">
      <c r="C1328" s="137" t="s">
        <v>3433</v>
      </c>
      <c r="D1328" s="138"/>
      <c r="E1328" s="141" t="s">
        <v>162</v>
      </c>
      <c r="H1328" s="36"/>
      <c r="I1328" s="36"/>
      <c r="J1328" s="36"/>
      <c r="K1328" s="36"/>
      <c r="L1328" s="36"/>
      <c r="M1328" s="36"/>
      <c r="N1328" s="36"/>
      <c r="O1328" s="36"/>
      <c r="P1328" s="36"/>
      <c r="Q1328" s="36"/>
      <c r="R1328" s="137" t="str">
        <f>"バックアップ_"&amp;SUBSTITUTE(C1328,"_結合","")</f>
        <v>バックアップ_DPCレセプト_医薬品レコード</v>
      </c>
      <c r="S1328" s="138"/>
      <c r="T1328" s="143" t="str">
        <f>エンティティ一覧!$O$2</f>
        <v>milscm_2023_010</v>
      </c>
    </row>
    <row r="1329" spans="2:23" ht="18.75" customHeight="1">
      <c r="C1329" s="139"/>
      <c r="D1329" s="140"/>
      <c r="E1329" s="142"/>
      <c r="F1329" s="37"/>
      <c r="G1329" s="38"/>
      <c r="H1329" s="37"/>
      <c r="I1329" s="37"/>
      <c r="J1329" s="37"/>
      <c r="K1329" s="37"/>
      <c r="L1329" s="37"/>
      <c r="M1329" s="37"/>
      <c r="N1329" s="37"/>
      <c r="O1329" s="37"/>
      <c r="P1329" s="37"/>
      <c r="Q1329" s="37"/>
      <c r="R1329" s="139"/>
      <c r="S1329" s="140"/>
      <c r="T1329" s="144"/>
    </row>
    <row r="1330" spans="2:23" ht="18.75" customHeight="1">
      <c r="F1330" s="39"/>
      <c r="G1330" s="40"/>
    </row>
    <row r="1331" spans="2:23" ht="18.75" customHeight="1">
      <c r="C1331" s="137" t="s">
        <v>3182</v>
      </c>
      <c r="D1331" s="138"/>
      <c r="E1331" s="143" t="str">
        <f>エンティティ一覧!$O$2</f>
        <v>milscm_2023_010</v>
      </c>
      <c r="G1331" s="41"/>
    </row>
    <row r="1332" spans="2:23" ht="18.75" customHeight="1">
      <c r="C1332" s="139"/>
      <c r="D1332" s="140"/>
      <c r="E1332" s="144"/>
      <c r="F1332" s="37"/>
    </row>
    <row r="1334" spans="2:23" ht="18.75" customHeight="1" thickBot="1">
      <c r="B1334" s="42"/>
      <c r="C1334" s="42"/>
      <c r="D1334" s="42"/>
      <c r="E1334" s="42"/>
      <c r="F1334" s="42"/>
      <c r="G1334" s="42"/>
      <c r="H1334" s="42"/>
      <c r="I1334" s="42"/>
      <c r="J1334" s="42"/>
      <c r="K1334" s="42"/>
      <c r="L1334" s="42"/>
      <c r="M1334" s="42"/>
      <c r="N1334" s="42"/>
      <c r="O1334" s="42"/>
      <c r="P1334" s="42"/>
      <c r="Q1334" s="42"/>
      <c r="R1334" s="42"/>
      <c r="S1334" s="42"/>
      <c r="T1334" s="42"/>
      <c r="U1334" s="42"/>
    </row>
    <row r="1336" spans="2:23" ht="18.75" customHeight="1">
      <c r="B1336" s="43" t="s">
        <v>163</v>
      </c>
      <c r="C1336" s="51" t="s">
        <v>3434</v>
      </c>
      <c r="D1336" s="88"/>
      <c r="W1336" s="35" t="str">
        <f>"-- "&amp;B1336&amp;" : "&amp;C1336</f>
        <v>-- SQL_ID : 01_C3-19</v>
      </c>
    </row>
    <row r="1337" spans="2:23" ht="18.75" customHeight="1">
      <c r="B1337" s="43" t="s">
        <v>158</v>
      </c>
      <c r="C1337" s="145" t="str">
        <f>R1340&amp;"登録"</f>
        <v>バックアップ_DPCレセプト_医薬品レコード_算定日情報登録</v>
      </c>
      <c r="D1337" s="146"/>
      <c r="E1337" s="146"/>
      <c r="F1337" s="146"/>
      <c r="G1337" s="146"/>
      <c r="H1337" s="146"/>
      <c r="I1337" s="146"/>
      <c r="J1337" s="146"/>
      <c r="K1337" s="146"/>
      <c r="L1337" s="146"/>
      <c r="M1337" s="146"/>
      <c r="N1337" s="146"/>
      <c r="O1337" s="146"/>
      <c r="P1337" s="146"/>
      <c r="Q1337" s="146"/>
      <c r="R1337" s="146"/>
      <c r="S1337" s="146"/>
      <c r="T1337" s="146"/>
      <c r="U1337" s="147"/>
      <c r="W1337" s="35" t="str">
        <f>"-- "&amp;C1337</f>
        <v>-- バックアップ_DPCレセプト_医薬品レコード_算定日情報登録</v>
      </c>
    </row>
    <row r="1338" spans="2:23" ht="18.75" customHeight="1">
      <c r="B1338" s="43" t="s">
        <v>159</v>
      </c>
      <c r="C1338" s="134" t="str">
        <f>C1340&amp;"テーブルから組入れ条件の第一条件で絞り込んだ結果を"&amp;R1340&amp;"テーブルに格納する。"</f>
        <v>DPCレセプト_医薬品レコード_算定日情報_結合テーブルから組入れ条件の第一条件で絞り込んだ結果をバックアップ_DPCレセプト_医薬品レコード_算定日情報テーブルに格納する。</v>
      </c>
      <c r="D1338" s="135"/>
      <c r="E1338" s="135"/>
      <c r="F1338" s="135"/>
      <c r="G1338" s="135"/>
      <c r="H1338" s="135"/>
      <c r="I1338" s="135"/>
      <c r="J1338" s="135"/>
      <c r="K1338" s="135"/>
      <c r="L1338" s="135"/>
      <c r="M1338" s="135"/>
      <c r="N1338" s="135"/>
      <c r="O1338" s="135"/>
      <c r="P1338" s="135"/>
      <c r="Q1338" s="135"/>
      <c r="R1338" s="135"/>
      <c r="S1338" s="135"/>
      <c r="T1338" s="135"/>
      <c r="U1338" s="136"/>
      <c r="W1338" s="35" t="str">
        <f>"-- "&amp;C1338</f>
        <v>-- DPCレセプト_医薬品レコード_算定日情報_結合テーブルから組入れ条件の第一条件で絞り込んだ結果をバックアップ_DPCレセプト_医薬品レコード_算定日情報テーブルに格納する。</v>
      </c>
    </row>
    <row r="1340" spans="2:23" ht="18.75" customHeight="1">
      <c r="C1340" s="137" t="s">
        <v>3435</v>
      </c>
      <c r="D1340" s="138"/>
      <c r="E1340" s="141" t="s">
        <v>162</v>
      </c>
      <c r="H1340" s="36"/>
      <c r="I1340" s="36"/>
      <c r="J1340" s="36"/>
      <c r="K1340" s="36"/>
      <c r="L1340" s="36"/>
      <c r="M1340" s="36"/>
      <c r="N1340" s="36"/>
      <c r="O1340" s="36"/>
      <c r="P1340" s="36"/>
      <c r="Q1340" s="36"/>
      <c r="R1340" s="148" t="str">
        <f>"バックアップ_"&amp;SUBSTITUTE(C1340,"_結合","")</f>
        <v>バックアップ_DPCレセプト_医薬品レコード_算定日情報</v>
      </c>
      <c r="S1340" s="149"/>
      <c r="T1340" s="143" t="str">
        <f>エンティティ一覧!$O$2</f>
        <v>milscm_2023_010</v>
      </c>
    </row>
    <row r="1341" spans="2:23" ht="18.75" customHeight="1">
      <c r="C1341" s="139"/>
      <c r="D1341" s="140"/>
      <c r="E1341" s="142"/>
      <c r="F1341" s="37"/>
      <c r="G1341" s="38"/>
      <c r="H1341" s="37"/>
      <c r="I1341" s="37"/>
      <c r="J1341" s="37"/>
      <c r="K1341" s="37"/>
      <c r="L1341" s="37"/>
      <c r="M1341" s="37"/>
      <c r="N1341" s="37"/>
      <c r="O1341" s="37"/>
      <c r="P1341" s="37"/>
      <c r="Q1341" s="37"/>
      <c r="R1341" s="150"/>
      <c r="S1341" s="151"/>
      <c r="T1341" s="144"/>
    </row>
    <row r="1342" spans="2:23" ht="18.75" customHeight="1">
      <c r="F1342" s="39"/>
      <c r="G1342" s="40"/>
    </row>
    <row r="1343" spans="2:23" ht="18.75" customHeight="1">
      <c r="C1343" s="137" t="s">
        <v>3182</v>
      </c>
      <c r="D1343" s="138"/>
      <c r="E1343" s="143" t="str">
        <f>エンティティ一覧!$O$2</f>
        <v>milscm_2023_010</v>
      </c>
      <c r="G1343" s="41"/>
    </row>
    <row r="1344" spans="2:23" ht="18.75" customHeight="1">
      <c r="C1344" s="139"/>
      <c r="D1344" s="140"/>
      <c r="E1344" s="144"/>
      <c r="F1344" s="37"/>
    </row>
    <row r="1346" spans="2:23" ht="18.75" customHeight="1" thickBot="1">
      <c r="B1346" s="42"/>
      <c r="C1346" s="42"/>
      <c r="D1346" s="42"/>
      <c r="E1346" s="42"/>
      <c r="F1346" s="42"/>
      <c r="G1346" s="42"/>
      <c r="H1346" s="42"/>
      <c r="I1346" s="42"/>
      <c r="J1346" s="42"/>
      <c r="K1346" s="42"/>
      <c r="L1346" s="42"/>
      <c r="M1346" s="42"/>
      <c r="N1346" s="42"/>
      <c r="O1346" s="42"/>
      <c r="P1346" s="42"/>
      <c r="Q1346" s="42"/>
      <c r="R1346" s="42"/>
      <c r="S1346" s="42"/>
      <c r="T1346" s="42"/>
      <c r="U1346" s="42"/>
    </row>
    <row r="1348" spans="2:23" ht="18.75" customHeight="1">
      <c r="B1348" s="43" t="s">
        <v>163</v>
      </c>
      <c r="C1348" s="51" t="s">
        <v>3436</v>
      </c>
      <c r="D1348" s="88"/>
      <c r="W1348" s="35" t="str">
        <f>"-- "&amp;B1348&amp;" : "&amp;C1348</f>
        <v>-- SQL_ID : 01_C3-24</v>
      </c>
    </row>
    <row r="1349" spans="2:23" ht="18.75" customHeight="1">
      <c r="B1349" s="43" t="s">
        <v>158</v>
      </c>
      <c r="C1349" s="145" t="str">
        <f>R1352&amp;"登録"</f>
        <v>バックアップ_DPCレセプト_臓器提供者レセプト情報レコード登録</v>
      </c>
      <c r="D1349" s="146"/>
      <c r="E1349" s="146"/>
      <c r="F1349" s="146"/>
      <c r="G1349" s="146"/>
      <c r="H1349" s="146"/>
      <c r="I1349" s="146"/>
      <c r="J1349" s="146"/>
      <c r="K1349" s="146"/>
      <c r="L1349" s="146"/>
      <c r="M1349" s="146"/>
      <c r="N1349" s="146"/>
      <c r="O1349" s="146"/>
      <c r="P1349" s="146"/>
      <c r="Q1349" s="146"/>
      <c r="R1349" s="146"/>
      <c r="S1349" s="146"/>
      <c r="T1349" s="146"/>
      <c r="U1349" s="147"/>
      <c r="W1349" s="35" t="str">
        <f>"-- "&amp;C1349</f>
        <v>-- バックアップ_DPCレセプト_臓器提供者レセプト情報レコード登録</v>
      </c>
    </row>
    <row r="1350" spans="2:23" ht="18.75" customHeight="1">
      <c r="B1350" s="43" t="s">
        <v>159</v>
      </c>
      <c r="C1350" s="134" t="str">
        <f>C1352&amp;"テーブルから組入れ条件の第一条件で絞り込んだ結果を"&amp;R1352&amp;"テーブルに格納する。"</f>
        <v>DPCレセプト_臓器提供者レセプト情報レコード_結合テーブルから組入れ条件の第一条件で絞り込んだ結果をバックアップ_DPCレセプト_臓器提供者レセプト情報レコードテーブルに格納する。</v>
      </c>
      <c r="D1350" s="135"/>
      <c r="E1350" s="135"/>
      <c r="F1350" s="135"/>
      <c r="G1350" s="135"/>
      <c r="H1350" s="135"/>
      <c r="I1350" s="135"/>
      <c r="J1350" s="135"/>
      <c r="K1350" s="135"/>
      <c r="L1350" s="135"/>
      <c r="M1350" s="135"/>
      <c r="N1350" s="135"/>
      <c r="O1350" s="135"/>
      <c r="P1350" s="135"/>
      <c r="Q1350" s="135"/>
      <c r="R1350" s="135"/>
      <c r="S1350" s="135"/>
      <c r="T1350" s="135"/>
      <c r="U1350" s="136"/>
      <c r="W1350" s="35" t="str">
        <f>"-- "&amp;C1350</f>
        <v>-- DPCレセプト_臓器提供者レセプト情報レコード_結合テーブルから組入れ条件の第一条件で絞り込んだ結果をバックアップ_DPCレセプト_臓器提供者レセプト情報レコードテーブルに格納する。</v>
      </c>
    </row>
    <row r="1352" spans="2:23" ht="18.75" customHeight="1">
      <c r="C1352" s="137" t="s">
        <v>3437</v>
      </c>
      <c r="D1352" s="138"/>
      <c r="E1352" s="141" t="s">
        <v>162</v>
      </c>
      <c r="H1352" s="36"/>
      <c r="I1352" s="36"/>
      <c r="J1352" s="36"/>
      <c r="K1352" s="36"/>
      <c r="L1352" s="36"/>
      <c r="M1352" s="36"/>
      <c r="N1352" s="36"/>
      <c r="O1352" s="36"/>
      <c r="P1352" s="36"/>
      <c r="Q1352" s="36"/>
      <c r="R1352" s="156" t="str">
        <f>"バックアップ_"&amp;SUBSTITUTE(C1352,"_結合","")</f>
        <v>バックアップ_DPCレセプト_臓器提供者レセプト情報レコード</v>
      </c>
      <c r="S1352" s="157"/>
      <c r="T1352" s="143" t="str">
        <f>エンティティ一覧!$O$2</f>
        <v>milscm_2023_010</v>
      </c>
    </row>
    <row r="1353" spans="2:23" ht="18.75" customHeight="1">
      <c r="C1353" s="139"/>
      <c r="D1353" s="140"/>
      <c r="E1353" s="142"/>
      <c r="F1353" s="37"/>
      <c r="G1353" s="38"/>
      <c r="H1353" s="37"/>
      <c r="I1353" s="37"/>
      <c r="J1353" s="37"/>
      <c r="K1353" s="37"/>
      <c r="L1353" s="37"/>
      <c r="M1353" s="37"/>
      <c r="N1353" s="37"/>
      <c r="O1353" s="37"/>
      <c r="P1353" s="37"/>
      <c r="Q1353" s="37"/>
      <c r="R1353" s="158"/>
      <c r="S1353" s="159"/>
      <c r="T1353" s="144"/>
    </row>
    <row r="1354" spans="2:23" ht="18.75" customHeight="1">
      <c r="F1354" s="39"/>
      <c r="G1354" s="40"/>
    </row>
    <row r="1355" spans="2:23" ht="18.75" customHeight="1">
      <c r="C1355" s="137" t="s">
        <v>3182</v>
      </c>
      <c r="D1355" s="138"/>
      <c r="E1355" s="143" t="str">
        <f>エンティティ一覧!$O$2</f>
        <v>milscm_2023_010</v>
      </c>
      <c r="G1355" s="41"/>
    </row>
    <row r="1356" spans="2:23" ht="18.75" customHeight="1">
      <c r="C1356" s="139"/>
      <c r="D1356" s="140"/>
      <c r="E1356" s="144"/>
      <c r="F1356" s="37"/>
    </row>
    <row r="1358" spans="2:23" ht="18.75" customHeight="1" thickBot="1">
      <c r="B1358" s="42"/>
      <c r="C1358" s="42"/>
      <c r="D1358" s="42"/>
      <c r="E1358" s="42"/>
      <c r="F1358" s="42"/>
      <c r="G1358" s="42"/>
      <c r="H1358" s="42"/>
      <c r="I1358" s="42"/>
      <c r="J1358" s="42"/>
      <c r="K1358" s="42"/>
      <c r="L1358" s="42"/>
      <c r="M1358" s="42"/>
      <c r="N1358" s="42"/>
      <c r="O1358" s="42"/>
      <c r="P1358" s="42"/>
      <c r="Q1358" s="42"/>
      <c r="R1358" s="42"/>
      <c r="S1358" s="42"/>
      <c r="T1358" s="42"/>
      <c r="U1358" s="42"/>
    </row>
    <row r="1360" spans="2:23" ht="18.75" customHeight="1">
      <c r="B1360" s="43" t="s">
        <v>163</v>
      </c>
      <c r="C1360" s="51" t="s">
        <v>3438</v>
      </c>
      <c r="D1360" s="88"/>
      <c r="W1360" s="35" t="str">
        <f>"-- "&amp;B1360&amp;" : "&amp;C1360</f>
        <v>-- SQL_ID : 01_C4-01</v>
      </c>
    </row>
    <row r="1361" spans="2:23" ht="18.75" customHeight="1">
      <c r="B1361" s="43" t="s">
        <v>158</v>
      </c>
      <c r="C1361" s="145" t="str">
        <f>R1364&amp;"登録"</f>
        <v>バックアップ_患者情報モジュール_患者情報登録</v>
      </c>
      <c r="D1361" s="146"/>
      <c r="E1361" s="146"/>
      <c r="F1361" s="146"/>
      <c r="G1361" s="146"/>
      <c r="H1361" s="146"/>
      <c r="I1361" s="146"/>
      <c r="J1361" s="146"/>
      <c r="K1361" s="146"/>
      <c r="L1361" s="146"/>
      <c r="M1361" s="146"/>
      <c r="N1361" s="146"/>
      <c r="O1361" s="146"/>
      <c r="P1361" s="146"/>
      <c r="Q1361" s="146"/>
      <c r="R1361" s="146"/>
      <c r="S1361" s="146"/>
      <c r="T1361" s="146"/>
      <c r="U1361" s="147"/>
      <c r="W1361" s="35" t="str">
        <f>"-- "&amp;C1361</f>
        <v>-- バックアップ_患者情報モジュール_患者情報登録</v>
      </c>
    </row>
    <row r="1362" spans="2:23" ht="18.75" customHeight="1">
      <c r="B1362" s="43" t="s">
        <v>159</v>
      </c>
      <c r="C1362" s="134" t="str">
        <f>C1364&amp;"テーブルから組入れ条件の第一条件で絞り込んだ結果を"&amp;R1364&amp;"テーブルに格納する。"</f>
        <v>患者情報モジュール_患者情報_結合テーブルから組入れ条件の第一条件で絞り込んだ結果をバックアップ_患者情報モジュール_患者情報テーブルに格納する。</v>
      </c>
      <c r="D1362" s="135"/>
      <c r="E1362" s="135"/>
      <c r="F1362" s="135"/>
      <c r="G1362" s="135"/>
      <c r="H1362" s="135"/>
      <c r="I1362" s="135"/>
      <c r="J1362" s="135"/>
      <c r="K1362" s="135"/>
      <c r="L1362" s="135"/>
      <c r="M1362" s="135"/>
      <c r="N1362" s="135"/>
      <c r="O1362" s="135"/>
      <c r="P1362" s="135"/>
      <c r="Q1362" s="135"/>
      <c r="R1362" s="135"/>
      <c r="S1362" s="135"/>
      <c r="T1362" s="135"/>
      <c r="U1362" s="136"/>
      <c r="W1362" s="35" t="str">
        <f>"-- "&amp;C1362</f>
        <v>-- 患者情報モジュール_患者情報_結合テーブルから組入れ条件の第一条件で絞り込んだ結果をバックアップ_患者情報モジュール_患者情報テーブルに格納する。</v>
      </c>
    </row>
    <row r="1364" spans="2:23" ht="18.75" customHeight="1">
      <c r="C1364" s="137" t="s">
        <v>3439</v>
      </c>
      <c r="D1364" s="138"/>
      <c r="E1364" s="141" t="s">
        <v>162</v>
      </c>
      <c r="H1364" s="36"/>
      <c r="I1364" s="36"/>
      <c r="J1364" s="36"/>
      <c r="K1364" s="36"/>
      <c r="L1364" s="36"/>
      <c r="M1364" s="36"/>
      <c r="N1364" s="36"/>
      <c r="O1364" s="36"/>
      <c r="P1364" s="36"/>
      <c r="Q1364" s="36"/>
      <c r="R1364" s="137" t="str">
        <f>"バックアップ_"&amp;SUBSTITUTE(C1364,"_結合","")</f>
        <v>バックアップ_患者情報モジュール_患者情報</v>
      </c>
      <c r="S1364" s="138"/>
      <c r="T1364" s="143" t="str">
        <f>エンティティ一覧!$O$2</f>
        <v>milscm_2023_010</v>
      </c>
    </row>
    <row r="1365" spans="2:23" ht="18.75" customHeight="1">
      <c r="C1365" s="139"/>
      <c r="D1365" s="140"/>
      <c r="E1365" s="142"/>
      <c r="F1365" s="37"/>
      <c r="G1365" s="38"/>
      <c r="H1365" s="37"/>
      <c r="I1365" s="37"/>
      <c r="J1365" s="37"/>
      <c r="K1365" s="37"/>
      <c r="L1365" s="37"/>
      <c r="M1365" s="37"/>
      <c r="N1365" s="37"/>
      <c r="O1365" s="37"/>
      <c r="P1365" s="37"/>
      <c r="Q1365" s="37"/>
      <c r="R1365" s="139"/>
      <c r="S1365" s="140"/>
      <c r="T1365" s="144"/>
    </row>
    <row r="1366" spans="2:23" ht="18.75" customHeight="1">
      <c r="F1366" s="39"/>
      <c r="G1366" s="40"/>
    </row>
    <row r="1367" spans="2:23" ht="18.75" customHeight="1">
      <c r="C1367" s="137" t="s">
        <v>3182</v>
      </c>
      <c r="D1367" s="138"/>
      <c r="E1367" s="143" t="str">
        <f>エンティティ一覧!$O$2</f>
        <v>milscm_2023_010</v>
      </c>
      <c r="G1367" s="41"/>
    </row>
    <row r="1368" spans="2:23" ht="18.75" customHeight="1">
      <c r="C1368" s="139"/>
      <c r="D1368" s="140"/>
      <c r="E1368" s="144"/>
      <c r="F1368" s="37"/>
    </row>
    <row r="1370" spans="2:23" ht="18.75" customHeight="1" thickBot="1">
      <c r="B1370" s="42"/>
      <c r="C1370" s="42"/>
      <c r="D1370" s="42"/>
      <c r="E1370" s="42"/>
      <c r="F1370" s="42"/>
      <c r="G1370" s="42"/>
      <c r="H1370" s="42"/>
      <c r="I1370" s="42"/>
      <c r="J1370" s="42"/>
      <c r="K1370" s="42"/>
      <c r="L1370" s="42"/>
      <c r="M1370" s="42"/>
      <c r="N1370" s="42"/>
      <c r="O1370" s="42"/>
      <c r="P1370" s="42"/>
      <c r="Q1370" s="42"/>
      <c r="R1370" s="42"/>
      <c r="S1370" s="42"/>
      <c r="T1370" s="42"/>
      <c r="U1370" s="42"/>
    </row>
    <row r="1372" spans="2:23" ht="18.75" customHeight="1">
      <c r="B1372" s="43" t="s">
        <v>163</v>
      </c>
      <c r="C1372" s="51" t="s">
        <v>3440</v>
      </c>
      <c r="D1372" s="88"/>
      <c r="W1372" s="35" t="str">
        <f>"-- "&amp;B1372&amp;" : "&amp;C1372</f>
        <v>-- SQL_ID : 01_C4-03</v>
      </c>
    </row>
    <row r="1373" spans="2:23" ht="18.75" customHeight="1">
      <c r="B1373" s="43" t="s">
        <v>158</v>
      </c>
      <c r="C1373" s="145" t="str">
        <f>R1376&amp;"登録"</f>
        <v>バックアップ_診断履歴情報モジュール_診断履歴情報レコード登録</v>
      </c>
      <c r="D1373" s="146"/>
      <c r="E1373" s="146"/>
      <c r="F1373" s="146"/>
      <c r="G1373" s="146"/>
      <c r="H1373" s="146"/>
      <c r="I1373" s="146"/>
      <c r="J1373" s="146"/>
      <c r="K1373" s="146"/>
      <c r="L1373" s="146"/>
      <c r="M1373" s="146"/>
      <c r="N1373" s="146"/>
      <c r="O1373" s="146"/>
      <c r="P1373" s="146"/>
      <c r="Q1373" s="146"/>
      <c r="R1373" s="146"/>
      <c r="S1373" s="146"/>
      <c r="T1373" s="146"/>
      <c r="U1373" s="147"/>
      <c r="W1373" s="35" t="str">
        <f>"-- "&amp;C1373</f>
        <v>-- バックアップ_診断履歴情報モジュール_診断履歴情報レコード登録</v>
      </c>
    </row>
    <row r="1374" spans="2:23" ht="18.75" customHeight="1">
      <c r="B1374" s="43" t="s">
        <v>159</v>
      </c>
      <c r="C1374" s="134" t="str">
        <f>C1376&amp;"テーブルから組入れ条件の第一条件で絞り込んだ結果を"&amp;R1376&amp;"テーブルに格納する。"</f>
        <v>診断履歴情報モジュール_診断履歴情報レコード_結合テーブルから組入れ条件の第一条件で絞り込んだ結果をバックアップ_診断履歴情報モジュール_診断履歴情報レコードテーブルに格納する。</v>
      </c>
      <c r="D1374" s="135"/>
      <c r="E1374" s="135"/>
      <c r="F1374" s="135"/>
      <c r="G1374" s="135"/>
      <c r="H1374" s="135"/>
      <c r="I1374" s="135"/>
      <c r="J1374" s="135"/>
      <c r="K1374" s="135"/>
      <c r="L1374" s="135"/>
      <c r="M1374" s="135"/>
      <c r="N1374" s="135"/>
      <c r="O1374" s="135"/>
      <c r="P1374" s="135"/>
      <c r="Q1374" s="135"/>
      <c r="R1374" s="135"/>
      <c r="S1374" s="135"/>
      <c r="T1374" s="135"/>
      <c r="U1374" s="136"/>
      <c r="W1374" s="35" t="str">
        <f>"-- "&amp;C1374</f>
        <v>-- 診断履歴情報モジュール_診断履歴情報レコード_結合テーブルから組入れ条件の第一条件で絞り込んだ結果をバックアップ_診断履歴情報モジュール_診断履歴情報レコードテーブルに格納する。</v>
      </c>
    </row>
    <row r="1376" spans="2:23" ht="18.75" customHeight="1">
      <c r="C1376" s="137" t="s">
        <v>3441</v>
      </c>
      <c r="D1376" s="138"/>
      <c r="E1376" s="141" t="s">
        <v>162</v>
      </c>
      <c r="H1376" s="36"/>
      <c r="I1376" s="36"/>
      <c r="J1376" s="36"/>
      <c r="K1376" s="36"/>
      <c r="L1376" s="36"/>
      <c r="M1376" s="36"/>
      <c r="N1376" s="36"/>
      <c r="O1376" s="36"/>
      <c r="P1376" s="36"/>
      <c r="Q1376" s="36"/>
      <c r="R1376" s="156" t="str">
        <f>"バックアップ_"&amp;SUBSTITUTE(C1376,"_結合","")</f>
        <v>バックアップ_診断履歴情報モジュール_診断履歴情報レコード</v>
      </c>
      <c r="S1376" s="157"/>
      <c r="T1376" s="143" t="str">
        <f>エンティティ一覧!$O$2</f>
        <v>milscm_2023_010</v>
      </c>
    </row>
    <row r="1377" spans="2:23" ht="18.75" customHeight="1">
      <c r="C1377" s="139"/>
      <c r="D1377" s="140"/>
      <c r="E1377" s="142"/>
      <c r="F1377" s="37"/>
      <c r="G1377" s="38"/>
      <c r="H1377" s="37"/>
      <c r="I1377" s="37"/>
      <c r="J1377" s="37"/>
      <c r="K1377" s="37"/>
      <c r="L1377" s="37"/>
      <c r="M1377" s="37"/>
      <c r="N1377" s="37"/>
      <c r="O1377" s="37"/>
      <c r="P1377" s="37"/>
      <c r="Q1377" s="37"/>
      <c r="R1377" s="158"/>
      <c r="S1377" s="159"/>
      <c r="T1377" s="144"/>
    </row>
    <row r="1378" spans="2:23" ht="18.75" customHeight="1">
      <c r="F1378" s="39"/>
      <c r="G1378" s="40"/>
    </row>
    <row r="1379" spans="2:23" ht="18.75" customHeight="1">
      <c r="C1379" s="137" t="s">
        <v>3182</v>
      </c>
      <c r="D1379" s="138"/>
      <c r="E1379" s="143" t="str">
        <f>エンティティ一覧!$O$2</f>
        <v>milscm_2023_010</v>
      </c>
      <c r="G1379" s="41"/>
    </row>
    <row r="1380" spans="2:23" ht="18.75" customHeight="1">
      <c r="C1380" s="139"/>
      <c r="D1380" s="140"/>
      <c r="E1380" s="144"/>
      <c r="F1380" s="37"/>
    </row>
    <row r="1382" spans="2:23" ht="18.75" customHeight="1" thickBot="1">
      <c r="B1382" s="42"/>
      <c r="C1382" s="42"/>
      <c r="D1382" s="42"/>
      <c r="E1382" s="42"/>
      <c r="F1382" s="42"/>
      <c r="G1382" s="42"/>
      <c r="H1382" s="42"/>
      <c r="I1382" s="42"/>
      <c r="J1382" s="42"/>
      <c r="K1382" s="42"/>
      <c r="L1382" s="42"/>
      <c r="M1382" s="42"/>
      <c r="N1382" s="42"/>
      <c r="O1382" s="42"/>
      <c r="P1382" s="42"/>
      <c r="Q1382" s="42"/>
      <c r="R1382" s="42"/>
      <c r="S1382" s="42"/>
      <c r="T1382" s="42"/>
      <c r="U1382" s="42"/>
    </row>
    <row r="1384" spans="2:23" ht="18.75" customHeight="1">
      <c r="B1384" s="43" t="s">
        <v>163</v>
      </c>
      <c r="C1384" s="51" t="s">
        <v>3442</v>
      </c>
      <c r="D1384" s="88"/>
      <c r="W1384" s="35" t="str">
        <f>"-- "&amp;B1384&amp;" : "&amp;C1384</f>
        <v>-- SQL_ID : 01_C4-04</v>
      </c>
    </row>
    <row r="1385" spans="2:23" ht="18.75" customHeight="1">
      <c r="B1385" s="43" t="s">
        <v>158</v>
      </c>
      <c r="C1385" s="145" t="str">
        <f>R1388&amp;"登録"</f>
        <v>バックアップ_診断履歴情報モジュール_診断病名レコード登録</v>
      </c>
      <c r="D1385" s="146"/>
      <c r="E1385" s="146"/>
      <c r="F1385" s="146"/>
      <c r="G1385" s="146"/>
      <c r="H1385" s="146"/>
      <c r="I1385" s="146"/>
      <c r="J1385" s="146"/>
      <c r="K1385" s="146"/>
      <c r="L1385" s="146"/>
      <c r="M1385" s="146"/>
      <c r="N1385" s="146"/>
      <c r="O1385" s="146"/>
      <c r="P1385" s="146"/>
      <c r="Q1385" s="146"/>
      <c r="R1385" s="146"/>
      <c r="S1385" s="146"/>
      <c r="T1385" s="146"/>
      <c r="U1385" s="147"/>
      <c r="W1385" s="35" t="str">
        <f>"-- "&amp;C1385</f>
        <v>-- バックアップ_診断履歴情報モジュール_診断病名レコード登録</v>
      </c>
    </row>
    <row r="1386" spans="2:23" ht="18.75" customHeight="1">
      <c r="B1386" s="43" t="s">
        <v>159</v>
      </c>
      <c r="C1386" s="134" t="str">
        <f>C1388&amp;"テーブルから組入れ条件の第一条件で絞り込んだ結果を"&amp;R1388&amp;"テーブルに格納する。"</f>
        <v>診断履歴情報モジュール_診断病名レコード_結合テーブルから組入れ条件の第一条件で絞り込んだ結果をバックアップ_診断履歴情報モジュール_診断病名レコードテーブルに格納する。</v>
      </c>
      <c r="D1386" s="135"/>
      <c r="E1386" s="135"/>
      <c r="F1386" s="135"/>
      <c r="G1386" s="135"/>
      <c r="H1386" s="135"/>
      <c r="I1386" s="135"/>
      <c r="J1386" s="135"/>
      <c r="K1386" s="135"/>
      <c r="L1386" s="135"/>
      <c r="M1386" s="135"/>
      <c r="N1386" s="135"/>
      <c r="O1386" s="135"/>
      <c r="P1386" s="135"/>
      <c r="Q1386" s="135"/>
      <c r="R1386" s="135"/>
      <c r="S1386" s="135"/>
      <c r="T1386" s="135"/>
      <c r="U1386" s="136"/>
      <c r="W1386" s="35" t="str">
        <f>"-- "&amp;C1386</f>
        <v>-- 診断履歴情報モジュール_診断病名レコード_結合テーブルから組入れ条件の第一条件で絞り込んだ結果をバックアップ_診断履歴情報モジュール_診断病名レコードテーブルに格納する。</v>
      </c>
    </row>
    <row r="1388" spans="2:23" ht="18.75" customHeight="1">
      <c r="C1388" s="137" t="s">
        <v>3443</v>
      </c>
      <c r="D1388" s="138"/>
      <c r="E1388" s="141" t="s">
        <v>162</v>
      </c>
      <c r="H1388" s="36"/>
      <c r="I1388" s="36"/>
      <c r="J1388" s="36"/>
      <c r="K1388" s="36"/>
      <c r="L1388" s="36"/>
      <c r="M1388" s="36"/>
      <c r="N1388" s="36"/>
      <c r="O1388" s="36"/>
      <c r="P1388" s="36"/>
      <c r="Q1388" s="36"/>
      <c r="R1388" s="156" t="str">
        <f>"バックアップ_"&amp;SUBSTITUTE(C1388,"_結合","")</f>
        <v>バックアップ_診断履歴情報モジュール_診断病名レコード</v>
      </c>
      <c r="S1388" s="157"/>
      <c r="T1388" s="143" t="str">
        <f>エンティティ一覧!$O$2</f>
        <v>milscm_2023_010</v>
      </c>
    </row>
    <row r="1389" spans="2:23" ht="18.75" customHeight="1">
      <c r="C1389" s="139"/>
      <c r="D1389" s="140"/>
      <c r="E1389" s="142"/>
      <c r="F1389" s="37"/>
      <c r="G1389" s="38"/>
      <c r="H1389" s="37"/>
      <c r="I1389" s="37"/>
      <c r="J1389" s="37"/>
      <c r="K1389" s="37"/>
      <c r="L1389" s="37"/>
      <c r="M1389" s="37"/>
      <c r="N1389" s="37"/>
      <c r="O1389" s="37"/>
      <c r="P1389" s="37"/>
      <c r="Q1389" s="37"/>
      <c r="R1389" s="158"/>
      <c r="S1389" s="159"/>
      <c r="T1389" s="144"/>
    </row>
    <row r="1390" spans="2:23" ht="18.75" customHeight="1">
      <c r="F1390" s="39"/>
      <c r="G1390" s="40"/>
    </row>
    <row r="1391" spans="2:23" ht="18.75" customHeight="1">
      <c r="C1391" s="137" t="s">
        <v>3182</v>
      </c>
      <c r="D1391" s="138"/>
      <c r="E1391" s="143" t="str">
        <f>エンティティ一覧!$O$2</f>
        <v>milscm_2023_010</v>
      </c>
      <c r="G1391" s="41"/>
    </row>
    <row r="1392" spans="2:23" ht="18.75" customHeight="1">
      <c r="C1392" s="139"/>
      <c r="D1392" s="140"/>
      <c r="E1392" s="144"/>
      <c r="F1392" s="37"/>
    </row>
    <row r="1394" spans="2:23" ht="18.75" customHeight="1" thickBot="1">
      <c r="B1394" s="42"/>
      <c r="C1394" s="42"/>
      <c r="D1394" s="42"/>
      <c r="E1394" s="42"/>
      <c r="F1394" s="42"/>
      <c r="G1394" s="42"/>
      <c r="H1394" s="42"/>
      <c r="I1394" s="42"/>
      <c r="J1394" s="42"/>
      <c r="K1394" s="42"/>
      <c r="L1394" s="42"/>
      <c r="M1394" s="42"/>
      <c r="N1394" s="42"/>
      <c r="O1394" s="42"/>
      <c r="P1394" s="42"/>
      <c r="Q1394" s="42"/>
      <c r="R1394" s="42"/>
      <c r="S1394" s="42"/>
      <c r="T1394" s="42"/>
      <c r="U1394" s="42"/>
    </row>
    <row r="1396" spans="2:23" ht="18.75" customHeight="1">
      <c r="B1396" s="43" t="s">
        <v>163</v>
      </c>
      <c r="C1396" s="51" t="s">
        <v>3444</v>
      </c>
      <c r="D1396" s="88"/>
      <c r="W1396" s="35" t="str">
        <f>"-- "&amp;B1396&amp;" : "&amp;C1396</f>
        <v>-- SQL_ID : 01_C4-05</v>
      </c>
    </row>
    <row r="1397" spans="2:23" ht="18.75" customHeight="1">
      <c r="B1397" s="43" t="s">
        <v>158</v>
      </c>
      <c r="C1397" s="145" t="str">
        <f>R1400&amp;"登録"</f>
        <v>バックアップ_診断履歴情報モジュール_診断分類レコード登録</v>
      </c>
      <c r="D1397" s="146"/>
      <c r="E1397" s="146"/>
      <c r="F1397" s="146"/>
      <c r="G1397" s="146"/>
      <c r="H1397" s="146"/>
      <c r="I1397" s="146"/>
      <c r="J1397" s="146"/>
      <c r="K1397" s="146"/>
      <c r="L1397" s="146"/>
      <c r="M1397" s="146"/>
      <c r="N1397" s="146"/>
      <c r="O1397" s="146"/>
      <c r="P1397" s="146"/>
      <c r="Q1397" s="146"/>
      <c r="R1397" s="146"/>
      <c r="S1397" s="146"/>
      <c r="T1397" s="146"/>
      <c r="U1397" s="147"/>
      <c r="W1397" s="35" t="str">
        <f>"-- "&amp;C1397</f>
        <v>-- バックアップ_診断履歴情報モジュール_診断分類レコード登録</v>
      </c>
    </row>
    <row r="1398" spans="2:23" ht="18.75" customHeight="1">
      <c r="B1398" s="43" t="s">
        <v>159</v>
      </c>
      <c r="C1398" s="134" t="str">
        <f>C1400&amp;"テーブルから組入れ条件の第一条件で絞り込んだ結果を"&amp;R1400&amp;"テーブルに格納する。"</f>
        <v>診断履歴情報モジュール_診断分類レコード_結合テーブルから組入れ条件の第一条件で絞り込んだ結果をバックアップ_診断履歴情報モジュール_診断分類レコードテーブルに格納する。</v>
      </c>
      <c r="D1398" s="135"/>
      <c r="E1398" s="135"/>
      <c r="F1398" s="135"/>
      <c r="G1398" s="135"/>
      <c r="H1398" s="135"/>
      <c r="I1398" s="135"/>
      <c r="J1398" s="135"/>
      <c r="K1398" s="135"/>
      <c r="L1398" s="135"/>
      <c r="M1398" s="135"/>
      <c r="N1398" s="135"/>
      <c r="O1398" s="135"/>
      <c r="P1398" s="135"/>
      <c r="Q1398" s="135"/>
      <c r="R1398" s="135"/>
      <c r="S1398" s="135"/>
      <c r="T1398" s="135"/>
      <c r="U1398" s="136"/>
      <c r="W1398" s="35" t="str">
        <f>"-- "&amp;C1398</f>
        <v>-- 診断履歴情報モジュール_診断分類レコード_結合テーブルから組入れ条件の第一条件で絞り込んだ結果をバックアップ_診断履歴情報モジュール_診断分類レコードテーブルに格納する。</v>
      </c>
    </row>
    <row r="1400" spans="2:23" ht="18.75" customHeight="1">
      <c r="C1400" s="137" t="s">
        <v>3445</v>
      </c>
      <c r="D1400" s="138"/>
      <c r="E1400" s="141" t="s">
        <v>162</v>
      </c>
      <c r="H1400" s="36"/>
      <c r="I1400" s="36"/>
      <c r="J1400" s="36"/>
      <c r="K1400" s="36"/>
      <c r="L1400" s="36"/>
      <c r="M1400" s="36"/>
      <c r="N1400" s="36"/>
      <c r="O1400" s="36"/>
      <c r="P1400" s="36"/>
      <c r="Q1400" s="36"/>
      <c r="R1400" s="156" t="str">
        <f>"バックアップ_"&amp;SUBSTITUTE(C1400,"_結合","")</f>
        <v>バックアップ_診断履歴情報モジュール_診断分類レコード</v>
      </c>
      <c r="S1400" s="157"/>
      <c r="T1400" s="143" t="str">
        <f>エンティティ一覧!$O$2</f>
        <v>milscm_2023_010</v>
      </c>
    </row>
    <row r="1401" spans="2:23" ht="18.75" customHeight="1">
      <c r="C1401" s="139"/>
      <c r="D1401" s="140"/>
      <c r="E1401" s="142"/>
      <c r="F1401" s="37"/>
      <c r="G1401" s="38"/>
      <c r="H1401" s="37"/>
      <c r="I1401" s="37"/>
      <c r="J1401" s="37"/>
      <c r="K1401" s="37"/>
      <c r="L1401" s="37"/>
      <c r="M1401" s="37"/>
      <c r="N1401" s="37"/>
      <c r="O1401" s="37"/>
      <c r="P1401" s="37"/>
      <c r="Q1401" s="37"/>
      <c r="R1401" s="158"/>
      <c r="S1401" s="159"/>
      <c r="T1401" s="144"/>
    </row>
    <row r="1402" spans="2:23" ht="18.75" customHeight="1">
      <c r="F1402" s="39"/>
      <c r="G1402" s="40"/>
    </row>
    <row r="1403" spans="2:23" ht="18.75" customHeight="1">
      <c r="C1403" s="137" t="s">
        <v>3182</v>
      </c>
      <c r="D1403" s="138"/>
      <c r="E1403" s="143" t="str">
        <f>エンティティ一覧!$O$2</f>
        <v>milscm_2023_010</v>
      </c>
      <c r="G1403" s="41"/>
    </row>
    <row r="1404" spans="2:23" ht="18.75" customHeight="1">
      <c r="C1404" s="139"/>
      <c r="D1404" s="140"/>
      <c r="E1404" s="144"/>
      <c r="F1404" s="37"/>
    </row>
    <row r="1406" spans="2:23" ht="18.75" customHeight="1" thickBot="1">
      <c r="B1406" s="42"/>
      <c r="C1406" s="42"/>
      <c r="D1406" s="42"/>
      <c r="E1406" s="42"/>
      <c r="F1406" s="42"/>
      <c r="G1406" s="42"/>
      <c r="H1406" s="42"/>
      <c r="I1406" s="42"/>
      <c r="J1406" s="42"/>
      <c r="K1406" s="42"/>
      <c r="L1406" s="42"/>
      <c r="M1406" s="42"/>
      <c r="N1406" s="42"/>
      <c r="O1406" s="42"/>
      <c r="P1406" s="42"/>
      <c r="Q1406" s="42"/>
      <c r="R1406" s="42"/>
      <c r="S1406" s="42"/>
      <c r="T1406" s="42"/>
      <c r="U1406" s="42"/>
    </row>
    <row r="1408" spans="2:23" ht="18.75" customHeight="1">
      <c r="B1408" s="43" t="s">
        <v>163</v>
      </c>
      <c r="C1408" s="51" t="s">
        <v>3446</v>
      </c>
      <c r="D1408" s="88"/>
      <c r="W1408" s="35" t="str">
        <f>"-- "&amp;B1408&amp;" : "&amp;C1408</f>
        <v>-- SQL_ID : 01_C4-06</v>
      </c>
    </row>
    <row r="1409" spans="2:23" ht="18.75" customHeight="1">
      <c r="B1409" s="43" t="s">
        <v>158</v>
      </c>
      <c r="C1409" s="145" t="str">
        <f>R1412&amp;"登録"</f>
        <v>バックアップ_経過記録情報モジュール_経過記録情報レコード登録</v>
      </c>
      <c r="D1409" s="146"/>
      <c r="E1409" s="146"/>
      <c r="F1409" s="146"/>
      <c r="G1409" s="146"/>
      <c r="H1409" s="146"/>
      <c r="I1409" s="146"/>
      <c r="J1409" s="146"/>
      <c r="K1409" s="146"/>
      <c r="L1409" s="146"/>
      <c r="M1409" s="146"/>
      <c r="N1409" s="146"/>
      <c r="O1409" s="146"/>
      <c r="P1409" s="146"/>
      <c r="Q1409" s="146"/>
      <c r="R1409" s="146"/>
      <c r="S1409" s="146"/>
      <c r="T1409" s="146"/>
      <c r="U1409" s="147"/>
      <c r="W1409" s="35" t="str">
        <f>"-- "&amp;C1409</f>
        <v>-- バックアップ_経過記録情報モジュール_経過記録情報レコード登録</v>
      </c>
    </row>
    <row r="1410" spans="2:23" ht="18.75" customHeight="1">
      <c r="B1410" s="43" t="s">
        <v>159</v>
      </c>
      <c r="C1410" s="134" t="str">
        <f>C1412&amp;"テーブルから組入れ条件の第一条件で絞り込んだ結果を"&amp;R1412&amp;"テーブルに格納する。"</f>
        <v>経過記録情報モジュール_経過記録情報レコード_結合テーブルから組入れ条件の第一条件で絞り込んだ結果をバックアップ_経過記録情報モジュール_経過記録情報レコードテーブルに格納する。</v>
      </c>
      <c r="D1410" s="135"/>
      <c r="E1410" s="135"/>
      <c r="F1410" s="135"/>
      <c r="G1410" s="135"/>
      <c r="H1410" s="135"/>
      <c r="I1410" s="135"/>
      <c r="J1410" s="135"/>
      <c r="K1410" s="135"/>
      <c r="L1410" s="135"/>
      <c r="M1410" s="135"/>
      <c r="N1410" s="135"/>
      <c r="O1410" s="135"/>
      <c r="P1410" s="135"/>
      <c r="Q1410" s="135"/>
      <c r="R1410" s="135"/>
      <c r="S1410" s="135"/>
      <c r="T1410" s="135"/>
      <c r="U1410" s="136"/>
      <c r="W1410" s="35" t="str">
        <f>"-- "&amp;C1410</f>
        <v>-- 経過記録情報モジュール_経過記録情報レコード_結合テーブルから組入れ条件の第一条件で絞り込んだ結果をバックアップ_経過記録情報モジュール_経過記録情報レコードテーブルに格納する。</v>
      </c>
    </row>
    <row r="1412" spans="2:23" ht="18.75" customHeight="1">
      <c r="C1412" s="137" t="s">
        <v>3447</v>
      </c>
      <c r="D1412" s="138"/>
      <c r="E1412" s="141" t="s">
        <v>162</v>
      </c>
      <c r="H1412" s="36"/>
      <c r="I1412" s="36"/>
      <c r="J1412" s="36"/>
      <c r="K1412" s="36"/>
      <c r="L1412" s="36"/>
      <c r="M1412" s="36"/>
      <c r="N1412" s="36"/>
      <c r="O1412" s="36"/>
      <c r="P1412" s="36"/>
      <c r="Q1412" s="36"/>
      <c r="R1412" s="156" t="str">
        <f>"バックアップ_"&amp;SUBSTITUTE(C1412,"_結合","")</f>
        <v>バックアップ_経過記録情報モジュール_経過記録情報レコード</v>
      </c>
      <c r="S1412" s="157"/>
      <c r="T1412" s="143" t="str">
        <f>エンティティ一覧!$O$2</f>
        <v>milscm_2023_010</v>
      </c>
    </row>
    <row r="1413" spans="2:23" ht="18.75" customHeight="1">
      <c r="C1413" s="139"/>
      <c r="D1413" s="140"/>
      <c r="E1413" s="142"/>
      <c r="F1413" s="37"/>
      <c r="G1413" s="38"/>
      <c r="H1413" s="37"/>
      <c r="I1413" s="37"/>
      <c r="J1413" s="37"/>
      <c r="K1413" s="37"/>
      <c r="L1413" s="37"/>
      <c r="M1413" s="37"/>
      <c r="N1413" s="37"/>
      <c r="O1413" s="37"/>
      <c r="P1413" s="37"/>
      <c r="Q1413" s="37"/>
      <c r="R1413" s="158"/>
      <c r="S1413" s="159"/>
      <c r="T1413" s="144"/>
    </row>
    <row r="1414" spans="2:23" ht="18.75" customHeight="1">
      <c r="F1414" s="39"/>
      <c r="G1414" s="40"/>
    </row>
    <row r="1415" spans="2:23" ht="18.75" customHeight="1">
      <c r="C1415" s="137" t="s">
        <v>3182</v>
      </c>
      <c r="D1415" s="138"/>
      <c r="E1415" s="143" t="str">
        <f>エンティティ一覧!$O$2</f>
        <v>milscm_2023_010</v>
      </c>
      <c r="G1415" s="41"/>
    </row>
    <row r="1416" spans="2:23" ht="18.75" customHeight="1">
      <c r="C1416" s="139"/>
      <c r="D1416" s="140"/>
      <c r="E1416" s="144"/>
      <c r="F1416" s="37"/>
    </row>
    <row r="1418" spans="2:23" ht="18.75" customHeight="1" thickBot="1">
      <c r="B1418" s="42"/>
      <c r="C1418" s="42"/>
      <c r="D1418" s="42"/>
      <c r="E1418" s="42"/>
      <c r="F1418" s="42"/>
      <c r="G1418" s="42"/>
      <c r="H1418" s="42"/>
      <c r="I1418" s="42"/>
      <c r="J1418" s="42"/>
      <c r="K1418" s="42"/>
      <c r="L1418" s="42"/>
      <c r="M1418" s="42"/>
      <c r="N1418" s="42"/>
      <c r="O1418" s="42"/>
      <c r="P1418" s="42"/>
      <c r="Q1418" s="42"/>
      <c r="R1418" s="42"/>
      <c r="S1418" s="42"/>
      <c r="T1418" s="42"/>
      <c r="U1418" s="42"/>
    </row>
    <row r="1420" spans="2:23" ht="18.75" customHeight="1">
      <c r="B1420" s="43" t="s">
        <v>163</v>
      </c>
      <c r="C1420" s="51" t="s">
        <v>3448</v>
      </c>
      <c r="D1420" s="88"/>
      <c r="W1420" s="35" t="str">
        <f>"-- "&amp;B1420&amp;" : "&amp;C1420</f>
        <v>-- SQL_ID : 01_C4-07</v>
      </c>
    </row>
    <row r="1421" spans="2:23" ht="18.75" customHeight="1">
      <c r="B1421" s="43" t="s">
        <v>158</v>
      </c>
      <c r="C1421" s="145" t="str">
        <f>R1424&amp;"登録"</f>
        <v>バックアップ_経過記録情報モジュール_プロブレムレコード登録</v>
      </c>
      <c r="D1421" s="146"/>
      <c r="E1421" s="146"/>
      <c r="F1421" s="146"/>
      <c r="G1421" s="146"/>
      <c r="H1421" s="146"/>
      <c r="I1421" s="146"/>
      <c r="J1421" s="146"/>
      <c r="K1421" s="146"/>
      <c r="L1421" s="146"/>
      <c r="M1421" s="146"/>
      <c r="N1421" s="146"/>
      <c r="O1421" s="146"/>
      <c r="P1421" s="146"/>
      <c r="Q1421" s="146"/>
      <c r="R1421" s="146"/>
      <c r="S1421" s="146"/>
      <c r="T1421" s="146"/>
      <c r="U1421" s="147"/>
      <c r="W1421" s="35" t="str">
        <f>"-- "&amp;C1421</f>
        <v>-- バックアップ_経過記録情報モジュール_プロブレムレコード登録</v>
      </c>
    </row>
    <row r="1422" spans="2:23" ht="18.75" customHeight="1">
      <c r="B1422" s="43" t="s">
        <v>159</v>
      </c>
      <c r="C1422" s="134" t="str">
        <f>C1424&amp;"テーブルから組入れ条件の第一条件で絞り込んだ結果を"&amp;R1424&amp;"テーブルに格納する。"</f>
        <v>経過記録情報モジュール_プロブレムレコード_結合テーブルから組入れ条件の第一条件で絞り込んだ結果をバックアップ_経過記録情報モジュール_プロブレムレコードテーブルに格納する。</v>
      </c>
      <c r="D1422" s="135"/>
      <c r="E1422" s="135"/>
      <c r="F1422" s="135"/>
      <c r="G1422" s="135"/>
      <c r="H1422" s="135"/>
      <c r="I1422" s="135"/>
      <c r="J1422" s="135"/>
      <c r="K1422" s="135"/>
      <c r="L1422" s="135"/>
      <c r="M1422" s="135"/>
      <c r="N1422" s="135"/>
      <c r="O1422" s="135"/>
      <c r="P1422" s="135"/>
      <c r="Q1422" s="135"/>
      <c r="R1422" s="135"/>
      <c r="S1422" s="135"/>
      <c r="T1422" s="135"/>
      <c r="U1422" s="136"/>
      <c r="W1422" s="35" t="str">
        <f>"-- "&amp;C1422</f>
        <v>-- 経過記録情報モジュール_プロブレムレコード_結合テーブルから組入れ条件の第一条件で絞り込んだ結果をバックアップ_経過記録情報モジュール_プロブレムレコードテーブルに格納する。</v>
      </c>
    </row>
    <row r="1424" spans="2:23" ht="18.75" customHeight="1">
      <c r="C1424" s="137" t="s">
        <v>3449</v>
      </c>
      <c r="D1424" s="138"/>
      <c r="E1424" s="141" t="s">
        <v>162</v>
      </c>
      <c r="H1424" s="36"/>
      <c r="I1424" s="36"/>
      <c r="J1424" s="36"/>
      <c r="K1424" s="36"/>
      <c r="L1424" s="36"/>
      <c r="M1424" s="36"/>
      <c r="N1424" s="36"/>
      <c r="O1424" s="36"/>
      <c r="P1424" s="36"/>
      <c r="Q1424" s="36"/>
      <c r="R1424" s="156" t="str">
        <f>"バックアップ_"&amp;SUBSTITUTE(C1424,"_結合","")</f>
        <v>バックアップ_経過記録情報モジュール_プロブレムレコード</v>
      </c>
      <c r="S1424" s="157"/>
      <c r="T1424" s="143" t="str">
        <f>エンティティ一覧!$O$2</f>
        <v>milscm_2023_010</v>
      </c>
    </row>
    <row r="1425" spans="2:23" ht="18.75" customHeight="1">
      <c r="C1425" s="139"/>
      <c r="D1425" s="140"/>
      <c r="E1425" s="142"/>
      <c r="F1425" s="37"/>
      <c r="G1425" s="38"/>
      <c r="H1425" s="37"/>
      <c r="I1425" s="37"/>
      <c r="J1425" s="37"/>
      <c r="K1425" s="37"/>
      <c r="L1425" s="37"/>
      <c r="M1425" s="37"/>
      <c r="N1425" s="37"/>
      <c r="O1425" s="37"/>
      <c r="P1425" s="37"/>
      <c r="Q1425" s="37"/>
      <c r="R1425" s="158"/>
      <c r="S1425" s="159"/>
      <c r="T1425" s="144"/>
    </row>
    <row r="1426" spans="2:23" ht="18.75" customHeight="1">
      <c r="F1426" s="39"/>
      <c r="G1426" s="40"/>
    </row>
    <row r="1427" spans="2:23" ht="18.75" customHeight="1">
      <c r="C1427" s="137" t="s">
        <v>3182</v>
      </c>
      <c r="D1427" s="138"/>
      <c r="E1427" s="143" t="str">
        <f>エンティティ一覧!$O$2</f>
        <v>milscm_2023_010</v>
      </c>
      <c r="G1427" s="41"/>
    </row>
    <row r="1428" spans="2:23" ht="18.75" customHeight="1">
      <c r="C1428" s="139"/>
      <c r="D1428" s="140"/>
      <c r="E1428" s="144"/>
      <c r="F1428" s="37"/>
    </row>
    <row r="1430" spans="2:23" ht="18.75" customHeight="1" thickBot="1">
      <c r="B1430" s="42"/>
      <c r="C1430" s="42"/>
      <c r="D1430" s="42"/>
      <c r="E1430" s="42"/>
      <c r="F1430" s="42"/>
      <c r="G1430" s="42"/>
      <c r="H1430" s="42"/>
      <c r="I1430" s="42"/>
      <c r="J1430" s="42"/>
      <c r="K1430" s="42"/>
      <c r="L1430" s="42"/>
      <c r="M1430" s="42"/>
      <c r="N1430" s="42"/>
      <c r="O1430" s="42"/>
      <c r="P1430" s="42"/>
      <c r="Q1430" s="42"/>
      <c r="R1430" s="42"/>
      <c r="S1430" s="42"/>
      <c r="T1430" s="42"/>
      <c r="U1430" s="42"/>
    </row>
    <row r="1432" spans="2:23" ht="18.75" customHeight="1">
      <c r="B1432" s="43" t="s">
        <v>163</v>
      </c>
      <c r="C1432" s="51" t="s">
        <v>3450</v>
      </c>
      <c r="D1432" s="88"/>
      <c r="W1432" s="35" t="str">
        <f>"-- "&amp;B1432&amp;" : "&amp;C1432</f>
        <v>-- SQL_ID : 01_C4-08</v>
      </c>
    </row>
    <row r="1433" spans="2:23" ht="18.75" customHeight="1">
      <c r="B1433" s="43" t="s">
        <v>158</v>
      </c>
      <c r="C1433" s="145" t="str">
        <f>R1436&amp;"登録"</f>
        <v>バックアップ_経過記録情報モジュール_身体所見レコード登録</v>
      </c>
      <c r="D1433" s="146"/>
      <c r="E1433" s="146"/>
      <c r="F1433" s="146"/>
      <c r="G1433" s="146"/>
      <c r="H1433" s="146"/>
      <c r="I1433" s="146"/>
      <c r="J1433" s="146"/>
      <c r="K1433" s="146"/>
      <c r="L1433" s="146"/>
      <c r="M1433" s="146"/>
      <c r="N1433" s="146"/>
      <c r="O1433" s="146"/>
      <c r="P1433" s="146"/>
      <c r="Q1433" s="146"/>
      <c r="R1433" s="146"/>
      <c r="S1433" s="146"/>
      <c r="T1433" s="146"/>
      <c r="U1433" s="147"/>
      <c r="W1433" s="35" t="str">
        <f>"-- "&amp;C1433</f>
        <v>-- バックアップ_経過記録情報モジュール_身体所見レコード登録</v>
      </c>
    </row>
    <row r="1434" spans="2:23" ht="18.75" customHeight="1">
      <c r="B1434" s="43" t="s">
        <v>159</v>
      </c>
      <c r="C1434" s="134" t="str">
        <f>C1436&amp;"テーブルから組入れ条件の第一条件で絞り込んだ結果を"&amp;R1436&amp;"テーブルに格納する。"</f>
        <v>経過記録情報モジュール_身体所見レコード_結合テーブルから組入れ条件の第一条件で絞り込んだ結果をバックアップ_経過記録情報モジュール_身体所見レコードテーブルに格納する。</v>
      </c>
      <c r="D1434" s="135"/>
      <c r="E1434" s="135"/>
      <c r="F1434" s="135"/>
      <c r="G1434" s="135"/>
      <c r="H1434" s="135"/>
      <c r="I1434" s="135"/>
      <c r="J1434" s="135"/>
      <c r="K1434" s="135"/>
      <c r="L1434" s="135"/>
      <c r="M1434" s="135"/>
      <c r="N1434" s="135"/>
      <c r="O1434" s="135"/>
      <c r="P1434" s="135"/>
      <c r="Q1434" s="135"/>
      <c r="R1434" s="135"/>
      <c r="S1434" s="135"/>
      <c r="T1434" s="135"/>
      <c r="U1434" s="136"/>
      <c r="W1434" s="35" t="str">
        <f>"-- "&amp;C1434</f>
        <v>-- 経過記録情報モジュール_身体所見レコード_結合テーブルから組入れ条件の第一条件で絞り込んだ結果をバックアップ_経過記録情報モジュール_身体所見レコードテーブルに格納する。</v>
      </c>
    </row>
    <row r="1436" spans="2:23" ht="18.75" customHeight="1">
      <c r="C1436" s="137" t="s">
        <v>3451</v>
      </c>
      <c r="D1436" s="138"/>
      <c r="E1436" s="141" t="s">
        <v>162</v>
      </c>
      <c r="H1436" s="36"/>
      <c r="I1436" s="36"/>
      <c r="J1436" s="36"/>
      <c r="K1436" s="36"/>
      <c r="L1436" s="36"/>
      <c r="M1436" s="36"/>
      <c r="N1436" s="36"/>
      <c r="O1436" s="36"/>
      <c r="P1436" s="36"/>
      <c r="Q1436" s="36"/>
      <c r="R1436" s="156" t="str">
        <f>"バックアップ_"&amp;SUBSTITUTE(C1436,"_結合","")</f>
        <v>バックアップ_経過記録情報モジュール_身体所見レコード</v>
      </c>
      <c r="S1436" s="157"/>
      <c r="T1436" s="143" t="str">
        <f>エンティティ一覧!$O$2</f>
        <v>milscm_2023_010</v>
      </c>
    </row>
    <row r="1437" spans="2:23" ht="18.75" customHeight="1">
      <c r="C1437" s="139"/>
      <c r="D1437" s="140"/>
      <c r="E1437" s="142"/>
      <c r="F1437" s="37"/>
      <c r="G1437" s="38"/>
      <c r="H1437" s="37"/>
      <c r="I1437" s="37"/>
      <c r="J1437" s="37"/>
      <c r="K1437" s="37"/>
      <c r="L1437" s="37"/>
      <c r="M1437" s="37"/>
      <c r="N1437" s="37"/>
      <c r="O1437" s="37"/>
      <c r="P1437" s="37"/>
      <c r="Q1437" s="37"/>
      <c r="R1437" s="158"/>
      <c r="S1437" s="159"/>
      <c r="T1437" s="144"/>
    </row>
    <row r="1438" spans="2:23" ht="18.75" customHeight="1">
      <c r="F1438" s="39"/>
      <c r="G1438" s="40"/>
    </row>
    <row r="1439" spans="2:23" ht="18.75" customHeight="1">
      <c r="C1439" s="137" t="s">
        <v>3182</v>
      </c>
      <c r="D1439" s="138"/>
      <c r="E1439" s="143" t="str">
        <f>エンティティ一覧!$O$2</f>
        <v>milscm_2023_010</v>
      </c>
      <c r="G1439" s="41"/>
    </row>
    <row r="1440" spans="2:23" ht="18.75" customHeight="1">
      <c r="C1440" s="139"/>
      <c r="D1440" s="140"/>
      <c r="E1440" s="144"/>
      <c r="F1440" s="37"/>
    </row>
    <row r="1442" spans="2:23" ht="18.75" customHeight="1" thickBot="1">
      <c r="B1442" s="42"/>
      <c r="C1442" s="42"/>
      <c r="D1442" s="42"/>
      <c r="E1442" s="42"/>
      <c r="F1442" s="42"/>
      <c r="G1442" s="42"/>
      <c r="H1442" s="42"/>
      <c r="I1442" s="42"/>
      <c r="J1442" s="42"/>
      <c r="K1442" s="42"/>
      <c r="L1442" s="42"/>
      <c r="M1442" s="42"/>
      <c r="N1442" s="42"/>
      <c r="O1442" s="42"/>
      <c r="P1442" s="42"/>
      <c r="Q1442" s="42"/>
      <c r="R1442" s="42"/>
      <c r="S1442" s="42"/>
      <c r="T1442" s="42"/>
      <c r="U1442" s="42"/>
    </row>
    <row r="1444" spans="2:23" ht="18.75" customHeight="1">
      <c r="B1444" s="43" t="s">
        <v>163</v>
      </c>
      <c r="C1444" s="51" t="s">
        <v>3452</v>
      </c>
      <c r="D1444" s="88"/>
      <c r="W1444" s="35" t="str">
        <f>"-- "&amp;B1444&amp;" : "&amp;C1444</f>
        <v>-- SQL_ID : 01_C4-15</v>
      </c>
    </row>
    <row r="1445" spans="2:23" ht="18.75" customHeight="1">
      <c r="B1445" s="43" t="s">
        <v>158</v>
      </c>
      <c r="C1445" s="145" t="str">
        <f>R1448&amp;"登録"</f>
        <v>バックアップ_経過記録情報モジュール_アセスメントレコード登録</v>
      </c>
      <c r="D1445" s="146"/>
      <c r="E1445" s="146"/>
      <c r="F1445" s="146"/>
      <c r="G1445" s="146"/>
      <c r="H1445" s="146"/>
      <c r="I1445" s="146"/>
      <c r="J1445" s="146"/>
      <c r="K1445" s="146"/>
      <c r="L1445" s="146"/>
      <c r="M1445" s="146"/>
      <c r="N1445" s="146"/>
      <c r="O1445" s="146"/>
      <c r="P1445" s="146"/>
      <c r="Q1445" s="146"/>
      <c r="R1445" s="146"/>
      <c r="S1445" s="146"/>
      <c r="T1445" s="146"/>
      <c r="U1445" s="147"/>
      <c r="W1445" s="35" t="str">
        <f>"-- "&amp;C1445</f>
        <v>-- バックアップ_経過記録情報モジュール_アセスメントレコード登録</v>
      </c>
    </row>
    <row r="1446" spans="2:23" ht="18.75" customHeight="1">
      <c r="B1446" s="43" t="s">
        <v>159</v>
      </c>
      <c r="C1446" s="134" t="str">
        <f>C1448&amp;"テーブルから組入れ条件の第一条件で絞り込んだ結果を"&amp;R1448&amp;"テーブルに格納する。"</f>
        <v>経過記録情報モジュール_アセスメントレコード_結合テーブルから組入れ条件の第一条件で絞り込んだ結果をバックアップ_経過記録情報モジュール_アセスメントレコードテーブルに格納する。</v>
      </c>
      <c r="D1446" s="135"/>
      <c r="E1446" s="135"/>
      <c r="F1446" s="135"/>
      <c r="G1446" s="135"/>
      <c r="H1446" s="135"/>
      <c r="I1446" s="135"/>
      <c r="J1446" s="135"/>
      <c r="K1446" s="135"/>
      <c r="L1446" s="135"/>
      <c r="M1446" s="135"/>
      <c r="N1446" s="135"/>
      <c r="O1446" s="135"/>
      <c r="P1446" s="135"/>
      <c r="Q1446" s="135"/>
      <c r="R1446" s="135"/>
      <c r="S1446" s="135"/>
      <c r="T1446" s="135"/>
      <c r="U1446" s="136"/>
      <c r="W1446" s="35" t="str">
        <f>"-- "&amp;C1446</f>
        <v>-- 経過記録情報モジュール_アセスメントレコード_結合テーブルから組入れ条件の第一条件で絞り込んだ結果をバックアップ_経過記録情報モジュール_アセスメントレコードテーブルに格納する。</v>
      </c>
    </row>
    <row r="1448" spans="2:23" ht="18.75" customHeight="1">
      <c r="C1448" s="137" t="s">
        <v>3453</v>
      </c>
      <c r="D1448" s="138"/>
      <c r="E1448" s="141" t="s">
        <v>162</v>
      </c>
      <c r="H1448" s="36"/>
      <c r="I1448" s="36"/>
      <c r="J1448" s="36"/>
      <c r="K1448" s="36"/>
      <c r="L1448" s="36"/>
      <c r="M1448" s="36"/>
      <c r="N1448" s="36"/>
      <c r="O1448" s="36"/>
      <c r="P1448" s="36"/>
      <c r="Q1448" s="36"/>
      <c r="R1448" s="156" t="str">
        <f>"バックアップ_"&amp;SUBSTITUTE(C1448,"_結合","")</f>
        <v>バックアップ_経過記録情報モジュール_アセスメントレコード</v>
      </c>
      <c r="S1448" s="157"/>
      <c r="T1448" s="143" t="str">
        <f>エンティティ一覧!$O$2</f>
        <v>milscm_2023_010</v>
      </c>
    </row>
    <row r="1449" spans="2:23" ht="18.75" customHeight="1">
      <c r="C1449" s="139"/>
      <c r="D1449" s="140"/>
      <c r="E1449" s="142"/>
      <c r="F1449" s="37"/>
      <c r="G1449" s="38"/>
      <c r="H1449" s="37"/>
      <c r="I1449" s="37"/>
      <c r="J1449" s="37"/>
      <c r="K1449" s="37"/>
      <c r="L1449" s="37"/>
      <c r="M1449" s="37"/>
      <c r="N1449" s="37"/>
      <c r="O1449" s="37"/>
      <c r="P1449" s="37"/>
      <c r="Q1449" s="37"/>
      <c r="R1449" s="158"/>
      <c r="S1449" s="159"/>
      <c r="T1449" s="144"/>
    </row>
    <row r="1450" spans="2:23" ht="18.75" customHeight="1">
      <c r="F1450" s="39"/>
      <c r="G1450" s="40"/>
    </row>
    <row r="1451" spans="2:23" ht="18.75" customHeight="1">
      <c r="C1451" s="137" t="s">
        <v>3182</v>
      </c>
      <c r="D1451" s="138"/>
      <c r="E1451" s="143" t="str">
        <f>エンティティ一覧!$O$2</f>
        <v>milscm_2023_010</v>
      </c>
      <c r="G1451" s="41"/>
    </row>
    <row r="1452" spans="2:23" ht="18.75" customHeight="1">
      <c r="C1452" s="139"/>
      <c r="D1452" s="140"/>
      <c r="E1452" s="144"/>
      <c r="F1452" s="37"/>
    </row>
    <row r="1454" spans="2:23" ht="18.75" customHeight="1" thickBot="1">
      <c r="B1454" s="42"/>
      <c r="C1454" s="42"/>
      <c r="D1454" s="42"/>
      <c r="E1454" s="42"/>
      <c r="F1454" s="42"/>
      <c r="G1454" s="42"/>
      <c r="H1454" s="42"/>
      <c r="I1454" s="42"/>
      <c r="J1454" s="42"/>
      <c r="K1454" s="42"/>
      <c r="L1454" s="42"/>
      <c r="M1454" s="42"/>
      <c r="N1454" s="42"/>
      <c r="O1454" s="42"/>
      <c r="P1454" s="42"/>
      <c r="Q1454" s="42"/>
      <c r="R1454" s="42"/>
      <c r="S1454" s="42"/>
      <c r="T1454" s="42"/>
      <c r="U1454" s="42"/>
    </row>
    <row r="1456" spans="2:23" ht="18.75" customHeight="1">
      <c r="B1456" s="43" t="s">
        <v>163</v>
      </c>
      <c r="C1456" s="51" t="s">
        <v>3454</v>
      </c>
      <c r="D1456" s="88"/>
      <c r="W1456" s="35" t="str">
        <f>"-- "&amp;B1456&amp;" : "&amp;C1456</f>
        <v>-- SQL_ID : 01_C4-22</v>
      </c>
    </row>
    <row r="1457" spans="2:23" ht="18.75" customHeight="1">
      <c r="B1457" s="43" t="s">
        <v>158</v>
      </c>
      <c r="C1457" s="145" t="str">
        <f>R1460&amp;"登録"</f>
        <v>バックアップ_経過記録情報モジュール_外部参照レコード登録</v>
      </c>
      <c r="D1457" s="146"/>
      <c r="E1457" s="146"/>
      <c r="F1457" s="146"/>
      <c r="G1457" s="146"/>
      <c r="H1457" s="146"/>
      <c r="I1457" s="146"/>
      <c r="J1457" s="146"/>
      <c r="K1457" s="146"/>
      <c r="L1457" s="146"/>
      <c r="M1457" s="146"/>
      <c r="N1457" s="146"/>
      <c r="O1457" s="146"/>
      <c r="P1457" s="146"/>
      <c r="Q1457" s="146"/>
      <c r="R1457" s="146"/>
      <c r="S1457" s="146"/>
      <c r="T1457" s="146"/>
      <c r="U1457" s="147"/>
      <c r="W1457" s="35" t="str">
        <f>"-- "&amp;C1457</f>
        <v>-- バックアップ_経過記録情報モジュール_外部参照レコード登録</v>
      </c>
    </row>
    <row r="1458" spans="2:23" ht="18.75" customHeight="1">
      <c r="B1458" s="43" t="s">
        <v>159</v>
      </c>
      <c r="C1458" s="134" t="str">
        <f>C1460&amp;"テーブルから組入れ条件の第一条件で絞り込んだ結果を"&amp;R1460&amp;"テーブルに格納する。"</f>
        <v>経過記録情報モジュール_外部参照レコード_結合テーブルから組入れ条件の第一条件で絞り込んだ結果をバックアップ_経過記録情報モジュール_外部参照レコードテーブルに格納する。</v>
      </c>
      <c r="D1458" s="135"/>
      <c r="E1458" s="135"/>
      <c r="F1458" s="135"/>
      <c r="G1458" s="135"/>
      <c r="H1458" s="135"/>
      <c r="I1458" s="135"/>
      <c r="J1458" s="135"/>
      <c r="K1458" s="135"/>
      <c r="L1458" s="135"/>
      <c r="M1458" s="135"/>
      <c r="N1458" s="135"/>
      <c r="O1458" s="135"/>
      <c r="P1458" s="135"/>
      <c r="Q1458" s="135"/>
      <c r="R1458" s="135"/>
      <c r="S1458" s="135"/>
      <c r="T1458" s="135"/>
      <c r="U1458" s="136"/>
      <c r="W1458" s="35" t="str">
        <f>"-- "&amp;C1458</f>
        <v>-- 経過記録情報モジュール_外部参照レコード_結合テーブルから組入れ条件の第一条件で絞り込んだ結果をバックアップ_経過記録情報モジュール_外部参照レコードテーブルに格納する。</v>
      </c>
    </row>
    <row r="1460" spans="2:23" ht="18.75" customHeight="1">
      <c r="C1460" s="137" t="s">
        <v>3455</v>
      </c>
      <c r="D1460" s="138"/>
      <c r="E1460" s="141" t="s">
        <v>162</v>
      </c>
      <c r="H1460" s="36"/>
      <c r="I1460" s="36"/>
      <c r="J1460" s="36"/>
      <c r="K1460" s="36"/>
      <c r="L1460" s="36"/>
      <c r="M1460" s="36"/>
      <c r="N1460" s="36"/>
      <c r="O1460" s="36"/>
      <c r="P1460" s="36"/>
      <c r="Q1460" s="36"/>
      <c r="R1460" s="156" t="str">
        <f>"バックアップ_"&amp;SUBSTITUTE(C1460,"_結合","")</f>
        <v>バックアップ_経過記録情報モジュール_外部参照レコード</v>
      </c>
      <c r="S1460" s="157"/>
      <c r="T1460" s="143" t="str">
        <f>エンティティ一覧!$O$2</f>
        <v>milscm_2023_010</v>
      </c>
    </row>
    <row r="1461" spans="2:23" ht="18.75" customHeight="1">
      <c r="C1461" s="139"/>
      <c r="D1461" s="140"/>
      <c r="E1461" s="142"/>
      <c r="F1461" s="37"/>
      <c r="G1461" s="38"/>
      <c r="H1461" s="37"/>
      <c r="I1461" s="37"/>
      <c r="J1461" s="37"/>
      <c r="K1461" s="37"/>
      <c r="L1461" s="37"/>
      <c r="M1461" s="37"/>
      <c r="N1461" s="37"/>
      <c r="O1461" s="37"/>
      <c r="P1461" s="37"/>
      <c r="Q1461" s="37"/>
      <c r="R1461" s="158"/>
      <c r="S1461" s="159"/>
      <c r="T1461" s="144"/>
    </row>
    <row r="1462" spans="2:23" ht="18.75" customHeight="1">
      <c r="F1462" s="39"/>
      <c r="G1462" s="40"/>
    </row>
    <row r="1463" spans="2:23" ht="18.75" customHeight="1">
      <c r="C1463" s="137" t="s">
        <v>3182</v>
      </c>
      <c r="D1463" s="138"/>
      <c r="E1463" s="143" t="str">
        <f>エンティティ一覧!$O$2</f>
        <v>milscm_2023_010</v>
      </c>
      <c r="G1463" s="41"/>
    </row>
    <row r="1464" spans="2:23" ht="18.75" customHeight="1">
      <c r="C1464" s="139"/>
      <c r="D1464" s="140"/>
      <c r="E1464" s="144"/>
      <c r="F1464" s="37"/>
    </row>
    <row r="1466" spans="2:23" ht="18.75" customHeight="1" thickBot="1">
      <c r="B1466" s="42"/>
      <c r="C1466" s="42"/>
      <c r="D1466" s="42"/>
      <c r="E1466" s="42"/>
      <c r="F1466" s="42"/>
      <c r="G1466" s="42"/>
      <c r="H1466" s="42"/>
      <c r="I1466" s="42"/>
      <c r="J1466" s="42"/>
      <c r="K1466" s="42"/>
      <c r="L1466" s="42"/>
      <c r="M1466" s="42"/>
      <c r="N1466" s="42"/>
      <c r="O1466" s="42"/>
      <c r="P1466" s="42"/>
      <c r="Q1466" s="42"/>
      <c r="R1466" s="42"/>
      <c r="S1466" s="42"/>
      <c r="T1466" s="42"/>
      <c r="U1466" s="42"/>
    </row>
    <row r="1468" spans="2:23" ht="18.75" customHeight="1">
      <c r="B1468" s="43" t="s">
        <v>163</v>
      </c>
      <c r="C1468" s="51" t="s">
        <v>3456</v>
      </c>
      <c r="D1468" s="88"/>
      <c r="W1468" s="35" t="str">
        <f>"-- "&amp;B1468&amp;" : "&amp;C1468</f>
        <v>-- SQL_ID : 01_C4-23</v>
      </c>
    </row>
    <row r="1469" spans="2:23" ht="18.75" customHeight="1">
      <c r="B1469" s="43" t="s">
        <v>158</v>
      </c>
      <c r="C1469" s="145" t="str">
        <f>R1472&amp;"登録"</f>
        <v>バックアップ_臨床サマリーモジュール_臨床サマリー情報レコード登録</v>
      </c>
      <c r="D1469" s="146"/>
      <c r="E1469" s="146"/>
      <c r="F1469" s="146"/>
      <c r="G1469" s="146"/>
      <c r="H1469" s="146"/>
      <c r="I1469" s="146"/>
      <c r="J1469" s="146"/>
      <c r="K1469" s="146"/>
      <c r="L1469" s="146"/>
      <c r="M1469" s="146"/>
      <c r="N1469" s="146"/>
      <c r="O1469" s="146"/>
      <c r="P1469" s="146"/>
      <c r="Q1469" s="146"/>
      <c r="R1469" s="146"/>
      <c r="S1469" s="146"/>
      <c r="T1469" s="146"/>
      <c r="U1469" s="147"/>
      <c r="W1469" s="35" t="str">
        <f>"-- "&amp;C1469</f>
        <v>-- バックアップ_臨床サマリーモジュール_臨床サマリー情報レコード登録</v>
      </c>
    </row>
    <row r="1470" spans="2:23" ht="18.75" customHeight="1">
      <c r="B1470" s="43" t="s">
        <v>159</v>
      </c>
      <c r="C1470" s="134" t="str">
        <f>C1472&amp;"テーブルから組入れ条件の第一条件で絞り込んだ結果を"&amp;R1472&amp;"テーブルに格納する。"</f>
        <v>臨床サマリーモジュール_臨床サマリー情報レコード_結合テーブルから組入れ条件の第一条件で絞り込んだ結果をバックアップ_臨床サマリーモジュール_臨床サマリー情報レコードテーブルに格納する。</v>
      </c>
      <c r="D1470" s="135"/>
      <c r="E1470" s="135"/>
      <c r="F1470" s="135"/>
      <c r="G1470" s="135"/>
      <c r="H1470" s="135"/>
      <c r="I1470" s="135"/>
      <c r="J1470" s="135"/>
      <c r="K1470" s="135"/>
      <c r="L1470" s="135"/>
      <c r="M1470" s="135"/>
      <c r="N1470" s="135"/>
      <c r="O1470" s="135"/>
      <c r="P1470" s="135"/>
      <c r="Q1470" s="135"/>
      <c r="R1470" s="135"/>
      <c r="S1470" s="135"/>
      <c r="T1470" s="135"/>
      <c r="U1470" s="136"/>
      <c r="W1470" s="35" t="str">
        <f>"-- "&amp;C1470</f>
        <v>-- 臨床サマリーモジュール_臨床サマリー情報レコード_結合テーブルから組入れ条件の第一条件で絞り込んだ結果をバックアップ_臨床サマリーモジュール_臨床サマリー情報レコードテーブルに格納する。</v>
      </c>
    </row>
    <row r="1472" spans="2:23" ht="18.75" customHeight="1">
      <c r="C1472" s="148" t="s">
        <v>3457</v>
      </c>
      <c r="D1472" s="149"/>
      <c r="E1472" s="141" t="s">
        <v>162</v>
      </c>
      <c r="H1472" s="36"/>
      <c r="I1472" s="36"/>
      <c r="J1472" s="36"/>
      <c r="K1472" s="36"/>
      <c r="L1472" s="36"/>
      <c r="M1472" s="36"/>
      <c r="N1472" s="36"/>
      <c r="O1472" s="36"/>
      <c r="P1472" s="36"/>
      <c r="Q1472" s="36"/>
      <c r="R1472" s="152" t="str">
        <f>"バックアップ_"&amp;SUBSTITUTE(C1472,"_結合","")</f>
        <v>バックアップ_臨床サマリーモジュール_臨床サマリー情報レコード</v>
      </c>
      <c r="S1472" s="153"/>
      <c r="T1472" s="143" t="str">
        <f>エンティティ一覧!$O$2</f>
        <v>milscm_2023_010</v>
      </c>
    </row>
    <row r="1473" spans="2:23" ht="18.75" customHeight="1">
      <c r="C1473" s="150"/>
      <c r="D1473" s="151"/>
      <c r="E1473" s="142"/>
      <c r="F1473" s="37"/>
      <c r="G1473" s="38"/>
      <c r="H1473" s="37"/>
      <c r="I1473" s="37"/>
      <c r="J1473" s="37"/>
      <c r="K1473" s="37"/>
      <c r="L1473" s="37"/>
      <c r="M1473" s="37"/>
      <c r="N1473" s="37"/>
      <c r="O1473" s="37"/>
      <c r="P1473" s="37"/>
      <c r="Q1473" s="37"/>
      <c r="R1473" s="154"/>
      <c r="S1473" s="155"/>
      <c r="T1473" s="144"/>
    </row>
    <row r="1474" spans="2:23" ht="18.75" customHeight="1">
      <c r="F1474" s="39"/>
      <c r="G1474" s="40"/>
    </row>
    <row r="1475" spans="2:23" ht="18.75" customHeight="1">
      <c r="C1475" s="137" t="s">
        <v>3182</v>
      </c>
      <c r="D1475" s="138"/>
      <c r="E1475" s="143" t="str">
        <f>エンティティ一覧!$O$2</f>
        <v>milscm_2023_010</v>
      </c>
      <c r="G1475" s="41"/>
    </row>
    <row r="1476" spans="2:23" ht="18.75" customHeight="1">
      <c r="C1476" s="139"/>
      <c r="D1476" s="140"/>
      <c r="E1476" s="144"/>
      <c r="F1476" s="37"/>
    </row>
    <row r="1478" spans="2:23" ht="18.75" customHeight="1" thickBot="1">
      <c r="B1478" s="42"/>
      <c r="C1478" s="42"/>
      <c r="D1478" s="42"/>
      <c r="E1478" s="42"/>
      <c r="F1478" s="42"/>
      <c r="G1478" s="42"/>
      <c r="H1478" s="42"/>
      <c r="I1478" s="42"/>
      <c r="J1478" s="42"/>
      <c r="K1478" s="42"/>
      <c r="L1478" s="42"/>
      <c r="M1478" s="42"/>
      <c r="N1478" s="42"/>
      <c r="O1478" s="42"/>
      <c r="P1478" s="42"/>
      <c r="Q1478" s="42"/>
      <c r="R1478" s="42"/>
      <c r="S1478" s="42"/>
      <c r="T1478" s="42"/>
      <c r="U1478" s="42"/>
    </row>
    <row r="1480" spans="2:23" ht="18.75" customHeight="1">
      <c r="B1480" s="43" t="s">
        <v>163</v>
      </c>
      <c r="C1480" s="51" t="s">
        <v>3458</v>
      </c>
      <c r="D1480" s="88"/>
      <c r="W1480" s="35" t="str">
        <f>"-- "&amp;B1480&amp;" : "&amp;C1480</f>
        <v>-- SQL_ID : 01_C4-24</v>
      </c>
    </row>
    <row r="1481" spans="2:23" ht="18.75" customHeight="1">
      <c r="B1481" s="43" t="s">
        <v>158</v>
      </c>
      <c r="C1481" s="145" t="str">
        <f>R1484&amp;"登録"</f>
        <v>バックアップ_臨床サマリーモジュール_外来受診レコード登録</v>
      </c>
      <c r="D1481" s="146"/>
      <c r="E1481" s="146"/>
      <c r="F1481" s="146"/>
      <c r="G1481" s="146"/>
      <c r="H1481" s="146"/>
      <c r="I1481" s="146"/>
      <c r="J1481" s="146"/>
      <c r="K1481" s="146"/>
      <c r="L1481" s="146"/>
      <c r="M1481" s="146"/>
      <c r="N1481" s="146"/>
      <c r="O1481" s="146"/>
      <c r="P1481" s="146"/>
      <c r="Q1481" s="146"/>
      <c r="R1481" s="146"/>
      <c r="S1481" s="146"/>
      <c r="T1481" s="146"/>
      <c r="U1481" s="147"/>
      <c r="W1481" s="35" t="str">
        <f>"-- "&amp;C1481</f>
        <v>-- バックアップ_臨床サマリーモジュール_外来受診レコード登録</v>
      </c>
    </row>
    <row r="1482" spans="2:23" ht="18.75" customHeight="1">
      <c r="B1482" s="43" t="s">
        <v>159</v>
      </c>
      <c r="C1482" s="134" t="str">
        <f>C1484&amp;"テーブルから組入れ条件の第一条件で絞り込んだ結果を"&amp;R1484&amp;"テーブルに格納する。"</f>
        <v>臨床サマリーモジュール_外来受診レコード_結合テーブルから組入れ条件の第一条件で絞り込んだ結果をバックアップ_臨床サマリーモジュール_外来受診レコードテーブルに格納する。</v>
      </c>
      <c r="D1482" s="135"/>
      <c r="E1482" s="135"/>
      <c r="F1482" s="135"/>
      <c r="G1482" s="135"/>
      <c r="H1482" s="135"/>
      <c r="I1482" s="135"/>
      <c r="J1482" s="135"/>
      <c r="K1482" s="135"/>
      <c r="L1482" s="135"/>
      <c r="M1482" s="135"/>
      <c r="N1482" s="135"/>
      <c r="O1482" s="135"/>
      <c r="P1482" s="135"/>
      <c r="Q1482" s="135"/>
      <c r="R1482" s="135"/>
      <c r="S1482" s="135"/>
      <c r="T1482" s="135"/>
      <c r="U1482" s="136"/>
      <c r="W1482" s="35" t="str">
        <f>"-- "&amp;C1482</f>
        <v>-- 臨床サマリーモジュール_外来受診レコード_結合テーブルから組入れ条件の第一条件で絞り込んだ結果をバックアップ_臨床サマリーモジュール_外来受診レコードテーブルに格納する。</v>
      </c>
    </row>
    <row r="1484" spans="2:23" ht="18.75" customHeight="1">
      <c r="C1484" s="137" t="s">
        <v>3459</v>
      </c>
      <c r="D1484" s="138"/>
      <c r="E1484" s="141" t="s">
        <v>162</v>
      </c>
      <c r="H1484" s="36"/>
      <c r="I1484" s="36"/>
      <c r="J1484" s="36"/>
      <c r="K1484" s="36"/>
      <c r="L1484" s="36"/>
      <c r="M1484" s="36"/>
      <c r="N1484" s="36"/>
      <c r="O1484" s="36"/>
      <c r="P1484" s="36"/>
      <c r="Q1484" s="36"/>
      <c r="R1484" s="156" t="str">
        <f>"バックアップ_"&amp;SUBSTITUTE(C1484,"_結合","")</f>
        <v>バックアップ_臨床サマリーモジュール_外来受診レコード</v>
      </c>
      <c r="S1484" s="157"/>
      <c r="T1484" s="143" t="str">
        <f>エンティティ一覧!$O$2</f>
        <v>milscm_2023_010</v>
      </c>
    </row>
    <row r="1485" spans="2:23" ht="18.75" customHeight="1">
      <c r="C1485" s="139"/>
      <c r="D1485" s="140"/>
      <c r="E1485" s="142"/>
      <c r="F1485" s="37"/>
      <c r="G1485" s="38"/>
      <c r="H1485" s="37"/>
      <c r="I1485" s="37"/>
      <c r="J1485" s="37"/>
      <c r="K1485" s="37"/>
      <c r="L1485" s="37"/>
      <c r="M1485" s="37"/>
      <c r="N1485" s="37"/>
      <c r="O1485" s="37"/>
      <c r="P1485" s="37"/>
      <c r="Q1485" s="37"/>
      <c r="R1485" s="158"/>
      <c r="S1485" s="159"/>
      <c r="T1485" s="144"/>
    </row>
    <row r="1486" spans="2:23" ht="18.75" customHeight="1">
      <c r="F1486" s="39"/>
      <c r="G1486" s="40"/>
    </row>
    <row r="1487" spans="2:23" ht="18.75" customHeight="1">
      <c r="C1487" s="137" t="s">
        <v>3182</v>
      </c>
      <c r="D1487" s="138"/>
      <c r="E1487" s="143" t="str">
        <f>エンティティ一覧!$O$2</f>
        <v>milscm_2023_010</v>
      </c>
      <c r="G1487" s="41"/>
    </row>
    <row r="1488" spans="2:23" ht="18.75" customHeight="1">
      <c r="C1488" s="139"/>
      <c r="D1488" s="140"/>
      <c r="E1488" s="144"/>
      <c r="F1488" s="37"/>
    </row>
    <row r="1490" spans="2:23" ht="18.75" customHeight="1" thickBot="1">
      <c r="B1490" s="42"/>
      <c r="C1490" s="42"/>
      <c r="D1490" s="42"/>
      <c r="E1490" s="42"/>
      <c r="F1490" s="42"/>
      <c r="G1490" s="42"/>
      <c r="H1490" s="42"/>
      <c r="I1490" s="42"/>
      <c r="J1490" s="42"/>
      <c r="K1490" s="42"/>
      <c r="L1490" s="42"/>
      <c r="M1490" s="42"/>
      <c r="N1490" s="42"/>
      <c r="O1490" s="42"/>
      <c r="P1490" s="42"/>
      <c r="Q1490" s="42"/>
      <c r="R1490" s="42"/>
      <c r="S1490" s="42"/>
      <c r="T1490" s="42"/>
      <c r="U1490" s="42"/>
    </row>
    <row r="1492" spans="2:23" ht="18.75" customHeight="1">
      <c r="B1492" s="43" t="s">
        <v>163</v>
      </c>
      <c r="C1492" s="51" t="s">
        <v>3460</v>
      </c>
      <c r="D1492" s="88"/>
      <c r="W1492" s="35" t="str">
        <f>"-- "&amp;B1492&amp;" : "&amp;C1492</f>
        <v>-- SQL_ID : 01_C4-25</v>
      </c>
    </row>
    <row r="1493" spans="2:23" ht="18.75" customHeight="1">
      <c r="B1493" s="43" t="s">
        <v>158</v>
      </c>
      <c r="C1493" s="145" t="str">
        <f>R1496&amp;"登録"</f>
        <v>バックアップ_臨床サマリーモジュール_入院レコード登録</v>
      </c>
      <c r="D1493" s="146"/>
      <c r="E1493" s="146"/>
      <c r="F1493" s="146"/>
      <c r="G1493" s="146"/>
      <c r="H1493" s="146"/>
      <c r="I1493" s="146"/>
      <c r="J1493" s="146"/>
      <c r="K1493" s="146"/>
      <c r="L1493" s="146"/>
      <c r="M1493" s="146"/>
      <c r="N1493" s="146"/>
      <c r="O1493" s="146"/>
      <c r="P1493" s="146"/>
      <c r="Q1493" s="146"/>
      <c r="R1493" s="146"/>
      <c r="S1493" s="146"/>
      <c r="T1493" s="146"/>
      <c r="U1493" s="147"/>
      <c r="W1493" s="35" t="str">
        <f>"-- "&amp;C1493</f>
        <v>-- バックアップ_臨床サマリーモジュール_入院レコード登録</v>
      </c>
    </row>
    <row r="1494" spans="2:23" ht="18.75" customHeight="1">
      <c r="B1494" s="43" t="s">
        <v>159</v>
      </c>
      <c r="C1494" s="134" t="str">
        <f>C1496&amp;"テーブルから組入れ条件の第一条件で絞り込んだ結果を"&amp;R1496&amp;"テーブルに格納する。"</f>
        <v>臨床サマリーモジュール_入院レコード_結合テーブルから組入れ条件の第一条件で絞り込んだ結果をバックアップ_臨床サマリーモジュール_入院レコードテーブルに格納する。</v>
      </c>
      <c r="D1494" s="135"/>
      <c r="E1494" s="135"/>
      <c r="F1494" s="135"/>
      <c r="G1494" s="135"/>
      <c r="H1494" s="135"/>
      <c r="I1494" s="135"/>
      <c r="J1494" s="135"/>
      <c r="K1494" s="135"/>
      <c r="L1494" s="135"/>
      <c r="M1494" s="135"/>
      <c r="N1494" s="135"/>
      <c r="O1494" s="135"/>
      <c r="P1494" s="135"/>
      <c r="Q1494" s="135"/>
      <c r="R1494" s="135"/>
      <c r="S1494" s="135"/>
      <c r="T1494" s="135"/>
      <c r="U1494" s="136"/>
      <c r="W1494" s="35" t="str">
        <f>"-- "&amp;C1494</f>
        <v>-- 臨床サマリーモジュール_入院レコード_結合テーブルから組入れ条件の第一条件で絞り込んだ結果をバックアップ_臨床サマリーモジュール_入院レコードテーブルに格納する。</v>
      </c>
    </row>
    <row r="1496" spans="2:23" ht="18.75" customHeight="1">
      <c r="C1496" s="137" t="s">
        <v>3461</v>
      </c>
      <c r="D1496" s="138"/>
      <c r="E1496" s="141" t="s">
        <v>162</v>
      </c>
      <c r="H1496" s="36"/>
      <c r="I1496" s="36"/>
      <c r="J1496" s="36"/>
      <c r="K1496" s="36"/>
      <c r="L1496" s="36"/>
      <c r="M1496" s="36"/>
      <c r="N1496" s="36"/>
      <c r="O1496" s="36"/>
      <c r="P1496" s="36"/>
      <c r="Q1496" s="36"/>
      <c r="R1496" s="156" t="str">
        <f>"バックアップ_"&amp;SUBSTITUTE(C1496,"_結合","")</f>
        <v>バックアップ_臨床サマリーモジュール_入院レコード</v>
      </c>
      <c r="S1496" s="157"/>
      <c r="T1496" s="143" t="str">
        <f>エンティティ一覧!$O$2</f>
        <v>milscm_2023_010</v>
      </c>
    </row>
    <row r="1497" spans="2:23" ht="18.75" customHeight="1">
      <c r="C1497" s="139"/>
      <c r="D1497" s="140"/>
      <c r="E1497" s="142"/>
      <c r="F1497" s="37"/>
      <c r="G1497" s="38"/>
      <c r="H1497" s="37"/>
      <c r="I1497" s="37"/>
      <c r="J1497" s="37"/>
      <c r="K1497" s="37"/>
      <c r="L1497" s="37"/>
      <c r="M1497" s="37"/>
      <c r="N1497" s="37"/>
      <c r="O1497" s="37"/>
      <c r="P1497" s="37"/>
      <c r="Q1497" s="37"/>
      <c r="R1497" s="158"/>
      <c r="S1497" s="159"/>
      <c r="T1497" s="144"/>
    </row>
    <row r="1498" spans="2:23" ht="18.75" customHeight="1">
      <c r="F1498" s="39"/>
      <c r="G1498" s="40"/>
    </row>
    <row r="1499" spans="2:23" ht="18.75" customHeight="1">
      <c r="C1499" s="137" t="s">
        <v>3182</v>
      </c>
      <c r="D1499" s="138"/>
      <c r="E1499" s="143" t="str">
        <f>エンティティ一覧!$O$2</f>
        <v>milscm_2023_010</v>
      </c>
      <c r="G1499" s="41"/>
    </row>
    <row r="1500" spans="2:23" ht="18.75" customHeight="1">
      <c r="C1500" s="139"/>
      <c r="D1500" s="140"/>
      <c r="E1500" s="144"/>
      <c r="F1500" s="37"/>
    </row>
    <row r="1502" spans="2:23" ht="18.75" customHeight="1" thickBot="1">
      <c r="B1502" s="42"/>
      <c r="C1502" s="42"/>
      <c r="D1502" s="42"/>
      <c r="E1502" s="42"/>
      <c r="F1502" s="42"/>
      <c r="G1502" s="42"/>
      <c r="H1502" s="42"/>
      <c r="I1502" s="42"/>
      <c r="J1502" s="42"/>
      <c r="K1502" s="42"/>
      <c r="L1502" s="42"/>
      <c r="M1502" s="42"/>
      <c r="N1502" s="42"/>
      <c r="O1502" s="42"/>
      <c r="P1502" s="42"/>
      <c r="Q1502" s="42"/>
      <c r="R1502" s="42"/>
      <c r="S1502" s="42"/>
      <c r="T1502" s="42"/>
      <c r="U1502" s="42"/>
    </row>
    <row r="1504" spans="2:23" ht="18.75" customHeight="1">
      <c r="B1504" s="43" t="s">
        <v>163</v>
      </c>
      <c r="C1504" s="51" t="s">
        <v>3462</v>
      </c>
      <c r="D1504" s="88"/>
      <c r="W1504" s="35" t="str">
        <f>"-- "&amp;B1504&amp;" : "&amp;C1504</f>
        <v>-- SQL_ID : 01_C4-29</v>
      </c>
    </row>
    <row r="1505" spans="2:23" ht="18.75" customHeight="1">
      <c r="B1505" s="43" t="s">
        <v>158</v>
      </c>
      <c r="C1505" s="145" t="str">
        <f>R1508&amp;"登録"</f>
        <v>バックアップ_臨床サマリーモジュール_経過記録レコード登録</v>
      </c>
      <c r="D1505" s="146"/>
      <c r="E1505" s="146"/>
      <c r="F1505" s="146"/>
      <c r="G1505" s="146"/>
      <c r="H1505" s="146"/>
      <c r="I1505" s="146"/>
      <c r="J1505" s="146"/>
      <c r="K1505" s="146"/>
      <c r="L1505" s="146"/>
      <c r="M1505" s="146"/>
      <c r="N1505" s="146"/>
      <c r="O1505" s="146"/>
      <c r="P1505" s="146"/>
      <c r="Q1505" s="146"/>
      <c r="R1505" s="146"/>
      <c r="S1505" s="146"/>
      <c r="T1505" s="146"/>
      <c r="U1505" s="147"/>
      <c r="W1505" s="35" t="str">
        <f>"-- "&amp;C1505</f>
        <v>-- バックアップ_臨床サマリーモジュール_経過記録レコード登録</v>
      </c>
    </row>
    <row r="1506" spans="2:23" ht="18.75" customHeight="1">
      <c r="B1506" s="43" t="s">
        <v>159</v>
      </c>
      <c r="C1506" s="134" t="str">
        <f>C1508&amp;"テーブルから組入れ条件の第一条件で絞り込んだ結果を"&amp;R1508&amp;"テーブルに格納する。"</f>
        <v>臨床サマリーモジュール_経過記録レコード_結合テーブルから組入れ条件の第一条件で絞り込んだ結果をバックアップ_臨床サマリーモジュール_経過記録レコードテーブルに格納する。</v>
      </c>
      <c r="D1506" s="135"/>
      <c r="E1506" s="135"/>
      <c r="F1506" s="135"/>
      <c r="G1506" s="135"/>
      <c r="H1506" s="135"/>
      <c r="I1506" s="135"/>
      <c r="J1506" s="135"/>
      <c r="K1506" s="135"/>
      <c r="L1506" s="135"/>
      <c r="M1506" s="135"/>
      <c r="N1506" s="135"/>
      <c r="O1506" s="135"/>
      <c r="P1506" s="135"/>
      <c r="Q1506" s="135"/>
      <c r="R1506" s="135"/>
      <c r="S1506" s="135"/>
      <c r="T1506" s="135"/>
      <c r="U1506" s="136"/>
      <c r="W1506" s="35" t="str">
        <f>"-- "&amp;C1506</f>
        <v>-- 臨床サマリーモジュール_経過記録レコード_結合テーブルから組入れ条件の第一条件で絞り込んだ結果をバックアップ_臨床サマリーモジュール_経過記録レコードテーブルに格納する。</v>
      </c>
    </row>
    <row r="1508" spans="2:23" ht="18.75" customHeight="1">
      <c r="C1508" s="137" t="s">
        <v>3463</v>
      </c>
      <c r="D1508" s="138"/>
      <c r="E1508" s="141" t="s">
        <v>162</v>
      </c>
      <c r="H1508" s="36"/>
      <c r="I1508" s="36"/>
      <c r="J1508" s="36"/>
      <c r="K1508" s="36"/>
      <c r="L1508" s="36"/>
      <c r="M1508" s="36"/>
      <c r="N1508" s="36"/>
      <c r="O1508" s="36"/>
      <c r="P1508" s="36"/>
      <c r="Q1508" s="36"/>
      <c r="R1508" s="156" t="str">
        <f>"バックアップ_"&amp;SUBSTITUTE(C1508,"_結合","")</f>
        <v>バックアップ_臨床サマリーモジュール_経過記録レコード</v>
      </c>
      <c r="S1508" s="157"/>
      <c r="T1508" s="143" t="str">
        <f>エンティティ一覧!$O$2</f>
        <v>milscm_2023_010</v>
      </c>
    </row>
    <row r="1509" spans="2:23" ht="18.75" customHeight="1">
      <c r="C1509" s="139"/>
      <c r="D1509" s="140"/>
      <c r="E1509" s="142"/>
      <c r="F1509" s="37"/>
      <c r="G1509" s="38"/>
      <c r="H1509" s="37"/>
      <c r="I1509" s="37"/>
      <c r="J1509" s="37"/>
      <c r="K1509" s="37"/>
      <c r="L1509" s="37"/>
      <c r="M1509" s="37"/>
      <c r="N1509" s="37"/>
      <c r="O1509" s="37"/>
      <c r="P1509" s="37"/>
      <c r="Q1509" s="37"/>
      <c r="R1509" s="158"/>
      <c r="S1509" s="159"/>
      <c r="T1509" s="144"/>
    </row>
    <row r="1510" spans="2:23" ht="18.75" customHeight="1">
      <c r="F1510" s="39"/>
      <c r="G1510" s="40"/>
    </row>
    <row r="1511" spans="2:23" ht="18.75" customHeight="1">
      <c r="C1511" s="137" t="s">
        <v>3182</v>
      </c>
      <c r="D1511" s="138"/>
      <c r="E1511" s="143" t="str">
        <f>エンティティ一覧!$O$2</f>
        <v>milscm_2023_010</v>
      </c>
      <c r="G1511" s="41"/>
    </row>
    <row r="1512" spans="2:23" ht="18.75" customHeight="1">
      <c r="C1512" s="139"/>
      <c r="D1512" s="140"/>
      <c r="E1512" s="144"/>
      <c r="F1512" s="37"/>
    </row>
    <row r="1514" spans="2:23" ht="18.75" customHeight="1" thickBot="1">
      <c r="B1514" s="42"/>
      <c r="C1514" s="42"/>
      <c r="D1514" s="42"/>
      <c r="E1514" s="42"/>
      <c r="F1514" s="42"/>
      <c r="G1514" s="42"/>
      <c r="H1514" s="42"/>
      <c r="I1514" s="42"/>
      <c r="J1514" s="42"/>
      <c r="K1514" s="42"/>
      <c r="L1514" s="42"/>
      <c r="M1514" s="42"/>
      <c r="N1514" s="42"/>
      <c r="O1514" s="42"/>
      <c r="P1514" s="42"/>
      <c r="Q1514" s="42"/>
      <c r="R1514" s="42"/>
      <c r="S1514" s="42"/>
      <c r="T1514" s="42"/>
      <c r="U1514" s="42"/>
    </row>
    <row r="1516" spans="2:23" ht="18.75" customHeight="1">
      <c r="B1516" s="43" t="s">
        <v>163</v>
      </c>
      <c r="C1516" s="51" t="s">
        <v>3464</v>
      </c>
      <c r="D1516" s="88"/>
      <c r="W1516" s="35" t="str">
        <f>"-- "&amp;B1516&amp;" : "&amp;C1516</f>
        <v>-- SQL_ID : 01_C4-30</v>
      </c>
    </row>
    <row r="1517" spans="2:23" ht="18.75" customHeight="1">
      <c r="B1517" s="43" t="s">
        <v>158</v>
      </c>
      <c r="C1517" s="145" t="str">
        <f>R1520&amp;"登録"</f>
        <v>バックアップ_臨床サマリーモジュール_検査結果レコード登録</v>
      </c>
      <c r="D1517" s="146"/>
      <c r="E1517" s="146"/>
      <c r="F1517" s="146"/>
      <c r="G1517" s="146"/>
      <c r="H1517" s="146"/>
      <c r="I1517" s="146"/>
      <c r="J1517" s="146"/>
      <c r="K1517" s="146"/>
      <c r="L1517" s="146"/>
      <c r="M1517" s="146"/>
      <c r="N1517" s="146"/>
      <c r="O1517" s="146"/>
      <c r="P1517" s="146"/>
      <c r="Q1517" s="146"/>
      <c r="R1517" s="146"/>
      <c r="S1517" s="146"/>
      <c r="T1517" s="146"/>
      <c r="U1517" s="147"/>
      <c r="W1517" s="35" t="str">
        <f>"-- "&amp;C1517</f>
        <v>-- バックアップ_臨床サマリーモジュール_検査結果レコード登録</v>
      </c>
    </row>
    <row r="1518" spans="2:23" ht="18.75" customHeight="1">
      <c r="B1518" s="43" t="s">
        <v>159</v>
      </c>
      <c r="C1518" s="134" t="str">
        <f>C1520&amp;"テーブルから組入れ条件の第一条件で絞り込んだ結果を"&amp;R1520&amp;"テーブルに格納する。"</f>
        <v>臨床サマリーモジュール_検査結果レコード_結合テーブルから組入れ条件の第一条件で絞り込んだ結果をバックアップ_臨床サマリーモジュール_検査結果レコードテーブルに格納する。</v>
      </c>
      <c r="D1518" s="135"/>
      <c r="E1518" s="135"/>
      <c r="F1518" s="135"/>
      <c r="G1518" s="135"/>
      <c r="H1518" s="135"/>
      <c r="I1518" s="135"/>
      <c r="J1518" s="135"/>
      <c r="K1518" s="135"/>
      <c r="L1518" s="135"/>
      <c r="M1518" s="135"/>
      <c r="N1518" s="135"/>
      <c r="O1518" s="135"/>
      <c r="P1518" s="135"/>
      <c r="Q1518" s="135"/>
      <c r="R1518" s="135"/>
      <c r="S1518" s="135"/>
      <c r="T1518" s="135"/>
      <c r="U1518" s="136"/>
      <c r="W1518" s="35" t="str">
        <f>"-- "&amp;C1518</f>
        <v>-- 臨床サマリーモジュール_検査結果レコード_結合テーブルから組入れ条件の第一条件で絞り込んだ結果をバックアップ_臨床サマリーモジュール_検査結果レコードテーブルに格納する。</v>
      </c>
    </row>
    <row r="1520" spans="2:23" ht="18.75" customHeight="1">
      <c r="C1520" s="137" t="s">
        <v>3465</v>
      </c>
      <c r="D1520" s="138"/>
      <c r="E1520" s="141" t="s">
        <v>162</v>
      </c>
      <c r="H1520" s="36"/>
      <c r="I1520" s="36"/>
      <c r="J1520" s="36"/>
      <c r="K1520" s="36"/>
      <c r="L1520" s="36"/>
      <c r="M1520" s="36"/>
      <c r="N1520" s="36"/>
      <c r="O1520" s="36"/>
      <c r="P1520" s="36"/>
      <c r="Q1520" s="36"/>
      <c r="R1520" s="156" t="str">
        <f>"バックアップ_"&amp;SUBSTITUTE(C1520,"_結合","")</f>
        <v>バックアップ_臨床サマリーモジュール_検査結果レコード</v>
      </c>
      <c r="S1520" s="157"/>
      <c r="T1520" s="143" t="str">
        <f>エンティティ一覧!$O$2</f>
        <v>milscm_2023_010</v>
      </c>
    </row>
    <row r="1521" spans="2:23" ht="18.75" customHeight="1">
      <c r="C1521" s="139"/>
      <c r="D1521" s="140"/>
      <c r="E1521" s="142"/>
      <c r="F1521" s="37"/>
      <c r="G1521" s="38"/>
      <c r="H1521" s="37"/>
      <c r="I1521" s="37"/>
      <c r="J1521" s="37"/>
      <c r="K1521" s="37"/>
      <c r="L1521" s="37"/>
      <c r="M1521" s="37"/>
      <c r="N1521" s="37"/>
      <c r="O1521" s="37"/>
      <c r="P1521" s="37"/>
      <c r="Q1521" s="37"/>
      <c r="R1521" s="158"/>
      <c r="S1521" s="159"/>
      <c r="T1521" s="144"/>
    </row>
    <row r="1522" spans="2:23" ht="18.75" customHeight="1">
      <c r="F1522" s="39"/>
      <c r="G1522" s="40"/>
    </row>
    <row r="1523" spans="2:23" ht="18.75" customHeight="1">
      <c r="C1523" s="137" t="s">
        <v>3182</v>
      </c>
      <c r="D1523" s="138"/>
      <c r="E1523" s="143" t="str">
        <f>エンティティ一覧!$O$2</f>
        <v>milscm_2023_010</v>
      </c>
      <c r="G1523" s="41"/>
    </row>
    <row r="1524" spans="2:23" ht="18.75" customHeight="1">
      <c r="C1524" s="139"/>
      <c r="D1524" s="140"/>
      <c r="E1524" s="144"/>
      <c r="F1524" s="37"/>
    </row>
    <row r="1526" spans="2:23" ht="18.75" customHeight="1" thickBot="1">
      <c r="B1526" s="42"/>
      <c r="C1526" s="42"/>
      <c r="D1526" s="42"/>
      <c r="E1526" s="42"/>
      <c r="F1526" s="42"/>
      <c r="G1526" s="42"/>
      <c r="H1526" s="42"/>
      <c r="I1526" s="42"/>
      <c r="J1526" s="42"/>
      <c r="K1526" s="42"/>
      <c r="L1526" s="42"/>
      <c r="M1526" s="42"/>
      <c r="N1526" s="42"/>
      <c r="O1526" s="42"/>
      <c r="P1526" s="42"/>
      <c r="Q1526" s="42"/>
      <c r="R1526" s="42"/>
      <c r="S1526" s="42"/>
      <c r="T1526" s="42"/>
      <c r="U1526" s="42"/>
    </row>
    <row r="1528" spans="2:23" ht="18.75" customHeight="1">
      <c r="B1528" s="43" t="s">
        <v>163</v>
      </c>
      <c r="C1528" s="51" t="s">
        <v>3466</v>
      </c>
      <c r="D1528" s="88"/>
      <c r="W1528" s="35" t="str">
        <f>"-- "&amp;B1528&amp;" : "&amp;C1528</f>
        <v>-- SQL_ID : 01_C4-31</v>
      </c>
    </row>
    <row r="1529" spans="2:23" ht="18.75" customHeight="1">
      <c r="B1529" s="43" t="s">
        <v>158</v>
      </c>
      <c r="C1529" s="145" t="str">
        <f>R1532&amp;"登録"</f>
        <v>バックアップ_検歴情報モジュール_検歴情報登録</v>
      </c>
      <c r="D1529" s="146"/>
      <c r="E1529" s="146"/>
      <c r="F1529" s="146"/>
      <c r="G1529" s="146"/>
      <c r="H1529" s="146"/>
      <c r="I1529" s="146"/>
      <c r="J1529" s="146"/>
      <c r="K1529" s="146"/>
      <c r="L1529" s="146"/>
      <c r="M1529" s="146"/>
      <c r="N1529" s="146"/>
      <c r="O1529" s="146"/>
      <c r="P1529" s="146"/>
      <c r="Q1529" s="146"/>
      <c r="R1529" s="146"/>
      <c r="S1529" s="146"/>
      <c r="T1529" s="146"/>
      <c r="U1529" s="147"/>
      <c r="W1529" s="35" t="str">
        <f>"-- "&amp;C1529</f>
        <v>-- バックアップ_検歴情報モジュール_検歴情報登録</v>
      </c>
    </row>
    <row r="1530" spans="2:23" ht="18.75" customHeight="1">
      <c r="B1530" s="43" t="s">
        <v>159</v>
      </c>
      <c r="C1530" s="134" t="str">
        <f>C1532&amp;"テーブルから組入れ条件の第一条件で絞り込んだ結果を"&amp;R1532&amp;"テーブルに格納する。"</f>
        <v>検歴情報モジュール_検歴情報_結合テーブルから組入れ条件の第一条件で絞り込んだ結果をバックアップ_検歴情報モジュール_検歴情報テーブルに格納する。</v>
      </c>
      <c r="D1530" s="135"/>
      <c r="E1530" s="135"/>
      <c r="F1530" s="135"/>
      <c r="G1530" s="135"/>
      <c r="H1530" s="135"/>
      <c r="I1530" s="135"/>
      <c r="J1530" s="135"/>
      <c r="K1530" s="135"/>
      <c r="L1530" s="135"/>
      <c r="M1530" s="135"/>
      <c r="N1530" s="135"/>
      <c r="O1530" s="135"/>
      <c r="P1530" s="135"/>
      <c r="Q1530" s="135"/>
      <c r="R1530" s="135"/>
      <c r="S1530" s="135"/>
      <c r="T1530" s="135"/>
      <c r="U1530" s="136"/>
      <c r="W1530" s="35" t="str">
        <f>"-- "&amp;C1530</f>
        <v>-- 検歴情報モジュール_検歴情報_結合テーブルから組入れ条件の第一条件で絞り込んだ結果をバックアップ_検歴情報モジュール_検歴情報テーブルに格納する。</v>
      </c>
    </row>
    <row r="1532" spans="2:23" ht="18.75" customHeight="1">
      <c r="C1532" s="137" t="s">
        <v>3467</v>
      </c>
      <c r="D1532" s="138"/>
      <c r="E1532" s="141" t="s">
        <v>162</v>
      </c>
      <c r="H1532" s="36"/>
      <c r="I1532" s="36"/>
      <c r="J1532" s="36"/>
      <c r="K1532" s="36"/>
      <c r="L1532" s="36"/>
      <c r="M1532" s="36"/>
      <c r="N1532" s="36"/>
      <c r="O1532" s="36"/>
      <c r="P1532" s="36"/>
      <c r="Q1532" s="36"/>
      <c r="R1532" s="137" t="str">
        <f>"バックアップ_"&amp;SUBSTITUTE(C1532,"_結合","")</f>
        <v>バックアップ_検歴情報モジュール_検歴情報</v>
      </c>
      <c r="S1532" s="138"/>
      <c r="T1532" s="143" t="str">
        <f>エンティティ一覧!$O$2</f>
        <v>milscm_2023_010</v>
      </c>
    </row>
    <row r="1533" spans="2:23" ht="18.75" customHeight="1">
      <c r="C1533" s="139"/>
      <c r="D1533" s="140"/>
      <c r="E1533" s="142"/>
      <c r="F1533" s="37"/>
      <c r="G1533" s="38"/>
      <c r="H1533" s="37"/>
      <c r="I1533" s="37"/>
      <c r="J1533" s="37"/>
      <c r="K1533" s="37"/>
      <c r="L1533" s="37"/>
      <c r="M1533" s="37"/>
      <c r="N1533" s="37"/>
      <c r="O1533" s="37"/>
      <c r="P1533" s="37"/>
      <c r="Q1533" s="37"/>
      <c r="R1533" s="139"/>
      <c r="S1533" s="140"/>
      <c r="T1533" s="144"/>
    </row>
    <row r="1534" spans="2:23" ht="18.75" customHeight="1">
      <c r="F1534" s="39"/>
      <c r="G1534" s="40"/>
    </row>
    <row r="1535" spans="2:23" ht="18.75" customHeight="1">
      <c r="C1535" s="137" t="s">
        <v>3182</v>
      </c>
      <c r="D1535" s="138"/>
      <c r="E1535" s="143" t="str">
        <f>エンティティ一覧!$O$2</f>
        <v>milscm_2023_010</v>
      </c>
      <c r="G1535" s="41"/>
    </row>
    <row r="1536" spans="2:23" ht="18.75" customHeight="1">
      <c r="C1536" s="139"/>
      <c r="D1536" s="140"/>
      <c r="E1536" s="144"/>
      <c r="F1536" s="37"/>
    </row>
    <row r="1538" spans="2:23" ht="18.75" customHeight="1" thickBot="1">
      <c r="B1538" s="42"/>
      <c r="C1538" s="42"/>
      <c r="D1538" s="42"/>
      <c r="E1538" s="42"/>
      <c r="F1538" s="42"/>
      <c r="G1538" s="42"/>
      <c r="H1538" s="42"/>
      <c r="I1538" s="42"/>
      <c r="J1538" s="42"/>
      <c r="K1538" s="42"/>
      <c r="L1538" s="42"/>
      <c r="M1538" s="42"/>
      <c r="N1538" s="42"/>
      <c r="O1538" s="42"/>
      <c r="P1538" s="42"/>
      <c r="Q1538" s="42"/>
      <c r="R1538" s="42"/>
      <c r="S1538" s="42"/>
      <c r="T1538" s="42"/>
      <c r="U1538" s="42"/>
    </row>
    <row r="1540" spans="2:23" ht="18.75" customHeight="1">
      <c r="B1540" s="43" t="s">
        <v>163</v>
      </c>
      <c r="C1540" s="51" t="s">
        <v>3468</v>
      </c>
      <c r="D1540" s="88"/>
      <c r="W1540" s="35" t="str">
        <f>"-- "&amp;B1540&amp;" : "&amp;C1540</f>
        <v>-- SQL_ID : 01_C4-33</v>
      </c>
    </row>
    <row r="1541" spans="2:23" ht="18.75" customHeight="1">
      <c r="B1541" s="43" t="s">
        <v>158</v>
      </c>
      <c r="C1541" s="145" t="str">
        <f>R1544&amp;"登録"</f>
        <v>バックアップ_検歴情報モジュール_検歴検体材料登録</v>
      </c>
      <c r="D1541" s="146"/>
      <c r="E1541" s="146"/>
      <c r="F1541" s="146"/>
      <c r="G1541" s="146"/>
      <c r="H1541" s="146"/>
      <c r="I1541" s="146"/>
      <c r="J1541" s="146"/>
      <c r="K1541" s="146"/>
      <c r="L1541" s="146"/>
      <c r="M1541" s="146"/>
      <c r="N1541" s="146"/>
      <c r="O1541" s="146"/>
      <c r="P1541" s="146"/>
      <c r="Q1541" s="146"/>
      <c r="R1541" s="146"/>
      <c r="S1541" s="146"/>
      <c r="T1541" s="146"/>
      <c r="U1541" s="147"/>
      <c r="W1541" s="35" t="str">
        <f>"-- "&amp;C1541</f>
        <v>-- バックアップ_検歴情報モジュール_検歴検体材料登録</v>
      </c>
    </row>
    <row r="1542" spans="2:23" ht="18.75" customHeight="1">
      <c r="B1542" s="43" t="s">
        <v>159</v>
      </c>
      <c r="C1542" s="134" t="str">
        <f>C1544&amp;"テーブルから組入れ条件の第一条件で絞り込んだ結果を"&amp;R1544&amp;"テーブルに格納する。"</f>
        <v>検歴情報モジュール_検歴検体材料_結合テーブルから組入れ条件の第一条件で絞り込んだ結果をバックアップ_検歴情報モジュール_検歴検体材料テーブルに格納する。</v>
      </c>
      <c r="D1542" s="135"/>
      <c r="E1542" s="135"/>
      <c r="F1542" s="135"/>
      <c r="G1542" s="135"/>
      <c r="H1542" s="135"/>
      <c r="I1542" s="135"/>
      <c r="J1542" s="135"/>
      <c r="K1542" s="135"/>
      <c r="L1542" s="135"/>
      <c r="M1542" s="135"/>
      <c r="N1542" s="135"/>
      <c r="O1542" s="135"/>
      <c r="P1542" s="135"/>
      <c r="Q1542" s="135"/>
      <c r="R1542" s="135"/>
      <c r="S1542" s="135"/>
      <c r="T1542" s="135"/>
      <c r="U1542" s="136"/>
      <c r="W1542" s="35" t="str">
        <f>"-- "&amp;C1542</f>
        <v>-- 検歴情報モジュール_検歴検体材料_結合テーブルから組入れ条件の第一条件で絞り込んだ結果をバックアップ_検歴情報モジュール_検歴検体材料テーブルに格納する。</v>
      </c>
    </row>
    <row r="1544" spans="2:23" ht="18.75" customHeight="1">
      <c r="C1544" s="137" t="s">
        <v>3469</v>
      </c>
      <c r="D1544" s="138"/>
      <c r="E1544" s="141" t="s">
        <v>162</v>
      </c>
      <c r="H1544" s="36"/>
      <c r="I1544" s="36"/>
      <c r="J1544" s="36"/>
      <c r="K1544" s="36"/>
      <c r="L1544" s="36"/>
      <c r="M1544" s="36"/>
      <c r="N1544" s="36"/>
      <c r="O1544" s="36"/>
      <c r="P1544" s="36"/>
      <c r="Q1544" s="36"/>
      <c r="R1544" s="137" t="str">
        <f>"バックアップ_"&amp;SUBSTITUTE(C1544,"_結合","")</f>
        <v>バックアップ_検歴情報モジュール_検歴検体材料</v>
      </c>
      <c r="S1544" s="138"/>
      <c r="T1544" s="143" t="str">
        <f>エンティティ一覧!$O$2</f>
        <v>milscm_2023_010</v>
      </c>
    </row>
    <row r="1545" spans="2:23" ht="18.75" customHeight="1">
      <c r="C1545" s="139"/>
      <c r="D1545" s="140"/>
      <c r="E1545" s="142"/>
      <c r="F1545" s="37"/>
      <c r="G1545" s="38"/>
      <c r="H1545" s="37"/>
      <c r="I1545" s="37"/>
      <c r="J1545" s="37"/>
      <c r="K1545" s="37"/>
      <c r="L1545" s="37"/>
      <c r="M1545" s="37"/>
      <c r="N1545" s="37"/>
      <c r="O1545" s="37"/>
      <c r="P1545" s="37"/>
      <c r="Q1545" s="37"/>
      <c r="R1545" s="139"/>
      <c r="S1545" s="140"/>
      <c r="T1545" s="144"/>
    </row>
    <row r="1546" spans="2:23" ht="18.75" customHeight="1">
      <c r="F1546" s="39"/>
      <c r="G1546" s="40"/>
    </row>
    <row r="1547" spans="2:23" ht="18.75" customHeight="1">
      <c r="C1547" s="137" t="s">
        <v>3182</v>
      </c>
      <c r="D1547" s="138"/>
      <c r="E1547" s="143" t="str">
        <f>エンティティ一覧!$O$2</f>
        <v>milscm_2023_010</v>
      </c>
      <c r="G1547" s="41"/>
    </row>
    <row r="1548" spans="2:23" ht="18.75" customHeight="1">
      <c r="C1548" s="139"/>
      <c r="D1548" s="140"/>
      <c r="E1548" s="144"/>
      <c r="F1548" s="37"/>
    </row>
    <row r="1550" spans="2:23" ht="18.75" customHeight="1" thickBot="1">
      <c r="B1550" s="42"/>
      <c r="C1550" s="42"/>
      <c r="D1550" s="42"/>
      <c r="E1550" s="42"/>
      <c r="F1550" s="42"/>
      <c r="G1550" s="42"/>
      <c r="H1550" s="42"/>
      <c r="I1550" s="42"/>
      <c r="J1550" s="42"/>
      <c r="K1550" s="42"/>
      <c r="L1550" s="42"/>
      <c r="M1550" s="42"/>
      <c r="N1550" s="42"/>
      <c r="O1550" s="42"/>
      <c r="P1550" s="42"/>
      <c r="Q1550" s="42"/>
      <c r="R1550" s="42"/>
      <c r="S1550" s="42"/>
      <c r="T1550" s="42"/>
      <c r="U1550" s="42"/>
    </row>
    <row r="1552" spans="2:23" ht="18.75" customHeight="1">
      <c r="B1552" s="43" t="s">
        <v>163</v>
      </c>
      <c r="C1552" s="51" t="s">
        <v>3470</v>
      </c>
      <c r="D1552" s="88"/>
      <c r="W1552" s="35" t="str">
        <f>"-- "&amp;B1552&amp;" : "&amp;C1552</f>
        <v>-- SQL_ID : 01_C4-35</v>
      </c>
    </row>
    <row r="1553" spans="2:23" ht="18.75" customHeight="1">
      <c r="B1553" s="43" t="s">
        <v>158</v>
      </c>
      <c r="C1553" s="145" t="str">
        <f>R1556&amp;"登録"</f>
        <v>バックアップ_検歴情報モジュール_検歴項目情報登録</v>
      </c>
      <c r="D1553" s="146"/>
      <c r="E1553" s="146"/>
      <c r="F1553" s="146"/>
      <c r="G1553" s="146"/>
      <c r="H1553" s="146"/>
      <c r="I1553" s="146"/>
      <c r="J1553" s="146"/>
      <c r="K1553" s="146"/>
      <c r="L1553" s="146"/>
      <c r="M1553" s="146"/>
      <c r="N1553" s="146"/>
      <c r="O1553" s="146"/>
      <c r="P1553" s="146"/>
      <c r="Q1553" s="146"/>
      <c r="R1553" s="146"/>
      <c r="S1553" s="146"/>
      <c r="T1553" s="146"/>
      <c r="U1553" s="147"/>
      <c r="W1553" s="35" t="str">
        <f>"-- "&amp;C1553</f>
        <v>-- バックアップ_検歴情報モジュール_検歴項目情報登録</v>
      </c>
    </row>
    <row r="1554" spans="2:23" ht="18.75" customHeight="1">
      <c r="B1554" s="43" t="s">
        <v>159</v>
      </c>
      <c r="C1554" s="134" t="str">
        <f>C1556&amp;"テーブルから組入れ条件の第一条件で絞り込んだ結果を"&amp;R1556&amp;"テーブルに格納する。"</f>
        <v>検歴情報モジュール_検歴項目情報_結合テーブルから組入れ条件の第一条件で絞り込んだ結果をバックアップ_検歴情報モジュール_検歴項目情報テーブルに格納する。</v>
      </c>
      <c r="D1554" s="135"/>
      <c r="E1554" s="135"/>
      <c r="F1554" s="135"/>
      <c r="G1554" s="135"/>
      <c r="H1554" s="135"/>
      <c r="I1554" s="135"/>
      <c r="J1554" s="135"/>
      <c r="K1554" s="135"/>
      <c r="L1554" s="135"/>
      <c r="M1554" s="135"/>
      <c r="N1554" s="135"/>
      <c r="O1554" s="135"/>
      <c r="P1554" s="135"/>
      <c r="Q1554" s="135"/>
      <c r="R1554" s="135"/>
      <c r="S1554" s="135"/>
      <c r="T1554" s="135"/>
      <c r="U1554" s="136"/>
      <c r="W1554" s="35" t="str">
        <f>"-- "&amp;C1554</f>
        <v>-- 検歴情報モジュール_検歴項目情報_結合テーブルから組入れ条件の第一条件で絞り込んだ結果をバックアップ_検歴情報モジュール_検歴項目情報テーブルに格納する。</v>
      </c>
    </row>
    <row r="1556" spans="2:23" ht="18.75" customHeight="1">
      <c r="C1556" s="137" t="s">
        <v>3471</v>
      </c>
      <c r="D1556" s="138"/>
      <c r="E1556" s="141" t="s">
        <v>162</v>
      </c>
      <c r="H1556" s="36"/>
      <c r="I1556" s="36"/>
      <c r="J1556" s="36"/>
      <c r="K1556" s="36"/>
      <c r="L1556" s="36"/>
      <c r="M1556" s="36"/>
      <c r="N1556" s="36"/>
      <c r="O1556" s="36"/>
      <c r="P1556" s="36"/>
      <c r="Q1556" s="36"/>
      <c r="R1556" s="137" t="str">
        <f>"バックアップ_"&amp;SUBSTITUTE(C1556,"_結合","")</f>
        <v>バックアップ_検歴情報モジュール_検歴項目情報</v>
      </c>
      <c r="S1556" s="138"/>
      <c r="T1556" s="143" t="str">
        <f>エンティティ一覧!$O$2</f>
        <v>milscm_2023_010</v>
      </c>
    </row>
    <row r="1557" spans="2:23" ht="18.75" customHeight="1">
      <c r="C1557" s="139"/>
      <c r="D1557" s="140"/>
      <c r="E1557" s="142"/>
      <c r="F1557" s="37"/>
      <c r="G1557" s="38"/>
      <c r="H1557" s="37"/>
      <c r="I1557" s="37"/>
      <c r="J1557" s="37"/>
      <c r="K1557" s="37"/>
      <c r="L1557" s="37"/>
      <c r="M1557" s="37"/>
      <c r="N1557" s="37"/>
      <c r="O1557" s="37"/>
      <c r="P1557" s="37"/>
      <c r="Q1557" s="37"/>
      <c r="R1557" s="139"/>
      <c r="S1557" s="140"/>
      <c r="T1557" s="144"/>
    </row>
    <row r="1558" spans="2:23" ht="18.75" customHeight="1">
      <c r="F1558" s="39"/>
      <c r="G1558" s="40"/>
    </row>
    <row r="1559" spans="2:23" ht="18.75" customHeight="1">
      <c r="C1559" s="137" t="s">
        <v>3182</v>
      </c>
      <c r="D1559" s="138"/>
      <c r="E1559" s="143" t="str">
        <f>エンティティ一覧!$O$2</f>
        <v>milscm_2023_010</v>
      </c>
      <c r="G1559" s="41"/>
    </row>
    <row r="1560" spans="2:23" ht="18.75" customHeight="1">
      <c r="C1560" s="139"/>
      <c r="D1560" s="140"/>
      <c r="E1560" s="144"/>
      <c r="F1560" s="37"/>
    </row>
    <row r="1562" spans="2:23" ht="18.75" customHeight="1" thickBot="1">
      <c r="B1562" s="42"/>
      <c r="C1562" s="42"/>
      <c r="D1562" s="42"/>
      <c r="E1562" s="42"/>
      <c r="F1562" s="42"/>
      <c r="G1562" s="42"/>
      <c r="H1562" s="42"/>
      <c r="I1562" s="42"/>
      <c r="J1562" s="42"/>
      <c r="K1562" s="42"/>
      <c r="L1562" s="42"/>
      <c r="M1562" s="42"/>
      <c r="N1562" s="42"/>
      <c r="O1562" s="42"/>
      <c r="P1562" s="42"/>
      <c r="Q1562" s="42"/>
      <c r="R1562" s="42"/>
      <c r="S1562" s="42"/>
      <c r="T1562" s="42"/>
      <c r="U1562" s="42"/>
    </row>
    <row r="1564" spans="2:23" ht="18.75" customHeight="1">
      <c r="B1564" s="43" t="s">
        <v>163</v>
      </c>
      <c r="C1564" s="51" t="s">
        <v>3472</v>
      </c>
      <c r="D1564" s="88"/>
      <c r="W1564" s="35" t="str">
        <f>"-- "&amp;B1564&amp;" : "&amp;C1564</f>
        <v>-- SQL_ID : 01_C4-37</v>
      </c>
    </row>
    <row r="1565" spans="2:23" ht="18.75" customHeight="1">
      <c r="B1565" s="43" t="s">
        <v>158</v>
      </c>
      <c r="C1565" s="145" t="str">
        <f>R1568&amp;"登録"</f>
        <v>バックアップ_バイタルサインモジュール_バイタルサイン登録</v>
      </c>
      <c r="D1565" s="146"/>
      <c r="E1565" s="146"/>
      <c r="F1565" s="146"/>
      <c r="G1565" s="146"/>
      <c r="H1565" s="146"/>
      <c r="I1565" s="146"/>
      <c r="J1565" s="146"/>
      <c r="K1565" s="146"/>
      <c r="L1565" s="146"/>
      <c r="M1565" s="146"/>
      <c r="N1565" s="146"/>
      <c r="O1565" s="146"/>
      <c r="P1565" s="146"/>
      <c r="Q1565" s="146"/>
      <c r="R1565" s="146"/>
      <c r="S1565" s="146"/>
      <c r="T1565" s="146"/>
      <c r="U1565" s="147"/>
      <c r="W1565" s="35" t="str">
        <f>"-- "&amp;C1565</f>
        <v>-- バックアップ_バイタルサインモジュール_バイタルサイン登録</v>
      </c>
    </row>
    <row r="1566" spans="2:23" ht="18.75" customHeight="1">
      <c r="B1566" s="43" t="s">
        <v>159</v>
      </c>
      <c r="C1566" s="134" t="str">
        <f>C1568&amp;"テーブルから組入れ条件の第一条件で絞り込んだ結果を"&amp;R1568&amp;"テーブルに格納する。"</f>
        <v>バイタルサインモジュール_バイタルサイン_結合テーブルから組入れ条件の第一条件で絞り込んだ結果をバックアップ_バイタルサインモジュール_バイタルサインテーブルに格納する。</v>
      </c>
      <c r="D1566" s="135"/>
      <c r="E1566" s="135"/>
      <c r="F1566" s="135"/>
      <c r="G1566" s="135"/>
      <c r="H1566" s="135"/>
      <c r="I1566" s="135"/>
      <c r="J1566" s="135"/>
      <c r="K1566" s="135"/>
      <c r="L1566" s="135"/>
      <c r="M1566" s="135"/>
      <c r="N1566" s="135"/>
      <c r="O1566" s="135"/>
      <c r="P1566" s="135"/>
      <c r="Q1566" s="135"/>
      <c r="R1566" s="135"/>
      <c r="S1566" s="135"/>
      <c r="T1566" s="135"/>
      <c r="U1566" s="136"/>
      <c r="W1566" s="35" t="str">
        <f>"-- "&amp;C1566</f>
        <v>-- バイタルサインモジュール_バイタルサイン_結合テーブルから組入れ条件の第一条件で絞り込んだ結果をバックアップ_バイタルサインモジュール_バイタルサインテーブルに格納する。</v>
      </c>
    </row>
    <row r="1568" spans="2:23" ht="18.75" customHeight="1">
      <c r="C1568" s="137" t="s">
        <v>3473</v>
      </c>
      <c r="D1568" s="138"/>
      <c r="E1568" s="141" t="s">
        <v>162</v>
      </c>
      <c r="H1568" s="36"/>
      <c r="I1568" s="36"/>
      <c r="J1568" s="36"/>
      <c r="K1568" s="36"/>
      <c r="L1568" s="36"/>
      <c r="M1568" s="36"/>
      <c r="N1568" s="36"/>
      <c r="O1568" s="36"/>
      <c r="P1568" s="36"/>
      <c r="Q1568" s="36"/>
      <c r="R1568" s="148" t="str">
        <f>"バックアップ_"&amp;SUBSTITUTE(C1568,"_結合","")</f>
        <v>バックアップ_バイタルサインモジュール_バイタルサイン</v>
      </c>
      <c r="S1568" s="149"/>
      <c r="T1568" s="143" t="str">
        <f>エンティティ一覧!$O$2</f>
        <v>milscm_2023_010</v>
      </c>
    </row>
    <row r="1569" spans="2:23" ht="18.75" customHeight="1">
      <c r="C1569" s="139"/>
      <c r="D1569" s="140"/>
      <c r="E1569" s="142"/>
      <c r="F1569" s="37"/>
      <c r="G1569" s="38"/>
      <c r="H1569" s="37"/>
      <c r="I1569" s="37"/>
      <c r="J1569" s="37"/>
      <c r="K1569" s="37"/>
      <c r="L1569" s="37"/>
      <c r="M1569" s="37"/>
      <c r="N1569" s="37"/>
      <c r="O1569" s="37"/>
      <c r="P1569" s="37"/>
      <c r="Q1569" s="37"/>
      <c r="R1569" s="150"/>
      <c r="S1569" s="151"/>
      <c r="T1569" s="144"/>
    </row>
    <row r="1570" spans="2:23" ht="18.75" customHeight="1">
      <c r="F1570" s="39"/>
      <c r="G1570" s="40"/>
    </row>
    <row r="1571" spans="2:23" ht="18.75" customHeight="1">
      <c r="C1571" s="137" t="s">
        <v>3182</v>
      </c>
      <c r="D1571" s="138"/>
      <c r="E1571" s="143" t="str">
        <f>エンティティ一覧!$O$2</f>
        <v>milscm_2023_010</v>
      </c>
      <c r="G1571" s="41"/>
    </row>
    <row r="1572" spans="2:23" ht="18.75" customHeight="1">
      <c r="C1572" s="139"/>
      <c r="D1572" s="140"/>
      <c r="E1572" s="144"/>
      <c r="F1572" s="37"/>
    </row>
    <row r="1574" spans="2:23" ht="18.75" customHeight="1" thickBot="1">
      <c r="B1574" s="42"/>
      <c r="C1574" s="42"/>
      <c r="D1574" s="42"/>
      <c r="E1574" s="42"/>
      <c r="F1574" s="42"/>
      <c r="G1574" s="42"/>
      <c r="H1574" s="42"/>
      <c r="I1574" s="42"/>
      <c r="J1574" s="42"/>
      <c r="K1574" s="42"/>
      <c r="L1574" s="42"/>
      <c r="M1574" s="42"/>
      <c r="N1574" s="42"/>
      <c r="O1574" s="42"/>
      <c r="P1574" s="42"/>
      <c r="Q1574" s="42"/>
      <c r="R1574" s="42"/>
      <c r="S1574" s="42"/>
      <c r="T1574" s="42"/>
      <c r="U1574" s="42"/>
    </row>
    <row r="1576" spans="2:23" ht="18.75" customHeight="1">
      <c r="B1576" s="43" t="s">
        <v>163</v>
      </c>
      <c r="C1576" s="51" t="s">
        <v>3474</v>
      </c>
      <c r="D1576" s="88"/>
      <c r="W1576" s="35" t="str">
        <f>"-- "&amp;B1576&amp;" : "&amp;C1576</f>
        <v>-- SQL_ID : 01_C4-38</v>
      </c>
    </row>
    <row r="1577" spans="2:23" ht="18.75" customHeight="1">
      <c r="B1577" s="43" t="s">
        <v>158</v>
      </c>
      <c r="C1577" s="145" t="str">
        <f>R1580&amp;"登録"</f>
        <v>バックアップ_バイタルサインモジュール_記録項目登録</v>
      </c>
      <c r="D1577" s="146"/>
      <c r="E1577" s="146"/>
      <c r="F1577" s="146"/>
      <c r="G1577" s="146"/>
      <c r="H1577" s="146"/>
      <c r="I1577" s="146"/>
      <c r="J1577" s="146"/>
      <c r="K1577" s="146"/>
      <c r="L1577" s="146"/>
      <c r="M1577" s="146"/>
      <c r="N1577" s="146"/>
      <c r="O1577" s="146"/>
      <c r="P1577" s="146"/>
      <c r="Q1577" s="146"/>
      <c r="R1577" s="146"/>
      <c r="S1577" s="146"/>
      <c r="T1577" s="146"/>
      <c r="U1577" s="147"/>
      <c r="W1577" s="35" t="str">
        <f>"-- "&amp;C1577</f>
        <v>-- バックアップ_バイタルサインモジュール_記録項目登録</v>
      </c>
    </row>
    <row r="1578" spans="2:23" ht="18.75" customHeight="1">
      <c r="B1578" s="43" t="s">
        <v>159</v>
      </c>
      <c r="C1578" s="134" t="str">
        <f>C1580&amp;"テーブルから組入れ条件の第一条件で絞り込んだ結果を"&amp;R1580&amp;"テーブルに格納する。"</f>
        <v>バイタルサインモジュール_記録項目_結合テーブルから組入れ条件の第一条件で絞り込んだ結果をバックアップ_バイタルサインモジュール_記録項目テーブルに格納する。</v>
      </c>
      <c r="D1578" s="135"/>
      <c r="E1578" s="135"/>
      <c r="F1578" s="135"/>
      <c r="G1578" s="135"/>
      <c r="H1578" s="135"/>
      <c r="I1578" s="135"/>
      <c r="J1578" s="135"/>
      <c r="K1578" s="135"/>
      <c r="L1578" s="135"/>
      <c r="M1578" s="135"/>
      <c r="N1578" s="135"/>
      <c r="O1578" s="135"/>
      <c r="P1578" s="135"/>
      <c r="Q1578" s="135"/>
      <c r="R1578" s="135"/>
      <c r="S1578" s="135"/>
      <c r="T1578" s="135"/>
      <c r="U1578" s="136"/>
      <c r="W1578" s="35" t="str">
        <f>"-- "&amp;C1578</f>
        <v>-- バイタルサインモジュール_記録項目_結合テーブルから組入れ条件の第一条件で絞り込んだ結果をバックアップ_バイタルサインモジュール_記録項目テーブルに格納する。</v>
      </c>
    </row>
    <row r="1580" spans="2:23" ht="18.75" customHeight="1">
      <c r="C1580" s="137" t="s">
        <v>3475</v>
      </c>
      <c r="D1580" s="138"/>
      <c r="E1580" s="141" t="s">
        <v>162</v>
      </c>
      <c r="H1580" s="36"/>
      <c r="I1580" s="36"/>
      <c r="J1580" s="36"/>
      <c r="K1580" s="36"/>
      <c r="L1580" s="36"/>
      <c r="M1580" s="36"/>
      <c r="N1580" s="36"/>
      <c r="O1580" s="36"/>
      <c r="P1580" s="36"/>
      <c r="Q1580" s="36"/>
      <c r="R1580" s="148" t="str">
        <f>"バックアップ_"&amp;SUBSTITUTE(C1580,"_結合","")</f>
        <v>バックアップ_バイタルサインモジュール_記録項目</v>
      </c>
      <c r="S1580" s="149"/>
      <c r="T1580" s="143" t="str">
        <f>エンティティ一覧!$O$2</f>
        <v>milscm_2023_010</v>
      </c>
    </row>
    <row r="1581" spans="2:23" ht="18.75" customHeight="1">
      <c r="C1581" s="139"/>
      <c r="D1581" s="140"/>
      <c r="E1581" s="142"/>
      <c r="F1581" s="37"/>
      <c r="G1581" s="38"/>
      <c r="H1581" s="37"/>
      <c r="I1581" s="37"/>
      <c r="J1581" s="37"/>
      <c r="K1581" s="37"/>
      <c r="L1581" s="37"/>
      <c r="M1581" s="37"/>
      <c r="N1581" s="37"/>
      <c r="O1581" s="37"/>
      <c r="P1581" s="37"/>
      <c r="Q1581" s="37"/>
      <c r="R1581" s="150"/>
      <c r="S1581" s="151"/>
      <c r="T1581" s="144"/>
    </row>
    <row r="1582" spans="2:23" ht="18.75" customHeight="1">
      <c r="F1582" s="39"/>
      <c r="G1582" s="40"/>
    </row>
    <row r="1583" spans="2:23" ht="18.75" customHeight="1">
      <c r="C1583" s="137" t="s">
        <v>3182</v>
      </c>
      <c r="D1583" s="138"/>
      <c r="E1583" s="143" t="str">
        <f>エンティティ一覧!$O$2</f>
        <v>milscm_2023_010</v>
      </c>
      <c r="G1583" s="41"/>
    </row>
    <row r="1584" spans="2:23" ht="18.75" customHeight="1">
      <c r="C1584" s="139"/>
      <c r="D1584" s="140"/>
      <c r="E1584" s="144"/>
      <c r="F1584" s="37"/>
    </row>
    <row r="1586" spans="2:23" ht="18.75" customHeight="1" thickBot="1">
      <c r="B1586" s="42"/>
      <c r="C1586" s="42"/>
      <c r="D1586" s="42"/>
      <c r="E1586" s="42"/>
      <c r="F1586" s="42"/>
      <c r="G1586" s="42"/>
      <c r="H1586" s="42"/>
      <c r="I1586" s="42"/>
      <c r="J1586" s="42"/>
      <c r="K1586" s="42"/>
      <c r="L1586" s="42"/>
      <c r="M1586" s="42"/>
      <c r="N1586" s="42"/>
      <c r="O1586" s="42"/>
      <c r="P1586" s="42"/>
      <c r="Q1586" s="42"/>
      <c r="R1586" s="42"/>
      <c r="S1586" s="42"/>
      <c r="T1586" s="42"/>
      <c r="U1586" s="42"/>
    </row>
    <row r="1588" spans="2:23" ht="18.75" customHeight="1">
      <c r="B1588" s="43" t="s">
        <v>163</v>
      </c>
      <c r="C1588" s="51" t="s">
        <v>3476</v>
      </c>
      <c r="D1588" s="88"/>
      <c r="W1588" s="35" t="str">
        <f>"-- "&amp;B1588&amp;" : "&amp;C1588</f>
        <v>-- SQL_ID : 01_C4-40</v>
      </c>
    </row>
    <row r="1589" spans="2:23" ht="18.75" customHeight="1">
      <c r="B1589" s="43" t="s">
        <v>158</v>
      </c>
      <c r="C1589" s="145" t="str">
        <f>R1592&amp;"登録"</f>
        <v>バックアップ_体温表モジュール_バイタルサイン登録</v>
      </c>
      <c r="D1589" s="146"/>
      <c r="E1589" s="146"/>
      <c r="F1589" s="146"/>
      <c r="G1589" s="146"/>
      <c r="H1589" s="146"/>
      <c r="I1589" s="146"/>
      <c r="J1589" s="146"/>
      <c r="K1589" s="146"/>
      <c r="L1589" s="146"/>
      <c r="M1589" s="146"/>
      <c r="N1589" s="146"/>
      <c r="O1589" s="146"/>
      <c r="P1589" s="146"/>
      <c r="Q1589" s="146"/>
      <c r="R1589" s="146"/>
      <c r="S1589" s="146"/>
      <c r="T1589" s="146"/>
      <c r="U1589" s="147"/>
      <c r="W1589" s="35" t="str">
        <f>"-- "&amp;C1589</f>
        <v>-- バックアップ_体温表モジュール_バイタルサイン登録</v>
      </c>
    </row>
    <row r="1590" spans="2:23" ht="18.75" customHeight="1">
      <c r="B1590" s="43" t="s">
        <v>159</v>
      </c>
      <c r="C1590" s="134" t="str">
        <f>C1592&amp;"テーブルから組入れ条件の第一条件で絞り込んだ結果を"&amp;R1592&amp;"テーブルに格納する。"</f>
        <v>体温表モジュール_バイタルサイン_結合テーブルから組入れ条件の第一条件で絞り込んだ結果をバックアップ_体温表モジュール_バイタルサインテーブルに格納する。</v>
      </c>
      <c r="D1590" s="135"/>
      <c r="E1590" s="135"/>
      <c r="F1590" s="135"/>
      <c r="G1590" s="135"/>
      <c r="H1590" s="135"/>
      <c r="I1590" s="135"/>
      <c r="J1590" s="135"/>
      <c r="K1590" s="135"/>
      <c r="L1590" s="135"/>
      <c r="M1590" s="135"/>
      <c r="N1590" s="135"/>
      <c r="O1590" s="135"/>
      <c r="P1590" s="135"/>
      <c r="Q1590" s="135"/>
      <c r="R1590" s="135"/>
      <c r="S1590" s="135"/>
      <c r="T1590" s="135"/>
      <c r="U1590" s="136"/>
      <c r="W1590" s="35" t="str">
        <f>"-- "&amp;C1590</f>
        <v>-- 体温表モジュール_バイタルサイン_結合テーブルから組入れ条件の第一条件で絞り込んだ結果をバックアップ_体温表モジュール_バイタルサインテーブルに格納する。</v>
      </c>
    </row>
    <row r="1592" spans="2:23" ht="18.75" customHeight="1">
      <c r="C1592" s="137" t="s">
        <v>3477</v>
      </c>
      <c r="D1592" s="138"/>
      <c r="E1592" s="141" t="s">
        <v>162</v>
      </c>
      <c r="H1592" s="36"/>
      <c r="I1592" s="36"/>
      <c r="J1592" s="36"/>
      <c r="K1592" s="36"/>
      <c r="L1592" s="36"/>
      <c r="M1592" s="36"/>
      <c r="N1592" s="36"/>
      <c r="O1592" s="36"/>
      <c r="P1592" s="36"/>
      <c r="Q1592" s="36"/>
      <c r="R1592" s="148" t="str">
        <f>"バックアップ_"&amp;SUBSTITUTE(C1592,"_結合","")</f>
        <v>バックアップ_体温表モジュール_バイタルサイン</v>
      </c>
      <c r="S1592" s="149"/>
      <c r="T1592" s="143" t="str">
        <f>エンティティ一覧!$O$2</f>
        <v>milscm_2023_010</v>
      </c>
    </row>
    <row r="1593" spans="2:23" ht="18.75" customHeight="1">
      <c r="C1593" s="139"/>
      <c r="D1593" s="140"/>
      <c r="E1593" s="142"/>
      <c r="F1593" s="37"/>
      <c r="G1593" s="38"/>
      <c r="H1593" s="37"/>
      <c r="I1593" s="37"/>
      <c r="J1593" s="37"/>
      <c r="K1593" s="37"/>
      <c r="L1593" s="37"/>
      <c r="M1593" s="37"/>
      <c r="N1593" s="37"/>
      <c r="O1593" s="37"/>
      <c r="P1593" s="37"/>
      <c r="Q1593" s="37"/>
      <c r="R1593" s="150"/>
      <c r="S1593" s="151"/>
      <c r="T1593" s="144"/>
    </row>
    <row r="1594" spans="2:23" ht="18.75" customHeight="1">
      <c r="F1594" s="39"/>
      <c r="G1594" s="40"/>
    </row>
    <row r="1595" spans="2:23" ht="18.75" customHeight="1">
      <c r="C1595" s="137" t="s">
        <v>3182</v>
      </c>
      <c r="D1595" s="138"/>
      <c r="E1595" s="143" t="str">
        <f>エンティティ一覧!$O$2</f>
        <v>milscm_2023_010</v>
      </c>
      <c r="G1595" s="41"/>
    </row>
    <row r="1596" spans="2:23" ht="18.75" customHeight="1">
      <c r="C1596" s="139"/>
      <c r="D1596" s="140"/>
      <c r="E1596" s="144"/>
      <c r="F1596" s="37"/>
    </row>
    <row r="1598" spans="2:23" ht="18.75" customHeight="1" thickBot="1">
      <c r="B1598" s="42"/>
      <c r="C1598" s="42"/>
      <c r="D1598" s="42"/>
      <c r="E1598" s="42"/>
      <c r="F1598" s="42"/>
      <c r="G1598" s="42"/>
      <c r="H1598" s="42"/>
      <c r="I1598" s="42"/>
      <c r="J1598" s="42"/>
      <c r="K1598" s="42"/>
      <c r="L1598" s="42"/>
      <c r="M1598" s="42"/>
      <c r="N1598" s="42"/>
      <c r="O1598" s="42"/>
      <c r="P1598" s="42"/>
      <c r="Q1598" s="42"/>
      <c r="R1598" s="42"/>
      <c r="S1598" s="42"/>
      <c r="T1598" s="42"/>
      <c r="U1598" s="42"/>
    </row>
    <row r="1600" spans="2:23" ht="18.75" customHeight="1">
      <c r="B1600" s="43" t="s">
        <v>163</v>
      </c>
      <c r="C1600" s="51" t="s">
        <v>3478</v>
      </c>
      <c r="D1600" s="88"/>
      <c r="W1600" s="35" t="str">
        <f>"-- "&amp;B1600&amp;" : "&amp;C1600</f>
        <v>-- SQL_ID : 01_C4-41</v>
      </c>
    </row>
    <row r="1601" spans="2:23" ht="18.75" customHeight="1">
      <c r="B1601" s="43" t="s">
        <v>158</v>
      </c>
      <c r="C1601" s="145" t="str">
        <f>R1604&amp;"登録"</f>
        <v>バックアップ_体温表モジュール_記録項目登録</v>
      </c>
      <c r="D1601" s="146"/>
      <c r="E1601" s="146"/>
      <c r="F1601" s="146"/>
      <c r="G1601" s="146"/>
      <c r="H1601" s="146"/>
      <c r="I1601" s="146"/>
      <c r="J1601" s="146"/>
      <c r="K1601" s="146"/>
      <c r="L1601" s="146"/>
      <c r="M1601" s="146"/>
      <c r="N1601" s="146"/>
      <c r="O1601" s="146"/>
      <c r="P1601" s="146"/>
      <c r="Q1601" s="146"/>
      <c r="R1601" s="146"/>
      <c r="S1601" s="146"/>
      <c r="T1601" s="146"/>
      <c r="U1601" s="147"/>
      <c r="W1601" s="35" t="str">
        <f>"-- "&amp;C1601</f>
        <v>-- バックアップ_体温表モジュール_記録項目登録</v>
      </c>
    </row>
    <row r="1602" spans="2:23" ht="18.75" customHeight="1">
      <c r="B1602" s="43" t="s">
        <v>159</v>
      </c>
      <c r="C1602" s="134" t="str">
        <f>C1604&amp;"テーブルから組入れ条件の第一条件で絞り込んだ結果を"&amp;R1604&amp;"テーブルに格納する。"</f>
        <v>体温表モジュール_記録項目_結合テーブルから組入れ条件の第一条件で絞り込んだ結果をバックアップ_体温表モジュール_記録項目テーブルに格納する。</v>
      </c>
      <c r="D1602" s="135"/>
      <c r="E1602" s="135"/>
      <c r="F1602" s="135"/>
      <c r="G1602" s="135"/>
      <c r="H1602" s="135"/>
      <c r="I1602" s="135"/>
      <c r="J1602" s="135"/>
      <c r="K1602" s="135"/>
      <c r="L1602" s="135"/>
      <c r="M1602" s="135"/>
      <c r="N1602" s="135"/>
      <c r="O1602" s="135"/>
      <c r="P1602" s="135"/>
      <c r="Q1602" s="135"/>
      <c r="R1602" s="135"/>
      <c r="S1602" s="135"/>
      <c r="T1602" s="135"/>
      <c r="U1602" s="136"/>
      <c r="W1602" s="35" t="str">
        <f>"-- "&amp;C1602</f>
        <v>-- 体温表モジュール_記録項目_結合テーブルから組入れ条件の第一条件で絞り込んだ結果をバックアップ_体温表モジュール_記録項目テーブルに格納する。</v>
      </c>
    </row>
    <row r="1604" spans="2:23" ht="18.75" customHeight="1">
      <c r="C1604" s="137" t="s">
        <v>3479</v>
      </c>
      <c r="D1604" s="138"/>
      <c r="E1604" s="141" t="s">
        <v>162</v>
      </c>
      <c r="H1604" s="36"/>
      <c r="I1604" s="36"/>
      <c r="J1604" s="36"/>
      <c r="K1604" s="36"/>
      <c r="L1604" s="36"/>
      <c r="M1604" s="36"/>
      <c r="N1604" s="36"/>
      <c r="O1604" s="36"/>
      <c r="P1604" s="36"/>
      <c r="Q1604" s="36"/>
      <c r="R1604" s="148" t="str">
        <f>"バックアップ_"&amp;SUBSTITUTE(C1604,"_結合","")</f>
        <v>バックアップ_体温表モジュール_記録項目</v>
      </c>
      <c r="S1604" s="149"/>
      <c r="T1604" s="143" t="str">
        <f>エンティティ一覧!$O$2</f>
        <v>milscm_2023_010</v>
      </c>
    </row>
    <row r="1605" spans="2:23" ht="18.75" customHeight="1">
      <c r="C1605" s="139"/>
      <c r="D1605" s="140"/>
      <c r="E1605" s="142"/>
      <c r="F1605" s="37"/>
      <c r="G1605" s="38"/>
      <c r="H1605" s="37"/>
      <c r="I1605" s="37"/>
      <c r="J1605" s="37"/>
      <c r="K1605" s="37"/>
      <c r="L1605" s="37"/>
      <c r="M1605" s="37"/>
      <c r="N1605" s="37"/>
      <c r="O1605" s="37"/>
      <c r="P1605" s="37"/>
      <c r="Q1605" s="37"/>
      <c r="R1605" s="150"/>
      <c r="S1605" s="151"/>
      <c r="T1605" s="144"/>
    </row>
    <row r="1606" spans="2:23" ht="18.75" customHeight="1">
      <c r="F1606" s="39"/>
      <c r="G1606" s="40"/>
    </row>
    <row r="1607" spans="2:23" ht="18.75" customHeight="1">
      <c r="C1607" s="137" t="s">
        <v>3182</v>
      </c>
      <c r="D1607" s="138"/>
      <c r="E1607" s="143" t="str">
        <f>エンティティ一覧!$O$2</f>
        <v>milscm_2023_010</v>
      </c>
      <c r="G1607" s="41"/>
    </row>
    <row r="1608" spans="2:23" ht="18.75" customHeight="1">
      <c r="C1608" s="139"/>
      <c r="D1608" s="140"/>
      <c r="E1608" s="144"/>
      <c r="F1608" s="37"/>
    </row>
    <row r="1610" spans="2:23" ht="18.75" customHeight="1" thickBot="1">
      <c r="B1610" s="42"/>
      <c r="C1610" s="42"/>
      <c r="D1610" s="42"/>
      <c r="E1610" s="42"/>
      <c r="F1610" s="42"/>
      <c r="G1610" s="42"/>
      <c r="H1610" s="42"/>
      <c r="I1610" s="42"/>
      <c r="J1610" s="42"/>
      <c r="K1610" s="42"/>
      <c r="L1610" s="42"/>
      <c r="M1610" s="42"/>
      <c r="N1610" s="42"/>
      <c r="O1610" s="42"/>
      <c r="P1610" s="42"/>
      <c r="Q1610" s="42"/>
      <c r="R1610" s="42"/>
      <c r="S1610" s="42"/>
      <c r="T1610" s="42"/>
      <c r="U1610" s="42"/>
    </row>
  </sheetData>
  <mergeCells count="1072">
    <mergeCell ref="C22:D23"/>
    <mergeCell ref="E22:E23"/>
    <mergeCell ref="H16:I17"/>
    <mergeCell ref="J16:J17"/>
    <mergeCell ref="C4:U4"/>
    <mergeCell ref="C5:U5"/>
    <mergeCell ref="C7:D8"/>
    <mergeCell ref="E7:E8"/>
    <mergeCell ref="R7:S8"/>
    <mergeCell ref="T7:T8"/>
    <mergeCell ref="R16:S17"/>
    <mergeCell ref="T16:T17"/>
    <mergeCell ref="C13:U13"/>
    <mergeCell ref="C14:U14"/>
    <mergeCell ref="C19:D20"/>
    <mergeCell ref="E19:E20"/>
    <mergeCell ref="M25:N26"/>
    <mergeCell ref="O25:O26"/>
    <mergeCell ref="R1100:S1101"/>
    <mergeCell ref="T1100:T1101"/>
    <mergeCell ref="C1073:U1073"/>
    <mergeCell ref="C1074:U1074"/>
    <mergeCell ref="C1061:U1061"/>
    <mergeCell ref="C1062:U1062"/>
    <mergeCell ref="C1064:D1065"/>
    <mergeCell ref="E1064:E1065"/>
    <mergeCell ref="R1064:S1065"/>
    <mergeCell ref="T1064:T1065"/>
    <mergeCell ref="C1067:D1068"/>
    <mergeCell ref="E1067:E1068"/>
    <mergeCell ref="R1088:S1089"/>
    <mergeCell ref="T1088:T1089"/>
    <mergeCell ref="C1097:U1097"/>
    <mergeCell ref="C1098:U1098"/>
    <mergeCell ref="C1091:D1092"/>
    <mergeCell ref="E1091:E1092"/>
    <mergeCell ref="C1085:U1085"/>
    <mergeCell ref="C1086:U1086"/>
    <mergeCell ref="C1088:D1089"/>
    <mergeCell ref="E1088:E1089"/>
    <mergeCell ref="C1076:D1077"/>
    <mergeCell ref="E1076:E1077"/>
    <mergeCell ref="R1076:S1077"/>
    <mergeCell ref="T1076:T1077"/>
    <mergeCell ref="C1079:D1080"/>
    <mergeCell ref="E1079:E1080"/>
    <mergeCell ref="C1100:D1101"/>
    <mergeCell ref="E1100:E1101"/>
    <mergeCell ref="C1139:D1140"/>
    <mergeCell ref="E1139:E1140"/>
    <mergeCell ref="C1103:D1104"/>
    <mergeCell ref="E1103:E1104"/>
    <mergeCell ref="C1115:D1116"/>
    <mergeCell ref="E1115:E1116"/>
    <mergeCell ref="C1127:D1128"/>
    <mergeCell ref="E1127:E1128"/>
    <mergeCell ref="C1133:U1133"/>
    <mergeCell ref="C1134:U1134"/>
    <mergeCell ref="C1136:D1137"/>
    <mergeCell ref="E1136:E1137"/>
    <mergeCell ref="R1136:S1137"/>
    <mergeCell ref="T1136:T1137"/>
    <mergeCell ref="C1124:D1125"/>
    <mergeCell ref="E1124:E1125"/>
    <mergeCell ref="R1124:S1125"/>
    <mergeCell ref="T1124:T1125"/>
    <mergeCell ref="C1109:U1109"/>
    <mergeCell ref="C1110:U1110"/>
    <mergeCell ref="C1112:D1113"/>
    <mergeCell ref="E1112:E1113"/>
    <mergeCell ref="R1112:S1113"/>
    <mergeCell ref="T1112:T1113"/>
    <mergeCell ref="C1121:U1121"/>
    <mergeCell ref="C1122:U1122"/>
    <mergeCell ref="C1163:D1164"/>
    <mergeCell ref="E1163:E1164"/>
    <mergeCell ref="C1169:U1169"/>
    <mergeCell ref="C1170:U1170"/>
    <mergeCell ref="C1172:D1173"/>
    <mergeCell ref="E1172:E1173"/>
    <mergeCell ref="R1172:S1173"/>
    <mergeCell ref="T1172:T1173"/>
    <mergeCell ref="C1151:D1152"/>
    <mergeCell ref="E1151:E1152"/>
    <mergeCell ref="C1157:U1157"/>
    <mergeCell ref="C1158:U1158"/>
    <mergeCell ref="C1160:D1161"/>
    <mergeCell ref="E1160:E1161"/>
    <mergeCell ref="R1160:S1161"/>
    <mergeCell ref="T1160:T1161"/>
    <mergeCell ref="C1145:U1145"/>
    <mergeCell ref="C1146:U1146"/>
    <mergeCell ref="C1148:D1149"/>
    <mergeCell ref="E1148:E1149"/>
    <mergeCell ref="R1148:S1149"/>
    <mergeCell ref="T1148:T1149"/>
    <mergeCell ref="C1199:D1200"/>
    <mergeCell ref="E1199:E1200"/>
    <mergeCell ref="C1205:U1205"/>
    <mergeCell ref="C1206:U1206"/>
    <mergeCell ref="C1208:D1209"/>
    <mergeCell ref="E1208:E1209"/>
    <mergeCell ref="R1208:S1209"/>
    <mergeCell ref="T1208:T1209"/>
    <mergeCell ref="C1187:D1188"/>
    <mergeCell ref="E1187:E1188"/>
    <mergeCell ref="C1193:U1193"/>
    <mergeCell ref="C1194:U1194"/>
    <mergeCell ref="C1196:D1197"/>
    <mergeCell ref="E1196:E1197"/>
    <mergeCell ref="R1196:S1197"/>
    <mergeCell ref="T1196:T1197"/>
    <mergeCell ref="C1175:D1176"/>
    <mergeCell ref="E1175:E1176"/>
    <mergeCell ref="C1181:U1181"/>
    <mergeCell ref="C1182:U1182"/>
    <mergeCell ref="C1184:D1185"/>
    <mergeCell ref="E1184:E1185"/>
    <mergeCell ref="R1184:S1185"/>
    <mergeCell ref="T1184:T1185"/>
    <mergeCell ref="C1235:D1236"/>
    <mergeCell ref="E1235:E1236"/>
    <mergeCell ref="C1241:U1241"/>
    <mergeCell ref="C1242:U1242"/>
    <mergeCell ref="C1244:D1245"/>
    <mergeCell ref="E1244:E1245"/>
    <mergeCell ref="R1244:S1245"/>
    <mergeCell ref="T1244:T1245"/>
    <mergeCell ref="C1223:D1224"/>
    <mergeCell ref="E1223:E1224"/>
    <mergeCell ref="C1229:U1229"/>
    <mergeCell ref="C1230:U1230"/>
    <mergeCell ref="C1232:D1233"/>
    <mergeCell ref="E1232:E1233"/>
    <mergeCell ref="R1232:S1233"/>
    <mergeCell ref="T1232:T1233"/>
    <mergeCell ref="C1211:D1212"/>
    <mergeCell ref="E1211:E1212"/>
    <mergeCell ref="C1217:U1217"/>
    <mergeCell ref="C1218:U1218"/>
    <mergeCell ref="C1220:D1221"/>
    <mergeCell ref="E1220:E1221"/>
    <mergeCell ref="R1220:S1221"/>
    <mergeCell ref="T1220:T1221"/>
    <mergeCell ref="C1271:D1272"/>
    <mergeCell ref="E1271:E1272"/>
    <mergeCell ref="C1277:U1277"/>
    <mergeCell ref="C1278:U1278"/>
    <mergeCell ref="C1280:D1281"/>
    <mergeCell ref="E1280:E1281"/>
    <mergeCell ref="R1280:S1281"/>
    <mergeCell ref="T1280:T1281"/>
    <mergeCell ref="C1259:D1260"/>
    <mergeCell ref="E1259:E1260"/>
    <mergeCell ref="C1265:U1265"/>
    <mergeCell ref="C1266:U1266"/>
    <mergeCell ref="C1268:D1269"/>
    <mergeCell ref="E1268:E1269"/>
    <mergeCell ref="R1268:S1269"/>
    <mergeCell ref="T1268:T1269"/>
    <mergeCell ref="C1247:D1248"/>
    <mergeCell ref="E1247:E1248"/>
    <mergeCell ref="C1253:U1253"/>
    <mergeCell ref="C1254:U1254"/>
    <mergeCell ref="C1256:D1257"/>
    <mergeCell ref="E1256:E1257"/>
    <mergeCell ref="R1256:S1257"/>
    <mergeCell ref="T1256:T1257"/>
    <mergeCell ref="C1307:D1308"/>
    <mergeCell ref="E1307:E1308"/>
    <mergeCell ref="C1313:U1313"/>
    <mergeCell ref="C1314:U1314"/>
    <mergeCell ref="C1316:D1317"/>
    <mergeCell ref="E1316:E1317"/>
    <mergeCell ref="R1316:S1317"/>
    <mergeCell ref="T1316:T1317"/>
    <mergeCell ref="C1295:D1296"/>
    <mergeCell ref="E1295:E1296"/>
    <mergeCell ref="C1301:U1301"/>
    <mergeCell ref="C1302:U1302"/>
    <mergeCell ref="C1304:D1305"/>
    <mergeCell ref="E1304:E1305"/>
    <mergeCell ref="R1304:S1305"/>
    <mergeCell ref="T1304:T1305"/>
    <mergeCell ref="C1283:D1284"/>
    <mergeCell ref="E1283:E1284"/>
    <mergeCell ref="C1289:U1289"/>
    <mergeCell ref="C1290:U1290"/>
    <mergeCell ref="C1292:D1293"/>
    <mergeCell ref="E1292:E1293"/>
    <mergeCell ref="R1292:S1293"/>
    <mergeCell ref="T1292:T1293"/>
    <mergeCell ref="C1343:D1344"/>
    <mergeCell ref="E1343:E1344"/>
    <mergeCell ref="C1349:U1349"/>
    <mergeCell ref="C1350:U1350"/>
    <mergeCell ref="C1352:D1353"/>
    <mergeCell ref="E1352:E1353"/>
    <mergeCell ref="R1352:S1353"/>
    <mergeCell ref="T1352:T1353"/>
    <mergeCell ref="C1331:D1332"/>
    <mergeCell ref="E1331:E1332"/>
    <mergeCell ref="C1337:U1337"/>
    <mergeCell ref="C1338:U1338"/>
    <mergeCell ref="C1340:D1341"/>
    <mergeCell ref="E1340:E1341"/>
    <mergeCell ref="R1340:S1341"/>
    <mergeCell ref="T1340:T1341"/>
    <mergeCell ref="C1319:D1320"/>
    <mergeCell ref="E1319:E1320"/>
    <mergeCell ref="C1325:U1325"/>
    <mergeCell ref="C1326:U1326"/>
    <mergeCell ref="C1328:D1329"/>
    <mergeCell ref="E1328:E1329"/>
    <mergeCell ref="R1328:S1329"/>
    <mergeCell ref="T1328:T1329"/>
    <mergeCell ref="C1379:D1380"/>
    <mergeCell ref="E1379:E1380"/>
    <mergeCell ref="C1385:U1385"/>
    <mergeCell ref="C1386:U1386"/>
    <mergeCell ref="C1388:D1389"/>
    <mergeCell ref="E1388:E1389"/>
    <mergeCell ref="R1388:S1389"/>
    <mergeCell ref="T1388:T1389"/>
    <mergeCell ref="C1367:D1368"/>
    <mergeCell ref="E1367:E1368"/>
    <mergeCell ref="C1373:U1373"/>
    <mergeCell ref="C1374:U1374"/>
    <mergeCell ref="C1376:D1377"/>
    <mergeCell ref="E1376:E1377"/>
    <mergeCell ref="R1376:S1377"/>
    <mergeCell ref="T1376:T1377"/>
    <mergeCell ref="C1355:D1356"/>
    <mergeCell ref="E1355:E1356"/>
    <mergeCell ref="C1361:U1361"/>
    <mergeCell ref="C1362:U1362"/>
    <mergeCell ref="C1364:D1365"/>
    <mergeCell ref="E1364:E1365"/>
    <mergeCell ref="R1364:S1365"/>
    <mergeCell ref="T1364:T1365"/>
    <mergeCell ref="C1415:D1416"/>
    <mergeCell ref="E1415:E1416"/>
    <mergeCell ref="C1421:U1421"/>
    <mergeCell ref="C1422:U1422"/>
    <mergeCell ref="C1424:D1425"/>
    <mergeCell ref="E1424:E1425"/>
    <mergeCell ref="R1424:S1425"/>
    <mergeCell ref="T1424:T1425"/>
    <mergeCell ref="C1403:D1404"/>
    <mergeCell ref="E1403:E1404"/>
    <mergeCell ref="C1409:U1409"/>
    <mergeCell ref="C1410:U1410"/>
    <mergeCell ref="C1412:D1413"/>
    <mergeCell ref="E1412:E1413"/>
    <mergeCell ref="R1412:S1413"/>
    <mergeCell ref="T1412:T1413"/>
    <mergeCell ref="C1391:D1392"/>
    <mergeCell ref="E1391:E1392"/>
    <mergeCell ref="C1397:U1397"/>
    <mergeCell ref="C1398:U1398"/>
    <mergeCell ref="C1400:D1401"/>
    <mergeCell ref="E1400:E1401"/>
    <mergeCell ref="R1400:S1401"/>
    <mergeCell ref="T1400:T1401"/>
    <mergeCell ref="C1451:D1452"/>
    <mergeCell ref="E1451:E1452"/>
    <mergeCell ref="C1457:U1457"/>
    <mergeCell ref="C1458:U1458"/>
    <mergeCell ref="C1460:D1461"/>
    <mergeCell ref="E1460:E1461"/>
    <mergeCell ref="R1460:S1461"/>
    <mergeCell ref="T1460:T1461"/>
    <mergeCell ref="C1439:D1440"/>
    <mergeCell ref="E1439:E1440"/>
    <mergeCell ref="C1445:U1445"/>
    <mergeCell ref="C1446:U1446"/>
    <mergeCell ref="C1448:D1449"/>
    <mergeCell ref="E1448:E1449"/>
    <mergeCell ref="R1448:S1449"/>
    <mergeCell ref="T1448:T1449"/>
    <mergeCell ref="C1427:D1428"/>
    <mergeCell ref="E1427:E1428"/>
    <mergeCell ref="C1433:U1433"/>
    <mergeCell ref="C1434:U1434"/>
    <mergeCell ref="C1436:D1437"/>
    <mergeCell ref="E1436:E1437"/>
    <mergeCell ref="R1436:S1437"/>
    <mergeCell ref="T1436:T1437"/>
    <mergeCell ref="C1487:D1488"/>
    <mergeCell ref="E1487:E1488"/>
    <mergeCell ref="C1493:U1493"/>
    <mergeCell ref="C1494:U1494"/>
    <mergeCell ref="C1496:D1497"/>
    <mergeCell ref="E1496:E1497"/>
    <mergeCell ref="R1496:S1497"/>
    <mergeCell ref="T1496:T1497"/>
    <mergeCell ref="C1475:D1476"/>
    <mergeCell ref="E1475:E1476"/>
    <mergeCell ref="C1481:U1481"/>
    <mergeCell ref="C1482:U1482"/>
    <mergeCell ref="C1484:D1485"/>
    <mergeCell ref="E1484:E1485"/>
    <mergeCell ref="R1484:S1485"/>
    <mergeCell ref="T1484:T1485"/>
    <mergeCell ref="C1463:D1464"/>
    <mergeCell ref="E1463:E1464"/>
    <mergeCell ref="C1469:U1469"/>
    <mergeCell ref="C1470:U1470"/>
    <mergeCell ref="C1472:D1473"/>
    <mergeCell ref="E1472:E1473"/>
    <mergeCell ref="R1472:S1473"/>
    <mergeCell ref="T1472:T1473"/>
    <mergeCell ref="C1523:D1524"/>
    <mergeCell ref="E1523:E1524"/>
    <mergeCell ref="C1529:U1529"/>
    <mergeCell ref="C1530:U1530"/>
    <mergeCell ref="C1532:D1533"/>
    <mergeCell ref="E1532:E1533"/>
    <mergeCell ref="R1532:S1533"/>
    <mergeCell ref="T1532:T1533"/>
    <mergeCell ref="C1511:D1512"/>
    <mergeCell ref="E1511:E1512"/>
    <mergeCell ref="C1517:U1517"/>
    <mergeCell ref="C1518:U1518"/>
    <mergeCell ref="C1520:D1521"/>
    <mergeCell ref="E1520:E1521"/>
    <mergeCell ref="R1520:S1521"/>
    <mergeCell ref="T1520:T1521"/>
    <mergeCell ref="C1499:D1500"/>
    <mergeCell ref="E1499:E1500"/>
    <mergeCell ref="C1505:U1505"/>
    <mergeCell ref="C1506:U1506"/>
    <mergeCell ref="C1508:D1509"/>
    <mergeCell ref="E1508:E1509"/>
    <mergeCell ref="R1508:S1509"/>
    <mergeCell ref="T1508:T1509"/>
    <mergeCell ref="C1559:D1560"/>
    <mergeCell ref="E1559:E1560"/>
    <mergeCell ref="C1565:U1565"/>
    <mergeCell ref="C1566:U1566"/>
    <mergeCell ref="C1568:D1569"/>
    <mergeCell ref="E1568:E1569"/>
    <mergeCell ref="R1568:S1569"/>
    <mergeCell ref="T1568:T1569"/>
    <mergeCell ref="C1547:D1548"/>
    <mergeCell ref="E1547:E1548"/>
    <mergeCell ref="C1553:U1553"/>
    <mergeCell ref="C1554:U1554"/>
    <mergeCell ref="C1556:D1557"/>
    <mergeCell ref="E1556:E1557"/>
    <mergeCell ref="R1556:S1557"/>
    <mergeCell ref="T1556:T1557"/>
    <mergeCell ref="C1535:D1536"/>
    <mergeCell ref="E1535:E1536"/>
    <mergeCell ref="C1541:U1541"/>
    <mergeCell ref="C1542:U1542"/>
    <mergeCell ref="C1544:D1545"/>
    <mergeCell ref="E1544:E1545"/>
    <mergeCell ref="R1544:S1545"/>
    <mergeCell ref="T1544:T1545"/>
    <mergeCell ref="C1607:D1608"/>
    <mergeCell ref="E1607:E1608"/>
    <mergeCell ref="C32:U32"/>
    <mergeCell ref="C33:U33"/>
    <mergeCell ref="C35:D36"/>
    <mergeCell ref="E35:E36"/>
    <mergeCell ref="R35:S36"/>
    <mergeCell ref="T35:T36"/>
    <mergeCell ref="C1595:D1596"/>
    <mergeCell ref="E1595:E1596"/>
    <mergeCell ref="C1601:U1601"/>
    <mergeCell ref="C1602:U1602"/>
    <mergeCell ref="C1604:D1605"/>
    <mergeCell ref="E1604:E1605"/>
    <mergeCell ref="R1604:S1605"/>
    <mergeCell ref="T1604:T1605"/>
    <mergeCell ref="C1583:D1584"/>
    <mergeCell ref="E1583:E1584"/>
    <mergeCell ref="C1589:U1589"/>
    <mergeCell ref="C1590:U1590"/>
    <mergeCell ref="C1592:D1593"/>
    <mergeCell ref="E1592:E1593"/>
    <mergeCell ref="R1592:S1593"/>
    <mergeCell ref="T1592:T1593"/>
    <mergeCell ref="C1571:D1572"/>
    <mergeCell ref="E1571:E1572"/>
    <mergeCell ref="C1577:U1577"/>
    <mergeCell ref="C1578:U1578"/>
    <mergeCell ref="C1580:D1581"/>
    <mergeCell ref="E1580:E1581"/>
    <mergeCell ref="R1580:S1581"/>
    <mergeCell ref="T1580:T1581"/>
    <mergeCell ref="C62:D63"/>
    <mergeCell ref="E62:E63"/>
    <mergeCell ref="C68:U68"/>
    <mergeCell ref="C69:U69"/>
    <mergeCell ref="C71:D72"/>
    <mergeCell ref="E71:E72"/>
    <mergeCell ref="R71:S72"/>
    <mergeCell ref="T71:T72"/>
    <mergeCell ref="C50:D51"/>
    <mergeCell ref="E50:E51"/>
    <mergeCell ref="C56:U56"/>
    <mergeCell ref="C57:U57"/>
    <mergeCell ref="C59:D60"/>
    <mergeCell ref="E59:E60"/>
    <mergeCell ref="R59:S60"/>
    <mergeCell ref="T59:T60"/>
    <mergeCell ref="C38:D39"/>
    <mergeCell ref="E38:E39"/>
    <mergeCell ref="C44:U44"/>
    <mergeCell ref="C45:U45"/>
    <mergeCell ref="C47:D48"/>
    <mergeCell ref="E47:E48"/>
    <mergeCell ref="R47:S48"/>
    <mergeCell ref="T47:T48"/>
    <mergeCell ref="C95:D96"/>
    <mergeCell ref="E95:E96"/>
    <mergeCell ref="C101:U101"/>
    <mergeCell ref="C102:U102"/>
    <mergeCell ref="C104:D105"/>
    <mergeCell ref="E104:E105"/>
    <mergeCell ref="R104:S105"/>
    <mergeCell ref="T104:T105"/>
    <mergeCell ref="C83:D84"/>
    <mergeCell ref="E83:E84"/>
    <mergeCell ref="C89:U89"/>
    <mergeCell ref="C90:U90"/>
    <mergeCell ref="C92:D93"/>
    <mergeCell ref="E92:E93"/>
    <mergeCell ref="R92:S93"/>
    <mergeCell ref="T92:T93"/>
    <mergeCell ref="C77:U77"/>
    <mergeCell ref="C78:U78"/>
    <mergeCell ref="C80:D81"/>
    <mergeCell ref="E80:E81"/>
    <mergeCell ref="R80:S81"/>
    <mergeCell ref="T80:T81"/>
    <mergeCell ref="C131:D132"/>
    <mergeCell ref="E131:E132"/>
    <mergeCell ref="C137:U137"/>
    <mergeCell ref="C138:U138"/>
    <mergeCell ref="C140:D141"/>
    <mergeCell ref="E140:E141"/>
    <mergeCell ref="R140:S141"/>
    <mergeCell ref="T140:T141"/>
    <mergeCell ref="C119:D120"/>
    <mergeCell ref="E119:E120"/>
    <mergeCell ref="C125:U125"/>
    <mergeCell ref="C126:U126"/>
    <mergeCell ref="C128:D129"/>
    <mergeCell ref="E128:E129"/>
    <mergeCell ref="R128:S129"/>
    <mergeCell ref="T128:T129"/>
    <mergeCell ref="C107:D108"/>
    <mergeCell ref="E107:E108"/>
    <mergeCell ref="C113:U113"/>
    <mergeCell ref="C114:U114"/>
    <mergeCell ref="C116:D117"/>
    <mergeCell ref="E116:E117"/>
    <mergeCell ref="R116:S117"/>
    <mergeCell ref="T116:T117"/>
    <mergeCell ref="C167:D168"/>
    <mergeCell ref="E167:E168"/>
    <mergeCell ref="C173:U173"/>
    <mergeCell ref="C174:U174"/>
    <mergeCell ref="C176:D177"/>
    <mergeCell ref="E176:E177"/>
    <mergeCell ref="R176:S177"/>
    <mergeCell ref="T176:T177"/>
    <mergeCell ref="C155:D156"/>
    <mergeCell ref="E155:E156"/>
    <mergeCell ref="C161:U161"/>
    <mergeCell ref="C162:U162"/>
    <mergeCell ref="C164:D165"/>
    <mergeCell ref="E164:E165"/>
    <mergeCell ref="R164:S165"/>
    <mergeCell ref="T164:T165"/>
    <mergeCell ref="C143:D144"/>
    <mergeCell ref="E143:E144"/>
    <mergeCell ref="C149:U149"/>
    <mergeCell ref="C150:U150"/>
    <mergeCell ref="C152:D153"/>
    <mergeCell ref="E152:E153"/>
    <mergeCell ref="R152:S153"/>
    <mergeCell ref="T152:T153"/>
    <mergeCell ref="C200:U200"/>
    <mergeCell ref="C201:U201"/>
    <mergeCell ref="C203:D204"/>
    <mergeCell ref="E203:E204"/>
    <mergeCell ref="R203:S204"/>
    <mergeCell ref="T203:T204"/>
    <mergeCell ref="C191:U191"/>
    <mergeCell ref="C192:U192"/>
    <mergeCell ref="C194:D195"/>
    <mergeCell ref="E194:E195"/>
    <mergeCell ref="R194:S195"/>
    <mergeCell ref="T194:T195"/>
    <mergeCell ref="C182:U182"/>
    <mergeCell ref="C183:U183"/>
    <mergeCell ref="C185:D186"/>
    <mergeCell ref="E185:E186"/>
    <mergeCell ref="R185:S186"/>
    <mergeCell ref="T185:T186"/>
    <mergeCell ref="C227:U227"/>
    <mergeCell ref="C228:U228"/>
    <mergeCell ref="C230:D231"/>
    <mergeCell ref="E230:E231"/>
    <mergeCell ref="R230:S231"/>
    <mergeCell ref="T230:T231"/>
    <mergeCell ref="C218:U218"/>
    <mergeCell ref="C219:U219"/>
    <mergeCell ref="C221:D222"/>
    <mergeCell ref="E221:E222"/>
    <mergeCell ref="R221:S222"/>
    <mergeCell ref="T221:T222"/>
    <mergeCell ref="C209:U209"/>
    <mergeCell ref="C210:U210"/>
    <mergeCell ref="C212:D213"/>
    <mergeCell ref="E212:E213"/>
    <mergeCell ref="R212:S213"/>
    <mergeCell ref="T212:T213"/>
    <mergeCell ref="C254:U254"/>
    <mergeCell ref="C255:U255"/>
    <mergeCell ref="C257:D258"/>
    <mergeCell ref="E257:E258"/>
    <mergeCell ref="R257:S258"/>
    <mergeCell ref="T257:T258"/>
    <mergeCell ref="C245:U245"/>
    <mergeCell ref="C246:U246"/>
    <mergeCell ref="C248:D249"/>
    <mergeCell ref="E248:E249"/>
    <mergeCell ref="R248:S249"/>
    <mergeCell ref="T248:T249"/>
    <mergeCell ref="C236:U236"/>
    <mergeCell ref="C237:U237"/>
    <mergeCell ref="C239:D240"/>
    <mergeCell ref="E239:E240"/>
    <mergeCell ref="R239:S240"/>
    <mergeCell ref="T239:T240"/>
    <mergeCell ref="C281:U281"/>
    <mergeCell ref="C282:U282"/>
    <mergeCell ref="C284:D285"/>
    <mergeCell ref="E284:E285"/>
    <mergeCell ref="R284:S285"/>
    <mergeCell ref="T284:T285"/>
    <mergeCell ref="C272:U272"/>
    <mergeCell ref="C273:U273"/>
    <mergeCell ref="C275:D276"/>
    <mergeCell ref="E275:E276"/>
    <mergeCell ref="R275:S276"/>
    <mergeCell ref="T275:T276"/>
    <mergeCell ref="C263:U263"/>
    <mergeCell ref="C264:U264"/>
    <mergeCell ref="C266:D267"/>
    <mergeCell ref="E266:E267"/>
    <mergeCell ref="R266:S267"/>
    <mergeCell ref="T266:T267"/>
    <mergeCell ref="C308:U308"/>
    <mergeCell ref="C309:U309"/>
    <mergeCell ref="C311:D312"/>
    <mergeCell ref="E311:E312"/>
    <mergeCell ref="R311:S312"/>
    <mergeCell ref="T311:T312"/>
    <mergeCell ref="C299:U299"/>
    <mergeCell ref="C300:U300"/>
    <mergeCell ref="C302:D303"/>
    <mergeCell ref="E302:E303"/>
    <mergeCell ref="R302:S303"/>
    <mergeCell ref="T302:T303"/>
    <mergeCell ref="C290:U290"/>
    <mergeCell ref="C291:U291"/>
    <mergeCell ref="C293:D294"/>
    <mergeCell ref="E293:E294"/>
    <mergeCell ref="R293:S294"/>
    <mergeCell ref="T293:T294"/>
    <mergeCell ref="C335:U335"/>
    <mergeCell ref="C336:U336"/>
    <mergeCell ref="C338:D339"/>
    <mergeCell ref="E338:E339"/>
    <mergeCell ref="R338:S339"/>
    <mergeCell ref="T338:T339"/>
    <mergeCell ref="C326:U326"/>
    <mergeCell ref="C327:U327"/>
    <mergeCell ref="C329:D330"/>
    <mergeCell ref="E329:E330"/>
    <mergeCell ref="R329:S330"/>
    <mergeCell ref="T329:T330"/>
    <mergeCell ref="C317:U317"/>
    <mergeCell ref="C318:U318"/>
    <mergeCell ref="C320:D321"/>
    <mergeCell ref="E320:E321"/>
    <mergeCell ref="R320:S321"/>
    <mergeCell ref="T320:T321"/>
    <mergeCell ref="C362:U362"/>
    <mergeCell ref="C363:U363"/>
    <mergeCell ref="C365:D366"/>
    <mergeCell ref="E365:E366"/>
    <mergeCell ref="R365:S366"/>
    <mergeCell ref="T365:T366"/>
    <mergeCell ref="C353:U353"/>
    <mergeCell ref="C354:U354"/>
    <mergeCell ref="C356:D357"/>
    <mergeCell ref="E356:E357"/>
    <mergeCell ref="R356:S357"/>
    <mergeCell ref="T356:T357"/>
    <mergeCell ref="C344:U344"/>
    <mergeCell ref="C345:U345"/>
    <mergeCell ref="C347:D348"/>
    <mergeCell ref="E347:E348"/>
    <mergeCell ref="R347:S348"/>
    <mergeCell ref="T347:T348"/>
    <mergeCell ref="C389:U389"/>
    <mergeCell ref="C390:U390"/>
    <mergeCell ref="C392:D393"/>
    <mergeCell ref="E392:E393"/>
    <mergeCell ref="R392:S393"/>
    <mergeCell ref="T392:T393"/>
    <mergeCell ref="C380:U380"/>
    <mergeCell ref="C381:U381"/>
    <mergeCell ref="C383:D384"/>
    <mergeCell ref="E383:E384"/>
    <mergeCell ref="R383:S384"/>
    <mergeCell ref="T383:T384"/>
    <mergeCell ref="C371:U371"/>
    <mergeCell ref="C372:U372"/>
    <mergeCell ref="C374:D375"/>
    <mergeCell ref="E374:E375"/>
    <mergeCell ref="R374:S375"/>
    <mergeCell ref="T374:T375"/>
    <mergeCell ref="C416:U416"/>
    <mergeCell ref="C417:U417"/>
    <mergeCell ref="C419:D420"/>
    <mergeCell ref="E419:E420"/>
    <mergeCell ref="R419:S420"/>
    <mergeCell ref="T419:T420"/>
    <mergeCell ref="C407:U407"/>
    <mergeCell ref="C408:U408"/>
    <mergeCell ref="C410:D411"/>
    <mergeCell ref="E410:E411"/>
    <mergeCell ref="R410:S411"/>
    <mergeCell ref="T410:T411"/>
    <mergeCell ref="C398:U398"/>
    <mergeCell ref="C399:U399"/>
    <mergeCell ref="C401:D402"/>
    <mergeCell ref="E401:E402"/>
    <mergeCell ref="R401:S402"/>
    <mergeCell ref="T401:T402"/>
    <mergeCell ref="C443:U443"/>
    <mergeCell ref="C444:U444"/>
    <mergeCell ref="C446:D447"/>
    <mergeCell ref="E446:E447"/>
    <mergeCell ref="R446:S447"/>
    <mergeCell ref="T446:T447"/>
    <mergeCell ref="C434:U434"/>
    <mergeCell ref="C435:U435"/>
    <mergeCell ref="C437:D438"/>
    <mergeCell ref="E437:E438"/>
    <mergeCell ref="R437:S438"/>
    <mergeCell ref="T437:T438"/>
    <mergeCell ref="C425:U425"/>
    <mergeCell ref="C426:U426"/>
    <mergeCell ref="C428:D429"/>
    <mergeCell ref="E428:E429"/>
    <mergeCell ref="R428:S429"/>
    <mergeCell ref="T428:T429"/>
    <mergeCell ref="C470:U470"/>
    <mergeCell ref="C471:U471"/>
    <mergeCell ref="C473:D474"/>
    <mergeCell ref="E473:E474"/>
    <mergeCell ref="R473:S474"/>
    <mergeCell ref="T473:T474"/>
    <mergeCell ref="C461:U461"/>
    <mergeCell ref="C462:U462"/>
    <mergeCell ref="C464:D465"/>
    <mergeCell ref="E464:E465"/>
    <mergeCell ref="R464:S465"/>
    <mergeCell ref="T464:T465"/>
    <mergeCell ref="C452:U452"/>
    <mergeCell ref="C453:U453"/>
    <mergeCell ref="C455:D456"/>
    <mergeCell ref="E455:E456"/>
    <mergeCell ref="R455:S456"/>
    <mergeCell ref="T455:T456"/>
    <mergeCell ref="C497:U497"/>
    <mergeCell ref="C498:U498"/>
    <mergeCell ref="C500:D501"/>
    <mergeCell ref="E500:E501"/>
    <mergeCell ref="R500:S501"/>
    <mergeCell ref="T500:T501"/>
    <mergeCell ref="C488:U488"/>
    <mergeCell ref="C489:U489"/>
    <mergeCell ref="C491:D492"/>
    <mergeCell ref="E491:E492"/>
    <mergeCell ref="R491:S492"/>
    <mergeCell ref="T491:T492"/>
    <mergeCell ref="C479:U479"/>
    <mergeCell ref="C480:U480"/>
    <mergeCell ref="C482:D483"/>
    <mergeCell ref="E482:E483"/>
    <mergeCell ref="R482:S483"/>
    <mergeCell ref="T482:T483"/>
    <mergeCell ref="C524:U524"/>
    <mergeCell ref="C525:U525"/>
    <mergeCell ref="C527:D528"/>
    <mergeCell ref="E527:E528"/>
    <mergeCell ref="R527:S528"/>
    <mergeCell ref="T527:T528"/>
    <mergeCell ref="C515:U515"/>
    <mergeCell ref="C516:U516"/>
    <mergeCell ref="C518:D519"/>
    <mergeCell ref="E518:E519"/>
    <mergeCell ref="R518:S519"/>
    <mergeCell ref="T518:T519"/>
    <mergeCell ref="C506:U506"/>
    <mergeCell ref="C507:U507"/>
    <mergeCell ref="C509:D510"/>
    <mergeCell ref="E509:E510"/>
    <mergeCell ref="R509:S510"/>
    <mergeCell ref="T509:T510"/>
    <mergeCell ref="C551:U551"/>
    <mergeCell ref="C552:U552"/>
    <mergeCell ref="C554:D555"/>
    <mergeCell ref="E554:E555"/>
    <mergeCell ref="R554:S555"/>
    <mergeCell ref="T554:T555"/>
    <mergeCell ref="C542:U542"/>
    <mergeCell ref="C543:U543"/>
    <mergeCell ref="C545:D546"/>
    <mergeCell ref="E545:E546"/>
    <mergeCell ref="R545:S546"/>
    <mergeCell ref="T545:T546"/>
    <mergeCell ref="C533:U533"/>
    <mergeCell ref="C534:U534"/>
    <mergeCell ref="C536:D537"/>
    <mergeCell ref="E536:E537"/>
    <mergeCell ref="R536:S537"/>
    <mergeCell ref="T536:T537"/>
    <mergeCell ref="C578:U578"/>
    <mergeCell ref="C579:U579"/>
    <mergeCell ref="C581:D582"/>
    <mergeCell ref="E581:E582"/>
    <mergeCell ref="R581:S582"/>
    <mergeCell ref="T581:T582"/>
    <mergeCell ref="C569:U569"/>
    <mergeCell ref="C570:U570"/>
    <mergeCell ref="C572:D573"/>
    <mergeCell ref="E572:E573"/>
    <mergeCell ref="R572:S573"/>
    <mergeCell ref="T572:T573"/>
    <mergeCell ref="C560:U560"/>
    <mergeCell ref="C561:U561"/>
    <mergeCell ref="C563:D564"/>
    <mergeCell ref="E563:E564"/>
    <mergeCell ref="R563:S564"/>
    <mergeCell ref="T563:T564"/>
    <mergeCell ref="C605:U605"/>
    <mergeCell ref="C606:U606"/>
    <mergeCell ref="C608:D609"/>
    <mergeCell ref="E608:E609"/>
    <mergeCell ref="R608:S609"/>
    <mergeCell ref="T608:T609"/>
    <mergeCell ref="C596:U596"/>
    <mergeCell ref="C597:U597"/>
    <mergeCell ref="C599:D600"/>
    <mergeCell ref="E599:E600"/>
    <mergeCell ref="R599:S600"/>
    <mergeCell ref="T599:T600"/>
    <mergeCell ref="C587:U587"/>
    <mergeCell ref="C588:U588"/>
    <mergeCell ref="C590:D591"/>
    <mergeCell ref="E590:E591"/>
    <mergeCell ref="R590:S591"/>
    <mergeCell ref="T590:T591"/>
    <mergeCell ref="C641:D642"/>
    <mergeCell ref="E641:E642"/>
    <mergeCell ref="C647:U647"/>
    <mergeCell ref="C648:U648"/>
    <mergeCell ref="C650:D651"/>
    <mergeCell ref="E650:E651"/>
    <mergeCell ref="R650:S651"/>
    <mergeCell ref="T650:T651"/>
    <mergeCell ref="C620:D621"/>
    <mergeCell ref="E620:E621"/>
    <mergeCell ref="C635:U635"/>
    <mergeCell ref="C636:U636"/>
    <mergeCell ref="C638:D639"/>
    <mergeCell ref="E638:E639"/>
    <mergeCell ref="R638:S639"/>
    <mergeCell ref="T638:T639"/>
    <mergeCell ref="C614:U614"/>
    <mergeCell ref="C615:U615"/>
    <mergeCell ref="C617:D618"/>
    <mergeCell ref="E617:E618"/>
    <mergeCell ref="R617:S618"/>
    <mergeCell ref="T617:T618"/>
    <mergeCell ref="C626:U626"/>
    <mergeCell ref="C627:U627"/>
    <mergeCell ref="C629:D630"/>
    <mergeCell ref="E629:E630"/>
    <mergeCell ref="R629:S630"/>
    <mergeCell ref="T629:T630"/>
    <mergeCell ref="C731:D732"/>
    <mergeCell ref="E731:E732"/>
    <mergeCell ref="C737:U737"/>
    <mergeCell ref="C738:U738"/>
    <mergeCell ref="C740:D741"/>
    <mergeCell ref="E740:E741"/>
    <mergeCell ref="R740:S741"/>
    <mergeCell ref="T740:T741"/>
    <mergeCell ref="C665:D666"/>
    <mergeCell ref="E665:E666"/>
    <mergeCell ref="C725:U725"/>
    <mergeCell ref="C726:U726"/>
    <mergeCell ref="C728:D729"/>
    <mergeCell ref="E728:E729"/>
    <mergeCell ref="R728:S729"/>
    <mergeCell ref="T728:T729"/>
    <mergeCell ref="C653:D654"/>
    <mergeCell ref="E653:E654"/>
    <mergeCell ref="C659:U659"/>
    <mergeCell ref="C660:U660"/>
    <mergeCell ref="C662:D663"/>
    <mergeCell ref="E662:E663"/>
    <mergeCell ref="R662:S663"/>
    <mergeCell ref="T662:T663"/>
    <mergeCell ref="C671:U671"/>
    <mergeCell ref="C672:U672"/>
    <mergeCell ref="C674:D675"/>
    <mergeCell ref="E674:E675"/>
    <mergeCell ref="R674:S675"/>
    <mergeCell ref="T674:T675"/>
    <mergeCell ref="C680:U680"/>
    <mergeCell ref="C681:U681"/>
    <mergeCell ref="C767:D768"/>
    <mergeCell ref="E767:E768"/>
    <mergeCell ref="C773:U773"/>
    <mergeCell ref="C774:U774"/>
    <mergeCell ref="C776:D777"/>
    <mergeCell ref="E776:E777"/>
    <mergeCell ref="R776:S777"/>
    <mergeCell ref="T776:T777"/>
    <mergeCell ref="C755:D756"/>
    <mergeCell ref="E755:E756"/>
    <mergeCell ref="C761:U761"/>
    <mergeCell ref="C762:U762"/>
    <mergeCell ref="C764:D765"/>
    <mergeCell ref="E764:E765"/>
    <mergeCell ref="R764:S765"/>
    <mergeCell ref="T764:T765"/>
    <mergeCell ref="C743:D744"/>
    <mergeCell ref="E743:E744"/>
    <mergeCell ref="C749:U749"/>
    <mergeCell ref="C750:U750"/>
    <mergeCell ref="C752:D753"/>
    <mergeCell ref="E752:E753"/>
    <mergeCell ref="R752:S753"/>
    <mergeCell ref="T752:T753"/>
    <mergeCell ref="C803:D804"/>
    <mergeCell ref="E803:E804"/>
    <mergeCell ref="C809:U809"/>
    <mergeCell ref="C810:U810"/>
    <mergeCell ref="C812:D813"/>
    <mergeCell ref="E812:E813"/>
    <mergeCell ref="R812:S813"/>
    <mergeCell ref="T812:T813"/>
    <mergeCell ref="C791:D792"/>
    <mergeCell ref="E791:E792"/>
    <mergeCell ref="C797:U797"/>
    <mergeCell ref="C798:U798"/>
    <mergeCell ref="C800:D801"/>
    <mergeCell ref="E800:E801"/>
    <mergeCell ref="R800:S801"/>
    <mergeCell ref="T800:T801"/>
    <mergeCell ref="C779:D780"/>
    <mergeCell ref="E779:E780"/>
    <mergeCell ref="C785:U785"/>
    <mergeCell ref="C786:U786"/>
    <mergeCell ref="C788:D789"/>
    <mergeCell ref="E788:E789"/>
    <mergeCell ref="R788:S789"/>
    <mergeCell ref="T788:T789"/>
    <mergeCell ref="C839:D840"/>
    <mergeCell ref="E839:E840"/>
    <mergeCell ref="C845:U845"/>
    <mergeCell ref="C846:U846"/>
    <mergeCell ref="C848:D849"/>
    <mergeCell ref="E848:E849"/>
    <mergeCell ref="R848:S849"/>
    <mergeCell ref="T848:T849"/>
    <mergeCell ref="C827:D828"/>
    <mergeCell ref="E827:E828"/>
    <mergeCell ref="C833:U833"/>
    <mergeCell ref="C834:U834"/>
    <mergeCell ref="C836:D837"/>
    <mergeCell ref="E836:E837"/>
    <mergeCell ref="R836:S837"/>
    <mergeCell ref="T836:T837"/>
    <mergeCell ref="C815:D816"/>
    <mergeCell ref="E815:E816"/>
    <mergeCell ref="C821:U821"/>
    <mergeCell ref="C822:U822"/>
    <mergeCell ref="C824:D825"/>
    <mergeCell ref="E824:E825"/>
    <mergeCell ref="R824:S825"/>
    <mergeCell ref="T824:T825"/>
    <mergeCell ref="C875:D876"/>
    <mergeCell ref="E875:E876"/>
    <mergeCell ref="C881:U881"/>
    <mergeCell ref="C882:U882"/>
    <mergeCell ref="C884:D885"/>
    <mergeCell ref="E884:E885"/>
    <mergeCell ref="R884:S885"/>
    <mergeCell ref="T884:T885"/>
    <mergeCell ref="C863:D864"/>
    <mergeCell ref="E863:E864"/>
    <mergeCell ref="C869:U869"/>
    <mergeCell ref="C870:U870"/>
    <mergeCell ref="C872:D873"/>
    <mergeCell ref="E872:E873"/>
    <mergeCell ref="R872:S873"/>
    <mergeCell ref="T872:T873"/>
    <mergeCell ref="C851:D852"/>
    <mergeCell ref="E851:E852"/>
    <mergeCell ref="C857:U857"/>
    <mergeCell ref="C858:U858"/>
    <mergeCell ref="C860:D861"/>
    <mergeCell ref="E860:E861"/>
    <mergeCell ref="R860:S861"/>
    <mergeCell ref="T860:T861"/>
    <mergeCell ref="C911:D912"/>
    <mergeCell ref="E911:E912"/>
    <mergeCell ref="C917:U917"/>
    <mergeCell ref="C918:U918"/>
    <mergeCell ref="C920:D921"/>
    <mergeCell ref="E920:E921"/>
    <mergeCell ref="R920:S921"/>
    <mergeCell ref="T920:T921"/>
    <mergeCell ref="C899:D900"/>
    <mergeCell ref="E899:E900"/>
    <mergeCell ref="C905:U905"/>
    <mergeCell ref="C906:U906"/>
    <mergeCell ref="C908:D909"/>
    <mergeCell ref="E908:E909"/>
    <mergeCell ref="R908:S909"/>
    <mergeCell ref="T908:T909"/>
    <mergeCell ref="C887:D888"/>
    <mergeCell ref="E887:E888"/>
    <mergeCell ref="C893:U893"/>
    <mergeCell ref="C894:U894"/>
    <mergeCell ref="C896:D897"/>
    <mergeCell ref="E896:E897"/>
    <mergeCell ref="R896:S897"/>
    <mergeCell ref="T896:T897"/>
    <mergeCell ref="C947:D948"/>
    <mergeCell ref="E947:E948"/>
    <mergeCell ref="C953:U953"/>
    <mergeCell ref="C954:U954"/>
    <mergeCell ref="C956:D957"/>
    <mergeCell ref="E956:E957"/>
    <mergeCell ref="R956:S957"/>
    <mergeCell ref="T956:T957"/>
    <mergeCell ref="C935:D936"/>
    <mergeCell ref="E935:E936"/>
    <mergeCell ref="C941:U941"/>
    <mergeCell ref="C942:U942"/>
    <mergeCell ref="C944:D945"/>
    <mergeCell ref="E944:E945"/>
    <mergeCell ref="R944:S945"/>
    <mergeCell ref="T944:T945"/>
    <mergeCell ref="C923:D924"/>
    <mergeCell ref="E923:E924"/>
    <mergeCell ref="C929:U929"/>
    <mergeCell ref="C930:U930"/>
    <mergeCell ref="C932:D933"/>
    <mergeCell ref="E932:E933"/>
    <mergeCell ref="R932:S933"/>
    <mergeCell ref="T932:T933"/>
    <mergeCell ref="C983:D984"/>
    <mergeCell ref="E983:E984"/>
    <mergeCell ref="C989:U989"/>
    <mergeCell ref="C990:U990"/>
    <mergeCell ref="C992:D993"/>
    <mergeCell ref="E992:E993"/>
    <mergeCell ref="R992:S993"/>
    <mergeCell ref="T992:T993"/>
    <mergeCell ref="C971:D972"/>
    <mergeCell ref="E971:E972"/>
    <mergeCell ref="C977:U977"/>
    <mergeCell ref="C978:U978"/>
    <mergeCell ref="C980:D981"/>
    <mergeCell ref="E980:E981"/>
    <mergeCell ref="R980:S981"/>
    <mergeCell ref="T980:T981"/>
    <mergeCell ref="C959:D960"/>
    <mergeCell ref="E959:E960"/>
    <mergeCell ref="C965:U965"/>
    <mergeCell ref="C966:U966"/>
    <mergeCell ref="C968:D969"/>
    <mergeCell ref="E968:E969"/>
    <mergeCell ref="R968:S969"/>
    <mergeCell ref="T968:T969"/>
    <mergeCell ref="C1019:D1020"/>
    <mergeCell ref="E1019:E1020"/>
    <mergeCell ref="C1025:U1025"/>
    <mergeCell ref="C1026:U1026"/>
    <mergeCell ref="C1028:D1029"/>
    <mergeCell ref="E1028:E1029"/>
    <mergeCell ref="R1028:S1029"/>
    <mergeCell ref="T1028:T1029"/>
    <mergeCell ref="C1007:D1008"/>
    <mergeCell ref="E1007:E1008"/>
    <mergeCell ref="C1013:U1013"/>
    <mergeCell ref="C1014:U1014"/>
    <mergeCell ref="C1016:D1017"/>
    <mergeCell ref="E1016:E1017"/>
    <mergeCell ref="R1016:S1017"/>
    <mergeCell ref="T1016:T1017"/>
    <mergeCell ref="C995:D996"/>
    <mergeCell ref="E995:E996"/>
    <mergeCell ref="C1001:U1001"/>
    <mergeCell ref="C1002:U1002"/>
    <mergeCell ref="C1004:D1005"/>
    <mergeCell ref="E1004:E1005"/>
    <mergeCell ref="R1004:S1005"/>
    <mergeCell ref="T1004:T1005"/>
    <mergeCell ref="C1055:D1056"/>
    <mergeCell ref="E1055:E1056"/>
    <mergeCell ref="C1043:D1044"/>
    <mergeCell ref="E1043:E1044"/>
    <mergeCell ref="C1049:U1049"/>
    <mergeCell ref="C1050:U1050"/>
    <mergeCell ref="C1052:D1053"/>
    <mergeCell ref="E1052:E1053"/>
    <mergeCell ref="R1052:S1053"/>
    <mergeCell ref="T1052:T1053"/>
    <mergeCell ref="C1031:D1032"/>
    <mergeCell ref="E1031:E1032"/>
    <mergeCell ref="C1037:U1037"/>
    <mergeCell ref="C1038:U1038"/>
    <mergeCell ref="C1040:D1041"/>
    <mergeCell ref="E1040:E1041"/>
    <mergeCell ref="R1040:S1041"/>
    <mergeCell ref="T1040:T1041"/>
    <mergeCell ref="C708:U708"/>
    <mergeCell ref="C710:D711"/>
    <mergeCell ref="E710:E711"/>
    <mergeCell ref="R710:S711"/>
    <mergeCell ref="T710:T711"/>
    <mergeCell ref="C716:U716"/>
    <mergeCell ref="C717:U717"/>
    <mergeCell ref="C719:D720"/>
    <mergeCell ref="E719:E720"/>
    <mergeCell ref="R719:S720"/>
    <mergeCell ref="T719:T720"/>
    <mergeCell ref="C683:D684"/>
    <mergeCell ref="E683:E684"/>
    <mergeCell ref="R683:S684"/>
    <mergeCell ref="T683:T684"/>
    <mergeCell ref="C689:U689"/>
    <mergeCell ref="C690:U690"/>
    <mergeCell ref="C692:D693"/>
    <mergeCell ref="E692:E693"/>
    <mergeCell ref="R692:S693"/>
    <mergeCell ref="T692:T693"/>
    <mergeCell ref="C698:U698"/>
    <mergeCell ref="C699:U699"/>
    <mergeCell ref="C701:D702"/>
    <mergeCell ref="E701:E702"/>
    <mergeCell ref="R701:S702"/>
    <mergeCell ref="T701:T702"/>
    <mergeCell ref="C707:U707"/>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3:W43"/>
  <sheetViews>
    <sheetView showGridLines="0" zoomScaleNormal="100" workbookViewId="0"/>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1:23" ht="18.75" customHeight="1">
      <c r="A3" s="77"/>
      <c r="B3" s="43" t="s">
        <v>163</v>
      </c>
      <c r="C3" s="51" t="s">
        <v>173</v>
      </c>
      <c r="D3" s="133"/>
      <c r="W3" s="35" t="str">
        <f>"-- "&amp;B3&amp;" : "&amp;C3</f>
        <v>-- SQL_ID : 11_01</v>
      </c>
    </row>
    <row r="4" spans="1:23" ht="18.75" customHeight="1">
      <c r="B4" s="43" t="s">
        <v>158</v>
      </c>
      <c r="C4" s="145" t="str">
        <f>R7&amp;"登録"</f>
        <v>組入れ_対象施設登録</v>
      </c>
      <c r="D4" s="146"/>
      <c r="E4" s="146"/>
      <c r="F4" s="146"/>
      <c r="G4" s="146"/>
      <c r="H4" s="146"/>
      <c r="I4" s="146"/>
      <c r="J4" s="146"/>
      <c r="K4" s="146"/>
      <c r="L4" s="146"/>
      <c r="M4" s="146"/>
      <c r="N4" s="146"/>
      <c r="O4" s="146"/>
      <c r="P4" s="146"/>
      <c r="Q4" s="146"/>
      <c r="R4" s="146"/>
      <c r="S4" s="146"/>
      <c r="T4" s="146"/>
      <c r="U4" s="147"/>
      <c r="W4" s="35" t="str">
        <f>"-- "&amp;C4</f>
        <v>-- 組入れ_対象施設登録</v>
      </c>
    </row>
    <row r="5" spans="1:23" ht="18.75" customHeight="1">
      <c r="B5" s="43" t="s">
        <v>159</v>
      </c>
      <c r="C5" s="134" t="str">
        <f>C7&amp;"テーブルから組入れ条件の施設情報を登録する。"</f>
        <v>バックアップ_処理対象施設マスタテーブルから組入れ条件の施設情報を登録する。</v>
      </c>
      <c r="D5" s="135"/>
      <c r="E5" s="135"/>
      <c r="F5" s="135"/>
      <c r="G5" s="135"/>
      <c r="H5" s="135"/>
      <c r="I5" s="135"/>
      <c r="J5" s="135"/>
      <c r="K5" s="135"/>
      <c r="L5" s="135"/>
      <c r="M5" s="135"/>
      <c r="N5" s="135"/>
      <c r="O5" s="135"/>
      <c r="P5" s="135"/>
      <c r="Q5" s="135"/>
      <c r="R5" s="135"/>
      <c r="S5" s="135"/>
      <c r="T5" s="135"/>
      <c r="U5" s="136"/>
      <c r="W5" s="35" t="str">
        <f>"-- "&amp;C5</f>
        <v>-- バックアップ_処理対象施設マスタテーブルから組入れ条件の施設情報を登録する。</v>
      </c>
    </row>
    <row r="7" spans="1:23" ht="18.75" customHeight="1">
      <c r="C7" s="137" t="s">
        <v>3986</v>
      </c>
      <c r="D7" s="138"/>
      <c r="E7" s="143" t="str">
        <f>エンティティ一覧!$O$2</f>
        <v>milscm_2023_010</v>
      </c>
      <c r="F7" s="36"/>
      <c r="G7" s="36"/>
      <c r="H7" s="36"/>
      <c r="I7" s="36"/>
      <c r="J7" s="36"/>
      <c r="M7" s="36"/>
      <c r="N7" s="36"/>
      <c r="O7" s="36"/>
      <c r="P7" s="36"/>
      <c r="Q7" s="36"/>
      <c r="R7" s="137" t="s">
        <v>3668</v>
      </c>
      <c r="S7" s="138"/>
      <c r="T7" s="143" t="str">
        <f>エンティティ一覧!$O$2</f>
        <v>milscm_2023_010</v>
      </c>
      <c r="W7" s="35" t="s">
        <v>3669</v>
      </c>
    </row>
    <row r="8" spans="1:23" ht="18.75" customHeight="1">
      <c r="C8" s="139"/>
      <c r="D8" s="140"/>
      <c r="E8" s="144"/>
      <c r="F8" s="37"/>
      <c r="G8" s="37"/>
      <c r="H8" s="37"/>
      <c r="I8" s="37"/>
      <c r="J8" s="37"/>
      <c r="K8" s="37"/>
      <c r="L8" s="38"/>
      <c r="M8" s="37"/>
      <c r="N8" s="37"/>
      <c r="O8" s="37"/>
      <c r="P8" s="37"/>
      <c r="Q8" s="37"/>
      <c r="R8" s="139"/>
      <c r="S8" s="140"/>
      <c r="T8" s="144"/>
    </row>
    <row r="9" spans="1:23" ht="18.75" customHeight="1">
      <c r="K9" s="39"/>
      <c r="L9" s="40"/>
    </row>
    <row r="10" spans="1:23" ht="18.75" customHeight="1">
      <c r="C10" s="137" t="s">
        <v>3667</v>
      </c>
      <c r="D10" s="138"/>
      <c r="E10" s="141" t="s">
        <v>162</v>
      </c>
      <c r="F10" s="36"/>
      <c r="G10" s="36"/>
      <c r="H10" s="36"/>
      <c r="I10" s="36"/>
      <c r="J10" s="36"/>
      <c r="L10" s="41"/>
    </row>
    <row r="11" spans="1:23" ht="18.75" customHeight="1">
      <c r="C11" s="139"/>
      <c r="D11" s="140"/>
      <c r="E11" s="142"/>
      <c r="F11" s="37"/>
      <c r="G11" s="37"/>
      <c r="H11" s="37"/>
      <c r="I11" s="37"/>
      <c r="J11" s="37"/>
      <c r="K11" s="37"/>
    </row>
    <row r="13" spans="1:23" ht="18.75" customHeight="1" thickBot="1">
      <c r="B13" s="42"/>
      <c r="C13" s="42"/>
      <c r="D13" s="42"/>
      <c r="E13" s="42"/>
      <c r="F13" s="42"/>
      <c r="G13" s="42"/>
      <c r="H13" s="42"/>
      <c r="I13" s="42"/>
      <c r="J13" s="42"/>
      <c r="K13" s="42"/>
      <c r="L13" s="42"/>
      <c r="M13" s="42"/>
      <c r="N13" s="42"/>
      <c r="O13" s="42"/>
      <c r="P13" s="42"/>
      <c r="Q13" s="42"/>
      <c r="R13" s="42"/>
      <c r="S13" s="42"/>
      <c r="T13" s="42"/>
      <c r="U13" s="42"/>
    </row>
    <row r="15" spans="1:23" ht="18.75" customHeight="1">
      <c r="A15" s="77"/>
      <c r="B15" s="43" t="s">
        <v>163</v>
      </c>
      <c r="C15" s="51" t="s">
        <v>189</v>
      </c>
      <c r="D15" s="133"/>
      <c r="W15" s="35" t="str">
        <f>"-- "&amp;B15&amp;" : "&amp;C15</f>
        <v>-- SQL_ID : 11_02</v>
      </c>
    </row>
    <row r="16" spans="1:23" ht="18.75" customHeight="1">
      <c r="B16" s="43" t="s">
        <v>158</v>
      </c>
      <c r="C16" s="145" t="str">
        <f>R19&amp;"登録"</f>
        <v>組入れ_対象処方登録</v>
      </c>
      <c r="D16" s="146"/>
      <c r="E16" s="146"/>
      <c r="F16" s="146"/>
      <c r="G16" s="146"/>
      <c r="H16" s="146"/>
      <c r="I16" s="146"/>
      <c r="J16" s="146"/>
      <c r="K16" s="146"/>
      <c r="L16" s="146"/>
      <c r="M16" s="146"/>
      <c r="N16" s="146"/>
      <c r="O16" s="146"/>
      <c r="P16" s="146"/>
      <c r="Q16" s="146"/>
      <c r="R16" s="146"/>
      <c r="S16" s="146"/>
      <c r="T16" s="146"/>
      <c r="U16" s="147"/>
      <c r="W16" s="35" t="str">
        <f>"-- "&amp;C16</f>
        <v>-- 組入れ_対象処方登録</v>
      </c>
    </row>
    <row r="17" spans="2:23" ht="18.75" customHeight="1">
      <c r="B17" s="43" t="s">
        <v>159</v>
      </c>
      <c r="C17" s="134" t="str">
        <f>C19&amp;"テーブルから組入れ条件で絞り込んだ結果を"&amp;R19&amp;"テーブルに格納する。"</f>
        <v>バックアップ_処方データ_組入れ第一条件テーブルから組入れ条件で絞り込んだ結果を組入れ_対象処方テーブルに格納する。</v>
      </c>
      <c r="D17" s="135"/>
      <c r="E17" s="135"/>
      <c r="F17" s="135"/>
      <c r="G17" s="135"/>
      <c r="H17" s="135"/>
      <c r="I17" s="135"/>
      <c r="J17" s="135"/>
      <c r="K17" s="135"/>
      <c r="L17" s="135"/>
      <c r="M17" s="135"/>
      <c r="N17" s="135"/>
      <c r="O17" s="135"/>
      <c r="P17" s="135"/>
      <c r="Q17" s="135"/>
      <c r="R17" s="135"/>
      <c r="S17" s="135"/>
      <c r="T17" s="135"/>
      <c r="U17" s="136"/>
      <c r="W17" s="35" t="str">
        <f>"-- "&amp;C17</f>
        <v>-- バックアップ_処方データ_組入れ第一条件テーブルから組入れ条件で絞り込んだ結果を組入れ_対象処方テーブルに格納する。</v>
      </c>
    </row>
    <row r="19" spans="2:23" ht="18.75" customHeight="1">
      <c r="C19" s="137" t="s">
        <v>3790</v>
      </c>
      <c r="D19" s="138"/>
      <c r="E19" s="143" t="str">
        <f>エンティティ一覧!$O$2</f>
        <v>milscm_2023_010</v>
      </c>
      <c r="H19" s="36"/>
      <c r="I19" s="36"/>
      <c r="J19" s="36"/>
      <c r="K19" s="36"/>
      <c r="L19" s="36"/>
      <c r="M19" s="36"/>
      <c r="N19" s="36"/>
      <c r="O19" s="36"/>
      <c r="P19" s="36"/>
      <c r="Q19" s="36"/>
      <c r="R19" s="137" t="s">
        <v>3670</v>
      </c>
      <c r="S19" s="138"/>
      <c r="T19" s="143" t="str">
        <f>エンティティ一覧!$O$2</f>
        <v>milscm_2023_010</v>
      </c>
    </row>
    <row r="20" spans="2:23" ht="18.75" customHeight="1">
      <c r="C20" s="139"/>
      <c r="D20" s="140"/>
      <c r="E20" s="144"/>
      <c r="F20" s="37"/>
      <c r="G20" s="38"/>
      <c r="H20" s="37"/>
      <c r="I20" s="37"/>
      <c r="J20" s="37"/>
      <c r="K20" s="37"/>
      <c r="L20" s="37"/>
      <c r="M20" s="37"/>
      <c r="N20" s="37"/>
      <c r="O20" s="37"/>
      <c r="P20" s="37"/>
      <c r="Q20" s="37"/>
      <c r="R20" s="139"/>
      <c r="S20" s="140"/>
      <c r="T20" s="144"/>
    </row>
    <row r="21" spans="2:23" ht="18.75" customHeight="1">
      <c r="F21" s="39"/>
      <c r="G21" s="40"/>
    </row>
    <row r="22" spans="2:23" ht="18.75" customHeight="1">
      <c r="C22" s="137" t="s">
        <v>3668</v>
      </c>
      <c r="D22" s="138"/>
      <c r="E22" s="143" t="str">
        <f>エンティティ一覧!$O$2</f>
        <v>milscm_2023_010</v>
      </c>
      <c r="G22" s="41"/>
    </row>
    <row r="23" spans="2:23" ht="18.75" customHeight="1">
      <c r="C23" s="139"/>
      <c r="D23" s="140"/>
      <c r="E23" s="144"/>
      <c r="F23" s="37"/>
    </row>
    <row r="25" spans="2:23" ht="18.75" customHeight="1" thickBot="1">
      <c r="B25" s="42"/>
      <c r="C25" s="42"/>
      <c r="D25" s="42"/>
      <c r="E25" s="42"/>
      <c r="F25" s="42"/>
      <c r="G25" s="42"/>
      <c r="H25" s="42"/>
      <c r="I25" s="42"/>
      <c r="J25" s="42"/>
      <c r="K25" s="42"/>
      <c r="L25" s="42"/>
      <c r="M25" s="42"/>
      <c r="N25" s="42"/>
      <c r="O25" s="42"/>
      <c r="P25" s="42"/>
      <c r="Q25" s="42"/>
      <c r="R25" s="42"/>
      <c r="S25" s="42"/>
      <c r="T25" s="42"/>
      <c r="U25" s="42"/>
    </row>
    <row r="27" spans="2:23" ht="18.75" customHeight="1">
      <c r="B27" s="43" t="s">
        <v>163</v>
      </c>
      <c r="C27" s="51" t="s">
        <v>3671</v>
      </c>
      <c r="D27" s="133"/>
      <c r="W27" s="35" t="str">
        <f>"-- "&amp;B27&amp;" : "&amp;C27</f>
        <v>-- SQL_ID : 11_04</v>
      </c>
    </row>
    <row r="28" spans="2:23" ht="18.75" customHeight="1">
      <c r="B28" s="43" t="s">
        <v>158</v>
      </c>
      <c r="C28" s="145" t="str">
        <f>R31&amp;"登録"</f>
        <v>組入れ_対象患者登録</v>
      </c>
      <c r="D28" s="146"/>
      <c r="E28" s="146"/>
      <c r="F28" s="146"/>
      <c r="G28" s="146"/>
      <c r="H28" s="146"/>
      <c r="I28" s="146"/>
      <c r="J28" s="146"/>
      <c r="K28" s="146"/>
      <c r="L28" s="146"/>
      <c r="M28" s="146"/>
      <c r="N28" s="146"/>
      <c r="O28" s="146"/>
      <c r="P28" s="146"/>
      <c r="Q28" s="146"/>
      <c r="R28" s="146"/>
      <c r="S28" s="146"/>
      <c r="T28" s="146"/>
      <c r="U28" s="147"/>
      <c r="W28" s="35" t="str">
        <f>"-- "&amp;C28</f>
        <v>-- 組入れ_対象患者登録</v>
      </c>
    </row>
    <row r="29" spans="2:23" ht="18.75" customHeight="1">
      <c r="B29" s="43" t="s">
        <v>159</v>
      </c>
      <c r="C29" s="134" t="str">
        <f>C31&amp;"テーブルから患者IDを集約した結果を"&amp;R31&amp;"テーブルに格納する。"</f>
        <v>組入れ_対象処方テーブルから患者IDを集約した結果を組入れ_対象患者テーブルに格納する。</v>
      </c>
      <c r="D29" s="135"/>
      <c r="E29" s="135"/>
      <c r="F29" s="135"/>
      <c r="G29" s="135"/>
      <c r="H29" s="135"/>
      <c r="I29" s="135"/>
      <c r="J29" s="135"/>
      <c r="K29" s="135"/>
      <c r="L29" s="135"/>
      <c r="M29" s="135"/>
      <c r="N29" s="135"/>
      <c r="O29" s="135"/>
      <c r="P29" s="135"/>
      <c r="Q29" s="135"/>
      <c r="R29" s="135"/>
      <c r="S29" s="135"/>
      <c r="T29" s="135"/>
      <c r="U29" s="136"/>
      <c r="W29" s="35" t="str">
        <f>"-- "&amp;C29</f>
        <v>-- 組入れ_対象処方テーブルから患者IDを集約した結果を組入れ_対象患者テーブルに格納する。</v>
      </c>
    </row>
    <row r="31" spans="2:23" ht="18.75" customHeight="1">
      <c r="C31" s="137" t="s">
        <v>3670</v>
      </c>
      <c r="D31" s="138"/>
      <c r="E31" s="143" t="str">
        <f>エンティティ一覧!$O$2</f>
        <v>milscm_2023_010</v>
      </c>
      <c r="F31" s="36"/>
      <c r="G31" s="36"/>
      <c r="H31" s="36"/>
      <c r="I31" s="36"/>
      <c r="J31" s="36"/>
      <c r="K31" s="36"/>
      <c r="L31" s="36"/>
      <c r="M31" s="36"/>
      <c r="N31" s="36"/>
      <c r="O31" s="36"/>
      <c r="P31" s="36"/>
      <c r="Q31" s="36"/>
      <c r="R31" s="137" t="s">
        <v>187</v>
      </c>
      <c r="S31" s="138"/>
      <c r="T31" s="143" t="str">
        <f>エンティティ一覧!$O$2</f>
        <v>milscm_2023_010</v>
      </c>
    </row>
    <row r="32" spans="2:23" ht="18.75" customHeight="1">
      <c r="C32" s="139"/>
      <c r="D32" s="140"/>
      <c r="E32" s="144"/>
      <c r="F32" s="37"/>
      <c r="G32" s="37"/>
      <c r="H32" s="37"/>
      <c r="I32" s="37"/>
      <c r="J32" s="37"/>
      <c r="K32" s="37"/>
      <c r="L32" s="37"/>
      <c r="M32" s="37"/>
      <c r="N32" s="37"/>
      <c r="O32" s="37"/>
      <c r="P32" s="37"/>
      <c r="Q32" s="37"/>
      <c r="R32" s="139"/>
      <c r="S32" s="140"/>
      <c r="T32" s="144"/>
    </row>
    <row r="34" spans="2:23" ht="18.75" customHeight="1" thickBot="1">
      <c r="B34" s="42"/>
      <c r="C34" s="42"/>
      <c r="D34" s="42"/>
      <c r="E34" s="42"/>
      <c r="F34" s="42"/>
      <c r="G34" s="42"/>
      <c r="H34" s="42"/>
      <c r="I34" s="42"/>
      <c r="J34" s="42"/>
      <c r="K34" s="42"/>
      <c r="L34" s="42"/>
      <c r="M34" s="42"/>
      <c r="N34" s="42"/>
      <c r="O34" s="42"/>
      <c r="P34" s="42"/>
      <c r="Q34" s="42"/>
      <c r="R34" s="42"/>
      <c r="S34" s="42"/>
      <c r="T34" s="42"/>
      <c r="U34" s="42"/>
    </row>
    <row r="36" spans="2:23" ht="18.75" customHeight="1">
      <c r="B36" s="43" t="s">
        <v>163</v>
      </c>
      <c r="C36" s="51" t="s">
        <v>3987</v>
      </c>
      <c r="D36" s="133"/>
      <c r="W36" s="35" t="str">
        <f>"-- "&amp;B36&amp;" : "&amp;C36</f>
        <v>-- SQL_ID : 11_05</v>
      </c>
    </row>
    <row r="37" spans="2:23" ht="18.75" customHeight="1">
      <c r="B37" s="43" t="s">
        <v>158</v>
      </c>
      <c r="C37" s="145" t="s">
        <v>900</v>
      </c>
      <c r="D37" s="146"/>
      <c r="E37" s="146"/>
      <c r="F37" s="146"/>
      <c r="G37" s="146"/>
      <c r="H37" s="146"/>
      <c r="I37" s="146"/>
      <c r="J37" s="146"/>
      <c r="K37" s="146"/>
      <c r="L37" s="146"/>
      <c r="M37" s="146"/>
      <c r="N37" s="146"/>
      <c r="O37" s="146"/>
      <c r="P37" s="146"/>
      <c r="Q37" s="146"/>
      <c r="R37" s="146"/>
      <c r="S37" s="146"/>
      <c r="T37" s="146"/>
      <c r="U37" s="147"/>
      <c r="W37" s="35" t="str">
        <f>"-- "&amp;C37</f>
        <v>-- 組入れ_施設別患者数_取得</v>
      </c>
    </row>
    <row r="38" spans="2:23" ht="18.75" customHeight="1">
      <c r="B38" s="43" t="s">
        <v>159</v>
      </c>
      <c r="C38" s="134" t="s">
        <v>3791</v>
      </c>
      <c r="D38" s="135"/>
      <c r="E38" s="135"/>
      <c r="F38" s="135"/>
      <c r="G38" s="135"/>
      <c r="H38" s="135"/>
      <c r="I38" s="135"/>
      <c r="J38" s="135"/>
      <c r="K38" s="135"/>
      <c r="L38" s="135"/>
      <c r="M38" s="135"/>
      <c r="N38" s="135"/>
      <c r="O38" s="135"/>
      <c r="P38" s="135"/>
      <c r="Q38" s="135"/>
      <c r="R38" s="135"/>
      <c r="S38" s="135"/>
      <c r="T38" s="135"/>
      <c r="U38" s="136"/>
      <c r="W38" s="35" t="str">
        <f>"-- "&amp;C38</f>
        <v>-- 施設別の患者数の集計結果を取得する。　※フィージビリティ調査対象施設+名古屋第一が対象となっていて、事前調査時点の862名と比較して同程度であるか確認する。</v>
      </c>
    </row>
    <row r="40" spans="2:23" ht="18.75" customHeight="1">
      <c r="C40" s="137" t="s">
        <v>174</v>
      </c>
      <c r="D40" s="138"/>
      <c r="E40" s="143" t="str">
        <f>エンティティ一覧!$O$2</f>
        <v>milscm_2023_010</v>
      </c>
      <c r="F40" s="36"/>
      <c r="G40" s="36"/>
      <c r="H40" s="36"/>
      <c r="I40" s="36"/>
      <c r="J40" s="36"/>
      <c r="K40" s="36"/>
      <c r="L40" s="36"/>
      <c r="M40" s="36"/>
      <c r="N40" s="36"/>
      <c r="O40" s="36"/>
      <c r="P40" s="36"/>
      <c r="Q40" s="36"/>
      <c r="R40" s="137" t="s">
        <v>188</v>
      </c>
      <c r="S40" s="138"/>
      <c r="T40" s="143" t="s">
        <v>176</v>
      </c>
    </row>
    <row r="41" spans="2:23" ht="18.75" customHeight="1">
      <c r="C41" s="139"/>
      <c r="D41" s="140"/>
      <c r="E41" s="144"/>
      <c r="F41" s="37"/>
      <c r="G41" s="37"/>
      <c r="H41" s="37"/>
      <c r="I41" s="37"/>
      <c r="J41" s="37"/>
      <c r="K41" s="37"/>
      <c r="L41" s="37"/>
      <c r="M41" s="37"/>
      <c r="N41" s="37"/>
      <c r="O41" s="37"/>
      <c r="P41" s="37"/>
      <c r="Q41" s="37"/>
      <c r="R41" s="139"/>
      <c r="S41" s="140"/>
      <c r="T41" s="144"/>
    </row>
    <row r="43" spans="2:23" ht="18.75" customHeight="1" thickBot="1">
      <c r="B43" s="42"/>
      <c r="C43" s="42"/>
      <c r="D43" s="42"/>
      <c r="E43" s="42"/>
      <c r="F43" s="42"/>
      <c r="G43" s="42"/>
      <c r="H43" s="42"/>
      <c r="I43" s="42"/>
      <c r="J43" s="42"/>
      <c r="K43" s="42"/>
      <c r="L43" s="42"/>
      <c r="M43" s="42"/>
      <c r="N43" s="42"/>
      <c r="O43" s="42"/>
      <c r="P43" s="42"/>
      <c r="Q43" s="42"/>
      <c r="R43" s="42"/>
      <c r="S43" s="42"/>
      <c r="T43" s="42"/>
      <c r="U43" s="42"/>
    </row>
  </sheetData>
  <mergeCells count="28">
    <mergeCell ref="C4:U4"/>
    <mergeCell ref="C5:U5"/>
    <mergeCell ref="C7:D8"/>
    <mergeCell ref="E7:E8"/>
    <mergeCell ref="R7:S8"/>
    <mergeCell ref="T7:T8"/>
    <mergeCell ref="C10:D11"/>
    <mergeCell ref="E10:E11"/>
    <mergeCell ref="C16:U16"/>
    <mergeCell ref="C17:U17"/>
    <mergeCell ref="C19:D20"/>
    <mergeCell ref="E19:E20"/>
    <mergeCell ref="R19:S20"/>
    <mergeCell ref="T19:T20"/>
    <mergeCell ref="C22:D23"/>
    <mergeCell ref="E22:E23"/>
    <mergeCell ref="C28:U28"/>
    <mergeCell ref="C29:U29"/>
    <mergeCell ref="C31:D32"/>
    <mergeCell ref="E31:E32"/>
    <mergeCell ref="R31:S32"/>
    <mergeCell ref="T31:T32"/>
    <mergeCell ref="C37:U37"/>
    <mergeCell ref="C38:U38"/>
    <mergeCell ref="C40:D41"/>
    <mergeCell ref="E40:E41"/>
    <mergeCell ref="R40:S41"/>
    <mergeCell ref="T40:T41"/>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B3:W80"/>
  <sheetViews>
    <sheetView showGridLines="0" zoomScaleNormal="100" workbookViewId="0"/>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2:23" ht="18.75" customHeight="1">
      <c r="B3" s="43" t="s">
        <v>163</v>
      </c>
      <c r="C3" s="51" t="s">
        <v>175</v>
      </c>
      <c r="D3" s="50"/>
      <c r="W3" s="35" t="str">
        <f>"-- "&amp;B3&amp;" : "&amp;C3</f>
        <v>-- SQL_ID : 21_01</v>
      </c>
    </row>
    <row r="4" spans="2:23" ht="18.75" customHeight="1">
      <c r="B4" s="43" t="s">
        <v>158</v>
      </c>
      <c r="C4" s="145" t="str">
        <f>R7&amp;"登録"</f>
        <v>患者ID一覧マスタ登録</v>
      </c>
      <c r="D4" s="146"/>
      <c r="E4" s="146"/>
      <c r="F4" s="146"/>
      <c r="G4" s="146"/>
      <c r="H4" s="146"/>
      <c r="I4" s="146"/>
      <c r="J4" s="146"/>
      <c r="K4" s="146"/>
      <c r="L4" s="146"/>
      <c r="M4" s="146"/>
      <c r="N4" s="146"/>
      <c r="O4" s="146"/>
      <c r="P4" s="146"/>
      <c r="Q4" s="146"/>
      <c r="R4" s="146"/>
      <c r="S4" s="146"/>
      <c r="T4" s="146"/>
      <c r="U4" s="147"/>
      <c r="W4" s="35" t="str">
        <f>"-- "&amp;C4</f>
        <v>-- 患者ID一覧マスタ登録</v>
      </c>
    </row>
    <row r="5" spans="2:23" ht="18.75" customHeight="1">
      <c r="B5" s="43" t="s">
        <v>159</v>
      </c>
      <c r="C5" s="134" t="str">
        <f>C10&amp;"テーブルから"&amp;C13&amp;"テーブルに存在する患者で絞り込んだ結果を"&amp;R7&amp;"テーブルに格納する。"</f>
        <v>バックアップ_二次利用DB登録患者紐付けデータテーブルから組入れ_対象患者テーブルに存在する患者で絞り込んだ結果を患者ID一覧マスタテーブルに格納する。</v>
      </c>
      <c r="D5" s="135"/>
      <c r="E5" s="135"/>
      <c r="F5" s="135"/>
      <c r="G5" s="135"/>
      <c r="H5" s="135"/>
      <c r="I5" s="135"/>
      <c r="J5" s="135"/>
      <c r="K5" s="135"/>
      <c r="L5" s="135"/>
      <c r="M5" s="135"/>
      <c r="N5" s="135"/>
      <c r="O5" s="135"/>
      <c r="P5" s="135"/>
      <c r="Q5" s="135"/>
      <c r="R5" s="135"/>
      <c r="S5" s="135"/>
      <c r="T5" s="135"/>
      <c r="U5" s="136"/>
      <c r="W5" s="35" t="str">
        <f>"-- "&amp;C5</f>
        <v>-- バックアップ_二次利用DB登録患者紐付けデータテーブルから組入れ_対象患者テーブルに存在する患者で絞り込んだ結果を患者ID一覧マスタテーブルに格納する。</v>
      </c>
    </row>
    <row r="7" spans="2:23" ht="18.75" customHeight="1">
      <c r="H7" s="137" t="s">
        <v>4054</v>
      </c>
      <c r="I7" s="138"/>
      <c r="J7" s="143" t="str">
        <f>エンティティ一覧!$O$2</f>
        <v>milscm_2023_010</v>
      </c>
      <c r="K7" s="36"/>
      <c r="M7" s="36"/>
      <c r="N7" s="36"/>
      <c r="O7" s="36"/>
      <c r="R7" s="137" t="s">
        <v>3736</v>
      </c>
      <c r="S7" s="138"/>
      <c r="T7" s="143" t="str">
        <f>エンティティ一覧!$O$2</f>
        <v>milscm_2023_010</v>
      </c>
    </row>
    <row r="8" spans="2:23" ht="18.75" customHeight="1">
      <c r="H8" s="139"/>
      <c r="I8" s="140"/>
      <c r="J8" s="144"/>
      <c r="K8" s="37"/>
      <c r="L8" s="38"/>
      <c r="M8" s="37"/>
      <c r="N8" s="37"/>
      <c r="O8" s="37"/>
      <c r="P8" s="37"/>
      <c r="Q8" s="38"/>
      <c r="R8" s="139"/>
      <c r="S8" s="140"/>
      <c r="T8" s="144"/>
    </row>
    <row r="9" spans="2:23" ht="18.75" customHeight="1">
      <c r="K9" s="39"/>
      <c r="L9" s="40"/>
      <c r="P9" s="39"/>
      <c r="Q9" s="40"/>
    </row>
    <row r="10" spans="2:23" ht="18.75" customHeight="1">
      <c r="C10" s="137" t="s">
        <v>4054</v>
      </c>
      <c r="D10" s="138"/>
      <c r="E10" s="143" t="str">
        <f>エンティティ一覧!$O$2</f>
        <v>milscm_2023_010</v>
      </c>
      <c r="H10" s="36"/>
      <c r="I10" s="36"/>
      <c r="J10" s="36"/>
      <c r="L10" s="41"/>
      <c r="P10" s="39"/>
      <c r="Q10" s="40"/>
    </row>
    <row r="11" spans="2:23" ht="18.75" customHeight="1">
      <c r="C11" s="139"/>
      <c r="D11" s="140"/>
      <c r="E11" s="144"/>
      <c r="F11" s="37"/>
      <c r="G11" s="38"/>
      <c r="H11" s="37"/>
      <c r="I11" s="37"/>
      <c r="J11" s="37"/>
      <c r="K11" s="37"/>
      <c r="P11" s="39"/>
      <c r="Q11" s="40"/>
    </row>
    <row r="12" spans="2:23" ht="18.75" customHeight="1">
      <c r="F12" s="39"/>
      <c r="G12" s="40"/>
      <c r="P12" s="39"/>
      <c r="Q12" s="40"/>
    </row>
    <row r="13" spans="2:23" ht="18.75" customHeight="1">
      <c r="C13" s="137" t="s">
        <v>174</v>
      </c>
      <c r="D13" s="138"/>
      <c r="E13" s="143" t="str">
        <f>エンティティ一覧!$O$2</f>
        <v>milscm_2023_010</v>
      </c>
      <c r="G13" s="41"/>
      <c r="P13" s="39"/>
      <c r="Q13" s="40"/>
    </row>
    <row r="14" spans="2:23" ht="18.75" customHeight="1">
      <c r="C14" s="139"/>
      <c r="D14" s="140"/>
      <c r="E14" s="144"/>
      <c r="F14" s="37"/>
      <c r="P14" s="39"/>
      <c r="Q14" s="40"/>
    </row>
    <row r="15" spans="2:23" ht="18.75" customHeight="1">
      <c r="P15" s="39"/>
      <c r="Q15" s="40"/>
    </row>
    <row r="16" spans="2:23" ht="18.75" customHeight="1">
      <c r="M16" s="137" t="s">
        <v>3666</v>
      </c>
      <c r="N16" s="138"/>
      <c r="O16" s="141" t="s">
        <v>162</v>
      </c>
      <c r="Q16" s="41"/>
    </row>
    <row r="17" spans="2:23" ht="18.75" customHeight="1">
      <c r="M17" s="139"/>
      <c r="N17" s="140"/>
      <c r="O17" s="142"/>
      <c r="P17" s="37"/>
    </row>
    <row r="19" spans="2:23" ht="18.75" customHeight="1" thickBot="1">
      <c r="B19" s="42"/>
      <c r="C19" s="42"/>
      <c r="D19" s="42"/>
      <c r="E19" s="42"/>
      <c r="F19" s="42"/>
      <c r="G19" s="42"/>
      <c r="H19" s="42"/>
      <c r="I19" s="42"/>
      <c r="J19" s="42"/>
      <c r="K19" s="42"/>
      <c r="L19" s="42"/>
      <c r="M19" s="42"/>
      <c r="N19" s="42"/>
      <c r="O19" s="42"/>
      <c r="P19" s="42"/>
      <c r="Q19" s="42"/>
      <c r="R19" s="42"/>
      <c r="S19" s="42"/>
      <c r="T19" s="42"/>
      <c r="U19" s="42"/>
    </row>
    <row r="21" spans="2:23" ht="18.75" customHeight="1">
      <c r="B21" s="43" t="s">
        <v>163</v>
      </c>
      <c r="C21" s="51" t="s">
        <v>178</v>
      </c>
      <c r="D21" s="90"/>
      <c r="W21" s="35" t="str">
        <f>"-- "&amp;B21&amp;" : "&amp;C21</f>
        <v>-- SQL_ID : 21_02</v>
      </c>
    </row>
    <row r="22" spans="2:23" ht="18.75" customHeight="1">
      <c r="B22" s="43" t="s">
        <v>158</v>
      </c>
      <c r="C22" s="145" t="str">
        <f>R25&amp;"登録"</f>
        <v>施設マスタ登録</v>
      </c>
      <c r="D22" s="146"/>
      <c r="E22" s="146"/>
      <c r="F22" s="146"/>
      <c r="G22" s="146"/>
      <c r="H22" s="146"/>
      <c r="I22" s="146"/>
      <c r="J22" s="146"/>
      <c r="K22" s="146"/>
      <c r="L22" s="146"/>
      <c r="M22" s="146"/>
      <c r="N22" s="146"/>
      <c r="O22" s="146"/>
      <c r="P22" s="146"/>
      <c r="Q22" s="146"/>
      <c r="R22" s="146"/>
      <c r="S22" s="146"/>
      <c r="T22" s="146"/>
      <c r="U22" s="147"/>
      <c r="W22" s="35" t="str">
        <f>"-- "&amp;C22</f>
        <v>-- 施設マスタ登録</v>
      </c>
    </row>
    <row r="23" spans="2:23" ht="18.75" customHeight="1">
      <c r="B23" s="43" t="s">
        <v>159</v>
      </c>
      <c r="C23" s="134" t="str">
        <f>C25&amp;"テーブルに施設マスクIDを付与した結果を"&amp;R25&amp;"テーブルに格納する。"</f>
        <v>組入れ_対象施設テーブルに施設マスクIDを付与した結果を施設マスタテーブルに格納する。</v>
      </c>
      <c r="D23" s="135"/>
      <c r="E23" s="135"/>
      <c r="F23" s="135"/>
      <c r="G23" s="135"/>
      <c r="H23" s="135"/>
      <c r="I23" s="135"/>
      <c r="J23" s="135"/>
      <c r="K23" s="135"/>
      <c r="L23" s="135"/>
      <c r="M23" s="135"/>
      <c r="N23" s="135"/>
      <c r="O23" s="135"/>
      <c r="P23" s="135"/>
      <c r="Q23" s="135"/>
      <c r="R23" s="135"/>
      <c r="S23" s="135"/>
      <c r="T23" s="135"/>
      <c r="U23" s="136"/>
      <c r="W23" s="35" t="str">
        <f>"-- "&amp;C23</f>
        <v>-- 組入れ_対象施設テーブルに施設マスクIDを付与した結果を施設マスタテーブルに格納する。</v>
      </c>
    </row>
    <row r="25" spans="2:23" ht="18.75" customHeight="1">
      <c r="C25" s="137" t="s">
        <v>3668</v>
      </c>
      <c r="D25" s="138"/>
      <c r="E25" s="143" t="str">
        <f>エンティティ一覧!$O$2</f>
        <v>milscm_2023_010</v>
      </c>
      <c r="F25" s="36"/>
      <c r="G25" s="36"/>
      <c r="H25" s="36"/>
      <c r="I25" s="36"/>
      <c r="J25" s="36"/>
      <c r="K25" s="36"/>
      <c r="L25" s="36"/>
      <c r="M25" s="36"/>
      <c r="N25" s="36"/>
      <c r="O25" s="36"/>
      <c r="P25" s="36"/>
      <c r="Q25" s="36"/>
      <c r="R25" s="137" t="s">
        <v>4055</v>
      </c>
      <c r="S25" s="138"/>
      <c r="T25" s="143" t="str">
        <f>エンティティ一覧!$O$2</f>
        <v>milscm_2023_010</v>
      </c>
    </row>
    <row r="26" spans="2:23" ht="18.75" customHeight="1">
      <c r="C26" s="139"/>
      <c r="D26" s="140"/>
      <c r="E26" s="144"/>
      <c r="F26" s="37"/>
      <c r="G26" s="37"/>
      <c r="H26" s="37"/>
      <c r="I26" s="37"/>
      <c r="J26" s="37"/>
      <c r="K26" s="37"/>
      <c r="L26" s="37"/>
      <c r="M26" s="37"/>
      <c r="N26" s="37"/>
      <c r="O26" s="37"/>
      <c r="P26" s="37"/>
      <c r="Q26" s="37"/>
      <c r="R26" s="139"/>
      <c r="S26" s="140"/>
      <c r="T26" s="144"/>
    </row>
    <row r="28" spans="2:23" ht="18.75" customHeight="1" thickBot="1">
      <c r="B28" s="42"/>
      <c r="C28" s="42"/>
      <c r="D28" s="42"/>
      <c r="E28" s="42"/>
      <c r="F28" s="42"/>
      <c r="G28" s="42"/>
      <c r="H28" s="42"/>
      <c r="I28" s="42"/>
      <c r="J28" s="42"/>
      <c r="K28" s="42"/>
      <c r="L28" s="42"/>
      <c r="M28" s="42"/>
      <c r="N28" s="42"/>
      <c r="O28" s="42"/>
      <c r="P28" s="42"/>
      <c r="Q28" s="42"/>
      <c r="R28" s="42"/>
      <c r="S28" s="42"/>
      <c r="T28" s="42"/>
      <c r="U28" s="42"/>
    </row>
    <row r="30" spans="2:23" ht="18.75" customHeight="1">
      <c r="B30" s="43" t="s">
        <v>163</v>
      </c>
      <c r="C30" s="51" t="s">
        <v>899</v>
      </c>
      <c r="D30" s="96"/>
      <c r="W30" s="35" t="str">
        <f>"-- "&amp;B30&amp;" : "&amp;C30</f>
        <v>-- SQL_ID : 21_03</v>
      </c>
    </row>
    <row r="31" spans="2:23" ht="18.75" customHeight="1">
      <c r="B31" s="43" t="s">
        <v>158</v>
      </c>
      <c r="C31" s="145" t="str">
        <f>R34&amp;"登録"</f>
        <v>患者マスタ登録</v>
      </c>
      <c r="D31" s="146"/>
      <c r="E31" s="146"/>
      <c r="F31" s="146"/>
      <c r="G31" s="146"/>
      <c r="H31" s="146"/>
      <c r="I31" s="146"/>
      <c r="J31" s="146"/>
      <c r="K31" s="146"/>
      <c r="L31" s="146"/>
      <c r="M31" s="146"/>
      <c r="N31" s="146"/>
      <c r="O31" s="146"/>
      <c r="P31" s="146"/>
      <c r="Q31" s="146"/>
      <c r="R31" s="146"/>
      <c r="S31" s="146"/>
      <c r="T31" s="146"/>
      <c r="U31" s="147"/>
      <c r="W31" s="35" t="str">
        <f>"-- "&amp;C31</f>
        <v>-- 患者マスタ登録</v>
      </c>
    </row>
    <row r="32" spans="2:23" ht="18.75" customHeight="1">
      <c r="B32" s="43" t="s">
        <v>159</v>
      </c>
      <c r="C32" s="134" t="str">
        <f>C34&amp;"テーブルを施設IDと紐づけIDで集約し、マスクIDを付与した結果を"&amp;R34&amp;"テーブルに格納する。"</f>
        <v>患者ID一覧マスタテーブルを施設IDと紐づけIDで集約し、マスクIDを付与した結果を患者マスタテーブルに格納する。</v>
      </c>
      <c r="D32" s="135"/>
      <c r="E32" s="135"/>
      <c r="F32" s="135"/>
      <c r="G32" s="135"/>
      <c r="H32" s="135"/>
      <c r="I32" s="135"/>
      <c r="J32" s="135"/>
      <c r="K32" s="135"/>
      <c r="L32" s="135"/>
      <c r="M32" s="135"/>
      <c r="N32" s="135"/>
      <c r="O32" s="135"/>
      <c r="P32" s="135"/>
      <c r="Q32" s="135"/>
      <c r="R32" s="135"/>
      <c r="S32" s="135"/>
      <c r="T32" s="135"/>
      <c r="U32" s="136"/>
      <c r="W32" s="35" t="str">
        <f>"-- "&amp;C32</f>
        <v>-- 患者ID一覧マスタテーブルを施設IDと紐づけIDで集約し、マスクIDを付与した結果を患者マスタテーブルに格納する。</v>
      </c>
    </row>
    <row r="34" spans="2:21" ht="18.75" customHeight="1">
      <c r="C34" s="137" t="s">
        <v>3736</v>
      </c>
      <c r="D34" s="138"/>
      <c r="E34" s="143" t="str">
        <f>エンティティ一覧!$O$2</f>
        <v>milscm_2023_010</v>
      </c>
      <c r="F34" s="36"/>
      <c r="G34" s="36"/>
      <c r="H34" s="36"/>
      <c r="I34" s="36"/>
      <c r="J34" s="36"/>
      <c r="M34" s="36"/>
      <c r="N34" s="36"/>
      <c r="O34" s="36"/>
      <c r="P34" s="36"/>
      <c r="Q34" s="36"/>
      <c r="R34" s="137" t="s">
        <v>186</v>
      </c>
      <c r="S34" s="138"/>
      <c r="T34" s="143" t="str">
        <f>エンティティ一覧!$O$2</f>
        <v>milscm_2023_010</v>
      </c>
    </row>
    <row r="35" spans="2:21" ht="18.75" customHeight="1">
      <c r="C35" s="139"/>
      <c r="D35" s="140"/>
      <c r="E35" s="144"/>
      <c r="F35" s="37"/>
      <c r="G35" s="37"/>
      <c r="H35" s="37"/>
      <c r="I35" s="37"/>
      <c r="J35" s="37"/>
      <c r="K35" s="37"/>
      <c r="L35" s="38"/>
      <c r="M35" s="37"/>
      <c r="N35" s="37"/>
      <c r="O35" s="37"/>
      <c r="P35" s="37"/>
      <c r="Q35" s="37"/>
      <c r="R35" s="139"/>
      <c r="S35" s="140"/>
      <c r="T35" s="144"/>
    </row>
    <row r="36" spans="2:21" ht="18.75" customHeight="1">
      <c r="K36" s="39"/>
      <c r="L36" s="40"/>
    </row>
    <row r="37" spans="2:21" ht="18.75" customHeight="1">
      <c r="C37" s="137" t="s">
        <v>3994</v>
      </c>
      <c r="D37" s="138"/>
      <c r="E37" s="143" t="str">
        <f>エンティティ一覧!$O$2</f>
        <v>milscm_2023_010</v>
      </c>
      <c r="F37" s="36"/>
      <c r="G37" s="36"/>
      <c r="H37" s="36"/>
      <c r="I37" s="36"/>
      <c r="J37" s="36"/>
      <c r="L37" s="41"/>
    </row>
    <row r="38" spans="2:21" ht="18.75" customHeight="1">
      <c r="C38" s="139"/>
      <c r="D38" s="140"/>
      <c r="E38" s="144"/>
      <c r="F38" s="37"/>
      <c r="G38" s="37"/>
      <c r="H38" s="37"/>
      <c r="I38" s="37"/>
      <c r="J38" s="37"/>
      <c r="K38" s="37"/>
    </row>
    <row r="40" spans="2:21" ht="18.75" customHeight="1" thickBot="1">
      <c r="B40" s="42"/>
      <c r="C40" s="42"/>
      <c r="D40" s="42"/>
      <c r="E40" s="42"/>
      <c r="F40" s="42"/>
      <c r="G40" s="42"/>
      <c r="H40" s="42"/>
      <c r="I40" s="42"/>
      <c r="J40" s="42"/>
      <c r="K40" s="42"/>
      <c r="L40" s="42"/>
      <c r="M40" s="42"/>
      <c r="N40" s="42"/>
      <c r="O40" s="42"/>
      <c r="P40" s="42"/>
      <c r="Q40" s="42"/>
      <c r="R40" s="42"/>
      <c r="S40" s="42"/>
      <c r="T40" s="42"/>
      <c r="U40" s="42"/>
    </row>
    <row r="42" spans="2:21" ht="18.75" customHeight="1">
      <c r="B42" s="62" t="s">
        <v>898</v>
      </c>
      <c r="C42" s="51" t="s">
        <v>4056</v>
      </c>
      <c r="D42" s="96"/>
    </row>
    <row r="43" spans="2:21" ht="18.75" customHeight="1">
      <c r="B43" s="62" t="s">
        <v>557</v>
      </c>
      <c r="C43" s="145" t="str">
        <f>R46&amp;"登録"</f>
        <v>疾患マスタ登録</v>
      </c>
      <c r="D43" s="146"/>
      <c r="E43" s="146"/>
      <c r="F43" s="146"/>
      <c r="G43" s="146"/>
      <c r="H43" s="146"/>
      <c r="I43" s="146"/>
      <c r="J43" s="146"/>
      <c r="K43" s="146"/>
      <c r="L43" s="146"/>
      <c r="M43" s="146"/>
      <c r="N43" s="146"/>
      <c r="O43" s="146"/>
      <c r="P43" s="146"/>
      <c r="Q43" s="146"/>
      <c r="R43" s="146"/>
      <c r="S43" s="146"/>
      <c r="T43" s="146"/>
      <c r="U43" s="147"/>
    </row>
    <row r="44" spans="2:21" ht="18.75" customHeight="1">
      <c r="B44" s="62" t="s">
        <v>159</v>
      </c>
      <c r="C44" s="134" t="str">
        <f>C46&amp;"ファイルの内容を"&amp;R46&amp;"テーブルに格納する。"</f>
        <v>疾患マスタファイルの内容を疾患マスタテーブルに格納する。</v>
      </c>
      <c r="D44" s="135"/>
      <c r="E44" s="135"/>
      <c r="F44" s="135"/>
      <c r="G44" s="135"/>
      <c r="H44" s="135"/>
      <c r="I44" s="135"/>
      <c r="J44" s="135"/>
      <c r="K44" s="135"/>
      <c r="L44" s="135"/>
      <c r="M44" s="135"/>
      <c r="N44" s="135"/>
      <c r="O44" s="135"/>
      <c r="P44" s="135"/>
      <c r="Q44" s="135"/>
      <c r="R44" s="135"/>
      <c r="S44" s="135"/>
      <c r="T44" s="135"/>
      <c r="U44" s="136"/>
    </row>
    <row r="46" spans="2:21" ht="18.75" customHeight="1">
      <c r="C46" s="137" t="s">
        <v>177</v>
      </c>
      <c r="D46" s="138"/>
      <c r="E46" s="143" t="s">
        <v>176</v>
      </c>
      <c r="F46" s="36"/>
      <c r="G46" s="36"/>
      <c r="H46" s="36"/>
      <c r="I46" s="36"/>
      <c r="J46" s="36"/>
      <c r="K46" s="36"/>
      <c r="L46" s="36"/>
      <c r="M46" s="36"/>
      <c r="N46" s="36"/>
      <c r="O46" s="36"/>
      <c r="P46" s="36"/>
      <c r="Q46" s="36"/>
      <c r="R46" s="137" t="s">
        <v>177</v>
      </c>
      <c r="S46" s="138"/>
      <c r="T46" s="143" t="str">
        <f>エンティティ一覧!$O$2</f>
        <v>milscm_2023_010</v>
      </c>
    </row>
    <row r="47" spans="2:21" ht="18.75" customHeight="1">
      <c r="C47" s="139"/>
      <c r="D47" s="140"/>
      <c r="E47" s="144"/>
      <c r="F47" s="37"/>
      <c r="G47" s="37"/>
      <c r="H47" s="37"/>
      <c r="I47" s="37"/>
      <c r="J47" s="37"/>
      <c r="K47" s="37"/>
      <c r="L47" s="37"/>
      <c r="M47" s="37"/>
      <c r="N47" s="37"/>
      <c r="O47" s="37"/>
      <c r="P47" s="37"/>
      <c r="Q47" s="37"/>
      <c r="R47" s="139"/>
      <c r="S47" s="140"/>
      <c r="T47" s="144"/>
    </row>
    <row r="48" spans="2:21" ht="18.75" customHeight="1">
      <c r="C48" s="35" t="s">
        <v>4057</v>
      </c>
      <c r="H48" s="75"/>
    </row>
    <row r="49" spans="2:21" ht="18.75" customHeight="1">
      <c r="H49" s="75"/>
    </row>
    <row r="50" spans="2:21" ht="18.75" customHeight="1" thickBot="1">
      <c r="B50" s="42"/>
      <c r="C50" s="42"/>
      <c r="D50" s="42"/>
      <c r="E50" s="42"/>
      <c r="F50" s="42"/>
      <c r="G50" s="42"/>
      <c r="H50" s="42"/>
      <c r="I50" s="42"/>
      <c r="J50" s="42"/>
      <c r="K50" s="42"/>
      <c r="L50" s="42"/>
      <c r="M50" s="42"/>
      <c r="N50" s="42"/>
      <c r="O50" s="42"/>
      <c r="P50" s="42"/>
      <c r="Q50" s="42"/>
      <c r="R50" s="42"/>
      <c r="S50" s="42"/>
      <c r="T50" s="42"/>
      <c r="U50" s="42"/>
    </row>
    <row r="52" spans="2:21" ht="18.75" customHeight="1">
      <c r="B52" s="62" t="s">
        <v>898</v>
      </c>
      <c r="C52" s="51" t="s">
        <v>4058</v>
      </c>
      <c r="D52" s="96"/>
    </row>
    <row r="53" spans="2:21" ht="18.75" customHeight="1">
      <c r="B53" s="62" t="s">
        <v>557</v>
      </c>
      <c r="C53" s="145" t="str">
        <f>R56&amp;"登録"</f>
        <v>薬剤マスタ登録</v>
      </c>
      <c r="D53" s="146"/>
      <c r="E53" s="146"/>
      <c r="F53" s="146"/>
      <c r="G53" s="146"/>
      <c r="H53" s="146"/>
      <c r="I53" s="146"/>
      <c r="J53" s="146"/>
      <c r="K53" s="146"/>
      <c r="L53" s="146"/>
      <c r="M53" s="146"/>
      <c r="N53" s="146"/>
      <c r="O53" s="146"/>
      <c r="P53" s="146"/>
      <c r="Q53" s="146"/>
      <c r="R53" s="146"/>
      <c r="S53" s="146"/>
      <c r="T53" s="146"/>
      <c r="U53" s="147"/>
    </row>
    <row r="54" spans="2:21" ht="18.75" customHeight="1">
      <c r="B54" s="62" t="s">
        <v>159</v>
      </c>
      <c r="C54" s="134" t="str">
        <f>C56&amp;"ファイルの内容を"&amp;R56&amp;"テーブルに格納する。"</f>
        <v>薬剤マスタファイルの内容を薬剤マスタテーブルに格納する。</v>
      </c>
      <c r="D54" s="135"/>
      <c r="E54" s="135"/>
      <c r="F54" s="135"/>
      <c r="G54" s="135"/>
      <c r="H54" s="135"/>
      <c r="I54" s="135"/>
      <c r="J54" s="135"/>
      <c r="K54" s="135"/>
      <c r="L54" s="135"/>
      <c r="M54" s="135"/>
      <c r="N54" s="135"/>
      <c r="O54" s="135"/>
      <c r="P54" s="135"/>
      <c r="Q54" s="135"/>
      <c r="R54" s="135"/>
      <c r="S54" s="135"/>
      <c r="T54" s="135"/>
      <c r="U54" s="136"/>
    </row>
    <row r="56" spans="2:21" ht="18.75" customHeight="1">
      <c r="C56" s="137" t="s">
        <v>3677</v>
      </c>
      <c r="D56" s="138"/>
      <c r="E56" s="143" t="s">
        <v>176</v>
      </c>
      <c r="F56" s="36"/>
      <c r="G56" s="36"/>
      <c r="H56" s="36"/>
      <c r="I56" s="36"/>
      <c r="J56" s="36"/>
      <c r="K56" s="36"/>
      <c r="L56" s="36"/>
      <c r="M56" s="36"/>
      <c r="N56" s="36"/>
      <c r="O56" s="36"/>
      <c r="P56" s="36"/>
      <c r="Q56" s="36"/>
      <c r="R56" s="137" t="s">
        <v>3677</v>
      </c>
      <c r="S56" s="138"/>
      <c r="T56" s="143" t="str">
        <f>エンティティ一覧!$O$2</f>
        <v>milscm_2023_010</v>
      </c>
    </row>
    <row r="57" spans="2:21" ht="18.75" customHeight="1">
      <c r="C57" s="139"/>
      <c r="D57" s="140"/>
      <c r="E57" s="144"/>
      <c r="F57" s="37"/>
      <c r="G57" s="37"/>
      <c r="H57" s="37"/>
      <c r="I57" s="37"/>
      <c r="J57" s="37"/>
      <c r="K57" s="37"/>
      <c r="L57" s="37"/>
      <c r="M57" s="37"/>
      <c r="N57" s="37"/>
      <c r="O57" s="37"/>
      <c r="P57" s="37"/>
      <c r="Q57" s="37"/>
      <c r="R57" s="139"/>
      <c r="S57" s="140"/>
      <c r="T57" s="144"/>
    </row>
    <row r="58" spans="2:21" ht="18.75" customHeight="1">
      <c r="C58" s="35" t="s">
        <v>4059</v>
      </c>
      <c r="H58" s="75"/>
    </row>
    <row r="59" spans="2:21" ht="18.75" customHeight="1">
      <c r="H59" s="75"/>
    </row>
    <row r="60" spans="2:21" ht="18.75" customHeight="1" thickBot="1">
      <c r="B60" s="42"/>
      <c r="C60" s="42"/>
      <c r="D60" s="42"/>
      <c r="E60" s="42"/>
      <c r="F60" s="42"/>
      <c r="G60" s="42"/>
      <c r="H60" s="42"/>
      <c r="I60" s="42"/>
      <c r="J60" s="42"/>
      <c r="K60" s="42"/>
      <c r="L60" s="42"/>
      <c r="M60" s="42"/>
      <c r="N60" s="42"/>
      <c r="O60" s="42"/>
      <c r="P60" s="42"/>
      <c r="Q60" s="42"/>
      <c r="R60" s="42"/>
      <c r="S60" s="42"/>
      <c r="T60" s="42"/>
      <c r="U60" s="42"/>
    </row>
    <row r="62" spans="2:21" ht="18.75" customHeight="1">
      <c r="B62" s="62" t="s">
        <v>898</v>
      </c>
      <c r="C62" s="51" t="s">
        <v>4060</v>
      </c>
      <c r="D62" s="96"/>
    </row>
    <row r="63" spans="2:21" ht="18.75" customHeight="1">
      <c r="B63" s="62" t="s">
        <v>557</v>
      </c>
      <c r="C63" s="145" t="str">
        <f>R66&amp;"登録"</f>
        <v>診療行為マスタ登録</v>
      </c>
      <c r="D63" s="146"/>
      <c r="E63" s="146"/>
      <c r="F63" s="146"/>
      <c r="G63" s="146"/>
      <c r="H63" s="146"/>
      <c r="I63" s="146"/>
      <c r="J63" s="146"/>
      <c r="K63" s="146"/>
      <c r="L63" s="146"/>
      <c r="M63" s="146"/>
      <c r="N63" s="146"/>
      <c r="O63" s="146"/>
      <c r="P63" s="146"/>
      <c r="Q63" s="146"/>
      <c r="R63" s="146"/>
      <c r="S63" s="146"/>
      <c r="T63" s="146"/>
      <c r="U63" s="147"/>
    </row>
    <row r="64" spans="2:21" ht="18.75" customHeight="1">
      <c r="B64" s="62" t="s">
        <v>159</v>
      </c>
      <c r="C64" s="134" t="str">
        <f>C66&amp;"ファイルの内容を"&amp;R66&amp;"テーブルに格納する。"</f>
        <v>診療行為マスタファイルの内容を診療行為マスタテーブルに格納する。</v>
      </c>
      <c r="D64" s="135"/>
      <c r="E64" s="135"/>
      <c r="F64" s="135"/>
      <c r="G64" s="135"/>
      <c r="H64" s="135"/>
      <c r="I64" s="135"/>
      <c r="J64" s="135"/>
      <c r="K64" s="135"/>
      <c r="L64" s="135"/>
      <c r="M64" s="135"/>
      <c r="N64" s="135"/>
      <c r="O64" s="135"/>
      <c r="P64" s="135"/>
      <c r="Q64" s="135"/>
      <c r="R64" s="135"/>
      <c r="S64" s="135"/>
      <c r="T64" s="135"/>
      <c r="U64" s="136"/>
    </row>
    <row r="66" spans="2:21" ht="18.75" customHeight="1">
      <c r="C66" s="137" t="s">
        <v>4062</v>
      </c>
      <c r="D66" s="138"/>
      <c r="E66" s="143" t="s">
        <v>176</v>
      </c>
      <c r="F66" s="36"/>
      <c r="G66" s="36"/>
      <c r="H66" s="36"/>
      <c r="I66" s="36"/>
      <c r="J66" s="36"/>
      <c r="K66" s="36"/>
      <c r="L66" s="36"/>
      <c r="M66" s="36"/>
      <c r="N66" s="36"/>
      <c r="O66" s="36"/>
      <c r="P66" s="36"/>
      <c r="Q66" s="36"/>
      <c r="R66" s="137" t="s">
        <v>4039</v>
      </c>
      <c r="S66" s="138"/>
      <c r="T66" s="143" t="str">
        <f>エンティティ一覧!$O$2</f>
        <v>milscm_2023_010</v>
      </c>
    </row>
    <row r="67" spans="2:21" ht="18.75" customHeight="1">
      <c r="C67" s="139"/>
      <c r="D67" s="140"/>
      <c r="E67" s="144"/>
      <c r="F67" s="37"/>
      <c r="G67" s="37"/>
      <c r="H67" s="37"/>
      <c r="I67" s="37"/>
      <c r="J67" s="37"/>
      <c r="K67" s="37"/>
      <c r="L67" s="37"/>
      <c r="M67" s="37"/>
      <c r="N67" s="37"/>
      <c r="O67" s="37"/>
      <c r="P67" s="37"/>
      <c r="Q67" s="37"/>
      <c r="R67" s="139"/>
      <c r="S67" s="140"/>
      <c r="T67" s="144"/>
    </row>
    <row r="68" spans="2:21" ht="18.75" customHeight="1">
      <c r="C68" s="35" t="s">
        <v>4063</v>
      </c>
      <c r="H68" s="75"/>
    </row>
    <row r="69" spans="2:21" ht="18.75" customHeight="1">
      <c r="H69" s="75"/>
    </row>
    <row r="70" spans="2:21" ht="18.75" customHeight="1" thickBot="1">
      <c r="B70" s="42"/>
      <c r="C70" s="42"/>
      <c r="D70" s="42"/>
      <c r="E70" s="42"/>
      <c r="F70" s="42"/>
      <c r="G70" s="42"/>
      <c r="H70" s="42"/>
      <c r="I70" s="42"/>
      <c r="J70" s="42"/>
      <c r="K70" s="42"/>
      <c r="L70" s="42"/>
      <c r="M70" s="42"/>
      <c r="N70" s="42"/>
      <c r="O70" s="42"/>
      <c r="P70" s="42"/>
      <c r="Q70" s="42"/>
      <c r="R70" s="42"/>
      <c r="S70" s="42"/>
      <c r="T70" s="42"/>
      <c r="U70" s="42"/>
    </row>
    <row r="72" spans="2:21" ht="18.75" customHeight="1">
      <c r="B72" s="62" t="s">
        <v>898</v>
      </c>
      <c r="C72" s="51" t="s">
        <v>4061</v>
      </c>
      <c r="D72" s="96"/>
    </row>
    <row r="73" spans="2:21" ht="18.75" customHeight="1">
      <c r="B73" s="62" t="s">
        <v>557</v>
      </c>
      <c r="C73" s="145" t="str">
        <f>R76&amp;"登録"</f>
        <v>検体検査マスタ登録</v>
      </c>
      <c r="D73" s="146"/>
      <c r="E73" s="146"/>
      <c r="F73" s="146"/>
      <c r="G73" s="146"/>
      <c r="H73" s="146"/>
      <c r="I73" s="146"/>
      <c r="J73" s="146"/>
      <c r="K73" s="146"/>
      <c r="L73" s="146"/>
      <c r="M73" s="146"/>
      <c r="N73" s="146"/>
      <c r="O73" s="146"/>
      <c r="P73" s="146"/>
      <c r="Q73" s="146"/>
      <c r="R73" s="146"/>
      <c r="S73" s="146"/>
      <c r="T73" s="146"/>
      <c r="U73" s="147"/>
    </row>
    <row r="74" spans="2:21" ht="18.75" customHeight="1">
      <c r="B74" s="62" t="s">
        <v>159</v>
      </c>
      <c r="C74" s="134" t="str">
        <f>C76&amp;"ファイルの内容を"&amp;R76&amp;"テーブルに格納する。"</f>
        <v>検体検査マスタファイルの内容を検体検査マスタテーブルに格納する。</v>
      </c>
      <c r="D74" s="135"/>
      <c r="E74" s="135"/>
      <c r="F74" s="135"/>
      <c r="G74" s="135"/>
      <c r="H74" s="135"/>
      <c r="I74" s="135"/>
      <c r="J74" s="135"/>
      <c r="K74" s="135"/>
      <c r="L74" s="135"/>
      <c r="M74" s="135"/>
      <c r="N74" s="135"/>
      <c r="O74" s="135"/>
      <c r="P74" s="135"/>
      <c r="Q74" s="135"/>
      <c r="R74" s="135"/>
      <c r="S74" s="135"/>
      <c r="T74" s="135"/>
      <c r="U74" s="136"/>
    </row>
    <row r="76" spans="2:21" ht="18.75" customHeight="1">
      <c r="C76" s="137" t="s">
        <v>4064</v>
      </c>
      <c r="D76" s="138"/>
      <c r="E76" s="143" t="s">
        <v>176</v>
      </c>
      <c r="F76" s="36"/>
      <c r="G76" s="36"/>
      <c r="H76" s="36"/>
      <c r="I76" s="36"/>
      <c r="J76" s="36"/>
      <c r="K76" s="36"/>
      <c r="L76" s="36"/>
      <c r="M76" s="36"/>
      <c r="N76" s="36"/>
      <c r="O76" s="36"/>
      <c r="P76" s="36"/>
      <c r="Q76" s="36"/>
      <c r="R76" s="137" t="s">
        <v>4064</v>
      </c>
      <c r="S76" s="138"/>
      <c r="T76" s="143" t="str">
        <f>エンティティ一覧!$O$2</f>
        <v>milscm_2023_010</v>
      </c>
    </row>
    <row r="77" spans="2:21" ht="18.75" customHeight="1">
      <c r="C77" s="139"/>
      <c r="D77" s="140"/>
      <c r="E77" s="144"/>
      <c r="F77" s="37"/>
      <c r="G77" s="37"/>
      <c r="H77" s="37"/>
      <c r="I77" s="37"/>
      <c r="J77" s="37"/>
      <c r="K77" s="37"/>
      <c r="L77" s="37"/>
      <c r="M77" s="37"/>
      <c r="N77" s="37"/>
      <c r="O77" s="37"/>
      <c r="P77" s="37"/>
      <c r="Q77" s="37"/>
      <c r="R77" s="139"/>
      <c r="S77" s="140"/>
      <c r="T77" s="144"/>
    </row>
    <row r="78" spans="2:21" ht="18.75" customHeight="1">
      <c r="C78" s="35" t="s">
        <v>4065</v>
      </c>
      <c r="H78" s="75"/>
    </row>
    <row r="79" spans="2:21" ht="18.75" customHeight="1">
      <c r="H79" s="75"/>
    </row>
    <row r="80" spans="2:21" ht="18.75" customHeight="1" thickBot="1">
      <c r="B80" s="42"/>
      <c r="C80" s="42"/>
      <c r="D80" s="42"/>
      <c r="E80" s="42"/>
      <c r="F80" s="42"/>
      <c r="G80" s="42"/>
      <c r="H80" s="42"/>
      <c r="I80" s="42"/>
      <c r="J80" s="42"/>
      <c r="K80" s="42"/>
      <c r="L80" s="42"/>
      <c r="M80" s="42"/>
      <c r="N80" s="42"/>
      <c r="O80" s="42"/>
      <c r="P80" s="42"/>
      <c r="Q80" s="42"/>
      <c r="R80" s="42"/>
      <c r="S80" s="42"/>
      <c r="T80" s="42"/>
      <c r="U80" s="42"/>
    </row>
  </sheetData>
  <mergeCells count="50">
    <mergeCell ref="C4:U4"/>
    <mergeCell ref="C5:U5"/>
    <mergeCell ref="H7:I8"/>
    <mergeCell ref="J7:J8"/>
    <mergeCell ref="R7:S8"/>
    <mergeCell ref="T7:T8"/>
    <mergeCell ref="C10:D11"/>
    <mergeCell ref="E10:E11"/>
    <mergeCell ref="C13:D14"/>
    <mergeCell ref="E13:E14"/>
    <mergeCell ref="M16:N17"/>
    <mergeCell ref="C31:U31"/>
    <mergeCell ref="C32:U32"/>
    <mergeCell ref="C34:D35"/>
    <mergeCell ref="E34:E35"/>
    <mergeCell ref="R34:S35"/>
    <mergeCell ref="T34:T35"/>
    <mergeCell ref="O16:O17"/>
    <mergeCell ref="E25:E26"/>
    <mergeCell ref="T25:T26"/>
    <mergeCell ref="C25:D26"/>
    <mergeCell ref="C22:U22"/>
    <mergeCell ref="C23:U23"/>
    <mergeCell ref="R25:S26"/>
    <mergeCell ref="C37:D38"/>
    <mergeCell ref="E37:E38"/>
    <mergeCell ref="C43:U43"/>
    <mergeCell ref="C44:U44"/>
    <mergeCell ref="C46:D47"/>
    <mergeCell ref="E46:E47"/>
    <mergeCell ref="R46:S47"/>
    <mergeCell ref="T46:T47"/>
    <mergeCell ref="C53:U53"/>
    <mergeCell ref="C54:U54"/>
    <mergeCell ref="C56:D57"/>
    <mergeCell ref="E56:E57"/>
    <mergeCell ref="R56:S57"/>
    <mergeCell ref="T56:T57"/>
    <mergeCell ref="C63:U63"/>
    <mergeCell ref="C64:U64"/>
    <mergeCell ref="C66:D67"/>
    <mergeCell ref="E66:E67"/>
    <mergeCell ref="R66:S67"/>
    <mergeCell ref="T66:T67"/>
    <mergeCell ref="C73:U73"/>
    <mergeCell ref="C74:U74"/>
    <mergeCell ref="C76:D77"/>
    <mergeCell ref="E76:E77"/>
    <mergeCell ref="R76:S77"/>
    <mergeCell ref="T76:T77"/>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B3:W493"/>
  <sheetViews>
    <sheetView showGridLines="0" zoomScaleNormal="100" workbookViewId="0"/>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2:23" ht="18.75" customHeight="1">
      <c r="B3" s="43" t="s">
        <v>163</v>
      </c>
      <c r="C3" s="51" t="s">
        <v>3744</v>
      </c>
      <c r="D3" s="91"/>
      <c r="W3" s="35" t="str">
        <f>"-- "&amp;B3&amp;" : "&amp;C3</f>
        <v>-- SQL_ID : 31_A1-02</v>
      </c>
    </row>
    <row r="4" spans="2:23" ht="18.75" customHeight="1">
      <c r="B4" s="43" t="s">
        <v>158</v>
      </c>
      <c r="C4" s="145" t="str">
        <f>R7&amp;"登録"</f>
        <v>ベース_処方データ登録</v>
      </c>
      <c r="D4" s="146"/>
      <c r="E4" s="146"/>
      <c r="F4" s="146"/>
      <c r="G4" s="146"/>
      <c r="H4" s="146"/>
      <c r="I4" s="146"/>
      <c r="J4" s="146"/>
      <c r="K4" s="146"/>
      <c r="L4" s="146"/>
      <c r="M4" s="146"/>
      <c r="N4" s="146"/>
      <c r="O4" s="146"/>
      <c r="P4" s="146"/>
      <c r="Q4" s="146"/>
      <c r="R4" s="146"/>
      <c r="S4" s="146"/>
      <c r="T4" s="146"/>
      <c r="U4" s="147"/>
      <c r="W4" s="35" t="str">
        <f>"-- "&amp;C4</f>
        <v>-- ベース_処方データ登録</v>
      </c>
    </row>
    <row r="5" spans="2:23" ht="18.75" customHeight="1">
      <c r="B5" s="43" t="s">
        <v>159</v>
      </c>
      <c r="C5" s="134" t="str">
        <f>C7&amp;"テーブルから対象患者で絞り込んだ結果を"&amp;R7&amp;"テーブルに格納する。"</f>
        <v>バックアップ_処方データテーブルから対象患者で絞り込んだ結果をベース_処方データテーブルに格納する。</v>
      </c>
      <c r="D5" s="135"/>
      <c r="E5" s="135"/>
      <c r="F5" s="135"/>
      <c r="G5" s="135"/>
      <c r="H5" s="135"/>
      <c r="I5" s="135"/>
      <c r="J5" s="135"/>
      <c r="K5" s="135"/>
      <c r="L5" s="135"/>
      <c r="M5" s="135"/>
      <c r="N5" s="135"/>
      <c r="O5" s="135"/>
      <c r="P5" s="135"/>
      <c r="Q5" s="135"/>
      <c r="R5" s="135"/>
      <c r="S5" s="135"/>
      <c r="T5" s="135"/>
      <c r="U5" s="136"/>
      <c r="W5" s="35" t="str">
        <f>"-- "&amp;C5</f>
        <v>-- バックアップ_処方データテーブルから対象患者で絞り込んだ結果をベース_処方データテーブルに格納する。</v>
      </c>
    </row>
    <row r="7" spans="2:23" ht="18.75" customHeight="1">
      <c r="C7" s="137" t="s">
        <v>3743</v>
      </c>
      <c r="D7" s="138"/>
      <c r="E7" s="143" t="str">
        <f>エンティティ一覧!$O$2</f>
        <v>milscm_2023_010</v>
      </c>
      <c r="H7" s="36"/>
      <c r="I7" s="36"/>
      <c r="J7" s="36"/>
      <c r="K7" s="36"/>
      <c r="L7" s="36"/>
      <c r="M7" s="36"/>
      <c r="N7" s="36"/>
      <c r="O7" s="36"/>
      <c r="P7" s="36"/>
      <c r="Q7" s="36"/>
      <c r="R7" s="137" t="str">
        <f>"ベース"&amp;SUBSTITUTE(C7,"バックアップ","")</f>
        <v>ベース_処方データ</v>
      </c>
      <c r="S7" s="138"/>
      <c r="T7" s="143" t="str">
        <f>エンティティ一覧!$O$2</f>
        <v>milscm_2023_010</v>
      </c>
    </row>
    <row r="8" spans="2:23" ht="18.75" customHeight="1">
      <c r="C8" s="139"/>
      <c r="D8" s="140"/>
      <c r="E8" s="144"/>
      <c r="F8" s="37"/>
      <c r="G8" s="38"/>
      <c r="H8" s="37"/>
      <c r="I8" s="37"/>
      <c r="J8" s="37"/>
      <c r="K8" s="37"/>
      <c r="L8" s="37"/>
      <c r="M8" s="37"/>
      <c r="N8" s="37"/>
      <c r="O8" s="37"/>
      <c r="P8" s="37"/>
      <c r="Q8" s="37"/>
      <c r="R8" s="139"/>
      <c r="S8" s="140"/>
      <c r="T8" s="144"/>
    </row>
    <row r="9" spans="2:23" ht="18.75" customHeight="1">
      <c r="F9" s="39"/>
      <c r="G9" s="40"/>
    </row>
    <row r="10" spans="2:23" ht="18.75" customHeight="1">
      <c r="C10" s="137" t="s">
        <v>3742</v>
      </c>
      <c r="D10" s="138"/>
      <c r="E10" s="143" t="str">
        <f>エンティティ一覧!$O$2</f>
        <v>milscm_2023_010</v>
      </c>
      <c r="G10" s="41"/>
    </row>
    <row r="11" spans="2:23" ht="18.75" customHeight="1">
      <c r="C11" s="139"/>
      <c r="D11" s="140"/>
      <c r="E11" s="144"/>
      <c r="F11" s="37"/>
    </row>
    <row r="13" spans="2:23" ht="18.75" customHeight="1" thickBot="1">
      <c r="B13" s="42"/>
      <c r="C13" s="42"/>
      <c r="D13" s="42"/>
      <c r="E13" s="42"/>
      <c r="F13" s="42"/>
      <c r="G13" s="42"/>
      <c r="H13" s="42"/>
      <c r="I13" s="42"/>
      <c r="J13" s="42"/>
      <c r="K13" s="42"/>
      <c r="L13" s="42"/>
      <c r="M13" s="42"/>
      <c r="N13" s="42"/>
      <c r="O13" s="42"/>
      <c r="P13" s="42"/>
      <c r="Q13" s="42"/>
      <c r="R13" s="42"/>
      <c r="S13" s="42"/>
      <c r="T13" s="42"/>
      <c r="U13" s="42"/>
    </row>
    <row r="15" spans="2:23" ht="18.75" customHeight="1">
      <c r="B15" s="43" t="s">
        <v>163</v>
      </c>
      <c r="C15" s="51" t="s">
        <v>3746</v>
      </c>
      <c r="D15" s="91"/>
      <c r="W15" s="35" t="str">
        <f>"-- "&amp;B15&amp;" : "&amp;C15</f>
        <v>-- SQL_ID : 31_A1-03</v>
      </c>
    </row>
    <row r="16" spans="2:23" ht="18.75" customHeight="1">
      <c r="B16" s="43" t="s">
        <v>158</v>
      </c>
      <c r="C16" s="145" t="str">
        <f>R19&amp;"登録"</f>
        <v>ベース_診療行為データ登録</v>
      </c>
      <c r="D16" s="146"/>
      <c r="E16" s="146"/>
      <c r="F16" s="146"/>
      <c r="G16" s="146"/>
      <c r="H16" s="146"/>
      <c r="I16" s="146"/>
      <c r="J16" s="146"/>
      <c r="K16" s="146"/>
      <c r="L16" s="146"/>
      <c r="M16" s="146"/>
      <c r="N16" s="146"/>
      <c r="O16" s="146"/>
      <c r="P16" s="146"/>
      <c r="Q16" s="146"/>
      <c r="R16" s="146"/>
      <c r="S16" s="146"/>
      <c r="T16" s="146"/>
      <c r="U16" s="147"/>
      <c r="W16" s="35" t="str">
        <f>"-- "&amp;C16</f>
        <v>-- ベース_診療行為データ登録</v>
      </c>
    </row>
    <row r="17" spans="2:23" ht="18.75" customHeight="1">
      <c r="B17" s="43" t="s">
        <v>159</v>
      </c>
      <c r="C17" s="134" t="str">
        <f>C19&amp;"テーブルから対象患者で絞り込んだ結果を"&amp;R19&amp;"テーブルに格納する。"</f>
        <v>バックアップ_診療行為データテーブルから対象患者で絞り込んだ結果をベース_診療行為データテーブルに格納する。</v>
      </c>
      <c r="D17" s="135"/>
      <c r="E17" s="135"/>
      <c r="F17" s="135"/>
      <c r="G17" s="135"/>
      <c r="H17" s="135"/>
      <c r="I17" s="135"/>
      <c r="J17" s="135"/>
      <c r="K17" s="135"/>
      <c r="L17" s="135"/>
      <c r="M17" s="135"/>
      <c r="N17" s="135"/>
      <c r="O17" s="135"/>
      <c r="P17" s="135"/>
      <c r="Q17" s="135"/>
      <c r="R17" s="135"/>
      <c r="S17" s="135"/>
      <c r="T17" s="135"/>
      <c r="U17" s="136"/>
      <c r="W17" s="35" t="str">
        <f>"-- "&amp;C17</f>
        <v>-- バックアップ_診療行為データテーブルから対象患者で絞り込んだ結果をベース_診療行為データテーブルに格納する。</v>
      </c>
    </row>
    <row r="19" spans="2:23" ht="18.75" customHeight="1">
      <c r="C19" s="137" t="s">
        <v>3745</v>
      </c>
      <c r="D19" s="138"/>
      <c r="E19" s="143" t="str">
        <f>エンティティ一覧!$O$2</f>
        <v>milscm_2023_010</v>
      </c>
      <c r="H19" s="36"/>
      <c r="I19" s="36"/>
      <c r="J19" s="36"/>
      <c r="K19" s="36"/>
      <c r="L19" s="36"/>
      <c r="M19" s="36"/>
      <c r="N19" s="36"/>
      <c r="O19" s="36"/>
      <c r="P19" s="36"/>
      <c r="Q19" s="36"/>
      <c r="R19" s="137" t="str">
        <f>"ベース"&amp;SUBSTITUTE(C19,"バックアップ","")</f>
        <v>ベース_診療行為データ</v>
      </c>
      <c r="S19" s="138"/>
      <c r="T19" s="143" t="str">
        <f>エンティティ一覧!$O$2</f>
        <v>milscm_2023_010</v>
      </c>
    </row>
    <row r="20" spans="2:23" ht="18.75" customHeight="1">
      <c r="C20" s="139"/>
      <c r="D20" s="140"/>
      <c r="E20" s="144"/>
      <c r="F20" s="37"/>
      <c r="G20" s="38"/>
      <c r="H20" s="37"/>
      <c r="I20" s="37"/>
      <c r="J20" s="37"/>
      <c r="K20" s="37"/>
      <c r="L20" s="37"/>
      <c r="M20" s="37"/>
      <c r="N20" s="37"/>
      <c r="O20" s="37"/>
      <c r="P20" s="37"/>
      <c r="Q20" s="37"/>
      <c r="R20" s="139"/>
      <c r="S20" s="140"/>
      <c r="T20" s="144"/>
    </row>
    <row r="21" spans="2:23" ht="18.75" customHeight="1">
      <c r="F21" s="39"/>
      <c r="G21" s="40"/>
    </row>
    <row r="22" spans="2:23" ht="18.75" customHeight="1">
      <c r="C22" s="137" t="s">
        <v>3742</v>
      </c>
      <c r="D22" s="138"/>
      <c r="E22" s="143" t="str">
        <f>エンティティ一覧!$O$2</f>
        <v>milscm_2023_010</v>
      </c>
      <c r="G22" s="41"/>
    </row>
    <row r="23" spans="2:23" ht="18.75" customHeight="1">
      <c r="C23" s="139"/>
      <c r="D23" s="140"/>
      <c r="E23" s="144"/>
      <c r="F23" s="37"/>
    </row>
    <row r="25" spans="2:23" ht="18.75" customHeight="1" thickBot="1">
      <c r="B25" s="42"/>
      <c r="C25" s="42"/>
      <c r="D25" s="42"/>
      <c r="E25" s="42"/>
      <c r="F25" s="42"/>
      <c r="G25" s="42"/>
      <c r="H25" s="42"/>
      <c r="I25" s="42"/>
      <c r="J25" s="42"/>
      <c r="K25" s="42"/>
      <c r="L25" s="42"/>
      <c r="M25" s="42"/>
      <c r="N25" s="42"/>
      <c r="O25" s="42"/>
      <c r="P25" s="42"/>
      <c r="Q25" s="42"/>
      <c r="R25" s="42"/>
      <c r="S25" s="42"/>
      <c r="T25" s="42"/>
      <c r="U25" s="42"/>
    </row>
    <row r="27" spans="2:23" ht="18.75" customHeight="1">
      <c r="B27" s="43" t="s">
        <v>163</v>
      </c>
      <c r="C27" s="51" t="s">
        <v>4070</v>
      </c>
      <c r="D27" s="96"/>
      <c r="W27" s="35" t="str">
        <f>"-- "&amp;B27&amp;" : "&amp;C27</f>
        <v>-- SQL_ID : 31_A1-04</v>
      </c>
    </row>
    <row r="28" spans="2:23" ht="18.75" customHeight="1">
      <c r="B28" s="43" t="s">
        <v>158</v>
      </c>
      <c r="C28" s="145" t="str">
        <f>R31&amp;"登録"</f>
        <v>ベース_疾患データ登録</v>
      </c>
      <c r="D28" s="146"/>
      <c r="E28" s="146"/>
      <c r="F28" s="146"/>
      <c r="G28" s="146"/>
      <c r="H28" s="146"/>
      <c r="I28" s="146"/>
      <c r="J28" s="146"/>
      <c r="K28" s="146"/>
      <c r="L28" s="146"/>
      <c r="M28" s="146"/>
      <c r="N28" s="146"/>
      <c r="O28" s="146"/>
      <c r="P28" s="146"/>
      <c r="Q28" s="146"/>
      <c r="R28" s="146"/>
      <c r="S28" s="146"/>
      <c r="T28" s="146"/>
      <c r="U28" s="147"/>
      <c r="W28" s="35" t="str">
        <f>"-- "&amp;C28</f>
        <v>-- ベース_疾患データ登録</v>
      </c>
    </row>
    <row r="29" spans="2:23" ht="18.75" customHeight="1">
      <c r="B29" s="43" t="s">
        <v>159</v>
      </c>
      <c r="C29" s="134" t="str">
        <f>C31&amp;"テーブルから対象患者で絞り込んだ結果を"&amp;R31&amp;"テーブルに格納する。"</f>
        <v>バックアップ_疾患データテーブルから対象患者で絞り込んだ結果をベース_疾患データテーブルに格納する。</v>
      </c>
      <c r="D29" s="135"/>
      <c r="E29" s="135"/>
      <c r="F29" s="135"/>
      <c r="G29" s="135"/>
      <c r="H29" s="135"/>
      <c r="I29" s="135"/>
      <c r="J29" s="135"/>
      <c r="K29" s="135"/>
      <c r="L29" s="135"/>
      <c r="M29" s="135"/>
      <c r="N29" s="135"/>
      <c r="O29" s="135"/>
      <c r="P29" s="135"/>
      <c r="Q29" s="135"/>
      <c r="R29" s="135"/>
      <c r="S29" s="135"/>
      <c r="T29" s="135"/>
      <c r="U29" s="136"/>
      <c r="W29" s="35" t="str">
        <f>"-- "&amp;C29</f>
        <v>-- バックアップ_疾患データテーブルから対象患者で絞り込んだ結果をベース_疾患データテーブルに格納する。</v>
      </c>
    </row>
    <row r="31" spans="2:23" ht="18.75" customHeight="1">
      <c r="C31" s="137" t="s">
        <v>4069</v>
      </c>
      <c r="D31" s="138"/>
      <c r="E31" s="143" t="str">
        <f>エンティティ一覧!$O$2</f>
        <v>milscm_2023_010</v>
      </c>
      <c r="H31" s="36"/>
      <c r="I31" s="36"/>
      <c r="J31" s="36"/>
      <c r="K31" s="36"/>
      <c r="L31" s="36"/>
      <c r="M31" s="36"/>
      <c r="N31" s="36"/>
      <c r="O31" s="36"/>
      <c r="P31" s="36"/>
      <c r="Q31" s="36"/>
      <c r="R31" s="137" t="str">
        <f>"ベース"&amp;SUBSTITUTE(C31,"バックアップ","")</f>
        <v>ベース_疾患データ</v>
      </c>
      <c r="S31" s="138"/>
      <c r="T31" s="143" t="str">
        <f>エンティティ一覧!$O$2</f>
        <v>milscm_2023_010</v>
      </c>
    </row>
    <row r="32" spans="2:23" ht="18.75" customHeight="1">
      <c r="C32" s="139"/>
      <c r="D32" s="140"/>
      <c r="E32" s="144"/>
      <c r="F32" s="37"/>
      <c r="G32" s="38"/>
      <c r="H32" s="37"/>
      <c r="I32" s="37"/>
      <c r="J32" s="37"/>
      <c r="K32" s="37"/>
      <c r="L32" s="37"/>
      <c r="M32" s="37"/>
      <c r="N32" s="37"/>
      <c r="O32" s="37"/>
      <c r="P32" s="37"/>
      <c r="Q32" s="37"/>
      <c r="R32" s="139"/>
      <c r="S32" s="140"/>
      <c r="T32" s="144"/>
    </row>
    <row r="33" spans="2:23" ht="18.75" customHeight="1">
      <c r="F33" s="39"/>
      <c r="G33" s="40"/>
    </row>
    <row r="34" spans="2:23" ht="18.75" customHeight="1">
      <c r="C34" s="137" t="s">
        <v>3742</v>
      </c>
      <c r="D34" s="138"/>
      <c r="E34" s="143" t="str">
        <f>エンティティ一覧!$O$2</f>
        <v>milscm_2023_010</v>
      </c>
      <c r="G34" s="41"/>
    </row>
    <row r="35" spans="2:23" ht="18.75" customHeight="1">
      <c r="C35" s="139"/>
      <c r="D35" s="140"/>
      <c r="E35" s="144"/>
      <c r="F35" s="37"/>
    </row>
    <row r="37" spans="2:23" ht="18.75" customHeight="1" thickBot="1">
      <c r="B37" s="42"/>
      <c r="C37" s="42"/>
      <c r="D37" s="42"/>
      <c r="E37" s="42"/>
      <c r="F37" s="42"/>
      <c r="G37" s="42"/>
      <c r="H37" s="42"/>
      <c r="I37" s="42"/>
      <c r="J37" s="42"/>
      <c r="K37" s="42"/>
      <c r="L37" s="42"/>
      <c r="M37" s="42"/>
      <c r="N37" s="42"/>
      <c r="O37" s="42"/>
      <c r="P37" s="42"/>
      <c r="Q37" s="42"/>
      <c r="R37" s="42"/>
      <c r="S37" s="42"/>
      <c r="T37" s="42"/>
      <c r="U37" s="42"/>
    </row>
    <row r="39" spans="2:23" ht="18.75" customHeight="1">
      <c r="B39" s="43" t="s">
        <v>163</v>
      </c>
      <c r="C39" s="51" t="s">
        <v>3747</v>
      </c>
      <c r="D39" s="91"/>
      <c r="W39" s="35" t="str">
        <f>"-- "&amp;B39&amp;" : "&amp;C39</f>
        <v>-- SQL_ID : 31_A1-06</v>
      </c>
    </row>
    <row r="40" spans="2:23" ht="18.75" customHeight="1">
      <c r="B40" s="43" t="s">
        <v>158</v>
      </c>
      <c r="C40" s="145" t="str">
        <f>R43&amp;"登録"</f>
        <v>ベース_入院退院データ登録</v>
      </c>
      <c r="D40" s="146"/>
      <c r="E40" s="146"/>
      <c r="F40" s="146"/>
      <c r="G40" s="146"/>
      <c r="H40" s="146"/>
      <c r="I40" s="146"/>
      <c r="J40" s="146"/>
      <c r="K40" s="146"/>
      <c r="L40" s="146"/>
      <c r="M40" s="146"/>
      <c r="N40" s="146"/>
      <c r="O40" s="146"/>
      <c r="P40" s="146"/>
      <c r="Q40" s="146"/>
      <c r="R40" s="146"/>
      <c r="S40" s="146"/>
      <c r="T40" s="146"/>
      <c r="U40" s="147"/>
      <c r="W40" s="35" t="str">
        <f>"-- "&amp;C40</f>
        <v>-- ベース_入院退院データ登録</v>
      </c>
    </row>
    <row r="41" spans="2:23" ht="18.75" customHeight="1">
      <c r="B41" s="43" t="s">
        <v>159</v>
      </c>
      <c r="C41" s="134" t="str">
        <f>C43&amp;"テーブルから対象患者で絞り込んだ結果を"&amp;R43&amp;"テーブルに格納する。"</f>
        <v>バックアップ_入院退院データテーブルから対象患者で絞り込んだ結果をベース_入院退院データテーブルに格納する。</v>
      </c>
      <c r="D41" s="135"/>
      <c r="E41" s="135"/>
      <c r="F41" s="135"/>
      <c r="G41" s="135"/>
      <c r="H41" s="135"/>
      <c r="I41" s="135"/>
      <c r="J41" s="135"/>
      <c r="K41" s="135"/>
      <c r="L41" s="135"/>
      <c r="M41" s="135"/>
      <c r="N41" s="135"/>
      <c r="O41" s="135"/>
      <c r="P41" s="135"/>
      <c r="Q41" s="135"/>
      <c r="R41" s="135"/>
      <c r="S41" s="135"/>
      <c r="T41" s="135"/>
      <c r="U41" s="136"/>
      <c r="W41" s="35" t="str">
        <f>"-- "&amp;C41</f>
        <v>-- バックアップ_入院退院データテーブルから対象患者で絞り込んだ結果をベース_入院退院データテーブルに格納する。</v>
      </c>
    </row>
    <row r="43" spans="2:23" ht="18.75" customHeight="1">
      <c r="C43" s="137" t="s">
        <v>3748</v>
      </c>
      <c r="D43" s="138"/>
      <c r="E43" s="143" t="str">
        <f>エンティティ一覧!$O$2</f>
        <v>milscm_2023_010</v>
      </c>
      <c r="H43" s="36"/>
      <c r="I43" s="36"/>
      <c r="J43" s="36"/>
      <c r="K43" s="36"/>
      <c r="L43" s="36"/>
      <c r="M43" s="36"/>
      <c r="N43" s="36"/>
      <c r="O43" s="36"/>
      <c r="P43" s="36"/>
      <c r="Q43" s="36"/>
      <c r="R43" s="137" t="str">
        <f>"ベース"&amp;SUBSTITUTE(C43,"バックアップ","")</f>
        <v>ベース_入院退院データ</v>
      </c>
      <c r="S43" s="138"/>
      <c r="T43" s="143" t="str">
        <f>エンティティ一覧!$O$2</f>
        <v>milscm_2023_010</v>
      </c>
    </row>
    <row r="44" spans="2:23" ht="18.75" customHeight="1">
      <c r="C44" s="139"/>
      <c r="D44" s="140"/>
      <c r="E44" s="144"/>
      <c r="F44" s="37"/>
      <c r="G44" s="38"/>
      <c r="H44" s="37"/>
      <c r="I44" s="37"/>
      <c r="J44" s="37"/>
      <c r="K44" s="37"/>
      <c r="L44" s="37"/>
      <c r="M44" s="37"/>
      <c r="N44" s="37"/>
      <c r="O44" s="37"/>
      <c r="P44" s="37"/>
      <c r="Q44" s="37"/>
      <c r="R44" s="139"/>
      <c r="S44" s="140"/>
      <c r="T44" s="144"/>
    </row>
    <row r="45" spans="2:23" ht="18.75" customHeight="1">
      <c r="F45" s="39"/>
      <c r="G45" s="40"/>
    </row>
    <row r="46" spans="2:23" ht="18.75" customHeight="1">
      <c r="C46" s="137" t="s">
        <v>3742</v>
      </c>
      <c r="D46" s="138"/>
      <c r="E46" s="143" t="str">
        <f>エンティティ一覧!$O$2</f>
        <v>milscm_2023_010</v>
      </c>
      <c r="G46" s="41"/>
    </row>
    <row r="47" spans="2:23" ht="18.75" customHeight="1">
      <c r="C47" s="139"/>
      <c r="D47" s="140"/>
      <c r="E47" s="144"/>
      <c r="F47" s="37"/>
    </row>
    <row r="49" spans="2:23" ht="18.75" customHeight="1" thickBot="1">
      <c r="B49" s="42"/>
      <c r="C49" s="42"/>
      <c r="D49" s="42"/>
      <c r="E49" s="42"/>
      <c r="F49" s="42"/>
      <c r="G49" s="42"/>
      <c r="H49" s="42"/>
      <c r="I49" s="42"/>
      <c r="J49" s="42"/>
      <c r="K49" s="42"/>
      <c r="L49" s="42"/>
      <c r="M49" s="42"/>
      <c r="N49" s="42"/>
      <c r="O49" s="42"/>
      <c r="P49" s="42"/>
      <c r="Q49" s="42"/>
      <c r="R49" s="42"/>
      <c r="S49" s="42"/>
      <c r="T49" s="42"/>
      <c r="U49" s="42"/>
    </row>
    <row r="51" spans="2:23" ht="18.75" customHeight="1">
      <c r="B51" s="43" t="s">
        <v>163</v>
      </c>
      <c r="C51" s="51" t="s">
        <v>3749</v>
      </c>
      <c r="D51" s="91"/>
      <c r="W51" s="35" t="str">
        <f>"-- "&amp;B51&amp;" : "&amp;C51</f>
        <v>-- SQL_ID : 31_A1-14</v>
      </c>
    </row>
    <row r="52" spans="2:23" ht="18.75" customHeight="1">
      <c r="B52" s="43" t="s">
        <v>158</v>
      </c>
      <c r="C52" s="145" t="str">
        <f>R55&amp;"登録"</f>
        <v>ベース_患者基本データ登録</v>
      </c>
      <c r="D52" s="146"/>
      <c r="E52" s="146"/>
      <c r="F52" s="146"/>
      <c r="G52" s="146"/>
      <c r="H52" s="146"/>
      <c r="I52" s="146"/>
      <c r="J52" s="146"/>
      <c r="K52" s="146"/>
      <c r="L52" s="146"/>
      <c r="M52" s="146"/>
      <c r="N52" s="146"/>
      <c r="O52" s="146"/>
      <c r="P52" s="146"/>
      <c r="Q52" s="146"/>
      <c r="R52" s="146"/>
      <c r="S52" s="146"/>
      <c r="T52" s="146"/>
      <c r="U52" s="147"/>
      <c r="W52" s="35" t="str">
        <f>"-- "&amp;C52</f>
        <v>-- ベース_患者基本データ登録</v>
      </c>
    </row>
    <row r="53" spans="2:23" ht="18.75" customHeight="1">
      <c r="B53" s="43" t="s">
        <v>159</v>
      </c>
      <c r="C53" s="134" t="str">
        <f>C55&amp;"テーブルから対象患者で絞り込んだ結果を"&amp;R55&amp;"テーブルに格納する。"</f>
        <v>バックアップ_患者基本データテーブルから対象患者で絞り込んだ結果をベース_患者基本データテーブルに格納する。</v>
      </c>
      <c r="D53" s="135"/>
      <c r="E53" s="135"/>
      <c r="F53" s="135"/>
      <c r="G53" s="135"/>
      <c r="H53" s="135"/>
      <c r="I53" s="135"/>
      <c r="J53" s="135"/>
      <c r="K53" s="135"/>
      <c r="L53" s="135"/>
      <c r="M53" s="135"/>
      <c r="N53" s="135"/>
      <c r="O53" s="135"/>
      <c r="P53" s="135"/>
      <c r="Q53" s="135"/>
      <c r="R53" s="135"/>
      <c r="S53" s="135"/>
      <c r="T53" s="135"/>
      <c r="U53" s="136"/>
      <c r="W53" s="35" t="str">
        <f>"-- "&amp;C53</f>
        <v>-- バックアップ_患者基本データテーブルから対象患者で絞り込んだ結果をベース_患者基本データテーブルに格納する。</v>
      </c>
    </row>
    <row r="55" spans="2:23" ht="18.75" customHeight="1">
      <c r="C55" s="137" t="s">
        <v>3750</v>
      </c>
      <c r="D55" s="138"/>
      <c r="E55" s="143" t="str">
        <f>エンティティ一覧!$O$2</f>
        <v>milscm_2023_010</v>
      </c>
      <c r="H55" s="36"/>
      <c r="I55" s="36"/>
      <c r="J55" s="36"/>
      <c r="K55" s="36"/>
      <c r="L55" s="36"/>
      <c r="M55" s="36"/>
      <c r="N55" s="36"/>
      <c r="O55" s="36"/>
      <c r="P55" s="36"/>
      <c r="Q55" s="36"/>
      <c r="R55" s="137" t="str">
        <f>"ベース"&amp;SUBSTITUTE(C55,"バックアップ","")</f>
        <v>ベース_患者基本データ</v>
      </c>
      <c r="S55" s="138"/>
      <c r="T55" s="143" t="str">
        <f>エンティティ一覧!$O$2</f>
        <v>milscm_2023_010</v>
      </c>
    </row>
    <row r="56" spans="2:23" ht="18.75" customHeight="1">
      <c r="C56" s="139"/>
      <c r="D56" s="140"/>
      <c r="E56" s="144"/>
      <c r="F56" s="37"/>
      <c r="G56" s="38"/>
      <c r="H56" s="37"/>
      <c r="I56" s="37"/>
      <c r="J56" s="37"/>
      <c r="K56" s="37"/>
      <c r="L56" s="37"/>
      <c r="M56" s="37"/>
      <c r="N56" s="37"/>
      <c r="O56" s="37"/>
      <c r="P56" s="37"/>
      <c r="Q56" s="37"/>
      <c r="R56" s="139"/>
      <c r="S56" s="140"/>
      <c r="T56" s="144"/>
    </row>
    <row r="57" spans="2:23" ht="18.75" customHeight="1">
      <c r="F57" s="39"/>
      <c r="G57" s="40"/>
    </row>
    <row r="58" spans="2:23" ht="18.75" customHeight="1">
      <c r="C58" s="137" t="s">
        <v>3742</v>
      </c>
      <c r="D58" s="138"/>
      <c r="E58" s="143" t="str">
        <f>エンティティ一覧!$O$2</f>
        <v>milscm_2023_010</v>
      </c>
      <c r="G58" s="41"/>
    </row>
    <row r="59" spans="2:23" ht="18.75" customHeight="1">
      <c r="C59" s="139"/>
      <c r="D59" s="140"/>
      <c r="E59" s="144"/>
      <c r="F59" s="37"/>
    </row>
    <row r="61" spans="2:23" ht="18.75" customHeight="1" thickBot="1">
      <c r="B61" s="42"/>
      <c r="C61" s="42"/>
      <c r="D61" s="42"/>
      <c r="E61" s="42"/>
      <c r="F61" s="42"/>
      <c r="G61" s="42"/>
      <c r="H61" s="42"/>
      <c r="I61" s="42"/>
      <c r="J61" s="42"/>
      <c r="K61" s="42"/>
      <c r="L61" s="42"/>
      <c r="M61" s="42"/>
      <c r="N61" s="42"/>
      <c r="O61" s="42"/>
      <c r="P61" s="42"/>
      <c r="Q61" s="42"/>
      <c r="R61" s="42"/>
      <c r="S61" s="42"/>
      <c r="T61" s="42"/>
      <c r="U61" s="42"/>
    </row>
    <row r="63" spans="2:23" ht="18.75" customHeight="1">
      <c r="B63" s="43" t="s">
        <v>163</v>
      </c>
      <c r="C63" s="51" t="s">
        <v>3752</v>
      </c>
      <c r="D63" s="91"/>
      <c r="W63" s="35" t="str">
        <f>"-- "&amp;B63&amp;" : "&amp;C63</f>
        <v>-- SQL_ID : 31_A6-02</v>
      </c>
    </row>
    <row r="64" spans="2:23" ht="18.75" customHeight="1">
      <c r="B64" s="43" t="s">
        <v>158</v>
      </c>
      <c r="C64" s="145" t="str">
        <f>R67&amp;"登録"</f>
        <v>ベース_MML共通登録</v>
      </c>
      <c r="D64" s="146"/>
      <c r="E64" s="146"/>
      <c r="F64" s="146"/>
      <c r="G64" s="146"/>
      <c r="H64" s="146"/>
      <c r="I64" s="146"/>
      <c r="J64" s="146"/>
      <c r="K64" s="146"/>
      <c r="L64" s="146"/>
      <c r="M64" s="146"/>
      <c r="N64" s="146"/>
      <c r="O64" s="146"/>
      <c r="P64" s="146"/>
      <c r="Q64" s="146"/>
      <c r="R64" s="146"/>
      <c r="S64" s="146"/>
      <c r="T64" s="146"/>
      <c r="U64" s="147"/>
      <c r="W64" s="35" t="str">
        <f>"-- "&amp;C64</f>
        <v>-- ベース_MML共通登録</v>
      </c>
    </row>
    <row r="65" spans="2:23" ht="18.75" customHeight="1">
      <c r="B65" s="43" t="s">
        <v>159</v>
      </c>
      <c r="C65" s="134" t="str">
        <f>C67&amp;"テーブルから対象患者で絞り込んだ結果を"&amp;R67&amp;"テーブルに格納する。"</f>
        <v>バックアップ_MML共通テーブルから対象患者で絞り込んだ結果をベース_MML共通テーブルに格納する。</v>
      </c>
      <c r="D65" s="135"/>
      <c r="E65" s="135"/>
      <c r="F65" s="135"/>
      <c r="G65" s="135"/>
      <c r="H65" s="135"/>
      <c r="I65" s="135"/>
      <c r="J65" s="135"/>
      <c r="K65" s="135"/>
      <c r="L65" s="135"/>
      <c r="M65" s="135"/>
      <c r="N65" s="135"/>
      <c r="O65" s="135"/>
      <c r="P65" s="135"/>
      <c r="Q65" s="135"/>
      <c r="R65" s="135"/>
      <c r="S65" s="135"/>
      <c r="T65" s="135"/>
      <c r="U65" s="136"/>
      <c r="W65" s="35" t="str">
        <f>"-- "&amp;C65</f>
        <v>-- バックアップ_MML共通テーブルから対象患者で絞り込んだ結果をベース_MML共通テーブルに格納する。</v>
      </c>
    </row>
    <row r="67" spans="2:23" ht="18.75" customHeight="1">
      <c r="C67" s="137" t="s">
        <v>3751</v>
      </c>
      <c r="D67" s="138"/>
      <c r="E67" s="143" t="str">
        <f>エンティティ一覧!$O$2</f>
        <v>milscm_2023_010</v>
      </c>
      <c r="H67" s="36"/>
      <c r="I67" s="36"/>
      <c r="J67" s="36"/>
      <c r="K67" s="36"/>
      <c r="L67" s="36"/>
      <c r="M67" s="36"/>
      <c r="N67" s="36"/>
      <c r="O67" s="36"/>
      <c r="P67" s="36"/>
      <c r="Q67" s="36"/>
      <c r="R67" s="137" t="str">
        <f>"ベース"&amp;SUBSTITUTE(C67,"バックアップ","")</f>
        <v>ベース_MML共通</v>
      </c>
      <c r="S67" s="138"/>
      <c r="T67" s="143" t="str">
        <f>エンティティ一覧!$O$2</f>
        <v>milscm_2023_010</v>
      </c>
    </row>
    <row r="68" spans="2:23" ht="18.75" customHeight="1">
      <c r="C68" s="139"/>
      <c r="D68" s="140"/>
      <c r="E68" s="144"/>
      <c r="F68" s="37"/>
      <c r="G68" s="38"/>
      <c r="H68" s="37"/>
      <c r="I68" s="37"/>
      <c r="J68" s="37"/>
      <c r="K68" s="37"/>
      <c r="L68" s="37"/>
      <c r="M68" s="37"/>
      <c r="N68" s="37"/>
      <c r="O68" s="37"/>
      <c r="P68" s="37"/>
      <c r="Q68" s="37"/>
      <c r="R68" s="139"/>
      <c r="S68" s="140"/>
      <c r="T68" s="144"/>
    </row>
    <row r="69" spans="2:23" ht="18.75" customHeight="1">
      <c r="F69" s="39"/>
      <c r="G69" s="40"/>
    </row>
    <row r="70" spans="2:23" ht="18.75" customHeight="1">
      <c r="C70" s="137" t="s">
        <v>3742</v>
      </c>
      <c r="D70" s="138"/>
      <c r="E70" s="143" t="str">
        <f>エンティティ一覧!$O$2</f>
        <v>milscm_2023_010</v>
      </c>
      <c r="G70" s="41"/>
    </row>
    <row r="71" spans="2:23" ht="18.75" customHeight="1">
      <c r="C71" s="139"/>
      <c r="D71" s="140"/>
      <c r="E71" s="144"/>
      <c r="F71" s="37"/>
    </row>
    <row r="73" spans="2:23" ht="18.75" customHeight="1" thickBot="1">
      <c r="B73" s="42"/>
      <c r="C73" s="42"/>
      <c r="D73" s="42"/>
      <c r="E73" s="42"/>
      <c r="F73" s="42"/>
      <c r="G73" s="42"/>
      <c r="H73" s="42"/>
      <c r="I73" s="42"/>
      <c r="J73" s="42"/>
      <c r="K73" s="42"/>
      <c r="L73" s="42"/>
      <c r="M73" s="42"/>
      <c r="N73" s="42"/>
      <c r="O73" s="42"/>
      <c r="P73" s="42"/>
      <c r="Q73" s="42"/>
      <c r="R73" s="42"/>
      <c r="S73" s="42"/>
      <c r="T73" s="42"/>
      <c r="U73" s="42"/>
    </row>
    <row r="75" spans="2:23" ht="18.75" customHeight="1">
      <c r="B75" s="43" t="s">
        <v>163</v>
      </c>
      <c r="C75" s="51" t="s">
        <v>3754</v>
      </c>
      <c r="D75" s="91"/>
      <c r="W75" s="35" t="str">
        <f>"-- "&amp;B75&amp;" : "&amp;C75</f>
        <v>-- SQL_ID : 31_A6-03</v>
      </c>
    </row>
    <row r="76" spans="2:23" ht="18.75" customHeight="1">
      <c r="B76" s="43" t="s">
        <v>158</v>
      </c>
      <c r="C76" s="145" t="str">
        <f>R79&amp;"登録"</f>
        <v>ベース_MML_診断履歴情報モジュール_本文登録</v>
      </c>
      <c r="D76" s="146"/>
      <c r="E76" s="146"/>
      <c r="F76" s="146"/>
      <c r="G76" s="146"/>
      <c r="H76" s="146"/>
      <c r="I76" s="146"/>
      <c r="J76" s="146"/>
      <c r="K76" s="146"/>
      <c r="L76" s="146"/>
      <c r="M76" s="146"/>
      <c r="N76" s="146"/>
      <c r="O76" s="146"/>
      <c r="P76" s="146"/>
      <c r="Q76" s="146"/>
      <c r="R76" s="146"/>
      <c r="S76" s="146"/>
      <c r="T76" s="146"/>
      <c r="U76" s="147"/>
      <c r="W76" s="35" t="str">
        <f>"-- "&amp;C76</f>
        <v>-- ベース_MML_診断履歴情報モジュール_本文登録</v>
      </c>
    </row>
    <row r="77" spans="2:23" ht="18.75" customHeight="1">
      <c r="B77" s="43" t="s">
        <v>159</v>
      </c>
      <c r="C77" s="134" t="str">
        <f>C79&amp;"テーブルから対象患者で絞り込んだ結果を"&amp;R79&amp;"テーブルに格納する。"</f>
        <v>バックアップ_MML_診断履歴情報モジュール_本文テーブルから対象患者で絞り込んだ結果をベース_MML_診断履歴情報モジュール_本文テーブルに格納する。</v>
      </c>
      <c r="D77" s="135"/>
      <c r="E77" s="135"/>
      <c r="F77" s="135"/>
      <c r="G77" s="135"/>
      <c r="H77" s="135"/>
      <c r="I77" s="135"/>
      <c r="J77" s="135"/>
      <c r="K77" s="135"/>
      <c r="L77" s="135"/>
      <c r="M77" s="135"/>
      <c r="N77" s="135"/>
      <c r="O77" s="135"/>
      <c r="P77" s="135"/>
      <c r="Q77" s="135"/>
      <c r="R77" s="135"/>
      <c r="S77" s="135"/>
      <c r="T77" s="135"/>
      <c r="U77" s="136"/>
      <c r="W77" s="35" t="str">
        <f>"-- "&amp;C77</f>
        <v>-- バックアップ_MML_診断履歴情報モジュール_本文テーブルから対象患者で絞り込んだ結果をベース_MML_診断履歴情報モジュール_本文テーブルに格納する。</v>
      </c>
    </row>
    <row r="79" spans="2:23" ht="18.75" customHeight="1">
      <c r="C79" s="137" t="s">
        <v>3753</v>
      </c>
      <c r="D79" s="138"/>
      <c r="E79" s="143" t="str">
        <f>エンティティ一覧!$O$2</f>
        <v>milscm_2023_010</v>
      </c>
      <c r="H79" s="36"/>
      <c r="I79" s="36"/>
      <c r="J79" s="36"/>
      <c r="K79" s="36"/>
      <c r="L79" s="36"/>
      <c r="M79" s="36"/>
      <c r="N79" s="36"/>
      <c r="O79" s="36"/>
      <c r="P79" s="36"/>
      <c r="Q79" s="36"/>
      <c r="R79" s="137" t="str">
        <f>"ベース"&amp;SUBSTITUTE(C79,"バックアップ","")</f>
        <v>ベース_MML_診断履歴情報モジュール_本文</v>
      </c>
      <c r="S79" s="138"/>
      <c r="T79" s="143" t="str">
        <f>エンティティ一覧!$O$2</f>
        <v>milscm_2023_010</v>
      </c>
    </row>
    <row r="80" spans="2:23" ht="18.75" customHeight="1">
      <c r="C80" s="139"/>
      <c r="D80" s="140"/>
      <c r="E80" s="144"/>
      <c r="F80" s="37"/>
      <c r="G80" s="38"/>
      <c r="H80" s="37"/>
      <c r="I80" s="37"/>
      <c r="J80" s="37"/>
      <c r="K80" s="37"/>
      <c r="L80" s="37"/>
      <c r="M80" s="37"/>
      <c r="N80" s="37"/>
      <c r="O80" s="37"/>
      <c r="P80" s="37"/>
      <c r="Q80" s="37"/>
      <c r="R80" s="139"/>
      <c r="S80" s="140"/>
      <c r="T80" s="144"/>
    </row>
    <row r="81" spans="2:23" ht="18.75" customHeight="1">
      <c r="F81" s="39"/>
      <c r="G81" s="40"/>
    </row>
    <row r="82" spans="2:23" ht="18.75" customHeight="1">
      <c r="C82" s="137" t="s">
        <v>3742</v>
      </c>
      <c r="D82" s="138"/>
      <c r="E82" s="143" t="str">
        <f>エンティティ一覧!$O$2</f>
        <v>milscm_2023_010</v>
      </c>
      <c r="G82" s="41"/>
    </row>
    <row r="83" spans="2:23" ht="18.75" customHeight="1">
      <c r="C83" s="139"/>
      <c r="D83" s="140"/>
      <c r="E83" s="144"/>
      <c r="F83" s="37"/>
    </row>
    <row r="85" spans="2:23" ht="18.75" customHeight="1" thickBot="1">
      <c r="B85" s="42"/>
      <c r="C85" s="42"/>
      <c r="D85" s="42"/>
      <c r="E85" s="42"/>
      <c r="F85" s="42"/>
      <c r="G85" s="42"/>
      <c r="H85" s="42"/>
      <c r="I85" s="42"/>
      <c r="J85" s="42"/>
      <c r="K85" s="42"/>
      <c r="L85" s="42"/>
      <c r="M85" s="42"/>
      <c r="N85" s="42"/>
      <c r="O85" s="42"/>
      <c r="P85" s="42"/>
      <c r="Q85" s="42"/>
      <c r="R85" s="42"/>
      <c r="S85" s="42"/>
      <c r="T85" s="42"/>
      <c r="U85" s="42"/>
    </row>
    <row r="87" spans="2:23" ht="18.75" customHeight="1">
      <c r="B87" s="43" t="s">
        <v>163</v>
      </c>
      <c r="C87" s="51" t="s">
        <v>3755</v>
      </c>
      <c r="D87" s="91"/>
      <c r="W87" s="35" t="str">
        <f>"-- "&amp;B87&amp;" : "&amp;C87</f>
        <v>-- SQL_ID : 31_A6-04</v>
      </c>
    </row>
    <row r="88" spans="2:23" ht="18.75" customHeight="1">
      <c r="B88" s="43" t="s">
        <v>158</v>
      </c>
      <c r="C88" s="145" t="str">
        <f>R91&amp;"登録"</f>
        <v>ベース_MML_診断履歴情報モジュール_病名登録</v>
      </c>
      <c r="D88" s="146"/>
      <c r="E88" s="146"/>
      <c r="F88" s="146"/>
      <c r="G88" s="146"/>
      <c r="H88" s="146"/>
      <c r="I88" s="146"/>
      <c r="J88" s="146"/>
      <c r="K88" s="146"/>
      <c r="L88" s="146"/>
      <c r="M88" s="146"/>
      <c r="N88" s="146"/>
      <c r="O88" s="146"/>
      <c r="P88" s="146"/>
      <c r="Q88" s="146"/>
      <c r="R88" s="146"/>
      <c r="S88" s="146"/>
      <c r="T88" s="146"/>
      <c r="U88" s="147"/>
      <c r="W88" s="35" t="str">
        <f>"-- "&amp;C88</f>
        <v>-- ベース_MML_診断履歴情報モジュール_病名登録</v>
      </c>
    </row>
    <row r="89" spans="2:23" ht="18.75" customHeight="1">
      <c r="B89" s="43" t="s">
        <v>159</v>
      </c>
      <c r="C89" s="134" t="str">
        <f>C91&amp;"テーブルから対象患者で絞り込んだ結果を"&amp;R91&amp;"テーブルに格納する。"</f>
        <v>バックアップ_MML_診断履歴情報モジュール_病名テーブルから対象患者で絞り込んだ結果をベース_MML_診断履歴情報モジュール_病名テーブルに格納する。</v>
      </c>
      <c r="D89" s="135"/>
      <c r="E89" s="135"/>
      <c r="F89" s="135"/>
      <c r="G89" s="135"/>
      <c r="H89" s="135"/>
      <c r="I89" s="135"/>
      <c r="J89" s="135"/>
      <c r="K89" s="135"/>
      <c r="L89" s="135"/>
      <c r="M89" s="135"/>
      <c r="N89" s="135"/>
      <c r="O89" s="135"/>
      <c r="P89" s="135"/>
      <c r="Q89" s="135"/>
      <c r="R89" s="135"/>
      <c r="S89" s="135"/>
      <c r="T89" s="135"/>
      <c r="U89" s="136"/>
      <c r="W89" s="35" t="str">
        <f>"-- "&amp;C89</f>
        <v>-- バックアップ_MML_診断履歴情報モジュール_病名テーブルから対象患者で絞り込んだ結果をベース_MML_診断履歴情報モジュール_病名テーブルに格納する。</v>
      </c>
    </row>
    <row r="91" spans="2:23" ht="18.75" customHeight="1">
      <c r="C91" s="137" t="s">
        <v>3756</v>
      </c>
      <c r="D91" s="138"/>
      <c r="E91" s="143" t="str">
        <f>エンティティ一覧!$O$2</f>
        <v>milscm_2023_010</v>
      </c>
      <c r="H91" s="36"/>
      <c r="I91" s="36"/>
      <c r="J91" s="36"/>
      <c r="K91" s="36"/>
      <c r="L91" s="36"/>
      <c r="M91" s="36"/>
      <c r="N91" s="36"/>
      <c r="O91" s="36"/>
      <c r="P91" s="36"/>
      <c r="Q91" s="36"/>
      <c r="R91" s="137" t="str">
        <f>"ベース"&amp;SUBSTITUTE(C91,"バックアップ","")</f>
        <v>ベース_MML_診断履歴情報モジュール_病名</v>
      </c>
      <c r="S91" s="138"/>
      <c r="T91" s="143" t="str">
        <f>エンティティ一覧!$O$2</f>
        <v>milscm_2023_010</v>
      </c>
    </row>
    <row r="92" spans="2:23" ht="18.75" customHeight="1">
      <c r="C92" s="139"/>
      <c r="D92" s="140"/>
      <c r="E92" s="144"/>
      <c r="F92" s="37"/>
      <c r="G92" s="38"/>
      <c r="H92" s="37"/>
      <c r="I92" s="37"/>
      <c r="J92" s="37"/>
      <c r="K92" s="37"/>
      <c r="L92" s="37"/>
      <c r="M92" s="37"/>
      <c r="N92" s="37"/>
      <c r="O92" s="37"/>
      <c r="P92" s="37"/>
      <c r="Q92" s="37"/>
      <c r="R92" s="139"/>
      <c r="S92" s="140"/>
      <c r="T92" s="144"/>
    </row>
    <row r="93" spans="2:23" ht="18.75" customHeight="1">
      <c r="F93" s="39"/>
      <c r="G93" s="40"/>
    </row>
    <row r="94" spans="2:23" ht="18.75" customHeight="1">
      <c r="C94" s="137" t="s">
        <v>3742</v>
      </c>
      <c r="D94" s="138"/>
      <c r="E94" s="143" t="str">
        <f>エンティティ一覧!$O$2</f>
        <v>milscm_2023_010</v>
      </c>
      <c r="G94" s="41"/>
    </row>
    <row r="95" spans="2:23" ht="18.75" customHeight="1">
      <c r="C95" s="139"/>
      <c r="D95" s="140"/>
      <c r="E95" s="144"/>
      <c r="F95" s="37"/>
    </row>
    <row r="97" spans="2:23" ht="18.75" customHeight="1" thickBot="1">
      <c r="B97" s="42"/>
      <c r="C97" s="42"/>
      <c r="D97" s="42"/>
      <c r="E97" s="42"/>
      <c r="F97" s="42"/>
      <c r="G97" s="42"/>
      <c r="H97" s="42"/>
      <c r="I97" s="42"/>
      <c r="J97" s="42"/>
      <c r="K97" s="42"/>
      <c r="L97" s="42"/>
      <c r="M97" s="42"/>
      <c r="N97" s="42"/>
      <c r="O97" s="42"/>
      <c r="P97" s="42"/>
      <c r="Q97" s="42"/>
      <c r="R97" s="42"/>
      <c r="S97" s="42"/>
      <c r="T97" s="42"/>
      <c r="U97" s="42"/>
    </row>
    <row r="99" spans="2:23" ht="18.75" customHeight="1">
      <c r="B99" s="43" t="s">
        <v>163</v>
      </c>
      <c r="C99" s="51" t="s">
        <v>3926</v>
      </c>
      <c r="D99" s="95"/>
      <c r="W99" s="35" t="str">
        <f>"-- "&amp;B99&amp;" : "&amp;C99</f>
        <v>-- SQL_ID : 31_A6-18</v>
      </c>
    </row>
    <row r="100" spans="2:23" ht="18.75" customHeight="1">
      <c r="B100" s="43" t="s">
        <v>158</v>
      </c>
      <c r="C100" s="145" t="str">
        <f>R103&amp;"登録"</f>
        <v>ベース_MML_検歴情報モジュール_本文登録</v>
      </c>
      <c r="D100" s="146"/>
      <c r="E100" s="146"/>
      <c r="F100" s="146"/>
      <c r="G100" s="146"/>
      <c r="H100" s="146"/>
      <c r="I100" s="146"/>
      <c r="J100" s="146"/>
      <c r="K100" s="146"/>
      <c r="L100" s="146"/>
      <c r="M100" s="146"/>
      <c r="N100" s="146"/>
      <c r="O100" s="146"/>
      <c r="P100" s="146"/>
      <c r="Q100" s="146"/>
      <c r="R100" s="146"/>
      <c r="S100" s="146"/>
      <c r="T100" s="146"/>
      <c r="U100" s="147"/>
      <c r="W100" s="35" t="str">
        <f>"-- "&amp;C100</f>
        <v>-- ベース_MML_検歴情報モジュール_本文登録</v>
      </c>
    </row>
    <row r="101" spans="2:23" ht="18.75" customHeight="1">
      <c r="B101" s="43" t="s">
        <v>159</v>
      </c>
      <c r="C101" s="134" t="str">
        <f>C103&amp;"テーブルから対象患者で絞り込んだ結果を"&amp;R103&amp;"テーブルに格納する。"</f>
        <v>バックアップ_MML_検歴情報モジュール_本文テーブルから対象患者で絞り込んだ結果をベース_MML_検歴情報モジュール_本文テーブルに格納する。</v>
      </c>
      <c r="D101" s="135"/>
      <c r="E101" s="135"/>
      <c r="F101" s="135"/>
      <c r="G101" s="135"/>
      <c r="H101" s="135"/>
      <c r="I101" s="135"/>
      <c r="J101" s="135"/>
      <c r="K101" s="135"/>
      <c r="L101" s="135"/>
      <c r="M101" s="135"/>
      <c r="N101" s="135"/>
      <c r="O101" s="135"/>
      <c r="P101" s="135"/>
      <c r="Q101" s="135"/>
      <c r="R101" s="135"/>
      <c r="S101" s="135"/>
      <c r="T101" s="135"/>
      <c r="U101" s="136"/>
      <c r="W101" s="35" t="str">
        <f>"-- "&amp;C101</f>
        <v>-- バックアップ_MML_検歴情報モジュール_本文テーブルから対象患者で絞り込んだ結果をベース_MML_検歴情報モジュール_本文テーブルに格納する。</v>
      </c>
    </row>
    <row r="103" spans="2:23" ht="18.75" customHeight="1">
      <c r="C103" s="137" t="s">
        <v>3927</v>
      </c>
      <c r="D103" s="138"/>
      <c r="E103" s="143" t="str">
        <f>エンティティ一覧!$O$2</f>
        <v>milscm_2023_010</v>
      </c>
      <c r="H103" s="36"/>
      <c r="I103" s="36"/>
      <c r="J103" s="36"/>
      <c r="K103" s="36"/>
      <c r="L103" s="36"/>
      <c r="M103" s="36"/>
      <c r="N103" s="36"/>
      <c r="O103" s="36"/>
      <c r="P103" s="36"/>
      <c r="Q103" s="36"/>
      <c r="R103" s="137" t="str">
        <f>"ベース"&amp;SUBSTITUTE(C103,"バックアップ","")</f>
        <v>ベース_MML_検歴情報モジュール_本文</v>
      </c>
      <c r="S103" s="138"/>
      <c r="T103" s="143" t="str">
        <f>エンティティ一覧!$O$2</f>
        <v>milscm_2023_010</v>
      </c>
    </row>
    <row r="104" spans="2:23" ht="18.75" customHeight="1">
      <c r="C104" s="139"/>
      <c r="D104" s="140"/>
      <c r="E104" s="144"/>
      <c r="F104" s="37"/>
      <c r="G104" s="38"/>
      <c r="H104" s="37"/>
      <c r="I104" s="37"/>
      <c r="J104" s="37"/>
      <c r="K104" s="37"/>
      <c r="L104" s="37"/>
      <c r="M104" s="37"/>
      <c r="N104" s="37"/>
      <c r="O104" s="37"/>
      <c r="P104" s="37"/>
      <c r="Q104" s="37"/>
      <c r="R104" s="139"/>
      <c r="S104" s="140"/>
      <c r="T104" s="144"/>
    </row>
    <row r="105" spans="2:23" ht="18.75" customHeight="1">
      <c r="F105" s="39"/>
      <c r="G105" s="40"/>
    </row>
    <row r="106" spans="2:23" ht="18.75" customHeight="1">
      <c r="C106" s="137" t="s">
        <v>3742</v>
      </c>
      <c r="D106" s="138"/>
      <c r="E106" s="143" t="str">
        <f>エンティティ一覧!$O$2</f>
        <v>milscm_2023_010</v>
      </c>
      <c r="G106" s="41"/>
    </row>
    <row r="107" spans="2:23" ht="18.75" customHeight="1">
      <c r="C107" s="139"/>
      <c r="D107" s="140"/>
      <c r="E107" s="144"/>
      <c r="F107" s="37"/>
    </row>
    <row r="109" spans="2:23" ht="18.75" customHeight="1" thickBot="1">
      <c r="B109" s="42"/>
      <c r="C109" s="42"/>
      <c r="D109" s="42"/>
      <c r="E109" s="42"/>
      <c r="F109" s="42"/>
      <c r="G109" s="42"/>
      <c r="H109" s="42"/>
      <c r="I109" s="42"/>
      <c r="J109" s="42"/>
      <c r="K109" s="42"/>
      <c r="L109" s="42"/>
      <c r="M109" s="42"/>
      <c r="N109" s="42"/>
      <c r="O109" s="42"/>
      <c r="P109" s="42"/>
      <c r="Q109" s="42"/>
      <c r="R109" s="42"/>
      <c r="S109" s="42"/>
      <c r="T109" s="42"/>
      <c r="U109" s="42"/>
    </row>
    <row r="111" spans="2:23" ht="18.75" customHeight="1">
      <c r="B111" s="43" t="s">
        <v>163</v>
      </c>
      <c r="C111" s="51" t="s">
        <v>3928</v>
      </c>
      <c r="D111" s="95"/>
      <c r="W111" s="35" t="str">
        <f>"-- "&amp;B111&amp;" : "&amp;C111</f>
        <v>-- SQL_ID : 31_A6-19</v>
      </c>
    </row>
    <row r="112" spans="2:23" ht="18.75" customHeight="1">
      <c r="B112" s="43" t="s">
        <v>158</v>
      </c>
      <c r="C112" s="145" t="str">
        <f>R115&amp;"登録"</f>
        <v>ベース_MML_検歴情報モジュール_報告コメント登録</v>
      </c>
      <c r="D112" s="146"/>
      <c r="E112" s="146"/>
      <c r="F112" s="146"/>
      <c r="G112" s="146"/>
      <c r="H112" s="146"/>
      <c r="I112" s="146"/>
      <c r="J112" s="146"/>
      <c r="K112" s="146"/>
      <c r="L112" s="146"/>
      <c r="M112" s="146"/>
      <c r="N112" s="146"/>
      <c r="O112" s="146"/>
      <c r="P112" s="146"/>
      <c r="Q112" s="146"/>
      <c r="R112" s="146"/>
      <c r="S112" s="146"/>
      <c r="T112" s="146"/>
      <c r="U112" s="147"/>
      <c r="W112" s="35" t="str">
        <f>"-- "&amp;C112</f>
        <v>-- ベース_MML_検歴情報モジュール_報告コメント登録</v>
      </c>
    </row>
    <row r="113" spans="2:23" ht="18.75" customHeight="1">
      <c r="B113" s="43" t="s">
        <v>159</v>
      </c>
      <c r="C113" s="134" t="str">
        <f>C115&amp;"テーブルから対象患者で絞り込んだ結果を"&amp;R115&amp;"テーブルに格納する。"</f>
        <v>バックアップ_MML_検歴情報モジュール_報告コメントテーブルから対象患者で絞り込んだ結果をベース_MML_検歴情報モジュール_報告コメントテーブルに格納する。</v>
      </c>
      <c r="D113" s="135"/>
      <c r="E113" s="135"/>
      <c r="F113" s="135"/>
      <c r="G113" s="135"/>
      <c r="H113" s="135"/>
      <c r="I113" s="135"/>
      <c r="J113" s="135"/>
      <c r="K113" s="135"/>
      <c r="L113" s="135"/>
      <c r="M113" s="135"/>
      <c r="N113" s="135"/>
      <c r="O113" s="135"/>
      <c r="P113" s="135"/>
      <c r="Q113" s="135"/>
      <c r="R113" s="135"/>
      <c r="S113" s="135"/>
      <c r="T113" s="135"/>
      <c r="U113" s="136"/>
      <c r="W113" s="35" t="str">
        <f>"-- "&amp;C113</f>
        <v>-- バックアップ_MML_検歴情報モジュール_報告コメントテーブルから対象患者で絞り込んだ結果をベース_MML_検歴情報モジュール_報告コメントテーブルに格納する。</v>
      </c>
    </row>
    <row r="115" spans="2:23" ht="18.75" customHeight="1">
      <c r="C115" s="137" t="s">
        <v>3929</v>
      </c>
      <c r="D115" s="138"/>
      <c r="E115" s="143" t="str">
        <f>エンティティ一覧!$O$2</f>
        <v>milscm_2023_010</v>
      </c>
      <c r="H115" s="36"/>
      <c r="I115" s="36"/>
      <c r="J115" s="36"/>
      <c r="K115" s="36"/>
      <c r="L115" s="36"/>
      <c r="M115" s="36"/>
      <c r="N115" s="36"/>
      <c r="O115" s="36"/>
      <c r="P115" s="36"/>
      <c r="Q115" s="36"/>
      <c r="R115" s="137" t="str">
        <f>"ベース"&amp;SUBSTITUTE(C115,"バックアップ","")</f>
        <v>ベース_MML_検歴情報モジュール_報告コメント</v>
      </c>
      <c r="S115" s="138"/>
      <c r="T115" s="143" t="str">
        <f>エンティティ一覧!$O$2</f>
        <v>milscm_2023_010</v>
      </c>
    </row>
    <row r="116" spans="2:23" ht="18.75" customHeight="1">
      <c r="C116" s="139"/>
      <c r="D116" s="140"/>
      <c r="E116" s="144"/>
      <c r="F116" s="37"/>
      <c r="G116" s="38"/>
      <c r="H116" s="37"/>
      <c r="I116" s="37"/>
      <c r="J116" s="37"/>
      <c r="K116" s="37"/>
      <c r="L116" s="37"/>
      <c r="M116" s="37"/>
      <c r="N116" s="37"/>
      <c r="O116" s="37"/>
      <c r="P116" s="37"/>
      <c r="Q116" s="37"/>
      <c r="R116" s="139"/>
      <c r="S116" s="140"/>
      <c r="T116" s="144"/>
    </row>
    <row r="117" spans="2:23" ht="18.75" customHeight="1">
      <c r="F117" s="39"/>
      <c r="G117" s="40"/>
    </row>
    <row r="118" spans="2:23" ht="18.75" customHeight="1">
      <c r="C118" s="137" t="s">
        <v>3742</v>
      </c>
      <c r="D118" s="138"/>
      <c r="E118" s="143" t="str">
        <f>エンティティ一覧!$O$2</f>
        <v>milscm_2023_010</v>
      </c>
      <c r="G118" s="41"/>
    </row>
    <row r="119" spans="2:23" ht="18.75" customHeight="1">
      <c r="C119" s="139"/>
      <c r="D119" s="140"/>
      <c r="E119" s="144"/>
      <c r="F119" s="37"/>
    </row>
    <row r="121" spans="2:23" ht="18.75" customHeight="1" thickBot="1">
      <c r="B121" s="42"/>
      <c r="C121" s="42"/>
      <c r="D121" s="42"/>
      <c r="E121" s="42"/>
      <c r="F121" s="42"/>
      <c r="G121" s="42"/>
      <c r="H121" s="42"/>
      <c r="I121" s="42"/>
      <c r="J121" s="42"/>
      <c r="K121" s="42"/>
      <c r="L121" s="42"/>
      <c r="M121" s="42"/>
      <c r="N121" s="42"/>
      <c r="O121" s="42"/>
      <c r="P121" s="42"/>
      <c r="Q121" s="42"/>
      <c r="R121" s="42"/>
      <c r="S121" s="42"/>
      <c r="T121" s="42"/>
      <c r="U121" s="42"/>
    </row>
    <row r="123" spans="2:23" ht="18.75" customHeight="1">
      <c r="B123" s="43" t="s">
        <v>163</v>
      </c>
      <c r="C123" s="51" t="s">
        <v>3930</v>
      </c>
      <c r="D123" s="95"/>
      <c r="W123" s="35" t="str">
        <f>"-- "&amp;B123&amp;" : "&amp;C123</f>
        <v>-- SQL_ID : 31_A6-20</v>
      </c>
    </row>
    <row r="124" spans="2:23" ht="18.75" customHeight="1">
      <c r="B124" s="43" t="s">
        <v>158</v>
      </c>
      <c r="C124" s="145" t="str">
        <f>R127&amp;"登録"</f>
        <v>ベース_MML_検歴情報モジュール_検体検査結果情報登録</v>
      </c>
      <c r="D124" s="146"/>
      <c r="E124" s="146"/>
      <c r="F124" s="146"/>
      <c r="G124" s="146"/>
      <c r="H124" s="146"/>
      <c r="I124" s="146"/>
      <c r="J124" s="146"/>
      <c r="K124" s="146"/>
      <c r="L124" s="146"/>
      <c r="M124" s="146"/>
      <c r="N124" s="146"/>
      <c r="O124" s="146"/>
      <c r="P124" s="146"/>
      <c r="Q124" s="146"/>
      <c r="R124" s="146"/>
      <c r="S124" s="146"/>
      <c r="T124" s="146"/>
      <c r="U124" s="147"/>
      <c r="W124" s="35" t="str">
        <f>"-- "&amp;C124</f>
        <v>-- ベース_MML_検歴情報モジュール_検体検査結果情報登録</v>
      </c>
    </row>
    <row r="125" spans="2:23" ht="18.75" customHeight="1">
      <c r="B125" s="43" t="s">
        <v>159</v>
      </c>
      <c r="C125" s="134" t="str">
        <f>C127&amp;"テーブルから対象患者で絞り込んだ結果を"&amp;R127&amp;"テーブルに格納する。"</f>
        <v>バックアップ_MML_検歴情報モジュール_検体検査結果情報テーブルから対象患者で絞り込んだ結果をベース_MML_検歴情報モジュール_検体検査結果情報テーブルに格納する。</v>
      </c>
      <c r="D125" s="135"/>
      <c r="E125" s="135"/>
      <c r="F125" s="135"/>
      <c r="G125" s="135"/>
      <c r="H125" s="135"/>
      <c r="I125" s="135"/>
      <c r="J125" s="135"/>
      <c r="K125" s="135"/>
      <c r="L125" s="135"/>
      <c r="M125" s="135"/>
      <c r="N125" s="135"/>
      <c r="O125" s="135"/>
      <c r="P125" s="135"/>
      <c r="Q125" s="135"/>
      <c r="R125" s="135"/>
      <c r="S125" s="135"/>
      <c r="T125" s="135"/>
      <c r="U125" s="136"/>
      <c r="W125" s="35" t="str">
        <f>"-- "&amp;C125</f>
        <v>-- バックアップ_MML_検歴情報モジュール_検体検査結果情報テーブルから対象患者で絞り込んだ結果をベース_MML_検歴情報モジュール_検体検査結果情報テーブルに格納する。</v>
      </c>
    </row>
    <row r="127" spans="2:23" ht="18.75" customHeight="1">
      <c r="C127" s="148" t="s">
        <v>3931</v>
      </c>
      <c r="D127" s="149"/>
      <c r="E127" s="143" t="str">
        <f>エンティティ一覧!$O$2</f>
        <v>milscm_2023_010</v>
      </c>
      <c r="H127" s="36"/>
      <c r="I127" s="36"/>
      <c r="J127" s="36"/>
      <c r="K127" s="36"/>
      <c r="L127" s="36"/>
      <c r="M127" s="36"/>
      <c r="N127" s="36"/>
      <c r="O127" s="36"/>
      <c r="P127" s="36"/>
      <c r="Q127" s="36"/>
      <c r="R127" s="137" t="str">
        <f>"ベース"&amp;SUBSTITUTE(C127,"バックアップ","")</f>
        <v>ベース_MML_検歴情報モジュール_検体検査結果情報</v>
      </c>
      <c r="S127" s="138"/>
      <c r="T127" s="143" t="str">
        <f>エンティティ一覧!$O$2</f>
        <v>milscm_2023_010</v>
      </c>
    </row>
    <row r="128" spans="2:23" ht="18.75" customHeight="1">
      <c r="C128" s="150"/>
      <c r="D128" s="151"/>
      <c r="E128" s="144"/>
      <c r="F128" s="37"/>
      <c r="G128" s="38"/>
      <c r="H128" s="37"/>
      <c r="I128" s="37"/>
      <c r="J128" s="37"/>
      <c r="K128" s="37"/>
      <c r="L128" s="37"/>
      <c r="M128" s="37"/>
      <c r="N128" s="37"/>
      <c r="O128" s="37"/>
      <c r="P128" s="37"/>
      <c r="Q128" s="37"/>
      <c r="R128" s="139"/>
      <c r="S128" s="140"/>
      <c r="T128" s="144"/>
    </row>
    <row r="129" spans="2:23" ht="18.75" customHeight="1">
      <c r="F129" s="39"/>
      <c r="G129" s="40"/>
    </row>
    <row r="130" spans="2:23" ht="18.75" customHeight="1">
      <c r="C130" s="137" t="s">
        <v>3742</v>
      </c>
      <c r="D130" s="138"/>
      <c r="E130" s="143" t="str">
        <f>エンティティ一覧!$O$2</f>
        <v>milscm_2023_010</v>
      </c>
      <c r="G130" s="41"/>
    </row>
    <row r="131" spans="2:23" ht="18.75" customHeight="1">
      <c r="C131" s="139"/>
      <c r="D131" s="140"/>
      <c r="E131" s="144"/>
      <c r="F131" s="37"/>
    </row>
    <row r="133" spans="2:23" ht="18.75" customHeight="1" thickBot="1">
      <c r="B133" s="42"/>
      <c r="C133" s="42"/>
      <c r="D133" s="42"/>
      <c r="E133" s="42"/>
      <c r="F133" s="42"/>
      <c r="G133" s="42"/>
      <c r="H133" s="42"/>
      <c r="I133" s="42"/>
      <c r="J133" s="42"/>
      <c r="K133" s="42"/>
      <c r="L133" s="42"/>
      <c r="M133" s="42"/>
      <c r="N133" s="42"/>
      <c r="O133" s="42"/>
      <c r="P133" s="42"/>
      <c r="Q133" s="42"/>
      <c r="R133" s="42"/>
      <c r="S133" s="42"/>
      <c r="T133" s="42"/>
      <c r="U133" s="42"/>
    </row>
    <row r="135" spans="2:23" ht="18.75" customHeight="1">
      <c r="B135" s="43" t="s">
        <v>163</v>
      </c>
      <c r="C135" s="51" t="s">
        <v>3932</v>
      </c>
      <c r="D135" s="95"/>
      <c r="W135" s="35" t="str">
        <f>"-- "&amp;B135&amp;" : "&amp;C135</f>
        <v>-- SQL_ID : 31_A6-21</v>
      </c>
    </row>
    <row r="136" spans="2:23" ht="18.75" customHeight="1">
      <c r="B136" s="43" t="s">
        <v>158</v>
      </c>
      <c r="C136" s="145" t="str">
        <f>R139&amp;"登録"</f>
        <v>ベース_MML_検歴情報モジュール_検体コメント登録</v>
      </c>
      <c r="D136" s="146"/>
      <c r="E136" s="146"/>
      <c r="F136" s="146"/>
      <c r="G136" s="146"/>
      <c r="H136" s="146"/>
      <c r="I136" s="146"/>
      <c r="J136" s="146"/>
      <c r="K136" s="146"/>
      <c r="L136" s="146"/>
      <c r="M136" s="146"/>
      <c r="N136" s="146"/>
      <c r="O136" s="146"/>
      <c r="P136" s="146"/>
      <c r="Q136" s="146"/>
      <c r="R136" s="146"/>
      <c r="S136" s="146"/>
      <c r="T136" s="146"/>
      <c r="U136" s="147"/>
      <c r="W136" s="35" t="str">
        <f>"-- "&amp;C136</f>
        <v>-- ベース_MML_検歴情報モジュール_検体コメント登録</v>
      </c>
    </row>
    <row r="137" spans="2:23" ht="18.75" customHeight="1">
      <c r="B137" s="43" t="s">
        <v>159</v>
      </c>
      <c r="C137" s="134" t="str">
        <f>C139&amp;"テーブルから対象患者で絞り込んだ結果を"&amp;R139&amp;"テーブルに格納する。"</f>
        <v>バックアップ_MML_検歴情報モジュール_検体コメントテーブルから対象患者で絞り込んだ結果をベース_MML_検歴情報モジュール_検体コメントテーブルに格納する。</v>
      </c>
      <c r="D137" s="135"/>
      <c r="E137" s="135"/>
      <c r="F137" s="135"/>
      <c r="G137" s="135"/>
      <c r="H137" s="135"/>
      <c r="I137" s="135"/>
      <c r="J137" s="135"/>
      <c r="K137" s="135"/>
      <c r="L137" s="135"/>
      <c r="M137" s="135"/>
      <c r="N137" s="135"/>
      <c r="O137" s="135"/>
      <c r="P137" s="135"/>
      <c r="Q137" s="135"/>
      <c r="R137" s="135"/>
      <c r="S137" s="135"/>
      <c r="T137" s="135"/>
      <c r="U137" s="136"/>
      <c r="W137" s="35" t="str">
        <f>"-- "&amp;C137</f>
        <v>-- バックアップ_MML_検歴情報モジュール_検体コメントテーブルから対象患者で絞り込んだ結果をベース_MML_検歴情報モジュール_検体コメントテーブルに格納する。</v>
      </c>
    </row>
    <row r="139" spans="2:23" ht="18.75" customHeight="1">
      <c r="C139" s="148" t="s">
        <v>3933</v>
      </c>
      <c r="D139" s="149"/>
      <c r="E139" s="143" t="str">
        <f>エンティティ一覧!$O$2</f>
        <v>milscm_2023_010</v>
      </c>
      <c r="H139" s="36"/>
      <c r="I139" s="36"/>
      <c r="J139" s="36"/>
      <c r="K139" s="36"/>
      <c r="L139" s="36"/>
      <c r="M139" s="36"/>
      <c r="N139" s="36"/>
      <c r="O139" s="36"/>
      <c r="P139" s="36"/>
      <c r="Q139" s="36"/>
      <c r="R139" s="137" t="str">
        <f>"ベース"&amp;SUBSTITUTE(C139,"バックアップ","")</f>
        <v>ベース_MML_検歴情報モジュール_検体コメント</v>
      </c>
      <c r="S139" s="138"/>
      <c r="T139" s="143" t="str">
        <f>エンティティ一覧!$O$2</f>
        <v>milscm_2023_010</v>
      </c>
    </row>
    <row r="140" spans="2:23" ht="18.75" customHeight="1">
      <c r="C140" s="150"/>
      <c r="D140" s="151"/>
      <c r="E140" s="144"/>
      <c r="F140" s="37"/>
      <c r="G140" s="38"/>
      <c r="H140" s="37"/>
      <c r="I140" s="37"/>
      <c r="J140" s="37"/>
      <c r="K140" s="37"/>
      <c r="L140" s="37"/>
      <c r="M140" s="37"/>
      <c r="N140" s="37"/>
      <c r="O140" s="37"/>
      <c r="P140" s="37"/>
      <c r="Q140" s="37"/>
      <c r="R140" s="139"/>
      <c r="S140" s="140"/>
      <c r="T140" s="144"/>
    </row>
    <row r="141" spans="2:23" ht="18.75" customHeight="1">
      <c r="F141" s="39"/>
      <c r="G141" s="40"/>
    </row>
    <row r="142" spans="2:23" ht="18.75" customHeight="1">
      <c r="C142" s="137" t="s">
        <v>3742</v>
      </c>
      <c r="D142" s="138"/>
      <c r="E142" s="143" t="str">
        <f>エンティティ一覧!$O$2</f>
        <v>milscm_2023_010</v>
      </c>
      <c r="G142" s="41"/>
    </row>
    <row r="143" spans="2:23" ht="18.75" customHeight="1">
      <c r="C143" s="139"/>
      <c r="D143" s="140"/>
      <c r="E143" s="144"/>
      <c r="F143" s="37"/>
    </row>
    <row r="145" spans="2:23" ht="18.75" customHeight="1" thickBot="1">
      <c r="B145" s="42"/>
      <c r="C145" s="42"/>
      <c r="D145" s="42"/>
      <c r="E145" s="42"/>
      <c r="F145" s="42"/>
      <c r="G145" s="42"/>
      <c r="H145" s="42"/>
      <c r="I145" s="42"/>
      <c r="J145" s="42"/>
      <c r="K145" s="42"/>
      <c r="L145" s="42"/>
      <c r="M145" s="42"/>
      <c r="N145" s="42"/>
      <c r="O145" s="42"/>
      <c r="P145" s="42"/>
      <c r="Q145" s="42"/>
      <c r="R145" s="42"/>
      <c r="S145" s="42"/>
      <c r="T145" s="42"/>
      <c r="U145" s="42"/>
    </row>
    <row r="147" spans="2:23" ht="18.75" customHeight="1">
      <c r="B147" s="43" t="s">
        <v>163</v>
      </c>
      <c r="C147" s="51" t="s">
        <v>3934</v>
      </c>
      <c r="D147" s="95"/>
      <c r="W147" s="35" t="str">
        <f>"-- "&amp;B147&amp;" : "&amp;C147</f>
        <v>-- SQL_ID : 31_A6-22</v>
      </c>
    </row>
    <row r="148" spans="2:23" ht="18.75" customHeight="1">
      <c r="B148" s="43" t="s">
        <v>158</v>
      </c>
      <c r="C148" s="145" t="str">
        <f>R151&amp;"登録"</f>
        <v>ベース_MML_検歴情報モジュール_検査項目登録</v>
      </c>
      <c r="D148" s="146"/>
      <c r="E148" s="146"/>
      <c r="F148" s="146"/>
      <c r="G148" s="146"/>
      <c r="H148" s="146"/>
      <c r="I148" s="146"/>
      <c r="J148" s="146"/>
      <c r="K148" s="146"/>
      <c r="L148" s="146"/>
      <c r="M148" s="146"/>
      <c r="N148" s="146"/>
      <c r="O148" s="146"/>
      <c r="P148" s="146"/>
      <c r="Q148" s="146"/>
      <c r="R148" s="146"/>
      <c r="S148" s="146"/>
      <c r="T148" s="146"/>
      <c r="U148" s="147"/>
      <c r="W148" s="35" t="str">
        <f>"-- "&amp;C148</f>
        <v>-- ベース_MML_検歴情報モジュール_検査項目登録</v>
      </c>
    </row>
    <row r="149" spans="2:23" ht="18.75" customHeight="1">
      <c r="B149" s="43" t="s">
        <v>159</v>
      </c>
      <c r="C149" s="134" t="str">
        <f>C151&amp;"テーブルから対象患者で絞り込んだ結果を"&amp;R151&amp;"テーブルに格納する。"</f>
        <v>バックアップ_MML_検歴情報モジュール_検査項目テーブルから対象患者で絞り込んだ結果をベース_MML_検歴情報モジュール_検査項目テーブルに格納する。</v>
      </c>
      <c r="D149" s="135"/>
      <c r="E149" s="135"/>
      <c r="F149" s="135"/>
      <c r="G149" s="135"/>
      <c r="H149" s="135"/>
      <c r="I149" s="135"/>
      <c r="J149" s="135"/>
      <c r="K149" s="135"/>
      <c r="L149" s="135"/>
      <c r="M149" s="135"/>
      <c r="N149" s="135"/>
      <c r="O149" s="135"/>
      <c r="P149" s="135"/>
      <c r="Q149" s="135"/>
      <c r="R149" s="135"/>
      <c r="S149" s="135"/>
      <c r="T149" s="135"/>
      <c r="U149" s="136"/>
      <c r="W149" s="35" t="str">
        <f>"-- "&amp;C149</f>
        <v>-- バックアップ_MML_検歴情報モジュール_検査項目テーブルから対象患者で絞り込んだ結果をベース_MML_検歴情報モジュール_検査項目テーブルに格納する。</v>
      </c>
    </row>
    <row r="151" spans="2:23" ht="18.75" customHeight="1">
      <c r="C151" s="148" t="s">
        <v>3935</v>
      </c>
      <c r="D151" s="149"/>
      <c r="E151" s="143" t="str">
        <f>エンティティ一覧!$O$2</f>
        <v>milscm_2023_010</v>
      </c>
      <c r="H151" s="36"/>
      <c r="I151" s="36"/>
      <c r="J151" s="36"/>
      <c r="K151" s="36"/>
      <c r="L151" s="36"/>
      <c r="M151" s="36"/>
      <c r="N151" s="36"/>
      <c r="O151" s="36"/>
      <c r="P151" s="36"/>
      <c r="Q151" s="36"/>
      <c r="R151" s="137" t="str">
        <f>"ベース"&amp;SUBSTITUTE(C151,"バックアップ","")</f>
        <v>ベース_MML_検歴情報モジュール_検査項目</v>
      </c>
      <c r="S151" s="138"/>
      <c r="T151" s="143" t="str">
        <f>エンティティ一覧!$O$2</f>
        <v>milscm_2023_010</v>
      </c>
    </row>
    <row r="152" spans="2:23" ht="18.75" customHeight="1">
      <c r="C152" s="150"/>
      <c r="D152" s="151"/>
      <c r="E152" s="144"/>
      <c r="F152" s="37"/>
      <c r="G152" s="38"/>
      <c r="H152" s="37"/>
      <c r="I152" s="37"/>
      <c r="J152" s="37"/>
      <c r="K152" s="37"/>
      <c r="L152" s="37"/>
      <c r="M152" s="37"/>
      <c r="N152" s="37"/>
      <c r="O152" s="37"/>
      <c r="P152" s="37"/>
      <c r="Q152" s="37"/>
      <c r="R152" s="139"/>
      <c r="S152" s="140"/>
      <c r="T152" s="144"/>
    </row>
    <row r="153" spans="2:23" ht="18.75" customHeight="1">
      <c r="F153" s="39"/>
      <c r="G153" s="40"/>
    </row>
    <row r="154" spans="2:23" ht="18.75" customHeight="1">
      <c r="C154" s="137" t="s">
        <v>3742</v>
      </c>
      <c r="D154" s="138"/>
      <c r="E154" s="143" t="str">
        <f>エンティティ一覧!$O$2</f>
        <v>milscm_2023_010</v>
      </c>
      <c r="G154" s="41"/>
    </row>
    <row r="155" spans="2:23" ht="18.75" customHeight="1">
      <c r="C155" s="139"/>
      <c r="D155" s="140"/>
      <c r="E155" s="144"/>
      <c r="F155" s="37"/>
    </row>
    <row r="157" spans="2:23" ht="18.75" customHeight="1" thickBot="1">
      <c r="B157" s="42"/>
      <c r="C157" s="42"/>
      <c r="D157" s="42"/>
      <c r="E157" s="42"/>
      <c r="F157" s="42"/>
      <c r="G157" s="42"/>
      <c r="H157" s="42"/>
      <c r="I157" s="42"/>
      <c r="J157" s="42"/>
      <c r="K157" s="42"/>
      <c r="L157" s="42"/>
      <c r="M157" s="42"/>
      <c r="N157" s="42"/>
      <c r="O157" s="42"/>
      <c r="P157" s="42"/>
      <c r="Q157" s="42"/>
      <c r="R157" s="42"/>
      <c r="S157" s="42"/>
      <c r="T157" s="42"/>
      <c r="U157" s="42"/>
    </row>
    <row r="159" spans="2:23" ht="18.75" customHeight="1">
      <c r="B159" s="43" t="s">
        <v>163</v>
      </c>
      <c r="C159" s="51" t="s">
        <v>3936</v>
      </c>
      <c r="D159" s="95"/>
      <c r="W159" s="35" t="str">
        <f>"-- "&amp;B159&amp;" : "&amp;C159</f>
        <v>-- SQL_ID : 31_A6-23</v>
      </c>
    </row>
    <row r="160" spans="2:23" ht="18.75" customHeight="1">
      <c r="B160" s="43" t="s">
        <v>158</v>
      </c>
      <c r="C160" s="145" t="str">
        <f>R163&amp;"登録"</f>
        <v>ベース_MML_検歴情報モジュール_検査項目コメント登録</v>
      </c>
      <c r="D160" s="146"/>
      <c r="E160" s="146"/>
      <c r="F160" s="146"/>
      <c r="G160" s="146"/>
      <c r="H160" s="146"/>
      <c r="I160" s="146"/>
      <c r="J160" s="146"/>
      <c r="K160" s="146"/>
      <c r="L160" s="146"/>
      <c r="M160" s="146"/>
      <c r="N160" s="146"/>
      <c r="O160" s="146"/>
      <c r="P160" s="146"/>
      <c r="Q160" s="146"/>
      <c r="R160" s="146"/>
      <c r="S160" s="146"/>
      <c r="T160" s="146"/>
      <c r="U160" s="147"/>
      <c r="W160" s="35" t="str">
        <f>"-- "&amp;C160</f>
        <v>-- ベース_MML_検歴情報モジュール_検査項目コメント登録</v>
      </c>
    </row>
    <row r="161" spans="2:23" ht="18.75" customHeight="1">
      <c r="B161" s="43" t="s">
        <v>159</v>
      </c>
      <c r="C161" s="134" t="str">
        <f>C163&amp;"テーブルから対象患者で絞り込んだ結果を"&amp;R163&amp;"テーブルに格納する。"</f>
        <v>バックアップ_MML_検歴情報モジュール_検査項目コメントテーブルから対象患者で絞り込んだ結果をベース_MML_検歴情報モジュール_検査項目コメントテーブルに格納する。</v>
      </c>
      <c r="D161" s="135"/>
      <c r="E161" s="135"/>
      <c r="F161" s="135"/>
      <c r="G161" s="135"/>
      <c r="H161" s="135"/>
      <c r="I161" s="135"/>
      <c r="J161" s="135"/>
      <c r="K161" s="135"/>
      <c r="L161" s="135"/>
      <c r="M161" s="135"/>
      <c r="N161" s="135"/>
      <c r="O161" s="135"/>
      <c r="P161" s="135"/>
      <c r="Q161" s="135"/>
      <c r="R161" s="135"/>
      <c r="S161" s="135"/>
      <c r="T161" s="135"/>
      <c r="U161" s="136"/>
      <c r="W161" s="35" t="str">
        <f>"-- "&amp;C161</f>
        <v>-- バックアップ_MML_検歴情報モジュール_検査項目コメントテーブルから対象患者で絞り込んだ結果をベース_MML_検歴情報モジュール_検査項目コメントテーブルに格納する。</v>
      </c>
    </row>
    <row r="163" spans="2:23" ht="18.75" customHeight="1">
      <c r="C163" s="148" t="s">
        <v>3937</v>
      </c>
      <c r="D163" s="149"/>
      <c r="E163" s="143" t="str">
        <f>エンティティ一覧!$O$2</f>
        <v>milscm_2023_010</v>
      </c>
      <c r="H163" s="36"/>
      <c r="I163" s="36"/>
      <c r="J163" s="36"/>
      <c r="K163" s="36"/>
      <c r="L163" s="36"/>
      <c r="M163" s="36"/>
      <c r="N163" s="36"/>
      <c r="O163" s="36"/>
      <c r="P163" s="36"/>
      <c r="Q163" s="36"/>
      <c r="R163" s="137" t="str">
        <f>"ベース"&amp;SUBSTITUTE(C163,"バックアップ","")</f>
        <v>ベース_MML_検歴情報モジュール_検査項目コメント</v>
      </c>
      <c r="S163" s="138"/>
      <c r="T163" s="143" t="str">
        <f>エンティティ一覧!$O$2</f>
        <v>milscm_2023_010</v>
      </c>
    </row>
    <row r="164" spans="2:23" ht="18.75" customHeight="1">
      <c r="C164" s="150"/>
      <c r="D164" s="151"/>
      <c r="E164" s="144"/>
      <c r="F164" s="37"/>
      <c r="G164" s="38"/>
      <c r="H164" s="37"/>
      <c r="I164" s="37"/>
      <c r="J164" s="37"/>
      <c r="K164" s="37"/>
      <c r="L164" s="37"/>
      <c r="M164" s="37"/>
      <c r="N164" s="37"/>
      <c r="O164" s="37"/>
      <c r="P164" s="37"/>
      <c r="Q164" s="37"/>
      <c r="R164" s="139"/>
      <c r="S164" s="140"/>
      <c r="T164" s="144"/>
    </row>
    <row r="165" spans="2:23" ht="18.75" customHeight="1">
      <c r="F165" s="39"/>
      <c r="G165" s="40"/>
    </row>
    <row r="166" spans="2:23" ht="18.75" customHeight="1">
      <c r="C166" s="137" t="s">
        <v>3742</v>
      </c>
      <c r="D166" s="138"/>
      <c r="E166" s="143" t="str">
        <f>エンティティ一覧!$O$2</f>
        <v>milscm_2023_010</v>
      </c>
      <c r="G166" s="41"/>
    </row>
    <row r="167" spans="2:23" ht="18.75" customHeight="1">
      <c r="C167" s="139"/>
      <c r="D167" s="140"/>
      <c r="E167" s="144"/>
      <c r="F167" s="37"/>
    </row>
    <row r="169" spans="2:23" ht="18.75" customHeight="1" thickBot="1">
      <c r="B169" s="42"/>
      <c r="C169" s="42"/>
      <c r="D169" s="42"/>
      <c r="E169" s="42"/>
      <c r="F169" s="42"/>
      <c r="G169" s="42"/>
      <c r="H169" s="42"/>
      <c r="I169" s="42"/>
      <c r="J169" s="42"/>
      <c r="K169" s="42"/>
      <c r="L169" s="42"/>
      <c r="M169" s="42"/>
      <c r="N169" s="42"/>
      <c r="O169" s="42"/>
      <c r="P169" s="42"/>
      <c r="Q169" s="42"/>
      <c r="R169" s="42"/>
      <c r="S169" s="42"/>
      <c r="T169" s="42"/>
      <c r="U169" s="42"/>
    </row>
    <row r="171" spans="2:23" ht="18.75" customHeight="1">
      <c r="B171" s="43" t="s">
        <v>163</v>
      </c>
      <c r="C171" s="51" t="s">
        <v>3757</v>
      </c>
      <c r="D171" s="91"/>
      <c r="W171" s="35" t="str">
        <f>"-- "&amp;B171&amp;" : "&amp;C171</f>
        <v>-- SQL_ID : 31_A6-24</v>
      </c>
    </row>
    <row r="172" spans="2:23" ht="18.75" customHeight="1">
      <c r="B172" s="43" t="s">
        <v>158</v>
      </c>
      <c r="C172" s="145" t="str">
        <f>R175&amp;"登録"</f>
        <v>ベース_MML_処方箋モジュール_本文登録</v>
      </c>
      <c r="D172" s="146"/>
      <c r="E172" s="146"/>
      <c r="F172" s="146"/>
      <c r="G172" s="146"/>
      <c r="H172" s="146"/>
      <c r="I172" s="146"/>
      <c r="J172" s="146"/>
      <c r="K172" s="146"/>
      <c r="L172" s="146"/>
      <c r="M172" s="146"/>
      <c r="N172" s="146"/>
      <c r="O172" s="146"/>
      <c r="P172" s="146"/>
      <c r="Q172" s="146"/>
      <c r="R172" s="146"/>
      <c r="S172" s="146"/>
      <c r="T172" s="146"/>
      <c r="U172" s="147"/>
      <c r="W172" s="35" t="str">
        <f>"-- "&amp;C172</f>
        <v>-- ベース_MML_処方箋モジュール_本文登録</v>
      </c>
    </row>
    <row r="173" spans="2:23" ht="18.75" customHeight="1">
      <c r="B173" s="43" t="s">
        <v>159</v>
      </c>
      <c r="C173" s="134" t="str">
        <f>C175&amp;"テーブルから対象患者で絞り込んだ結果を"&amp;R175&amp;"テーブルに格納する。"</f>
        <v>バックアップ_MML_処方箋モジュール_本文テーブルから対象患者で絞り込んだ結果をベース_MML_処方箋モジュール_本文テーブルに格納する。</v>
      </c>
      <c r="D173" s="135"/>
      <c r="E173" s="135"/>
      <c r="F173" s="135"/>
      <c r="G173" s="135"/>
      <c r="H173" s="135"/>
      <c r="I173" s="135"/>
      <c r="J173" s="135"/>
      <c r="K173" s="135"/>
      <c r="L173" s="135"/>
      <c r="M173" s="135"/>
      <c r="N173" s="135"/>
      <c r="O173" s="135"/>
      <c r="P173" s="135"/>
      <c r="Q173" s="135"/>
      <c r="R173" s="135"/>
      <c r="S173" s="135"/>
      <c r="T173" s="135"/>
      <c r="U173" s="136"/>
      <c r="W173" s="35" t="str">
        <f>"-- "&amp;C173</f>
        <v>-- バックアップ_MML_処方箋モジュール_本文テーブルから対象患者で絞り込んだ結果をベース_MML_処方箋モジュール_本文テーブルに格納する。</v>
      </c>
    </row>
    <row r="175" spans="2:23" ht="18.75" customHeight="1">
      <c r="C175" s="137" t="s">
        <v>3758</v>
      </c>
      <c r="D175" s="138"/>
      <c r="E175" s="143" t="str">
        <f>エンティティ一覧!$O$2</f>
        <v>milscm_2023_010</v>
      </c>
      <c r="H175" s="36"/>
      <c r="I175" s="36"/>
      <c r="J175" s="36"/>
      <c r="K175" s="36"/>
      <c r="L175" s="36"/>
      <c r="M175" s="36"/>
      <c r="N175" s="36"/>
      <c r="O175" s="36"/>
      <c r="P175" s="36"/>
      <c r="Q175" s="36"/>
      <c r="R175" s="137" t="str">
        <f>"ベース"&amp;SUBSTITUTE(C175,"バックアップ","")</f>
        <v>ベース_MML_処方箋モジュール_本文</v>
      </c>
      <c r="S175" s="138"/>
      <c r="T175" s="143" t="str">
        <f>エンティティ一覧!$O$2</f>
        <v>milscm_2023_010</v>
      </c>
    </row>
    <row r="176" spans="2:23" ht="18.75" customHeight="1">
      <c r="C176" s="139"/>
      <c r="D176" s="140"/>
      <c r="E176" s="144"/>
      <c r="F176" s="37"/>
      <c r="G176" s="38"/>
      <c r="H176" s="37"/>
      <c r="I176" s="37"/>
      <c r="J176" s="37"/>
      <c r="K176" s="37"/>
      <c r="L176" s="37"/>
      <c r="M176" s="37"/>
      <c r="N176" s="37"/>
      <c r="O176" s="37"/>
      <c r="P176" s="37"/>
      <c r="Q176" s="37"/>
      <c r="R176" s="139"/>
      <c r="S176" s="140"/>
      <c r="T176" s="144"/>
    </row>
    <row r="177" spans="2:23" ht="18.75" customHeight="1">
      <c r="F177" s="39"/>
      <c r="G177" s="40"/>
    </row>
    <row r="178" spans="2:23" ht="18.75" customHeight="1">
      <c r="C178" s="137" t="s">
        <v>3742</v>
      </c>
      <c r="D178" s="138"/>
      <c r="E178" s="143" t="str">
        <f>エンティティ一覧!$O$2</f>
        <v>milscm_2023_010</v>
      </c>
      <c r="G178" s="41"/>
    </row>
    <row r="179" spans="2:23" ht="18.75" customHeight="1">
      <c r="C179" s="139"/>
      <c r="D179" s="140"/>
      <c r="E179" s="144"/>
      <c r="F179" s="37"/>
    </row>
    <row r="181" spans="2:23" ht="18.75" customHeight="1" thickBot="1">
      <c r="B181" s="42"/>
      <c r="C181" s="42"/>
      <c r="D181" s="42"/>
      <c r="E181" s="42"/>
      <c r="F181" s="42"/>
      <c r="G181" s="42"/>
      <c r="H181" s="42"/>
      <c r="I181" s="42"/>
      <c r="J181" s="42"/>
      <c r="K181" s="42"/>
      <c r="L181" s="42"/>
      <c r="M181" s="42"/>
      <c r="N181" s="42"/>
      <c r="O181" s="42"/>
      <c r="P181" s="42"/>
      <c r="Q181" s="42"/>
      <c r="R181" s="42"/>
      <c r="S181" s="42"/>
      <c r="T181" s="42"/>
      <c r="U181" s="42"/>
    </row>
    <row r="183" spans="2:23" ht="18.75" customHeight="1">
      <c r="B183" s="43" t="s">
        <v>163</v>
      </c>
      <c r="C183" s="51" t="s">
        <v>3759</v>
      </c>
      <c r="D183" s="91"/>
      <c r="W183" s="35" t="str">
        <f>"-- "&amp;B183&amp;" : "&amp;C183</f>
        <v>-- SQL_ID : 31_A6-25</v>
      </c>
    </row>
    <row r="184" spans="2:23" ht="18.75" customHeight="1">
      <c r="B184" s="43" t="s">
        <v>158</v>
      </c>
      <c r="C184" s="145" t="str">
        <f>R187&amp;"登録"</f>
        <v>ベース_MML_処方箋モジュール_投薬登録</v>
      </c>
      <c r="D184" s="146"/>
      <c r="E184" s="146"/>
      <c r="F184" s="146"/>
      <c r="G184" s="146"/>
      <c r="H184" s="146"/>
      <c r="I184" s="146"/>
      <c r="J184" s="146"/>
      <c r="K184" s="146"/>
      <c r="L184" s="146"/>
      <c r="M184" s="146"/>
      <c r="N184" s="146"/>
      <c r="O184" s="146"/>
      <c r="P184" s="146"/>
      <c r="Q184" s="146"/>
      <c r="R184" s="146"/>
      <c r="S184" s="146"/>
      <c r="T184" s="146"/>
      <c r="U184" s="147"/>
      <c r="W184" s="35" t="str">
        <f>"-- "&amp;C184</f>
        <v>-- ベース_MML_処方箋モジュール_投薬登録</v>
      </c>
    </row>
    <row r="185" spans="2:23" ht="18.75" customHeight="1">
      <c r="B185" s="43" t="s">
        <v>159</v>
      </c>
      <c r="C185" s="134" t="str">
        <f>C187&amp;"テーブルから対象患者で絞り込んだ結果を"&amp;R187&amp;"テーブルに格納する。"</f>
        <v>バックアップ_MML_処方箋モジュール_投薬テーブルから対象患者で絞り込んだ結果をベース_MML_処方箋モジュール_投薬テーブルに格納する。</v>
      </c>
      <c r="D185" s="135"/>
      <c r="E185" s="135"/>
      <c r="F185" s="135"/>
      <c r="G185" s="135"/>
      <c r="H185" s="135"/>
      <c r="I185" s="135"/>
      <c r="J185" s="135"/>
      <c r="K185" s="135"/>
      <c r="L185" s="135"/>
      <c r="M185" s="135"/>
      <c r="N185" s="135"/>
      <c r="O185" s="135"/>
      <c r="P185" s="135"/>
      <c r="Q185" s="135"/>
      <c r="R185" s="135"/>
      <c r="S185" s="135"/>
      <c r="T185" s="135"/>
      <c r="U185" s="136"/>
      <c r="W185" s="35" t="str">
        <f>"-- "&amp;C185</f>
        <v>-- バックアップ_MML_処方箋モジュール_投薬テーブルから対象患者で絞り込んだ結果をベース_MML_処方箋モジュール_投薬テーブルに格納する。</v>
      </c>
    </row>
    <row r="187" spans="2:23" ht="18.75" customHeight="1">
      <c r="C187" s="137" t="s">
        <v>3760</v>
      </c>
      <c r="D187" s="138"/>
      <c r="E187" s="143" t="str">
        <f>エンティティ一覧!$O$2</f>
        <v>milscm_2023_010</v>
      </c>
      <c r="H187" s="36"/>
      <c r="I187" s="36"/>
      <c r="J187" s="36"/>
      <c r="K187" s="36"/>
      <c r="L187" s="36"/>
      <c r="M187" s="36"/>
      <c r="N187" s="36"/>
      <c r="O187" s="36"/>
      <c r="P187" s="36"/>
      <c r="Q187" s="36"/>
      <c r="R187" s="137" t="str">
        <f>"ベース"&amp;SUBSTITUTE(C187,"バックアップ","")</f>
        <v>ベース_MML_処方箋モジュール_投薬</v>
      </c>
      <c r="S187" s="138"/>
      <c r="T187" s="143" t="str">
        <f>エンティティ一覧!$O$2</f>
        <v>milscm_2023_010</v>
      </c>
    </row>
    <row r="188" spans="2:23" ht="18.75" customHeight="1">
      <c r="C188" s="139"/>
      <c r="D188" s="140"/>
      <c r="E188" s="144"/>
      <c r="F188" s="37"/>
      <c r="G188" s="38"/>
      <c r="H188" s="37"/>
      <c r="I188" s="37"/>
      <c r="J188" s="37"/>
      <c r="K188" s="37"/>
      <c r="L188" s="37"/>
      <c r="M188" s="37"/>
      <c r="N188" s="37"/>
      <c r="O188" s="37"/>
      <c r="P188" s="37"/>
      <c r="Q188" s="37"/>
      <c r="R188" s="139"/>
      <c r="S188" s="140"/>
      <c r="T188" s="144"/>
    </row>
    <row r="189" spans="2:23" ht="18.75" customHeight="1">
      <c r="F189" s="39"/>
      <c r="G189" s="40"/>
    </row>
    <row r="190" spans="2:23" ht="18.75" customHeight="1">
      <c r="C190" s="137" t="s">
        <v>3742</v>
      </c>
      <c r="D190" s="138"/>
      <c r="E190" s="143" t="str">
        <f>エンティティ一覧!$O$2</f>
        <v>milscm_2023_010</v>
      </c>
      <c r="G190" s="41"/>
    </row>
    <row r="191" spans="2:23" ht="18.75" customHeight="1">
      <c r="C191" s="139"/>
      <c r="D191" s="140"/>
      <c r="E191" s="144"/>
      <c r="F191" s="37"/>
    </row>
    <row r="193" spans="2:23" ht="18.75" customHeight="1" thickBot="1">
      <c r="B193" s="42"/>
      <c r="C193" s="42"/>
      <c r="D193" s="42"/>
      <c r="E193" s="42"/>
      <c r="F193" s="42"/>
      <c r="G193" s="42"/>
      <c r="H193" s="42"/>
      <c r="I193" s="42"/>
      <c r="J193" s="42"/>
      <c r="K193" s="42"/>
      <c r="L193" s="42"/>
      <c r="M193" s="42"/>
      <c r="N193" s="42"/>
      <c r="O193" s="42"/>
      <c r="P193" s="42"/>
      <c r="Q193" s="42"/>
      <c r="R193" s="42"/>
      <c r="S193" s="42"/>
      <c r="T193" s="42"/>
      <c r="U193" s="42"/>
    </row>
    <row r="195" spans="2:23" ht="18.75" customHeight="1">
      <c r="B195" s="43" t="s">
        <v>163</v>
      </c>
      <c r="C195" s="51" t="s">
        <v>3761</v>
      </c>
      <c r="D195" s="91"/>
      <c r="W195" s="35" t="str">
        <f>"-- "&amp;B195&amp;" : "&amp;C195</f>
        <v>-- SQL_ID : 31_A6-26</v>
      </c>
    </row>
    <row r="196" spans="2:23" ht="18.75" customHeight="1">
      <c r="B196" s="43" t="s">
        <v>158</v>
      </c>
      <c r="C196" s="145" t="str">
        <f>R199&amp;"登録"</f>
        <v>ベース_MML_処方箋モジュール_薬剤登録</v>
      </c>
      <c r="D196" s="146"/>
      <c r="E196" s="146"/>
      <c r="F196" s="146"/>
      <c r="G196" s="146"/>
      <c r="H196" s="146"/>
      <c r="I196" s="146"/>
      <c r="J196" s="146"/>
      <c r="K196" s="146"/>
      <c r="L196" s="146"/>
      <c r="M196" s="146"/>
      <c r="N196" s="146"/>
      <c r="O196" s="146"/>
      <c r="P196" s="146"/>
      <c r="Q196" s="146"/>
      <c r="R196" s="146"/>
      <c r="S196" s="146"/>
      <c r="T196" s="146"/>
      <c r="U196" s="147"/>
      <c r="W196" s="35" t="str">
        <f>"-- "&amp;C196</f>
        <v>-- ベース_MML_処方箋モジュール_薬剤登録</v>
      </c>
    </row>
    <row r="197" spans="2:23" ht="18.75" customHeight="1">
      <c r="B197" s="43" t="s">
        <v>159</v>
      </c>
      <c r="C197" s="134" t="str">
        <f>C199&amp;"テーブルから対象患者で絞り込んだ結果を"&amp;R199&amp;"テーブルに格納する。"</f>
        <v>バックアップ_MML_処方箋モジュール_薬剤テーブルから対象患者で絞り込んだ結果をベース_MML_処方箋モジュール_薬剤テーブルに格納する。</v>
      </c>
      <c r="D197" s="135"/>
      <c r="E197" s="135"/>
      <c r="F197" s="135"/>
      <c r="G197" s="135"/>
      <c r="H197" s="135"/>
      <c r="I197" s="135"/>
      <c r="J197" s="135"/>
      <c r="K197" s="135"/>
      <c r="L197" s="135"/>
      <c r="M197" s="135"/>
      <c r="N197" s="135"/>
      <c r="O197" s="135"/>
      <c r="P197" s="135"/>
      <c r="Q197" s="135"/>
      <c r="R197" s="135"/>
      <c r="S197" s="135"/>
      <c r="T197" s="135"/>
      <c r="U197" s="136"/>
      <c r="W197" s="35" t="str">
        <f>"-- "&amp;C197</f>
        <v>-- バックアップ_MML_処方箋モジュール_薬剤テーブルから対象患者で絞り込んだ結果をベース_MML_処方箋モジュール_薬剤テーブルに格納する。</v>
      </c>
    </row>
    <row r="199" spans="2:23" ht="18.75" customHeight="1">
      <c r="C199" s="137" t="s">
        <v>3762</v>
      </c>
      <c r="D199" s="138"/>
      <c r="E199" s="143" t="str">
        <f>エンティティ一覧!$O$2</f>
        <v>milscm_2023_010</v>
      </c>
      <c r="H199" s="36"/>
      <c r="I199" s="36"/>
      <c r="J199" s="36"/>
      <c r="K199" s="36"/>
      <c r="L199" s="36"/>
      <c r="M199" s="36"/>
      <c r="N199" s="36"/>
      <c r="O199" s="36"/>
      <c r="P199" s="36"/>
      <c r="Q199" s="36"/>
      <c r="R199" s="137" t="str">
        <f>"ベース"&amp;SUBSTITUTE(C199,"バックアップ","")</f>
        <v>ベース_MML_処方箋モジュール_薬剤</v>
      </c>
      <c r="S199" s="138"/>
      <c r="T199" s="143" t="str">
        <f>エンティティ一覧!$O$2</f>
        <v>milscm_2023_010</v>
      </c>
    </row>
    <row r="200" spans="2:23" ht="18.75" customHeight="1">
      <c r="C200" s="139"/>
      <c r="D200" s="140"/>
      <c r="E200" s="144"/>
      <c r="F200" s="37"/>
      <c r="G200" s="38"/>
      <c r="H200" s="37"/>
      <c r="I200" s="37"/>
      <c r="J200" s="37"/>
      <c r="K200" s="37"/>
      <c r="L200" s="37"/>
      <c r="M200" s="37"/>
      <c r="N200" s="37"/>
      <c r="O200" s="37"/>
      <c r="P200" s="37"/>
      <c r="Q200" s="37"/>
      <c r="R200" s="139"/>
      <c r="S200" s="140"/>
      <c r="T200" s="144"/>
    </row>
    <row r="201" spans="2:23" ht="18.75" customHeight="1">
      <c r="F201" s="39"/>
      <c r="G201" s="40"/>
    </row>
    <row r="202" spans="2:23" ht="18.75" customHeight="1">
      <c r="C202" s="137" t="s">
        <v>3742</v>
      </c>
      <c r="D202" s="138"/>
      <c r="E202" s="143" t="str">
        <f>エンティティ一覧!$O$2</f>
        <v>milscm_2023_010</v>
      </c>
      <c r="G202" s="41"/>
    </row>
    <row r="203" spans="2:23" ht="18.75" customHeight="1">
      <c r="C203" s="139"/>
      <c r="D203" s="140"/>
      <c r="E203" s="144"/>
      <c r="F203" s="37"/>
    </row>
    <row r="205" spans="2:23" ht="18.75" customHeight="1" thickBot="1">
      <c r="B205" s="42"/>
      <c r="C205" s="42"/>
      <c r="D205" s="42"/>
      <c r="E205" s="42"/>
      <c r="F205" s="42"/>
      <c r="G205" s="42"/>
      <c r="H205" s="42"/>
      <c r="I205" s="42"/>
      <c r="J205" s="42"/>
      <c r="K205" s="42"/>
      <c r="L205" s="42"/>
      <c r="M205" s="42"/>
      <c r="N205" s="42"/>
      <c r="O205" s="42"/>
      <c r="P205" s="42"/>
      <c r="Q205" s="42"/>
      <c r="R205" s="42"/>
      <c r="S205" s="42"/>
      <c r="T205" s="42"/>
      <c r="U205" s="42"/>
    </row>
    <row r="207" spans="2:23" ht="18.75" customHeight="1">
      <c r="B207" s="43" t="s">
        <v>163</v>
      </c>
      <c r="C207" s="51" t="s">
        <v>3737</v>
      </c>
      <c r="D207" s="52"/>
      <c r="W207" s="35" t="str">
        <f>"-- "&amp;B207&amp;" : "&amp;C207</f>
        <v>-- SQL_ID : 31_C1-02</v>
      </c>
    </row>
    <row r="208" spans="2:23" ht="18.75" customHeight="1">
      <c r="B208" s="43" t="s">
        <v>158</v>
      </c>
      <c r="C208" s="145" t="str">
        <f>R211&amp;"登録"</f>
        <v>ベース_DPC調査データ_入院EF統合ファイル登録</v>
      </c>
      <c r="D208" s="146"/>
      <c r="E208" s="146"/>
      <c r="F208" s="146"/>
      <c r="G208" s="146"/>
      <c r="H208" s="146"/>
      <c r="I208" s="146"/>
      <c r="J208" s="146"/>
      <c r="K208" s="146"/>
      <c r="L208" s="146"/>
      <c r="M208" s="146"/>
      <c r="N208" s="146"/>
      <c r="O208" s="146"/>
      <c r="P208" s="146"/>
      <c r="Q208" s="146"/>
      <c r="R208" s="146"/>
      <c r="S208" s="146"/>
      <c r="T208" s="146"/>
      <c r="U208" s="147"/>
      <c r="W208" s="35" t="str">
        <f>"-- "&amp;C208</f>
        <v>-- ベース_DPC調査データ_入院EF統合ファイル登録</v>
      </c>
    </row>
    <row r="209" spans="2:23" ht="18.75" customHeight="1">
      <c r="B209" s="43" t="s">
        <v>159</v>
      </c>
      <c r="C209" s="134" t="str">
        <f>C211&amp;"テーブルから対象患者で絞り込んだ結果を"&amp;R211&amp;"テーブルに格納する。"</f>
        <v>バックアップ_DPC調査データ_入院EF統合ファイルテーブルから対象患者で絞り込んだ結果をベース_DPC調査データ_入院EF統合ファイルテーブルに格納する。</v>
      </c>
      <c r="D209" s="135"/>
      <c r="E209" s="135"/>
      <c r="F209" s="135"/>
      <c r="G209" s="135"/>
      <c r="H209" s="135"/>
      <c r="I209" s="135"/>
      <c r="J209" s="135"/>
      <c r="K209" s="135"/>
      <c r="L209" s="135"/>
      <c r="M209" s="135"/>
      <c r="N209" s="135"/>
      <c r="O209" s="135"/>
      <c r="P209" s="135"/>
      <c r="Q209" s="135"/>
      <c r="R209" s="135"/>
      <c r="S209" s="135"/>
      <c r="T209" s="135"/>
      <c r="U209" s="136"/>
      <c r="W209" s="35" t="str">
        <f>"-- "&amp;C209</f>
        <v>-- バックアップ_DPC調査データ_入院EF統合ファイルテーブルから対象患者で絞り込んだ結果をベース_DPC調査データ_入院EF統合ファイルテーブルに格納する。</v>
      </c>
    </row>
    <row r="211" spans="2:23" ht="18.75" customHeight="1">
      <c r="C211" s="137" t="s">
        <v>181</v>
      </c>
      <c r="D211" s="138"/>
      <c r="E211" s="143" t="str">
        <f>エンティティ一覧!$O$2</f>
        <v>milscm_2023_010</v>
      </c>
      <c r="H211" s="36"/>
      <c r="I211" s="36"/>
      <c r="J211" s="36"/>
      <c r="K211" s="36"/>
      <c r="L211" s="36"/>
      <c r="M211" s="36"/>
      <c r="N211" s="36"/>
      <c r="O211" s="36"/>
      <c r="P211" s="36"/>
      <c r="Q211" s="36"/>
      <c r="R211" s="137" t="str">
        <f>"ベース"&amp;SUBSTITUTE(C211,"バックアップ","")</f>
        <v>ベース_DPC調査データ_入院EF統合ファイル</v>
      </c>
      <c r="S211" s="138"/>
      <c r="T211" s="143" t="str">
        <f>エンティティ一覧!$O$2</f>
        <v>milscm_2023_010</v>
      </c>
    </row>
    <row r="212" spans="2:23" ht="18.75" customHeight="1">
      <c r="C212" s="139"/>
      <c r="D212" s="140"/>
      <c r="E212" s="144"/>
      <c r="F212" s="37"/>
      <c r="G212" s="38"/>
      <c r="H212" s="37"/>
      <c r="I212" s="37"/>
      <c r="J212" s="37"/>
      <c r="K212" s="37"/>
      <c r="L212" s="37"/>
      <c r="M212" s="37"/>
      <c r="N212" s="37"/>
      <c r="O212" s="37"/>
      <c r="P212" s="37"/>
      <c r="Q212" s="37"/>
      <c r="R212" s="139"/>
      <c r="S212" s="140"/>
      <c r="T212" s="144"/>
    </row>
    <row r="213" spans="2:23" ht="18.75" customHeight="1">
      <c r="F213" s="39"/>
      <c r="G213" s="40"/>
    </row>
    <row r="214" spans="2:23" ht="18.75" customHeight="1">
      <c r="C214" s="137" t="s">
        <v>3742</v>
      </c>
      <c r="D214" s="138"/>
      <c r="E214" s="143" t="str">
        <f>エンティティ一覧!$O$2</f>
        <v>milscm_2023_010</v>
      </c>
      <c r="G214" s="41"/>
    </row>
    <row r="215" spans="2:23" ht="18.75" customHeight="1">
      <c r="C215" s="139"/>
      <c r="D215" s="140"/>
      <c r="E215" s="144"/>
      <c r="F215" s="37"/>
    </row>
    <row r="217" spans="2:23" ht="18.75" customHeight="1" thickBot="1">
      <c r="B217" s="42"/>
      <c r="C217" s="42"/>
      <c r="D217" s="42"/>
      <c r="E217" s="42"/>
      <c r="F217" s="42"/>
      <c r="G217" s="42"/>
      <c r="H217" s="42"/>
      <c r="I217" s="42"/>
      <c r="J217" s="42"/>
      <c r="K217" s="42"/>
      <c r="L217" s="42"/>
      <c r="M217" s="42"/>
      <c r="N217" s="42"/>
      <c r="O217" s="42"/>
      <c r="P217" s="42"/>
      <c r="Q217" s="42"/>
      <c r="R217" s="42"/>
      <c r="S217" s="42"/>
      <c r="T217" s="42"/>
      <c r="U217" s="42"/>
    </row>
    <row r="219" spans="2:23" ht="18.75" customHeight="1">
      <c r="B219" s="43" t="s">
        <v>163</v>
      </c>
      <c r="C219" s="51" t="s">
        <v>3738</v>
      </c>
      <c r="D219" s="52"/>
      <c r="W219" s="35" t="str">
        <f>"-- "&amp;B219&amp;" : "&amp;C219</f>
        <v>-- SQL_ID : 31_C1-03</v>
      </c>
    </row>
    <row r="220" spans="2:23" ht="18.75" customHeight="1">
      <c r="B220" s="43" t="s">
        <v>158</v>
      </c>
      <c r="C220" s="145" t="str">
        <f>R223&amp;"登録"</f>
        <v>ベース_DPC調査データ_外来EF統合ファイル登録</v>
      </c>
      <c r="D220" s="146"/>
      <c r="E220" s="146"/>
      <c r="F220" s="146"/>
      <c r="G220" s="146"/>
      <c r="H220" s="146"/>
      <c r="I220" s="146"/>
      <c r="J220" s="146"/>
      <c r="K220" s="146"/>
      <c r="L220" s="146"/>
      <c r="M220" s="146"/>
      <c r="N220" s="146"/>
      <c r="O220" s="146"/>
      <c r="P220" s="146"/>
      <c r="Q220" s="146"/>
      <c r="R220" s="146"/>
      <c r="S220" s="146"/>
      <c r="T220" s="146"/>
      <c r="U220" s="147"/>
      <c r="W220" s="35" t="str">
        <f>"-- "&amp;C220</f>
        <v>-- ベース_DPC調査データ_外来EF統合ファイル登録</v>
      </c>
    </row>
    <row r="221" spans="2:23" ht="18.75" customHeight="1">
      <c r="B221" s="43" t="s">
        <v>159</v>
      </c>
      <c r="C221" s="134" t="str">
        <f>C223&amp;"テーブルから対象患者で絞り込んだ結果を"&amp;R223&amp;"テーブルに格納する。"</f>
        <v>バックアップ_DPC調査データ_外来EF統合ファイルテーブルから対象患者で絞り込んだ結果をベース_DPC調査データ_外来EF統合ファイルテーブルに格納する。</v>
      </c>
      <c r="D221" s="135"/>
      <c r="E221" s="135"/>
      <c r="F221" s="135"/>
      <c r="G221" s="135"/>
      <c r="H221" s="135"/>
      <c r="I221" s="135"/>
      <c r="J221" s="135"/>
      <c r="K221" s="135"/>
      <c r="L221" s="135"/>
      <c r="M221" s="135"/>
      <c r="N221" s="135"/>
      <c r="O221" s="135"/>
      <c r="P221" s="135"/>
      <c r="Q221" s="135"/>
      <c r="R221" s="135"/>
      <c r="S221" s="135"/>
      <c r="T221" s="135"/>
      <c r="U221" s="136"/>
      <c r="W221" s="35" t="str">
        <f>"-- "&amp;C221</f>
        <v>-- バックアップ_DPC調査データ_外来EF統合ファイルテーブルから対象患者で絞り込んだ結果をベース_DPC調査データ_外来EF統合ファイルテーブルに格納する。</v>
      </c>
    </row>
    <row r="223" spans="2:23" ht="18.75" customHeight="1">
      <c r="C223" s="137" t="s">
        <v>182</v>
      </c>
      <c r="D223" s="138"/>
      <c r="E223" s="143" t="str">
        <f>エンティティ一覧!$O$2</f>
        <v>milscm_2023_010</v>
      </c>
      <c r="H223" s="36"/>
      <c r="I223" s="36"/>
      <c r="J223" s="36"/>
      <c r="K223" s="36"/>
      <c r="L223" s="36"/>
      <c r="M223" s="36"/>
      <c r="N223" s="36"/>
      <c r="O223" s="36"/>
      <c r="P223" s="36"/>
      <c r="Q223" s="36"/>
      <c r="R223" s="137" t="str">
        <f>"ベース"&amp;SUBSTITUTE(C223,"バックアップ","")</f>
        <v>ベース_DPC調査データ_外来EF統合ファイル</v>
      </c>
      <c r="S223" s="138"/>
      <c r="T223" s="143" t="str">
        <f>エンティティ一覧!$O$2</f>
        <v>milscm_2023_010</v>
      </c>
    </row>
    <row r="224" spans="2:23" ht="18.75" customHeight="1">
      <c r="C224" s="139"/>
      <c r="D224" s="140"/>
      <c r="E224" s="144"/>
      <c r="F224" s="37"/>
      <c r="G224" s="38"/>
      <c r="H224" s="37"/>
      <c r="I224" s="37"/>
      <c r="J224" s="37"/>
      <c r="K224" s="37"/>
      <c r="L224" s="37"/>
      <c r="M224" s="37"/>
      <c r="N224" s="37"/>
      <c r="O224" s="37"/>
      <c r="P224" s="37"/>
      <c r="Q224" s="37"/>
      <c r="R224" s="139"/>
      <c r="S224" s="140"/>
      <c r="T224" s="144"/>
    </row>
    <row r="225" spans="2:23" ht="18.75" customHeight="1">
      <c r="F225" s="39"/>
      <c r="G225" s="40"/>
    </row>
    <row r="226" spans="2:23" ht="18.75" customHeight="1">
      <c r="C226" s="137" t="s">
        <v>3742</v>
      </c>
      <c r="D226" s="138"/>
      <c r="E226" s="143" t="str">
        <f>エンティティ一覧!$O$2</f>
        <v>milscm_2023_010</v>
      </c>
      <c r="G226" s="41"/>
    </row>
    <row r="227" spans="2:23" ht="18.75" customHeight="1">
      <c r="C227" s="139"/>
      <c r="D227" s="140"/>
      <c r="E227" s="144"/>
      <c r="F227" s="37"/>
    </row>
    <row r="229" spans="2:23" ht="18.75" customHeight="1" thickBot="1">
      <c r="B229" s="42"/>
      <c r="C229" s="42"/>
      <c r="D229" s="42"/>
      <c r="E229" s="42"/>
      <c r="F229" s="42"/>
      <c r="G229" s="42"/>
      <c r="H229" s="42"/>
      <c r="I229" s="42"/>
      <c r="J229" s="42"/>
      <c r="K229" s="42"/>
      <c r="L229" s="42"/>
      <c r="M229" s="42"/>
      <c r="N229" s="42"/>
      <c r="O229" s="42"/>
      <c r="P229" s="42"/>
      <c r="Q229" s="42"/>
      <c r="R229" s="42"/>
      <c r="S229" s="42"/>
      <c r="T229" s="42"/>
      <c r="U229" s="42"/>
    </row>
    <row r="231" spans="2:23" ht="18.75" customHeight="1">
      <c r="B231" s="43" t="s">
        <v>163</v>
      </c>
      <c r="C231" s="51" t="s">
        <v>3739</v>
      </c>
      <c r="D231" s="52"/>
      <c r="W231" s="35" t="str">
        <f>"-- "&amp;B231&amp;" : "&amp;C231</f>
        <v>-- SQL_ID : 31_C1-05</v>
      </c>
    </row>
    <row r="232" spans="2:23" ht="18.75" customHeight="1">
      <c r="B232" s="43" t="s">
        <v>158</v>
      </c>
      <c r="C232" s="145" t="str">
        <f>R235&amp;"登録"</f>
        <v>ベース_DPC調査データ_様式1登録</v>
      </c>
      <c r="D232" s="146"/>
      <c r="E232" s="146"/>
      <c r="F232" s="146"/>
      <c r="G232" s="146"/>
      <c r="H232" s="146"/>
      <c r="I232" s="146"/>
      <c r="J232" s="146"/>
      <c r="K232" s="146"/>
      <c r="L232" s="146"/>
      <c r="M232" s="146"/>
      <c r="N232" s="146"/>
      <c r="O232" s="146"/>
      <c r="P232" s="146"/>
      <c r="Q232" s="146"/>
      <c r="R232" s="146"/>
      <c r="S232" s="146"/>
      <c r="T232" s="146"/>
      <c r="U232" s="147"/>
      <c r="W232" s="35" t="str">
        <f>"-- "&amp;C232</f>
        <v>-- ベース_DPC調査データ_様式1登録</v>
      </c>
    </row>
    <row r="233" spans="2:23" ht="18.75" customHeight="1">
      <c r="B233" s="43" t="s">
        <v>159</v>
      </c>
      <c r="C233" s="134" t="str">
        <f>C235&amp;"テーブルから対象患者で絞り込んだ結果を"&amp;R235&amp;"テーブルに格納する。"</f>
        <v>バックアップ_DPC調査データ_様式1テーブルから対象患者で絞り込んだ結果をベース_DPC調査データ_様式1テーブルに格納する。</v>
      </c>
      <c r="D233" s="135"/>
      <c r="E233" s="135"/>
      <c r="F233" s="135"/>
      <c r="G233" s="135"/>
      <c r="H233" s="135"/>
      <c r="I233" s="135"/>
      <c r="J233" s="135"/>
      <c r="K233" s="135"/>
      <c r="L233" s="135"/>
      <c r="M233" s="135"/>
      <c r="N233" s="135"/>
      <c r="O233" s="135"/>
      <c r="P233" s="135"/>
      <c r="Q233" s="135"/>
      <c r="R233" s="135"/>
      <c r="S233" s="135"/>
      <c r="T233" s="135"/>
      <c r="U233" s="136"/>
      <c r="W233" s="35" t="str">
        <f>"-- "&amp;C233</f>
        <v>-- バックアップ_DPC調査データ_様式1テーブルから対象患者で絞り込んだ結果をベース_DPC調査データ_様式1テーブルに格納する。</v>
      </c>
    </row>
    <row r="235" spans="2:23" ht="18.75" customHeight="1">
      <c r="C235" s="137" t="s">
        <v>183</v>
      </c>
      <c r="D235" s="138"/>
      <c r="E235" s="143" t="str">
        <f>エンティティ一覧!$O$2</f>
        <v>milscm_2023_010</v>
      </c>
      <c r="H235" s="36"/>
      <c r="I235" s="36"/>
      <c r="J235" s="36"/>
      <c r="K235" s="36"/>
      <c r="L235" s="36"/>
      <c r="M235" s="36"/>
      <c r="N235" s="36"/>
      <c r="O235" s="36"/>
      <c r="P235" s="36"/>
      <c r="Q235" s="36"/>
      <c r="R235" s="137" t="str">
        <f>"ベース"&amp;SUBSTITUTE(C235,"バックアップ","")</f>
        <v>ベース_DPC調査データ_様式1</v>
      </c>
      <c r="S235" s="138"/>
      <c r="T235" s="143" t="str">
        <f>エンティティ一覧!$O$2</f>
        <v>milscm_2023_010</v>
      </c>
    </row>
    <row r="236" spans="2:23" ht="18.75" customHeight="1">
      <c r="C236" s="139"/>
      <c r="D236" s="140"/>
      <c r="E236" s="144"/>
      <c r="F236" s="37"/>
      <c r="G236" s="38"/>
      <c r="H236" s="37"/>
      <c r="I236" s="37"/>
      <c r="J236" s="37"/>
      <c r="K236" s="37"/>
      <c r="L236" s="37"/>
      <c r="M236" s="37"/>
      <c r="N236" s="37"/>
      <c r="O236" s="37"/>
      <c r="P236" s="37"/>
      <c r="Q236" s="37"/>
      <c r="R236" s="139"/>
      <c r="S236" s="140"/>
      <c r="T236" s="144"/>
    </row>
    <row r="237" spans="2:23" ht="18.75" customHeight="1">
      <c r="F237" s="39"/>
      <c r="G237" s="40"/>
    </row>
    <row r="238" spans="2:23" ht="18.75" customHeight="1">
      <c r="C238" s="137" t="s">
        <v>3742</v>
      </c>
      <c r="D238" s="138"/>
      <c r="E238" s="143" t="str">
        <f>エンティティ一覧!$O$2</f>
        <v>milscm_2023_010</v>
      </c>
      <c r="G238" s="41"/>
    </row>
    <row r="239" spans="2:23" ht="18.75" customHeight="1">
      <c r="C239" s="139"/>
      <c r="D239" s="140"/>
      <c r="E239" s="144"/>
      <c r="F239" s="37"/>
    </row>
    <row r="241" spans="2:23" ht="18.75" customHeight="1" thickBot="1">
      <c r="B241" s="42"/>
      <c r="C241" s="42"/>
      <c r="D241" s="42"/>
      <c r="E241" s="42"/>
      <c r="F241" s="42"/>
      <c r="G241" s="42"/>
      <c r="H241" s="42"/>
      <c r="I241" s="42"/>
      <c r="J241" s="42"/>
      <c r="K241" s="42"/>
      <c r="L241" s="42"/>
      <c r="M241" s="42"/>
      <c r="N241" s="42"/>
      <c r="O241" s="42"/>
      <c r="P241" s="42"/>
      <c r="Q241" s="42"/>
      <c r="R241" s="42"/>
      <c r="S241" s="42"/>
      <c r="T241" s="42"/>
      <c r="U241" s="42"/>
    </row>
    <row r="243" spans="2:23" ht="18.75" customHeight="1">
      <c r="B243" s="43" t="s">
        <v>163</v>
      </c>
      <c r="C243" s="51" t="s">
        <v>3740</v>
      </c>
      <c r="D243" s="52"/>
      <c r="W243" s="35" t="str">
        <f>"-- "&amp;B243&amp;" : "&amp;C243</f>
        <v>-- SQL_ID : 31_C1-07</v>
      </c>
    </row>
    <row r="244" spans="2:23" ht="18.75" customHeight="1">
      <c r="B244" s="43" t="s">
        <v>158</v>
      </c>
      <c r="C244" s="145" t="str">
        <f>R247&amp;"登録"</f>
        <v>ベース_DPC調査データ_様式1_診断情報_併存症登録</v>
      </c>
      <c r="D244" s="146"/>
      <c r="E244" s="146"/>
      <c r="F244" s="146"/>
      <c r="G244" s="146"/>
      <c r="H244" s="146"/>
      <c r="I244" s="146"/>
      <c r="J244" s="146"/>
      <c r="K244" s="146"/>
      <c r="L244" s="146"/>
      <c r="M244" s="146"/>
      <c r="N244" s="146"/>
      <c r="O244" s="146"/>
      <c r="P244" s="146"/>
      <c r="Q244" s="146"/>
      <c r="R244" s="146"/>
      <c r="S244" s="146"/>
      <c r="T244" s="146"/>
      <c r="U244" s="147"/>
      <c r="W244" s="35" t="str">
        <f>"-- "&amp;C244</f>
        <v>-- ベース_DPC調査データ_様式1_診断情報_併存症登録</v>
      </c>
    </row>
    <row r="245" spans="2:23" ht="18.75" customHeight="1">
      <c r="B245" s="43" t="s">
        <v>159</v>
      </c>
      <c r="C245" s="134" t="str">
        <f>C247&amp;"テーブルから対象患者で絞り込んだ結果を"&amp;R247&amp;"テーブルに格納する。"</f>
        <v>バックアップ_DPC調査データ_様式1_診断情報_併存症テーブルから対象患者で絞り込んだ結果をベース_DPC調査データ_様式1_診断情報_併存症テーブルに格納する。</v>
      </c>
      <c r="D245" s="135"/>
      <c r="E245" s="135"/>
      <c r="F245" s="135"/>
      <c r="G245" s="135"/>
      <c r="H245" s="135"/>
      <c r="I245" s="135"/>
      <c r="J245" s="135"/>
      <c r="K245" s="135"/>
      <c r="L245" s="135"/>
      <c r="M245" s="135"/>
      <c r="N245" s="135"/>
      <c r="O245" s="135"/>
      <c r="P245" s="135"/>
      <c r="Q245" s="135"/>
      <c r="R245" s="135"/>
      <c r="S245" s="135"/>
      <c r="T245" s="135"/>
      <c r="U245" s="136"/>
      <c r="W245" s="35" t="str">
        <f>"-- "&amp;C245</f>
        <v>-- バックアップ_DPC調査データ_様式1_診断情報_併存症テーブルから対象患者で絞り込んだ結果をベース_DPC調査データ_様式1_診断情報_併存症テーブルに格納する。</v>
      </c>
    </row>
    <row r="247" spans="2:23" ht="18.75" customHeight="1">
      <c r="C247" s="137" t="s">
        <v>184</v>
      </c>
      <c r="D247" s="138"/>
      <c r="E247" s="143" t="str">
        <f>エンティティ一覧!$O$2</f>
        <v>milscm_2023_010</v>
      </c>
      <c r="H247" s="36"/>
      <c r="I247" s="36"/>
      <c r="J247" s="36"/>
      <c r="K247" s="36"/>
      <c r="L247" s="36"/>
      <c r="M247" s="36"/>
      <c r="N247" s="36"/>
      <c r="O247" s="36"/>
      <c r="P247" s="36"/>
      <c r="Q247" s="36"/>
      <c r="R247" s="137" t="str">
        <f>"ベース"&amp;SUBSTITUTE(C247,"バックアップ","")</f>
        <v>ベース_DPC調査データ_様式1_診断情報_併存症</v>
      </c>
      <c r="S247" s="138"/>
      <c r="T247" s="143" t="str">
        <f>エンティティ一覧!$O$2</f>
        <v>milscm_2023_010</v>
      </c>
    </row>
    <row r="248" spans="2:23" ht="18.75" customHeight="1">
      <c r="C248" s="139"/>
      <c r="D248" s="140"/>
      <c r="E248" s="144"/>
      <c r="F248" s="37"/>
      <c r="G248" s="38"/>
      <c r="H248" s="37"/>
      <c r="I248" s="37"/>
      <c r="J248" s="37"/>
      <c r="K248" s="37"/>
      <c r="L248" s="37"/>
      <c r="M248" s="37"/>
      <c r="N248" s="37"/>
      <c r="O248" s="37"/>
      <c r="P248" s="37"/>
      <c r="Q248" s="37"/>
      <c r="R248" s="139"/>
      <c r="S248" s="140"/>
      <c r="T248" s="144"/>
    </row>
    <row r="249" spans="2:23" ht="18.75" customHeight="1">
      <c r="F249" s="39"/>
      <c r="G249" s="40"/>
    </row>
    <row r="250" spans="2:23" ht="18.75" customHeight="1">
      <c r="C250" s="137" t="s">
        <v>3742</v>
      </c>
      <c r="D250" s="138"/>
      <c r="E250" s="143" t="str">
        <f>エンティティ一覧!$O$2</f>
        <v>milscm_2023_010</v>
      </c>
      <c r="G250" s="41"/>
    </row>
    <row r="251" spans="2:23" ht="18.75" customHeight="1">
      <c r="C251" s="139"/>
      <c r="D251" s="140"/>
      <c r="E251" s="144"/>
      <c r="F251" s="37"/>
    </row>
    <row r="253" spans="2:23" ht="18.75" customHeight="1" thickBot="1">
      <c r="B253" s="42"/>
      <c r="C253" s="42"/>
      <c r="D253" s="42"/>
      <c r="E253" s="42"/>
      <c r="F253" s="42"/>
      <c r="G253" s="42"/>
      <c r="H253" s="42"/>
      <c r="I253" s="42"/>
      <c r="J253" s="42"/>
      <c r="K253" s="42"/>
      <c r="L253" s="42"/>
      <c r="M253" s="42"/>
      <c r="N253" s="42"/>
      <c r="O253" s="42"/>
      <c r="P253" s="42"/>
      <c r="Q253" s="42"/>
      <c r="R253" s="42"/>
      <c r="S253" s="42"/>
      <c r="T253" s="42"/>
      <c r="U253" s="42"/>
    </row>
    <row r="255" spans="2:23" ht="18.75" customHeight="1">
      <c r="B255" s="43" t="s">
        <v>163</v>
      </c>
      <c r="C255" s="51" t="s">
        <v>3741</v>
      </c>
      <c r="D255" s="52"/>
      <c r="W255" s="35" t="str">
        <f>"-- "&amp;B255&amp;" : "&amp;C255</f>
        <v>-- SQL_ID : 31_C1-08</v>
      </c>
    </row>
    <row r="256" spans="2:23" ht="18.75" customHeight="1">
      <c r="B256" s="43" t="s">
        <v>158</v>
      </c>
      <c r="C256" s="145" t="str">
        <f>R259&amp;"登録"</f>
        <v>ベース_DPC調査データ_様式1_診断情報_続発症登録</v>
      </c>
      <c r="D256" s="146"/>
      <c r="E256" s="146"/>
      <c r="F256" s="146"/>
      <c r="G256" s="146"/>
      <c r="H256" s="146"/>
      <c r="I256" s="146"/>
      <c r="J256" s="146"/>
      <c r="K256" s="146"/>
      <c r="L256" s="146"/>
      <c r="M256" s="146"/>
      <c r="N256" s="146"/>
      <c r="O256" s="146"/>
      <c r="P256" s="146"/>
      <c r="Q256" s="146"/>
      <c r="R256" s="146"/>
      <c r="S256" s="146"/>
      <c r="T256" s="146"/>
      <c r="U256" s="147"/>
      <c r="W256" s="35" t="str">
        <f>"-- "&amp;C256</f>
        <v>-- ベース_DPC調査データ_様式1_診断情報_続発症登録</v>
      </c>
    </row>
    <row r="257" spans="2:23" ht="18.75" customHeight="1">
      <c r="B257" s="43" t="s">
        <v>159</v>
      </c>
      <c r="C257" s="134" t="str">
        <f>C259&amp;"テーブルから対象患者で絞り込んだ結果を"&amp;R259&amp;"テーブルに格納する。"</f>
        <v>バックアップ_DPC調査データ_様式1_診断情報_続発症テーブルから対象患者で絞り込んだ結果をベース_DPC調査データ_様式1_診断情報_続発症テーブルに格納する。</v>
      </c>
      <c r="D257" s="135"/>
      <c r="E257" s="135"/>
      <c r="F257" s="135"/>
      <c r="G257" s="135"/>
      <c r="H257" s="135"/>
      <c r="I257" s="135"/>
      <c r="J257" s="135"/>
      <c r="K257" s="135"/>
      <c r="L257" s="135"/>
      <c r="M257" s="135"/>
      <c r="N257" s="135"/>
      <c r="O257" s="135"/>
      <c r="P257" s="135"/>
      <c r="Q257" s="135"/>
      <c r="R257" s="135"/>
      <c r="S257" s="135"/>
      <c r="T257" s="135"/>
      <c r="U257" s="136"/>
      <c r="W257" s="35" t="str">
        <f>"-- "&amp;C257</f>
        <v>-- バックアップ_DPC調査データ_様式1_診断情報_続発症テーブルから対象患者で絞り込んだ結果をベース_DPC調査データ_様式1_診断情報_続発症テーブルに格納する。</v>
      </c>
    </row>
    <row r="259" spans="2:23" ht="18.75" customHeight="1">
      <c r="C259" s="137" t="s">
        <v>185</v>
      </c>
      <c r="D259" s="138"/>
      <c r="E259" s="143" t="str">
        <f>エンティティ一覧!$O$2</f>
        <v>milscm_2023_010</v>
      </c>
      <c r="H259" s="36"/>
      <c r="I259" s="36"/>
      <c r="J259" s="36"/>
      <c r="K259" s="36"/>
      <c r="L259" s="36"/>
      <c r="M259" s="36"/>
      <c r="N259" s="36"/>
      <c r="O259" s="36"/>
      <c r="P259" s="36"/>
      <c r="Q259" s="36"/>
      <c r="R259" s="137" t="str">
        <f>"ベース"&amp;SUBSTITUTE(C259,"バックアップ","")</f>
        <v>ベース_DPC調査データ_様式1_診断情報_続発症</v>
      </c>
      <c r="S259" s="138"/>
      <c r="T259" s="143" t="str">
        <f>エンティティ一覧!$O$2</f>
        <v>milscm_2023_010</v>
      </c>
    </row>
    <row r="260" spans="2:23" ht="18.75" customHeight="1">
      <c r="C260" s="139"/>
      <c r="D260" s="140"/>
      <c r="E260" s="144"/>
      <c r="F260" s="37"/>
      <c r="G260" s="38"/>
      <c r="H260" s="37"/>
      <c r="I260" s="37"/>
      <c r="J260" s="37"/>
      <c r="K260" s="37"/>
      <c r="L260" s="37"/>
      <c r="M260" s="37"/>
      <c r="N260" s="37"/>
      <c r="O260" s="37"/>
      <c r="P260" s="37"/>
      <c r="Q260" s="37"/>
      <c r="R260" s="139"/>
      <c r="S260" s="140"/>
      <c r="T260" s="144"/>
    </row>
    <row r="261" spans="2:23" ht="18.75" customHeight="1">
      <c r="F261" s="39"/>
      <c r="G261" s="40"/>
    </row>
    <row r="262" spans="2:23" ht="18.75" customHeight="1">
      <c r="C262" s="137" t="s">
        <v>3742</v>
      </c>
      <c r="D262" s="138"/>
      <c r="E262" s="143" t="str">
        <f>エンティティ一覧!$O$2</f>
        <v>milscm_2023_010</v>
      </c>
      <c r="G262" s="41"/>
    </row>
    <row r="263" spans="2:23" ht="18.75" customHeight="1">
      <c r="C263" s="139"/>
      <c r="D263" s="140"/>
      <c r="E263" s="144"/>
      <c r="F263" s="37"/>
    </row>
    <row r="265" spans="2:23" ht="18.75" customHeight="1" thickBot="1">
      <c r="B265" s="42"/>
      <c r="C265" s="42"/>
      <c r="D265" s="42"/>
      <c r="E265" s="42"/>
      <c r="F265" s="42"/>
      <c r="G265" s="42"/>
      <c r="H265" s="42"/>
      <c r="I265" s="42"/>
      <c r="J265" s="42"/>
      <c r="K265" s="42"/>
      <c r="L265" s="42"/>
      <c r="M265" s="42"/>
      <c r="N265" s="42"/>
      <c r="O265" s="42"/>
      <c r="P265" s="42"/>
      <c r="Q265" s="42"/>
      <c r="R265" s="42"/>
      <c r="S265" s="42"/>
      <c r="T265" s="42"/>
      <c r="U265" s="42"/>
    </row>
    <row r="267" spans="2:23" ht="18.75" customHeight="1">
      <c r="B267" s="43" t="s">
        <v>163</v>
      </c>
      <c r="C267" s="51" t="s">
        <v>3764</v>
      </c>
      <c r="D267" s="91"/>
      <c r="W267" s="35" t="str">
        <f>"-- "&amp;B267&amp;" : "&amp;C267</f>
        <v>-- SQL_ID : 31_C4-03</v>
      </c>
    </row>
    <row r="268" spans="2:23" ht="18.75" customHeight="1">
      <c r="B268" s="43" t="s">
        <v>158</v>
      </c>
      <c r="C268" s="145" t="str">
        <f>R271&amp;"登録"</f>
        <v>ベース_診断履歴情報モジュール_診断履歴情報レコード登録</v>
      </c>
      <c r="D268" s="146"/>
      <c r="E268" s="146"/>
      <c r="F268" s="146"/>
      <c r="G268" s="146"/>
      <c r="H268" s="146"/>
      <c r="I268" s="146"/>
      <c r="J268" s="146"/>
      <c r="K268" s="146"/>
      <c r="L268" s="146"/>
      <c r="M268" s="146"/>
      <c r="N268" s="146"/>
      <c r="O268" s="146"/>
      <c r="P268" s="146"/>
      <c r="Q268" s="146"/>
      <c r="R268" s="146"/>
      <c r="S268" s="146"/>
      <c r="T268" s="146"/>
      <c r="U268" s="147"/>
      <c r="W268" s="35" t="str">
        <f>"-- "&amp;C268</f>
        <v>-- ベース_診断履歴情報モジュール_診断履歴情報レコード登録</v>
      </c>
    </row>
    <row r="269" spans="2:23" ht="18.75" customHeight="1">
      <c r="B269" s="43" t="s">
        <v>159</v>
      </c>
      <c r="C269" s="134" t="str">
        <f>C271&amp;"テーブルから対象患者で絞り込んだ結果を"&amp;R271&amp;"テーブルに格納する。"</f>
        <v>バックアップ_診断履歴情報モジュール_診断履歴情報レコードテーブルから対象患者で絞り込んだ結果をベース_診断履歴情報モジュール_診断履歴情報レコードテーブルに格納する。</v>
      </c>
      <c r="D269" s="135"/>
      <c r="E269" s="135"/>
      <c r="F269" s="135"/>
      <c r="G269" s="135"/>
      <c r="H269" s="135"/>
      <c r="I269" s="135"/>
      <c r="J269" s="135"/>
      <c r="K269" s="135"/>
      <c r="L269" s="135"/>
      <c r="M269" s="135"/>
      <c r="N269" s="135"/>
      <c r="O269" s="135"/>
      <c r="P269" s="135"/>
      <c r="Q269" s="135"/>
      <c r="R269" s="135"/>
      <c r="S269" s="135"/>
      <c r="T269" s="135"/>
      <c r="U269" s="136"/>
      <c r="W269" s="35" t="str">
        <f>"-- "&amp;C269</f>
        <v>-- バックアップ_診断履歴情報モジュール_診断履歴情報レコードテーブルから対象患者で絞り込んだ結果をベース_診断履歴情報モジュール_診断履歴情報レコードテーブルに格納する。</v>
      </c>
    </row>
    <row r="271" spans="2:23" ht="18.75" customHeight="1">
      <c r="C271" s="156" t="s">
        <v>3765</v>
      </c>
      <c r="D271" s="157"/>
      <c r="E271" s="143" t="str">
        <f>エンティティ一覧!$O$2</f>
        <v>milscm_2023_010</v>
      </c>
      <c r="H271" s="36"/>
      <c r="I271" s="36"/>
      <c r="J271" s="36"/>
      <c r="K271" s="36"/>
      <c r="L271" s="36"/>
      <c r="M271" s="36"/>
      <c r="N271" s="36"/>
      <c r="O271" s="36"/>
      <c r="P271" s="36"/>
      <c r="Q271" s="36"/>
      <c r="R271" s="156" t="str">
        <f>"ベース"&amp;SUBSTITUTE(C271,"バックアップ","")</f>
        <v>ベース_診断履歴情報モジュール_診断履歴情報レコード</v>
      </c>
      <c r="S271" s="157"/>
      <c r="T271" s="143" t="str">
        <f>エンティティ一覧!$O$2</f>
        <v>milscm_2023_010</v>
      </c>
    </row>
    <row r="272" spans="2:23" ht="18.75" customHeight="1">
      <c r="C272" s="158"/>
      <c r="D272" s="159"/>
      <c r="E272" s="144"/>
      <c r="F272" s="37"/>
      <c r="G272" s="38"/>
      <c r="H272" s="37"/>
      <c r="I272" s="37"/>
      <c r="J272" s="37"/>
      <c r="K272" s="37"/>
      <c r="L272" s="37"/>
      <c r="M272" s="37"/>
      <c r="N272" s="37"/>
      <c r="O272" s="37"/>
      <c r="P272" s="37"/>
      <c r="Q272" s="37"/>
      <c r="R272" s="158"/>
      <c r="S272" s="159"/>
      <c r="T272" s="144"/>
    </row>
    <row r="273" spans="2:23" ht="18.75" customHeight="1">
      <c r="F273" s="39"/>
      <c r="G273" s="40"/>
    </row>
    <row r="274" spans="2:23" ht="18.75" customHeight="1">
      <c r="C274" s="137" t="s">
        <v>3742</v>
      </c>
      <c r="D274" s="138"/>
      <c r="E274" s="143" t="str">
        <f>エンティティ一覧!$O$2</f>
        <v>milscm_2023_010</v>
      </c>
      <c r="G274" s="41"/>
    </row>
    <row r="275" spans="2:23" ht="18.75" customHeight="1">
      <c r="C275" s="139"/>
      <c r="D275" s="140"/>
      <c r="E275" s="144"/>
      <c r="F275" s="37"/>
    </row>
    <row r="277" spans="2:23" ht="18.75" customHeight="1" thickBot="1">
      <c r="B277" s="42"/>
      <c r="C277" s="42"/>
      <c r="D277" s="42"/>
      <c r="E277" s="42"/>
      <c r="F277" s="42"/>
      <c r="G277" s="42"/>
      <c r="H277" s="42"/>
      <c r="I277" s="42"/>
      <c r="J277" s="42"/>
      <c r="K277" s="42"/>
      <c r="L277" s="42"/>
      <c r="M277" s="42"/>
      <c r="N277" s="42"/>
      <c r="O277" s="42"/>
      <c r="P277" s="42"/>
      <c r="Q277" s="42"/>
      <c r="R277" s="42"/>
      <c r="S277" s="42"/>
      <c r="T277" s="42"/>
      <c r="U277" s="42"/>
    </row>
    <row r="279" spans="2:23" ht="18.75" customHeight="1">
      <c r="B279" s="43" t="s">
        <v>163</v>
      </c>
      <c r="C279" s="51" t="s">
        <v>3763</v>
      </c>
      <c r="D279" s="91"/>
      <c r="W279" s="35" t="str">
        <f>"-- "&amp;B279&amp;" : "&amp;C279</f>
        <v>-- SQL_ID : 31_C4-04</v>
      </c>
    </row>
    <row r="280" spans="2:23" ht="18.75" customHeight="1">
      <c r="B280" s="43" t="s">
        <v>158</v>
      </c>
      <c r="C280" s="145" t="str">
        <f>R283&amp;"登録"</f>
        <v>ベース_診断履歴情報モジュール_診断病名レコード登録</v>
      </c>
      <c r="D280" s="146"/>
      <c r="E280" s="146"/>
      <c r="F280" s="146"/>
      <c r="G280" s="146"/>
      <c r="H280" s="146"/>
      <c r="I280" s="146"/>
      <c r="J280" s="146"/>
      <c r="K280" s="146"/>
      <c r="L280" s="146"/>
      <c r="M280" s="146"/>
      <c r="N280" s="146"/>
      <c r="O280" s="146"/>
      <c r="P280" s="146"/>
      <c r="Q280" s="146"/>
      <c r="R280" s="146"/>
      <c r="S280" s="146"/>
      <c r="T280" s="146"/>
      <c r="U280" s="147"/>
      <c r="W280" s="35" t="str">
        <f>"-- "&amp;C280</f>
        <v>-- ベース_診断履歴情報モジュール_診断病名レコード登録</v>
      </c>
    </row>
    <row r="281" spans="2:23" ht="18.75" customHeight="1">
      <c r="B281" s="43" t="s">
        <v>159</v>
      </c>
      <c r="C281" s="134" t="str">
        <f>C283&amp;"テーブルから対象患者で絞り込んだ結果を"&amp;R283&amp;"テーブルに格納する。"</f>
        <v>バックアップ_診断履歴情報モジュール_診断病名レコードテーブルから対象患者で絞り込んだ結果をベース_診断履歴情報モジュール_診断病名レコードテーブルに格納する。</v>
      </c>
      <c r="D281" s="135"/>
      <c r="E281" s="135"/>
      <c r="F281" s="135"/>
      <c r="G281" s="135"/>
      <c r="H281" s="135"/>
      <c r="I281" s="135"/>
      <c r="J281" s="135"/>
      <c r="K281" s="135"/>
      <c r="L281" s="135"/>
      <c r="M281" s="135"/>
      <c r="N281" s="135"/>
      <c r="O281" s="135"/>
      <c r="P281" s="135"/>
      <c r="Q281" s="135"/>
      <c r="R281" s="135"/>
      <c r="S281" s="135"/>
      <c r="T281" s="135"/>
      <c r="U281" s="136"/>
      <c r="W281" s="35" t="str">
        <f>"-- "&amp;C281</f>
        <v>-- バックアップ_診断履歴情報モジュール_診断病名レコードテーブルから対象患者で絞り込んだ結果をベース_診断履歴情報モジュール_診断病名レコードテーブルに格納する。</v>
      </c>
    </row>
    <row r="283" spans="2:23" ht="18.75" customHeight="1">
      <c r="C283" s="156" t="s">
        <v>3766</v>
      </c>
      <c r="D283" s="157"/>
      <c r="E283" s="143" t="str">
        <f>エンティティ一覧!$O$2</f>
        <v>milscm_2023_010</v>
      </c>
      <c r="H283" s="36"/>
      <c r="I283" s="36"/>
      <c r="J283" s="36"/>
      <c r="K283" s="36"/>
      <c r="L283" s="36"/>
      <c r="M283" s="36"/>
      <c r="N283" s="36"/>
      <c r="O283" s="36"/>
      <c r="P283" s="36"/>
      <c r="Q283" s="36"/>
      <c r="R283" s="156" t="str">
        <f>"ベース"&amp;SUBSTITUTE(C283,"バックアップ","")</f>
        <v>ベース_診断履歴情報モジュール_診断病名レコード</v>
      </c>
      <c r="S283" s="157"/>
      <c r="T283" s="143" t="str">
        <f>エンティティ一覧!$O$2</f>
        <v>milscm_2023_010</v>
      </c>
    </row>
    <row r="284" spans="2:23" ht="18.75" customHeight="1">
      <c r="C284" s="158"/>
      <c r="D284" s="159"/>
      <c r="E284" s="144"/>
      <c r="F284" s="37"/>
      <c r="G284" s="38"/>
      <c r="H284" s="37"/>
      <c r="I284" s="37"/>
      <c r="J284" s="37"/>
      <c r="K284" s="37"/>
      <c r="L284" s="37"/>
      <c r="M284" s="37"/>
      <c r="N284" s="37"/>
      <c r="O284" s="37"/>
      <c r="P284" s="37"/>
      <c r="Q284" s="37"/>
      <c r="R284" s="158"/>
      <c r="S284" s="159"/>
      <c r="T284" s="144"/>
    </row>
    <row r="285" spans="2:23" ht="18.75" customHeight="1">
      <c r="F285" s="39"/>
      <c r="G285" s="40"/>
    </row>
    <row r="286" spans="2:23" ht="18.75" customHeight="1">
      <c r="C286" s="137" t="s">
        <v>3742</v>
      </c>
      <c r="D286" s="138"/>
      <c r="E286" s="143" t="str">
        <f>エンティティ一覧!$O$2</f>
        <v>milscm_2023_010</v>
      </c>
      <c r="G286" s="41"/>
    </row>
    <row r="287" spans="2:23" ht="18.75" customHeight="1">
      <c r="C287" s="139"/>
      <c r="D287" s="140"/>
      <c r="E287" s="144"/>
      <c r="F287" s="37"/>
    </row>
    <row r="289" spans="2:23" ht="18.75" customHeight="1" thickBot="1">
      <c r="B289" s="42"/>
      <c r="C289" s="42"/>
      <c r="D289" s="42"/>
      <c r="E289" s="42"/>
      <c r="F289" s="42"/>
      <c r="G289" s="42"/>
      <c r="H289" s="42"/>
      <c r="I289" s="42"/>
      <c r="J289" s="42"/>
      <c r="K289" s="42"/>
      <c r="L289" s="42"/>
      <c r="M289" s="42"/>
      <c r="N289" s="42"/>
      <c r="O289" s="42"/>
      <c r="P289" s="42"/>
      <c r="Q289" s="42"/>
      <c r="R289" s="42"/>
      <c r="S289" s="42"/>
      <c r="T289" s="42"/>
      <c r="U289" s="42"/>
    </row>
    <row r="291" spans="2:23" ht="18.75" customHeight="1">
      <c r="B291" s="43" t="s">
        <v>163</v>
      </c>
      <c r="C291" s="51" t="s">
        <v>3768</v>
      </c>
      <c r="D291" s="91"/>
      <c r="W291" s="35" t="str">
        <f>"-- "&amp;B291&amp;" : "&amp;C291</f>
        <v>-- SQL_ID : 31_C4-06</v>
      </c>
    </row>
    <row r="292" spans="2:23" ht="18.75" customHeight="1">
      <c r="B292" s="43" t="s">
        <v>158</v>
      </c>
      <c r="C292" s="145" t="str">
        <f>R295&amp;"登録"</f>
        <v>ベース_経過記録情報モジュール_経過記録情報レコード登録</v>
      </c>
      <c r="D292" s="146"/>
      <c r="E292" s="146"/>
      <c r="F292" s="146"/>
      <c r="G292" s="146"/>
      <c r="H292" s="146"/>
      <c r="I292" s="146"/>
      <c r="J292" s="146"/>
      <c r="K292" s="146"/>
      <c r="L292" s="146"/>
      <c r="M292" s="146"/>
      <c r="N292" s="146"/>
      <c r="O292" s="146"/>
      <c r="P292" s="146"/>
      <c r="Q292" s="146"/>
      <c r="R292" s="146"/>
      <c r="S292" s="146"/>
      <c r="T292" s="146"/>
      <c r="U292" s="147"/>
      <c r="W292" s="35" t="str">
        <f>"-- "&amp;C292</f>
        <v>-- ベース_経過記録情報モジュール_経過記録情報レコード登録</v>
      </c>
    </row>
    <row r="293" spans="2:23" ht="18.75" customHeight="1">
      <c r="B293" s="43" t="s">
        <v>159</v>
      </c>
      <c r="C293" s="134" t="str">
        <f>C295&amp;"テーブルから対象患者で絞り込んだ結果を"&amp;R295&amp;"テーブルに格納する。"</f>
        <v>バックアップ_経過記録情報モジュール_経過記録情報レコードテーブルから対象患者で絞り込んだ結果をベース_経過記録情報モジュール_経過記録情報レコードテーブルに格納する。</v>
      </c>
      <c r="D293" s="135"/>
      <c r="E293" s="135"/>
      <c r="F293" s="135"/>
      <c r="G293" s="135"/>
      <c r="H293" s="135"/>
      <c r="I293" s="135"/>
      <c r="J293" s="135"/>
      <c r="K293" s="135"/>
      <c r="L293" s="135"/>
      <c r="M293" s="135"/>
      <c r="N293" s="135"/>
      <c r="O293" s="135"/>
      <c r="P293" s="135"/>
      <c r="Q293" s="135"/>
      <c r="R293" s="135"/>
      <c r="S293" s="135"/>
      <c r="T293" s="135"/>
      <c r="U293" s="136"/>
      <c r="W293" s="35" t="str">
        <f>"-- "&amp;C293</f>
        <v>-- バックアップ_経過記録情報モジュール_経過記録情報レコードテーブルから対象患者で絞り込んだ結果をベース_経過記録情報モジュール_経過記録情報レコードテーブルに格納する。</v>
      </c>
    </row>
    <row r="295" spans="2:23" ht="18.75" customHeight="1">
      <c r="C295" s="156" t="s">
        <v>3767</v>
      </c>
      <c r="D295" s="157"/>
      <c r="E295" s="143" t="str">
        <f>エンティティ一覧!$O$2</f>
        <v>milscm_2023_010</v>
      </c>
      <c r="H295" s="36"/>
      <c r="I295" s="36"/>
      <c r="J295" s="36"/>
      <c r="K295" s="36"/>
      <c r="L295" s="36"/>
      <c r="M295" s="36"/>
      <c r="N295" s="36"/>
      <c r="O295" s="36"/>
      <c r="P295" s="36"/>
      <c r="Q295" s="36"/>
      <c r="R295" s="156" t="str">
        <f>"ベース"&amp;SUBSTITUTE(C295,"バックアップ","")</f>
        <v>ベース_経過記録情報モジュール_経過記録情報レコード</v>
      </c>
      <c r="S295" s="157"/>
      <c r="T295" s="143" t="str">
        <f>エンティティ一覧!$O$2</f>
        <v>milscm_2023_010</v>
      </c>
    </row>
    <row r="296" spans="2:23" ht="18.75" customHeight="1">
      <c r="C296" s="158"/>
      <c r="D296" s="159"/>
      <c r="E296" s="144"/>
      <c r="F296" s="37"/>
      <c r="G296" s="38"/>
      <c r="H296" s="37"/>
      <c r="I296" s="37"/>
      <c r="J296" s="37"/>
      <c r="K296" s="37"/>
      <c r="L296" s="37"/>
      <c r="M296" s="37"/>
      <c r="N296" s="37"/>
      <c r="O296" s="37"/>
      <c r="P296" s="37"/>
      <c r="Q296" s="37"/>
      <c r="R296" s="158"/>
      <c r="S296" s="159"/>
      <c r="T296" s="144"/>
    </row>
    <row r="297" spans="2:23" ht="18.75" customHeight="1">
      <c r="F297" s="39"/>
      <c r="G297" s="40"/>
    </row>
    <row r="298" spans="2:23" ht="18.75" customHeight="1">
      <c r="C298" s="137" t="s">
        <v>3742</v>
      </c>
      <c r="D298" s="138"/>
      <c r="E298" s="143" t="str">
        <f>エンティティ一覧!$O$2</f>
        <v>milscm_2023_010</v>
      </c>
      <c r="G298" s="41"/>
    </row>
    <row r="299" spans="2:23" ht="18.75" customHeight="1">
      <c r="C299" s="139"/>
      <c r="D299" s="140"/>
      <c r="E299" s="144"/>
      <c r="F299" s="37"/>
    </row>
    <row r="301" spans="2:23" ht="18.75" customHeight="1" thickBot="1">
      <c r="B301" s="42"/>
      <c r="C301" s="42"/>
      <c r="D301" s="42"/>
      <c r="E301" s="42"/>
      <c r="F301" s="42"/>
      <c r="G301" s="42"/>
      <c r="H301" s="42"/>
      <c r="I301" s="42"/>
      <c r="J301" s="42"/>
      <c r="K301" s="42"/>
      <c r="L301" s="42"/>
      <c r="M301" s="42"/>
      <c r="N301" s="42"/>
      <c r="O301" s="42"/>
      <c r="P301" s="42"/>
      <c r="Q301" s="42"/>
      <c r="R301" s="42"/>
      <c r="S301" s="42"/>
      <c r="T301" s="42"/>
      <c r="U301" s="42"/>
    </row>
    <row r="303" spans="2:23" ht="18.75" customHeight="1">
      <c r="B303" s="43" t="s">
        <v>163</v>
      </c>
      <c r="C303" s="51" t="s">
        <v>3769</v>
      </c>
      <c r="D303" s="91"/>
      <c r="W303" s="35" t="str">
        <f>"-- "&amp;B303&amp;" : "&amp;C303</f>
        <v>-- SQL_ID : 31_C4-07</v>
      </c>
    </row>
    <row r="304" spans="2:23" ht="18.75" customHeight="1">
      <c r="B304" s="43" t="s">
        <v>158</v>
      </c>
      <c r="C304" s="145" t="str">
        <f>R307&amp;"登録"</f>
        <v>ベース_経過記録情報モジュール_プロブレムレコード登録</v>
      </c>
      <c r="D304" s="146"/>
      <c r="E304" s="146"/>
      <c r="F304" s="146"/>
      <c r="G304" s="146"/>
      <c r="H304" s="146"/>
      <c r="I304" s="146"/>
      <c r="J304" s="146"/>
      <c r="K304" s="146"/>
      <c r="L304" s="146"/>
      <c r="M304" s="146"/>
      <c r="N304" s="146"/>
      <c r="O304" s="146"/>
      <c r="P304" s="146"/>
      <c r="Q304" s="146"/>
      <c r="R304" s="146"/>
      <c r="S304" s="146"/>
      <c r="T304" s="146"/>
      <c r="U304" s="147"/>
      <c r="W304" s="35" t="str">
        <f>"-- "&amp;C304</f>
        <v>-- ベース_経過記録情報モジュール_プロブレムレコード登録</v>
      </c>
    </row>
    <row r="305" spans="2:23" ht="18.75" customHeight="1">
      <c r="B305" s="43" t="s">
        <v>159</v>
      </c>
      <c r="C305" s="134" t="str">
        <f>C307&amp;"テーブルから対象患者で絞り込んだ結果を"&amp;R307&amp;"テーブルに格納する。"</f>
        <v>バックアップ_経過記録情報モジュール_プロブレムレコードテーブルから対象患者で絞り込んだ結果をベース_経過記録情報モジュール_プロブレムレコードテーブルに格納する。</v>
      </c>
      <c r="D305" s="135"/>
      <c r="E305" s="135"/>
      <c r="F305" s="135"/>
      <c r="G305" s="135"/>
      <c r="H305" s="135"/>
      <c r="I305" s="135"/>
      <c r="J305" s="135"/>
      <c r="K305" s="135"/>
      <c r="L305" s="135"/>
      <c r="M305" s="135"/>
      <c r="N305" s="135"/>
      <c r="O305" s="135"/>
      <c r="P305" s="135"/>
      <c r="Q305" s="135"/>
      <c r="R305" s="135"/>
      <c r="S305" s="135"/>
      <c r="T305" s="135"/>
      <c r="U305" s="136"/>
      <c r="W305" s="35" t="str">
        <f>"-- "&amp;C305</f>
        <v>-- バックアップ_経過記録情報モジュール_プロブレムレコードテーブルから対象患者で絞り込んだ結果をベース_経過記録情報モジュール_プロブレムレコードテーブルに格納する。</v>
      </c>
    </row>
    <row r="307" spans="2:23" ht="18.75" customHeight="1">
      <c r="C307" s="156" t="s">
        <v>3770</v>
      </c>
      <c r="D307" s="157"/>
      <c r="E307" s="143" t="str">
        <f>エンティティ一覧!$O$2</f>
        <v>milscm_2023_010</v>
      </c>
      <c r="H307" s="36"/>
      <c r="I307" s="36"/>
      <c r="J307" s="36"/>
      <c r="K307" s="36"/>
      <c r="L307" s="36"/>
      <c r="M307" s="36"/>
      <c r="N307" s="36"/>
      <c r="O307" s="36"/>
      <c r="P307" s="36"/>
      <c r="Q307" s="36"/>
      <c r="R307" s="156" t="str">
        <f>"ベース"&amp;SUBSTITUTE(C307,"バックアップ","")</f>
        <v>ベース_経過記録情報モジュール_プロブレムレコード</v>
      </c>
      <c r="S307" s="157"/>
      <c r="T307" s="143" t="str">
        <f>エンティティ一覧!$O$2</f>
        <v>milscm_2023_010</v>
      </c>
    </row>
    <row r="308" spans="2:23" ht="18.75" customHeight="1">
      <c r="C308" s="158"/>
      <c r="D308" s="159"/>
      <c r="E308" s="144"/>
      <c r="F308" s="37"/>
      <c r="G308" s="38"/>
      <c r="H308" s="37"/>
      <c r="I308" s="37"/>
      <c r="J308" s="37"/>
      <c r="K308" s="37"/>
      <c r="L308" s="37"/>
      <c r="M308" s="37"/>
      <c r="N308" s="37"/>
      <c r="O308" s="37"/>
      <c r="P308" s="37"/>
      <c r="Q308" s="37"/>
      <c r="R308" s="158"/>
      <c r="S308" s="159"/>
      <c r="T308" s="144"/>
    </row>
    <row r="309" spans="2:23" ht="18.75" customHeight="1">
      <c r="F309" s="39"/>
      <c r="G309" s="40"/>
    </row>
    <row r="310" spans="2:23" ht="18.75" customHeight="1">
      <c r="C310" s="137" t="s">
        <v>3742</v>
      </c>
      <c r="D310" s="138"/>
      <c r="E310" s="143" t="str">
        <f>エンティティ一覧!$O$2</f>
        <v>milscm_2023_010</v>
      </c>
      <c r="G310" s="41"/>
    </row>
    <row r="311" spans="2:23" ht="18.75" customHeight="1">
      <c r="C311" s="139"/>
      <c r="D311" s="140"/>
      <c r="E311" s="144"/>
      <c r="F311" s="37"/>
    </row>
    <row r="313" spans="2:23" ht="18.75" customHeight="1" thickBot="1">
      <c r="B313" s="42"/>
      <c r="C313" s="42"/>
      <c r="D313" s="42"/>
      <c r="E313" s="42"/>
      <c r="F313" s="42"/>
      <c r="G313" s="42"/>
      <c r="H313" s="42"/>
      <c r="I313" s="42"/>
      <c r="J313" s="42"/>
      <c r="K313" s="42"/>
      <c r="L313" s="42"/>
      <c r="M313" s="42"/>
      <c r="N313" s="42"/>
      <c r="O313" s="42"/>
      <c r="P313" s="42"/>
      <c r="Q313" s="42"/>
      <c r="R313" s="42"/>
      <c r="S313" s="42"/>
      <c r="T313" s="42"/>
      <c r="U313" s="42"/>
    </row>
    <row r="315" spans="2:23" ht="18.75" customHeight="1">
      <c r="B315" s="43" t="s">
        <v>163</v>
      </c>
      <c r="C315" s="51" t="s">
        <v>3771</v>
      </c>
      <c r="D315" s="91"/>
      <c r="W315" s="35" t="str">
        <f>"-- "&amp;B315&amp;" : "&amp;C315</f>
        <v>-- SQL_ID : 31_C4-08</v>
      </c>
    </row>
    <row r="316" spans="2:23" ht="18.75" customHeight="1">
      <c r="B316" s="43" t="s">
        <v>158</v>
      </c>
      <c r="C316" s="145" t="str">
        <f>R319&amp;"登録"</f>
        <v>ベース_経過記録情報モジュール_身体所見レコード登録</v>
      </c>
      <c r="D316" s="146"/>
      <c r="E316" s="146"/>
      <c r="F316" s="146"/>
      <c r="G316" s="146"/>
      <c r="H316" s="146"/>
      <c r="I316" s="146"/>
      <c r="J316" s="146"/>
      <c r="K316" s="146"/>
      <c r="L316" s="146"/>
      <c r="M316" s="146"/>
      <c r="N316" s="146"/>
      <c r="O316" s="146"/>
      <c r="P316" s="146"/>
      <c r="Q316" s="146"/>
      <c r="R316" s="146"/>
      <c r="S316" s="146"/>
      <c r="T316" s="146"/>
      <c r="U316" s="147"/>
      <c r="W316" s="35" t="str">
        <f>"-- "&amp;C316</f>
        <v>-- ベース_経過記録情報モジュール_身体所見レコード登録</v>
      </c>
    </row>
    <row r="317" spans="2:23" ht="18.75" customHeight="1">
      <c r="B317" s="43" t="s">
        <v>159</v>
      </c>
      <c r="C317" s="134" t="str">
        <f>C319&amp;"テーブルから対象患者で絞り込んだ結果を"&amp;R319&amp;"テーブルに格納する。"</f>
        <v>バックアップ_経過記録情報モジュール_身体所見レコードテーブルから対象患者で絞り込んだ結果をベース_経過記録情報モジュール_身体所見レコードテーブルに格納する。</v>
      </c>
      <c r="D317" s="135"/>
      <c r="E317" s="135"/>
      <c r="F317" s="135"/>
      <c r="G317" s="135"/>
      <c r="H317" s="135"/>
      <c r="I317" s="135"/>
      <c r="J317" s="135"/>
      <c r="K317" s="135"/>
      <c r="L317" s="135"/>
      <c r="M317" s="135"/>
      <c r="N317" s="135"/>
      <c r="O317" s="135"/>
      <c r="P317" s="135"/>
      <c r="Q317" s="135"/>
      <c r="R317" s="135"/>
      <c r="S317" s="135"/>
      <c r="T317" s="135"/>
      <c r="U317" s="136"/>
      <c r="W317" s="35" t="str">
        <f>"-- "&amp;C317</f>
        <v>-- バックアップ_経過記録情報モジュール_身体所見レコードテーブルから対象患者で絞り込んだ結果をベース_経過記録情報モジュール_身体所見レコードテーブルに格納する。</v>
      </c>
    </row>
    <row r="319" spans="2:23" ht="18.75" customHeight="1">
      <c r="C319" s="156" t="s">
        <v>3772</v>
      </c>
      <c r="D319" s="157"/>
      <c r="E319" s="143" t="str">
        <f>エンティティ一覧!$O$2</f>
        <v>milscm_2023_010</v>
      </c>
      <c r="H319" s="36"/>
      <c r="I319" s="36"/>
      <c r="J319" s="36"/>
      <c r="K319" s="36"/>
      <c r="L319" s="36"/>
      <c r="M319" s="36"/>
      <c r="N319" s="36"/>
      <c r="O319" s="36"/>
      <c r="P319" s="36"/>
      <c r="Q319" s="36"/>
      <c r="R319" s="156" t="str">
        <f>"ベース"&amp;SUBSTITUTE(C319,"バックアップ","")</f>
        <v>ベース_経過記録情報モジュール_身体所見レコード</v>
      </c>
      <c r="S319" s="157"/>
      <c r="T319" s="143" t="str">
        <f>エンティティ一覧!$O$2</f>
        <v>milscm_2023_010</v>
      </c>
    </row>
    <row r="320" spans="2:23" ht="18.75" customHeight="1">
      <c r="C320" s="158"/>
      <c r="D320" s="159"/>
      <c r="E320" s="144"/>
      <c r="F320" s="37"/>
      <c r="G320" s="38"/>
      <c r="H320" s="37"/>
      <c r="I320" s="37"/>
      <c r="J320" s="37"/>
      <c r="K320" s="37"/>
      <c r="L320" s="37"/>
      <c r="M320" s="37"/>
      <c r="N320" s="37"/>
      <c r="O320" s="37"/>
      <c r="P320" s="37"/>
      <c r="Q320" s="37"/>
      <c r="R320" s="158"/>
      <c r="S320" s="159"/>
      <c r="T320" s="144"/>
    </row>
    <row r="321" spans="2:23" ht="18.75" customHeight="1">
      <c r="F321" s="39"/>
      <c r="G321" s="40"/>
    </row>
    <row r="322" spans="2:23" ht="18.75" customHeight="1">
      <c r="C322" s="137" t="s">
        <v>3742</v>
      </c>
      <c r="D322" s="138"/>
      <c r="E322" s="143" t="str">
        <f>エンティティ一覧!$O$2</f>
        <v>milscm_2023_010</v>
      </c>
      <c r="G322" s="41"/>
    </row>
    <row r="323" spans="2:23" ht="18.75" customHeight="1">
      <c r="C323" s="139"/>
      <c r="D323" s="140"/>
      <c r="E323" s="144"/>
      <c r="F323" s="37"/>
    </row>
    <row r="325" spans="2:23" ht="18.75" customHeight="1" thickBot="1">
      <c r="B325" s="42"/>
      <c r="C325" s="42"/>
      <c r="D325" s="42"/>
      <c r="E325" s="42"/>
      <c r="F325" s="42"/>
      <c r="G325" s="42"/>
      <c r="H325" s="42"/>
      <c r="I325" s="42"/>
      <c r="J325" s="42"/>
      <c r="K325" s="42"/>
      <c r="L325" s="42"/>
      <c r="M325" s="42"/>
      <c r="N325" s="42"/>
      <c r="O325" s="42"/>
      <c r="P325" s="42"/>
      <c r="Q325" s="42"/>
      <c r="R325" s="42"/>
      <c r="S325" s="42"/>
      <c r="T325" s="42"/>
      <c r="U325" s="42"/>
    </row>
    <row r="327" spans="2:23" ht="18.75" customHeight="1">
      <c r="B327" s="43" t="s">
        <v>163</v>
      </c>
      <c r="C327" s="51" t="s">
        <v>3773</v>
      </c>
      <c r="D327" s="91"/>
      <c r="W327" s="35" t="str">
        <f>"-- "&amp;B327&amp;" : "&amp;C327</f>
        <v>-- SQL_ID : 31_C4-15</v>
      </c>
    </row>
    <row r="328" spans="2:23" ht="18.75" customHeight="1">
      <c r="B328" s="43" t="s">
        <v>158</v>
      </c>
      <c r="C328" s="145" t="str">
        <f>R331&amp;"登録"</f>
        <v>ベース_経過記録情報モジュール_アセスメントレコード登録</v>
      </c>
      <c r="D328" s="146"/>
      <c r="E328" s="146"/>
      <c r="F328" s="146"/>
      <c r="G328" s="146"/>
      <c r="H328" s="146"/>
      <c r="I328" s="146"/>
      <c r="J328" s="146"/>
      <c r="K328" s="146"/>
      <c r="L328" s="146"/>
      <c r="M328" s="146"/>
      <c r="N328" s="146"/>
      <c r="O328" s="146"/>
      <c r="P328" s="146"/>
      <c r="Q328" s="146"/>
      <c r="R328" s="146"/>
      <c r="S328" s="146"/>
      <c r="T328" s="146"/>
      <c r="U328" s="147"/>
      <c r="W328" s="35" t="str">
        <f>"-- "&amp;C328</f>
        <v>-- ベース_経過記録情報モジュール_アセスメントレコード登録</v>
      </c>
    </row>
    <row r="329" spans="2:23" ht="18.75" customHeight="1">
      <c r="B329" s="43" t="s">
        <v>159</v>
      </c>
      <c r="C329" s="134" t="str">
        <f>C331&amp;"テーブルから対象患者で絞り込んだ結果を"&amp;R331&amp;"テーブルに格納する。"</f>
        <v>バックアップ_経過記録情報モジュール_アセスメントレコードテーブルから対象患者で絞り込んだ結果をベース_経過記録情報モジュール_アセスメントレコードテーブルに格納する。</v>
      </c>
      <c r="D329" s="135"/>
      <c r="E329" s="135"/>
      <c r="F329" s="135"/>
      <c r="G329" s="135"/>
      <c r="H329" s="135"/>
      <c r="I329" s="135"/>
      <c r="J329" s="135"/>
      <c r="K329" s="135"/>
      <c r="L329" s="135"/>
      <c r="M329" s="135"/>
      <c r="N329" s="135"/>
      <c r="O329" s="135"/>
      <c r="P329" s="135"/>
      <c r="Q329" s="135"/>
      <c r="R329" s="135"/>
      <c r="S329" s="135"/>
      <c r="T329" s="135"/>
      <c r="U329" s="136"/>
      <c r="W329" s="35" t="str">
        <f>"-- "&amp;C329</f>
        <v>-- バックアップ_経過記録情報モジュール_アセスメントレコードテーブルから対象患者で絞り込んだ結果をベース_経過記録情報モジュール_アセスメントレコードテーブルに格納する。</v>
      </c>
    </row>
    <row r="331" spans="2:23" ht="18.75" customHeight="1">
      <c r="C331" s="156" t="s">
        <v>3774</v>
      </c>
      <c r="D331" s="157"/>
      <c r="E331" s="143" t="str">
        <f>エンティティ一覧!$O$2</f>
        <v>milscm_2023_010</v>
      </c>
      <c r="H331" s="36"/>
      <c r="I331" s="36"/>
      <c r="J331" s="36"/>
      <c r="K331" s="36"/>
      <c r="L331" s="36"/>
      <c r="M331" s="36"/>
      <c r="N331" s="36"/>
      <c r="O331" s="36"/>
      <c r="P331" s="36"/>
      <c r="Q331" s="36"/>
      <c r="R331" s="156" t="str">
        <f>"ベース"&amp;SUBSTITUTE(C331,"バックアップ","")</f>
        <v>ベース_経過記録情報モジュール_アセスメントレコード</v>
      </c>
      <c r="S331" s="157"/>
      <c r="T331" s="143" t="str">
        <f>エンティティ一覧!$O$2</f>
        <v>milscm_2023_010</v>
      </c>
    </row>
    <row r="332" spans="2:23" ht="18.75" customHeight="1">
      <c r="C332" s="158"/>
      <c r="D332" s="159"/>
      <c r="E332" s="144"/>
      <c r="F332" s="37"/>
      <c r="G332" s="38"/>
      <c r="H332" s="37"/>
      <c r="I332" s="37"/>
      <c r="J332" s="37"/>
      <c r="K332" s="37"/>
      <c r="L332" s="37"/>
      <c r="M332" s="37"/>
      <c r="N332" s="37"/>
      <c r="O332" s="37"/>
      <c r="P332" s="37"/>
      <c r="Q332" s="37"/>
      <c r="R332" s="158"/>
      <c r="S332" s="159"/>
      <c r="T332" s="144"/>
    </row>
    <row r="333" spans="2:23" ht="18.75" customHeight="1">
      <c r="F333" s="39"/>
      <c r="G333" s="40"/>
    </row>
    <row r="334" spans="2:23" ht="18.75" customHeight="1">
      <c r="C334" s="137" t="s">
        <v>3742</v>
      </c>
      <c r="D334" s="138"/>
      <c r="E334" s="143" t="str">
        <f>エンティティ一覧!$O$2</f>
        <v>milscm_2023_010</v>
      </c>
      <c r="G334" s="41"/>
    </row>
    <row r="335" spans="2:23" ht="18.75" customHeight="1">
      <c r="C335" s="139"/>
      <c r="D335" s="140"/>
      <c r="E335" s="144"/>
      <c r="F335" s="37"/>
    </row>
    <row r="337" spans="2:23" ht="18.75" customHeight="1" thickBot="1">
      <c r="B337" s="42"/>
      <c r="C337" s="42"/>
      <c r="D337" s="42"/>
      <c r="E337" s="42"/>
      <c r="F337" s="42"/>
      <c r="G337" s="42"/>
      <c r="H337" s="42"/>
      <c r="I337" s="42"/>
      <c r="J337" s="42"/>
      <c r="K337" s="42"/>
      <c r="L337" s="42"/>
      <c r="M337" s="42"/>
      <c r="N337" s="42"/>
      <c r="O337" s="42"/>
      <c r="P337" s="42"/>
      <c r="Q337" s="42"/>
      <c r="R337" s="42"/>
      <c r="S337" s="42"/>
      <c r="T337" s="42"/>
      <c r="U337" s="42"/>
    </row>
    <row r="339" spans="2:23" ht="18.75" customHeight="1">
      <c r="B339" s="43" t="s">
        <v>163</v>
      </c>
      <c r="C339" s="51" t="s">
        <v>3775</v>
      </c>
      <c r="D339" s="91"/>
      <c r="W339" s="35" t="str">
        <f>"-- "&amp;B339&amp;" : "&amp;C339</f>
        <v>-- SQL_ID : 31_C4-22</v>
      </c>
    </row>
    <row r="340" spans="2:23" ht="18.75" customHeight="1">
      <c r="B340" s="43" t="s">
        <v>158</v>
      </c>
      <c r="C340" s="145" t="str">
        <f>R343&amp;"登録"</f>
        <v>ベース_経過記録情報モジュール_外部参照レコード登録</v>
      </c>
      <c r="D340" s="146"/>
      <c r="E340" s="146"/>
      <c r="F340" s="146"/>
      <c r="G340" s="146"/>
      <c r="H340" s="146"/>
      <c r="I340" s="146"/>
      <c r="J340" s="146"/>
      <c r="K340" s="146"/>
      <c r="L340" s="146"/>
      <c r="M340" s="146"/>
      <c r="N340" s="146"/>
      <c r="O340" s="146"/>
      <c r="P340" s="146"/>
      <c r="Q340" s="146"/>
      <c r="R340" s="146"/>
      <c r="S340" s="146"/>
      <c r="T340" s="146"/>
      <c r="U340" s="147"/>
      <c r="W340" s="35" t="str">
        <f>"-- "&amp;C340</f>
        <v>-- ベース_経過記録情報モジュール_外部参照レコード登録</v>
      </c>
    </row>
    <row r="341" spans="2:23" ht="18.75" customHeight="1">
      <c r="B341" s="43" t="s">
        <v>159</v>
      </c>
      <c r="C341" s="134" t="str">
        <f>C343&amp;"テーブルから対象患者で絞り込んだ結果を"&amp;R343&amp;"テーブルに格納する。"</f>
        <v>バックアップ_経過記録情報モジュール_外部参照レコードテーブルから対象患者で絞り込んだ結果をベース_経過記録情報モジュール_外部参照レコードテーブルに格納する。</v>
      </c>
      <c r="D341" s="135"/>
      <c r="E341" s="135"/>
      <c r="F341" s="135"/>
      <c r="G341" s="135"/>
      <c r="H341" s="135"/>
      <c r="I341" s="135"/>
      <c r="J341" s="135"/>
      <c r="K341" s="135"/>
      <c r="L341" s="135"/>
      <c r="M341" s="135"/>
      <c r="N341" s="135"/>
      <c r="O341" s="135"/>
      <c r="P341" s="135"/>
      <c r="Q341" s="135"/>
      <c r="R341" s="135"/>
      <c r="S341" s="135"/>
      <c r="T341" s="135"/>
      <c r="U341" s="136"/>
      <c r="W341" s="35" t="str">
        <f>"-- "&amp;C341</f>
        <v>-- バックアップ_経過記録情報モジュール_外部参照レコードテーブルから対象患者で絞り込んだ結果をベース_経過記録情報モジュール_外部参照レコードテーブルに格納する。</v>
      </c>
    </row>
    <row r="343" spans="2:23" ht="18.75" customHeight="1">
      <c r="C343" s="156" t="s">
        <v>3776</v>
      </c>
      <c r="D343" s="157"/>
      <c r="E343" s="143" t="str">
        <f>エンティティ一覧!$O$2</f>
        <v>milscm_2023_010</v>
      </c>
      <c r="H343" s="36"/>
      <c r="I343" s="36"/>
      <c r="J343" s="36"/>
      <c r="K343" s="36"/>
      <c r="L343" s="36"/>
      <c r="M343" s="36"/>
      <c r="N343" s="36"/>
      <c r="O343" s="36"/>
      <c r="P343" s="36"/>
      <c r="Q343" s="36"/>
      <c r="R343" s="156" t="str">
        <f>"ベース"&amp;SUBSTITUTE(C343,"バックアップ","")</f>
        <v>ベース_経過記録情報モジュール_外部参照レコード</v>
      </c>
      <c r="S343" s="157"/>
      <c r="T343" s="143" t="str">
        <f>エンティティ一覧!$O$2</f>
        <v>milscm_2023_010</v>
      </c>
    </row>
    <row r="344" spans="2:23" ht="18.75" customHeight="1">
      <c r="C344" s="158"/>
      <c r="D344" s="159"/>
      <c r="E344" s="144"/>
      <c r="F344" s="37"/>
      <c r="G344" s="38"/>
      <c r="H344" s="37"/>
      <c r="I344" s="37"/>
      <c r="J344" s="37"/>
      <c r="K344" s="37"/>
      <c r="L344" s="37"/>
      <c r="M344" s="37"/>
      <c r="N344" s="37"/>
      <c r="O344" s="37"/>
      <c r="P344" s="37"/>
      <c r="Q344" s="37"/>
      <c r="R344" s="158"/>
      <c r="S344" s="159"/>
      <c r="T344" s="144"/>
    </row>
    <row r="345" spans="2:23" ht="18.75" customHeight="1">
      <c r="F345" s="39"/>
      <c r="G345" s="40"/>
    </row>
    <row r="346" spans="2:23" ht="18.75" customHeight="1">
      <c r="C346" s="137" t="s">
        <v>3742</v>
      </c>
      <c r="D346" s="138"/>
      <c r="E346" s="143" t="str">
        <f>エンティティ一覧!$O$2</f>
        <v>milscm_2023_010</v>
      </c>
      <c r="G346" s="41"/>
    </row>
    <row r="347" spans="2:23" ht="18.75" customHeight="1">
      <c r="C347" s="139"/>
      <c r="D347" s="140"/>
      <c r="E347" s="144"/>
      <c r="F347" s="37"/>
    </row>
    <row r="349" spans="2:23" ht="18.75" customHeight="1" thickBot="1">
      <c r="B349" s="42"/>
      <c r="C349" s="42"/>
      <c r="D349" s="42"/>
      <c r="E349" s="42"/>
      <c r="F349" s="42"/>
      <c r="G349" s="42"/>
      <c r="H349" s="42"/>
      <c r="I349" s="42"/>
      <c r="J349" s="42"/>
      <c r="K349" s="42"/>
      <c r="L349" s="42"/>
      <c r="M349" s="42"/>
      <c r="N349" s="42"/>
      <c r="O349" s="42"/>
      <c r="P349" s="42"/>
      <c r="Q349" s="42"/>
      <c r="R349" s="42"/>
      <c r="S349" s="42"/>
      <c r="T349" s="42"/>
      <c r="U349" s="42"/>
    </row>
    <row r="351" spans="2:23" ht="18.75" customHeight="1">
      <c r="B351" s="43" t="s">
        <v>163</v>
      </c>
      <c r="C351" s="51" t="s">
        <v>3777</v>
      </c>
      <c r="D351" s="91"/>
      <c r="W351" s="35" t="str">
        <f>"-- "&amp;B351&amp;" : "&amp;C351</f>
        <v>-- SQL_ID : 31_C4-23</v>
      </c>
    </row>
    <row r="352" spans="2:23" ht="18.75" customHeight="1">
      <c r="B352" s="43" t="s">
        <v>158</v>
      </c>
      <c r="C352" s="145" t="str">
        <f>R355&amp;"登録"</f>
        <v>ベース_臨床サマリーモジュール_臨床サマリー情報レコード登録</v>
      </c>
      <c r="D352" s="146"/>
      <c r="E352" s="146"/>
      <c r="F352" s="146"/>
      <c r="G352" s="146"/>
      <c r="H352" s="146"/>
      <c r="I352" s="146"/>
      <c r="J352" s="146"/>
      <c r="K352" s="146"/>
      <c r="L352" s="146"/>
      <c r="M352" s="146"/>
      <c r="N352" s="146"/>
      <c r="O352" s="146"/>
      <c r="P352" s="146"/>
      <c r="Q352" s="146"/>
      <c r="R352" s="146"/>
      <c r="S352" s="146"/>
      <c r="T352" s="146"/>
      <c r="U352" s="147"/>
      <c r="W352" s="35" t="str">
        <f>"-- "&amp;C352</f>
        <v>-- ベース_臨床サマリーモジュール_臨床サマリー情報レコード登録</v>
      </c>
    </row>
    <row r="353" spans="2:23" ht="18.75" customHeight="1">
      <c r="B353" s="43" t="s">
        <v>159</v>
      </c>
      <c r="C353" s="134" t="str">
        <f>C355&amp;"テーブルから対象患者で絞り込んだ結果を"&amp;R355&amp;"テーブルに格納する。"</f>
        <v>バックアップ_臨床サマリーモジュール_臨床サマリー情報レコードテーブルから対象患者で絞り込んだ結果をベース_臨床サマリーモジュール_臨床サマリー情報レコードテーブルに格納する。</v>
      </c>
      <c r="D353" s="135"/>
      <c r="E353" s="135"/>
      <c r="F353" s="135"/>
      <c r="G353" s="135"/>
      <c r="H353" s="135"/>
      <c r="I353" s="135"/>
      <c r="J353" s="135"/>
      <c r="K353" s="135"/>
      <c r="L353" s="135"/>
      <c r="M353" s="135"/>
      <c r="N353" s="135"/>
      <c r="O353" s="135"/>
      <c r="P353" s="135"/>
      <c r="Q353" s="135"/>
      <c r="R353" s="135"/>
      <c r="S353" s="135"/>
      <c r="T353" s="135"/>
      <c r="U353" s="136"/>
      <c r="W353" s="35" t="str">
        <f>"-- "&amp;C353</f>
        <v>-- バックアップ_臨床サマリーモジュール_臨床サマリー情報レコードテーブルから対象患者で絞り込んだ結果をベース_臨床サマリーモジュール_臨床サマリー情報レコードテーブルに格納する。</v>
      </c>
    </row>
    <row r="355" spans="2:23" ht="18.75" customHeight="1">
      <c r="C355" s="152" t="s">
        <v>3778</v>
      </c>
      <c r="D355" s="153"/>
      <c r="E355" s="143" t="str">
        <f>エンティティ一覧!$O$2</f>
        <v>milscm_2023_010</v>
      </c>
      <c r="H355" s="36"/>
      <c r="I355" s="36"/>
      <c r="J355" s="36"/>
      <c r="K355" s="36"/>
      <c r="L355" s="36"/>
      <c r="M355" s="36"/>
      <c r="N355" s="36"/>
      <c r="O355" s="36"/>
      <c r="P355" s="36"/>
      <c r="Q355" s="36"/>
      <c r="R355" s="156" t="str">
        <f>"ベース"&amp;SUBSTITUTE(C355,"バックアップ","")</f>
        <v>ベース_臨床サマリーモジュール_臨床サマリー情報レコード</v>
      </c>
      <c r="S355" s="157"/>
      <c r="T355" s="143" t="str">
        <f>エンティティ一覧!$O$2</f>
        <v>milscm_2023_010</v>
      </c>
    </row>
    <row r="356" spans="2:23" ht="18.75" customHeight="1">
      <c r="C356" s="154"/>
      <c r="D356" s="155"/>
      <c r="E356" s="144"/>
      <c r="F356" s="37"/>
      <c r="G356" s="38"/>
      <c r="H356" s="37"/>
      <c r="I356" s="37"/>
      <c r="J356" s="37"/>
      <c r="K356" s="37"/>
      <c r="L356" s="37"/>
      <c r="M356" s="37"/>
      <c r="N356" s="37"/>
      <c r="O356" s="37"/>
      <c r="P356" s="37"/>
      <c r="Q356" s="37"/>
      <c r="R356" s="158"/>
      <c r="S356" s="159"/>
      <c r="T356" s="144"/>
    </row>
    <row r="357" spans="2:23" ht="18.75" customHeight="1">
      <c r="F357" s="39"/>
      <c r="G357" s="40"/>
    </row>
    <row r="358" spans="2:23" ht="18.75" customHeight="1">
      <c r="C358" s="137" t="s">
        <v>3742</v>
      </c>
      <c r="D358" s="138"/>
      <c r="E358" s="143" t="str">
        <f>エンティティ一覧!$O$2</f>
        <v>milscm_2023_010</v>
      </c>
      <c r="G358" s="41"/>
    </row>
    <row r="359" spans="2:23" ht="18.75" customHeight="1">
      <c r="C359" s="139"/>
      <c r="D359" s="140"/>
      <c r="E359" s="144"/>
      <c r="F359" s="37"/>
    </row>
    <row r="361" spans="2:23" ht="18.75" customHeight="1" thickBot="1">
      <c r="B361" s="42"/>
      <c r="C361" s="42"/>
      <c r="D361" s="42"/>
      <c r="E361" s="42"/>
      <c r="F361" s="42"/>
      <c r="G361" s="42"/>
      <c r="H361" s="42"/>
      <c r="I361" s="42"/>
      <c r="J361" s="42"/>
      <c r="K361" s="42"/>
      <c r="L361" s="42"/>
      <c r="M361" s="42"/>
      <c r="N361" s="42"/>
      <c r="O361" s="42"/>
      <c r="P361" s="42"/>
      <c r="Q361" s="42"/>
      <c r="R361" s="42"/>
      <c r="S361" s="42"/>
      <c r="T361" s="42"/>
      <c r="U361" s="42"/>
    </row>
    <row r="363" spans="2:23" ht="18.75" customHeight="1">
      <c r="B363" s="43" t="s">
        <v>163</v>
      </c>
      <c r="C363" s="51" t="s">
        <v>3779</v>
      </c>
      <c r="D363" s="92"/>
      <c r="W363" s="35" t="str">
        <f>"-- "&amp;B363&amp;" : "&amp;C363</f>
        <v>-- SQL_ID : 31_C4-24</v>
      </c>
    </row>
    <row r="364" spans="2:23" ht="18.75" customHeight="1">
      <c r="B364" s="43" t="s">
        <v>158</v>
      </c>
      <c r="C364" s="145" t="str">
        <f>R367&amp;"登録"</f>
        <v>ベース_臨床サマリーモジュール_外来受診レコード登録</v>
      </c>
      <c r="D364" s="146"/>
      <c r="E364" s="146"/>
      <c r="F364" s="146"/>
      <c r="G364" s="146"/>
      <c r="H364" s="146"/>
      <c r="I364" s="146"/>
      <c r="J364" s="146"/>
      <c r="K364" s="146"/>
      <c r="L364" s="146"/>
      <c r="M364" s="146"/>
      <c r="N364" s="146"/>
      <c r="O364" s="146"/>
      <c r="P364" s="146"/>
      <c r="Q364" s="146"/>
      <c r="R364" s="146"/>
      <c r="S364" s="146"/>
      <c r="T364" s="146"/>
      <c r="U364" s="147"/>
      <c r="W364" s="35" t="str">
        <f>"-- "&amp;C364</f>
        <v>-- ベース_臨床サマリーモジュール_外来受診レコード登録</v>
      </c>
    </row>
    <row r="365" spans="2:23" ht="18.75" customHeight="1">
      <c r="B365" s="43" t="s">
        <v>159</v>
      </c>
      <c r="C365" s="134" t="str">
        <f>C367&amp;"テーブルから対象患者で絞り込んだ結果を"&amp;R367&amp;"テーブルに格納する。"</f>
        <v>バックアップ_臨床サマリーモジュール_外来受診レコードテーブルから対象患者で絞り込んだ結果をベース_臨床サマリーモジュール_外来受診レコードテーブルに格納する。</v>
      </c>
      <c r="D365" s="135"/>
      <c r="E365" s="135"/>
      <c r="F365" s="135"/>
      <c r="G365" s="135"/>
      <c r="H365" s="135"/>
      <c r="I365" s="135"/>
      <c r="J365" s="135"/>
      <c r="K365" s="135"/>
      <c r="L365" s="135"/>
      <c r="M365" s="135"/>
      <c r="N365" s="135"/>
      <c r="O365" s="135"/>
      <c r="P365" s="135"/>
      <c r="Q365" s="135"/>
      <c r="R365" s="135"/>
      <c r="S365" s="135"/>
      <c r="T365" s="135"/>
      <c r="U365" s="136"/>
      <c r="W365" s="35" t="str">
        <f>"-- "&amp;C365</f>
        <v>-- バックアップ_臨床サマリーモジュール_外来受診レコードテーブルから対象患者で絞り込んだ結果をベース_臨床サマリーモジュール_外来受診レコードテーブルに格納する。</v>
      </c>
    </row>
    <row r="367" spans="2:23" ht="18.75" customHeight="1">
      <c r="C367" s="152" t="s">
        <v>1473</v>
      </c>
      <c r="D367" s="153"/>
      <c r="E367" s="143" t="str">
        <f>エンティティ一覧!$O$2</f>
        <v>milscm_2023_010</v>
      </c>
      <c r="H367" s="36"/>
      <c r="I367" s="36"/>
      <c r="J367" s="36"/>
      <c r="K367" s="36"/>
      <c r="L367" s="36"/>
      <c r="M367" s="36"/>
      <c r="N367" s="36"/>
      <c r="O367" s="36"/>
      <c r="P367" s="36"/>
      <c r="Q367" s="36"/>
      <c r="R367" s="156" t="str">
        <f>"ベース"&amp;SUBSTITUTE(C367,"バックアップ","")</f>
        <v>ベース_臨床サマリーモジュール_外来受診レコード</v>
      </c>
      <c r="S367" s="157"/>
      <c r="T367" s="143" t="str">
        <f>エンティティ一覧!$O$2</f>
        <v>milscm_2023_010</v>
      </c>
    </row>
    <row r="368" spans="2:23" ht="18.75" customHeight="1">
      <c r="C368" s="154"/>
      <c r="D368" s="155"/>
      <c r="E368" s="144"/>
      <c r="F368" s="37"/>
      <c r="G368" s="38"/>
      <c r="H368" s="37"/>
      <c r="I368" s="37"/>
      <c r="J368" s="37"/>
      <c r="K368" s="37"/>
      <c r="L368" s="37"/>
      <c r="M368" s="37"/>
      <c r="N368" s="37"/>
      <c r="O368" s="37"/>
      <c r="P368" s="37"/>
      <c r="Q368" s="37"/>
      <c r="R368" s="158"/>
      <c r="S368" s="159"/>
      <c r="T368" s="144"/>
    </row>
    <row r="369" spans="2:23" ht="18.75" customHeight="1">
      <c r="F369" s="39"/>
      <c r="G369" s="40"/>
    </row>
    <row r="370" spans="2:23" ht="18.75" customHeight="1">
      <c r="C370" s="137" t="s">
        <v>3742</v>
      </c>
      <c r="D370" s="138"/>
      <c r="E370" s="143" t="str">
        <f>エンティティ一覧!$O$2</f>
        <v>milscm_2023_010</v>
      </c>
      <c r="G370" s="41"/>
    </row>
    <row r="371" spans="2:23" ht="18.75" customHeight="1">
      <c r="C371" s="139"/>
      <c r="D371" s="140"/>
      <c r="E371" s="144"/>
      <c r="F371" s="37"/>
    </row>
    <row r="373" spans="2:23" ht="18.75" customHeight="1" thickBot="1">
      <c r="B373" s="42"/>
      <c r="C373" s="42"/>
      <c r="D373" s="42"/>
      <c r="E373" s="42"/>
      <c r="F373" s="42"/>
      <c r="G373" s="42"/>
      <c r="H373" s="42"/>
      <c r="I373" s="42"/>
      <c r="J373" s="42"/>
      <c r="K373" s="42"/>
      <c r="L373" s="42"/>
      <c r="M373" s="42"/>
      <c r="N373" s="42"/>
      <c r="O373" s="42"/>
      <c r="P373" s="42"/>
      <c r="Q373" s="42"/>
      <c r="R373" s="42"/>
      <c r="S373" s="42"/>
      <c r="T373" s="42"/>
      <c r="U373" s="42"/>
    </row>
    <row r="375" spans="2:23" ht="18.75" customHeight="1">
      <c r="B375" s="43" t="s">
        <v>163</v>
      </c>
      <c r="C375" s="51" t="s">
        <v>3780</v>
      </c>
      <c r="D375" s="92"/>
      <c r="W375" s="35" t="str">
        <f>"-- "&amp;B375&amp;" : "&amp;C375</f>
        <v>-- SQL_ID : 31_C4-25</v>
      </c>
    </row>
    <row r="376" spans="2:23" ht="18.75" customHeight="1">
      <c r="B376" s="43" t="s">
        <v>158</v>
      </c>
      <c r="C376" s="145" t="str">
        <f>R379&amp;"登録"</f>
        <v>ベース_臨床サマリーモジュール_入院レコード登録</v>
      </c>
      <c r="D376" s="146"/>
      <c r="E376" s="146"/>
      <c r="F376" s="146"/>
      <c r="G376" s="146"/>
      <c r="H376" s="146"/>
      <c r="I376" s="146"/>
      <c r="J376" s="146"/>
      <c r="K376" s="146"/>
      <c r="L376" s="146"/>
      <c r="M376" s="146"/>
      <c r="N376" s="146"/>
      <c r="O376" s="146"/>
      <c r="P376" s="146"/>
      <c r="Q376" s="146"/>
      <c r="R376" s="146"/>
      <c r="S376" s="146"/>
      <c r="T376" s="146"/>
      <c r="U376" s="147"/>
      <c r="W376" s="35" t="str">
        <f>"-- "&amp;C376</f>
        <v>-- ベース_臨床サマリーモジュール_入院レコード登録</v>
      </c>
    </row>
    <row r="377" spans="2:23" ht="18.75" customHeight="1">
      <c r="B377" s="43" t="s">
        <v>159</v>
      </c>
      <c r="C377" s="134" t="str">
        <f>C379&amp;"テーブルから対象患者で絞り込んだ結果を"&amp;R379&amp;"テーブルに格納する。"</f>
        <v>バックアップ_臨床サマリーモジュール_入院レコードテーブルから対象患者で絞り込んだ結果をベース_臨床サマリーモジュール_入院レコードテーブルに格納する。</v>
      </c>
      <c r="D377" s="135"/>
      <c r="E377" s="135"/>
      <c r="F377" s="135"/>
      <c r="G377" s="135"/>
      <c r="H377" s="135"/>
      <c r="I377" s="135"/>
      <c r="J377" s="135"/>
      <c r="K377" s="135"/>
      <c r="L377" s="135"/>
      <c r="M377" s="135"/>
      <c r="N377" s="135"/>
      <c r="O377" s="135"/>
      <c r="P377" s="135"/>
      <c r="Q377" s="135"/>
      <c r="R377" s="135"/>
      <c r="S377" s="135"/>
      <c r="T377" s="135"/>
      <c r="U377" s="136"/>
      <c r="W377" s="35" t="str">
        <f>"-- "&amp;C377</f>
        <v>-- バックアップ_臨床サマリーモジュール_入院レコードテーブルから対象患者で絞り込んだ結果をベース_臨床サマリーモジュール_入院レコードテーブルに格納する。</v>
      </c>
    </row>
    <row r="379" spans="2:23" ht="18.75" customHeight="1">
      <c r="C379" s="152" t="s">
        <v>1490</v>
      </c>
      <c r="D379" s="153"/>
      <c r="E379" s="143" t="str">
        <f>エンティティ一覧!$O$2</f>
        <v>milscm_2023_010</v>
      </c>
      <c r="H379" s="36"/>
      <c r="I379" s="36"/>
      <c r="J379" s="36"/>
      <c r="K379" s="36"/>
      <c r="L379" s="36"/>
      <c r="M379" s="36"/>
      <c r="N379" s="36"/>
      <c r="O379" s="36"/>
      <c r="P379" s="36"/>
      <c r="Q379" s="36"/>
      <c r="R379" s="156" t="str">
        <f>"ベース"&amp;SUBSTITUTE(C379,"バックアップ","")</f>
        <v>ベース_臨床サマリーモジュール_入院レコード</v>
      </c>
      <c r="S379" s="157"/>
      <c r="T379" s="143" t="str">
        <f>エンティティ一覧!$O$2</f>
        <v>milscm_2023_010</v>
      </c>
    </row>
    <row r="380" spans="2:23" ht="18.75" customHeight="1">
      <c r="C380" s="154"/>
      <c r="D380" s="155"/>
      <c r="E380" s="144"/>
      <c r="F380" s="37"/>
      <c r="G380" s="38"/>
      <c r="H380" s="37"/>
      <c r="I380" s="37"/>
      <c r="J380" s="37"/>
      <c r="K380" s="37"/>
      <c r="L380" s="37"/>
      <c r="M380" s="37"/>
      <c r="N380" s="37"/>
      <c r="O380" s="37"/>
      <c r="P380" s="37"/>
      <c r="Q380" s="37"/>
      <c r="R380" s="158"/>
      <c r="S380" s="159"/>
      <c r="T380" s="144"/>
    </row>
    <row r="381" spans="2:23" ht="18.75" customHeight="1">
      <c r="F381" s="39"/>
      <c r="G381" s="40"/>
    </row>
    <row r="382" spans="2:23" ht="18.75" customHeight="1">
      <c r="C382" s="137" t="s">
        <v>3742</v>
      </c>
      <c r="D382" s="138"/>
      <c r="E382" s="143" t="str">
        <f>エンティティ一覧!$O$2</f>
        <v>milscm_2023_010</v>
      </c>
      <c r="G382" s="41"/>
    </row>
    <row r="383" spans="2:23" ht="18.75" customHeight="1">
      <c r="C383" s="139"/>
      <c r="D383" s="140"/>
      <c r="E383" s="144"/>
      <c r="F383" s="37"/>
    </row>
    <row r="385" spans="2:23" ht="18.75" customHeight="1" thickBot="1">
      <c r="B385" s="42"/>
      <c r="C385" s="42"/>
      <c r="D385" s="42"/>
      <c r="E385" s="42"/>
      <c r="F385" s="42"/>
      <c r="G385" s="42"/>
      <c r="H385" s="42"/>
      <c r="I385" s="42"/>
      <c r="J385" s="42"/>
      <c r="K385" s="42"/>
      <c r="L385" s="42"/>
      <c r="M385" s="42"/>
      <c r="N385" s="42"/>
      <c r="O385" s="42"/>
      <c r="P385" s="42"/>
      <c r="Q385" s="42"/>
      <c r="R385" s="42"/>
      <c r="S385" s="42"/>
      <c r="T385" s="42"/>
      <c r="U385" s="42"/>
    </row>
    <row r="387" spans="2:23" ht="18.75" customHeight="1">
      <c r="B387" s="43" t="s">
        <v>163</v>
      </c>
      <c r="C387" s="51" t="s">
        <v>3781</v>
      </c>
      <c r="D387" s="92"/>
      <c r="W387" s="35" t="str">
        <f>"-- "&amp;B387&amp;" : "&amp;C387</f>
        <v>-- SQL_ID : 31_C4-29</v>
      </c>
    </row>
    <row r="388" spans="2:23" ht="18.75" customHeight="1">
      <c r="B388" s="43" t="s">
        <v>158</v>
      </c>
      <c r="C388" s="145" t="str">
        <f>R391&amp;"登録"</f>
        <v>ベース_臨床サマリーモジュール_経過記録レコード登録</v>
      </c>
      <c r="D388" s="146"/>
      <c r="E388" s="146"/>
      <c r="F388" s="146"/>
      <c r="G388" s="146"/>
      <c r="H388" s="146"/>
      <c r="I388" s="146"/>
      <c r="J388" s="146"/>
      <c r="K388" s="146"/>
      <c r="L388" s="146"/>
      <c r="M388" s="146"/>
      <c r="N388" s="146"/>
      <c r="O388" s="146"/>
      <c r="P388" s="146"/>
      <c r="Q388" s="146"/>
      <c r="R388" s="146"/>
      <c r="S388" s="146"/>
      <c r="T388" s="146"/>
      <c r="U388" s="147"/>
      <c r="W388" s="35" t="str">
        <f>"-- "&amp;C388</f>
        <v>-- ベース_臨床サマリーモジュール_経過記録レコード登録</v>
      </c>
    </row>
    <row r="389" spans="2:23" ht="18.75" customHeight="1">
      <c r="B389" s="43" t="s">
        <v>159</v>
      </c>
      <c r="C389" s="134" t="str">
        <f>C391&amp;"テーブルから対象患者で絞り込んだ結果を"&amp;R391&amp;"テーブルに格納する。"</f>
        <v>バックアップ_臨床サマリーモジュール_経過記録レコードテーブルから対象患者で絞り込んだ結果をベース_臨床サマリーモジュール_経過記録レコードテーブルに格納する。</v>
      </c>
      <c r="D389" s="135"/>
      <c r="E389" s="135"/>
      <c r="F389" s="135"/>
      <c r="G389" s="135"/>
      <c r="H389" s="135"/>
      <c r="I389" s="135"/>
      <c r="J389" s="135"/>
      <c r="K389" s="135"/>
      <c r="L389" s="135"/>
      <c r="M389" s="135"/>
      <c r="N389" s="135"/>
      <c r="O389" s="135"/>
      <c r="P389" s="135"/>
      <c r="Q389" s="135"/>
      <c r="R389" s="135"/>
      <c r="S389" s="135"/>
      <c r="T389" s="135"/>
      <c r="U389" s="136"/>
      <c r="W389" s="35" t="str">
        <f>"-- "&amp;C389</f>
        <v>-- バックアップ_臨床サマリーモジュール_経過記録レコードテーブルから対象患者で絞り込んだ結果をベース_臨床サマリーモジュール_経過記録レコードテーブルに格納する。</v>
      </c>
    </row>
    <row r="391" spans="2:23" ht="18.75" customHeight="1">
      <c r="C391" s="152" t="s">
        <v>1516</v>
      </c>
      <c r="D391" s="153"/>
      <c r="E391" s="143" t="str">
        <f>エンティティ一覧!$O$2</f>
        <v>milscm_2023_010</v>
      </c>
      <c r="H391" s="36"/>
      <c r="I391" s="36"/>
      <c r="J391" s="36"/>
      <c r="K391" s="36"/>
      <c r="L391" s="36"/>
      <c r="M391" s="36"/>
      <c r="N391" s="36"/>
      <c r="O391" s="36"/>
      <c r="P391" s="36"/>
      <c r="Q391" s="36"/>
      <c r="R391" s="156" t="str">
        <f>"ベース"&amp;SUBSTITUTE(C391,"バックアップ","")</f>
        <v>ベース_臨床サマリーモジュール_経過記録レコード</v>
      </c>
      <c r="S391" s="157"/>
      <c r="T391" s="143" t="str">
        <f>エンティティ一覧!$O$2</f>
        <v>milscm_2023_010</v>
      </c>
    </row>
    <row r="392" spans="2:23" ht="18.75" customHeight="1">
      <c r="C392" s="154"/>
      <c r="D392" s="155"/>
      <c r="E392" s="144"/>
      <c r="F392" s="37"/>
      <c r="G392" s="38"/>
      <c r="H392" s="37"/>
      <c r="I392" s="37"/>
      <c r="J392" s="37"/>
      <c r="K392" s="37"/>
      <c r="L392" s="37"/>
      <c r="M392" s="37"/>
      <c r="N392" s="37"/>
      <c r="O392" s="37"/>
      <c r="P392" s="37"/>
      <c r="Q392" s="37"/>
      <c r="R392" s="158"/>
      <c r="S392" s="159"/>
      <c r="T392" s="144"/>
    </row>
    <row r="393" spans="2:23" ht="18.75" customHeight="1">
      <c r="F393" s="39"/>
      <c r="G393" s="40"/>
    </row>
    <row r="394" spans="2:23" ht="18.75" customHeight="1">
      <c r="C394" s="137" t="s">
        <v>3742</v>
      </c>
      <c r="D394" s="138"/>
      <c r="E394" s="143" t="str">
        <f>エンティティ一覧!$O$2</f>
        <v>milscm_2023_010</v>
      </c>
      <c r="G394" s="41"/>
    </row>
    <row r="395" spans="2:23" ht="18.75" customHeight="1">
      <c r="C395" s="139"/>
      <c r="D395" s="140"/>
      <c r="E395" s="144"/>
      <c r="F395" s="37"/>
    </row>
    <row r="397" spans="2:23" ht="18.75" customHeight="1" thickBot="1">
      <c r="B397" s="42"/>
      <c r="C397" s="42"/>
      <c r="D397" s="42"/>
      <c r="E397" s="42"/>
      <c r="F397" s="42"/>
      <c r="G397" s="42"/>
      <c r="H397" s="42"/>
      <c r="I397" s="42"/>
      <c r="J397" s="42"/>
      <c r="K397" s="42"/>
      <c r="L397" s="42"/>
      <c r="M397" s="42"/>
      <c r="N397" s="42"/>
      <c r="O397" s="42"/>
      <c r="P397" s="42"/>
      <c r="Q397" s="42"/>
      <c r="R397" s="42"/>
      <c r="S397" s="42"/>
      <c r="T397" s="42"/>
      <c r="U397" s="42"/>
    </row>
    <row r="399" spans="2:23" ht="18.75" customHeight="1">
      <c r="B399" s="43" t="s">
        <v>163</v>
      </c>
      <c r="C399" s="51" t="s">
        <v>3782</v>
      </c>
      <c r="D399" s="92"/>
      <c r="W399" s="35" t="str">
        <f>"-- "&amp;B399&amp;" : "&amp;C399</f>
        <v>-- SQL_ID : 31_C4-30</v>
      </c>
    </row>
    <row r="400" spans="2:23" ht="18.75" customHeight="1">
      <c r="B400" s="43" t="s">
        <v>158</v>
      </c>
      <c r="C400" s="145" t="str">
        <f>R403&amp;"登録"</f>
        <v>ベース_臨床サマリーモジュール_検査結果レコード登録</v>
      </c>
      <c r="D400" s="146"/>
      <c r="E400" s="146"/>
      <c r="F400" s="146"/>
      <c r="G400" s="146"/>
      <c r="H400" s="146"/>
      <c r="I400" s="146"/>
      <c r="J400" s="146"/>
      <c r="K400" s="146"/>
      <c r="L400" s="146"/>
      <c r="M400" s="146"/>
      <c r="N400" s="146"/>
      <c r="O400" s="146"/>
      <c r="P400" s="146"/>
      <c r="Q400" s="146"/>
      <c r="R400" s="146"/>
      <c r="S400" s="146"/>
      <c r="T400" s="146"/>
      <c r="U400" s="147"/>
      <c r="W400" s="35" t="str">
        <f>"-- "&amp;C400</f>
        <v>-- ベース_臨床サマリーモジュール_検査結果レコード登録</v>
      </c>
    </row>
    <row r="401" spans="2:23" ht="18.75" customHeight="1">
      <c r="B401" s="43" t="s">
        <v>159</v>
      </c>
      <c r="C401" s="134" t="str">
        <f>C403&amp;"テーブルから対象患者で絞り込んだ結果を"&amp;R403&amp;"テーブルに格納する。"</f>
        <v>バックアップ_臨床サマリーモジュール_検査結果レコードテーブルから対象患者で絞り込んだ結果をベース_臨床サマリーモジュール_検査結果レコードテーブルに格納する。</v>
      </c>
      <c r="D401" s="135"/>
      <c r="E401" s="135"/>
      <c r="F401" s="135"/>
      <c r="G401" s="135"/>
      <c r="H401" s="135"/>
      <c r="I401" s="135"/>
      <c r="J401" s="135"/>
      <c r="K401" s="135"/>
      <c r="L401" s="135"/>
      <c r="M401" s="135"/>
      <c r="N401" s="135"/>
      <c r="O401" s="135"/>
      <c r="P401" s="135"/>
      <c r="Q401" s="135"/>
      <c r="R401" s="135"/>
      <c r="S401" s="135"/>
      <c r="T401" s="135"/>
      <c r="U401" s="136"/>
      <c r="W401" s="35" t="str">
        <f>"-- "&amp;C401</f>
        <v>-- バックアップ_臨床サマリーモジュール_検査結果レコードテーブルから対象患者で絞り込んだ結果をベース_臨床サマリーモジュール_検査結果レコードテーブルに格納する。</v>
      </c>
    </row>
    <row r="403" spans="2:23" ht="18.75" customHeight="1">
      <c r="C403" s="152" t="s">
        <v>1531</v>
      </c>
      <c r="D403" s="153"/>
      <c r="E403" s="143" t="str">
        <f>エンティティ一覧!$O$2</f>
        <v>milscm_2023_010</v>
      </c>
      <c r="H403" s="36"/>
      <c r="I403" s="36"/>
      <c r="J403" s="36"/>
      <c r="K403" s="36"/>
      <c r="L403" s="36"/>
      <c r="M403" s="36"/>
      <c r="N403" s="36"/>
      <c r="O403" s="36"/>
      <c r="P403" s="36"/>
      <c r="Q403" s="36"/>
      <c r="R403" s="156" t="str">
        <f>"ベース"&amp;SUBSTITUTE(C403,"バックアップ","")</f>
        <v>ベース_臨床サマリーモジュール_検査結果レコード</v>
      </c>
      <c r="S403" s="157"/>
      <c r="T403" s="143" t="str">
        <f>エンティティ一覧!$O$2</f>
        <v>milscm_2023_010</v>
      </c>
    </row>
    <row r="404" spans="2:23" ht="18.75" customHeight="1">
      <c r="C404" s="154"/>
      <c r="D404" s="155"/>
      <c r="E404" s="144"/>
      <c r="F404" s="37"/>
      <c r="G404" s="38"/>
      <c r="H404" s="37"/>
      <c r="I404" s="37"/>
      <c r="J404" s="37"/>
      <c r="K404" s="37"/>
      <c r="L404" s="37"/>
      <c r="M404" s="37"/>
      <c r="N404" s="37"/>
      <c r="O404" s="37"/>
      <c r="P404" s="37"/>
      <c r="Q404" s="37"/>
      <c r="R404" s="158"/>
      <c r="S404" s="159"/>
      <c r="T404" s="144"/>
    </row>
    <row r="405" spans="2:23" ht="18.75" customHeight="1">
      <c r="F405" s="39"/>
      <c r="G405" s="40"/>
    </row>
    <row r="406" spans="2:23" ht="18.75" customHeight="1">
      <c r="C406" s="137" t="s">
        <v>3742</v>
      </c>
      <c r="D406" s="138"/>
      <c r="E406" s="143" t="str">
        <f>エンティティ一覧!$O$2</f>
        <v>milscm_2023_010</v>
      </c>
      <c r="G406" s="41"/>
    </row>
    <row r="407" spans="2:23" ht="18.75" customHeight="1">
      <c r="C407" s="139"/>
      <c r="D407" s="140"/>
      <c r="E407" s="144"/>
      <c r="F407" s="37"/>
    </row>
    <row r="409" spans="2:23" ht="18.75" customHeight="1" thickBot="1">
      <c r="B409" s="42"/>
      <c r="C409" s="42"/>
      <c r="D409" s="42"/>
      <c r="E409" s="42"/>
      <c r="F409" s="42"/>
      <c r="G409" s="42"/>
      <c r="H409" s="42"/>
      <c r="I409" s="42"/>
      <c r="J409" s="42"/>
      <c r="K409" s="42"/>
      <c r="L409" s="42"/>
      <c r="M409" s="42"/>
      <c r="N409" s="42"/>
      <c r="O409" s="42"/>
      <c r="P409" s="42"/>
      <c r="Q409" s="42"/>
      <c r="R409" s="42"/>
      <c r="S409" s="42"/>
      <c r="T409" s="42"/>
      <c r="U409" s="42"/>
    </row>
    <row r="411" spans="2:23" ht="18.75" customHeight="1">
      <c r="B411" s="43" t="s">
        <v>163</v>
      </c>
      <c r="C411" s="51" t="s">
        <v>3783</v>
      </c>
      <c r="D411" s="92"/>
      <c r="W411" s="35" t="str">
        <f>"-- "&amp;B411&amp;" : "&amp;C411</f>
        <v>-- SQL_ID : 31_C4-31</v>
      </c>
    </row>
    <row r="412" spans="2:23" ht="18.75" customHeight="1">
      <c r="B412" s="43" t="s">
        <v>158</v>
      </c>
      <c r="C412" s="145" t="str">
        <f>R415&amp;"登録"</f>
        <v>ベース_検歴情報モジュール_検歴情報登録</v>
      </c>
      <c r="D412" s="146"/>
      <c r="E412" s="146"/>
      <c r="F412" s="146"/>
      <c r="G412" s="146"/>
      <c r="H412" s="146"/>
      <c r="I412" s="146"/>
      <c r="J412" s="146"/>
      <c r="K412" s="146"/>
      <c r="L412" s="146"/>
      <c r="M412" s="146"/>
      <c r="N412" s="146"/>
      <c r="O412" s="146"/>
      <c r="P412" s="146"/>
      <c r="Q412" s="146"/>
      <c r="R412" s="146"/>
      <c r="S412" s="146"/>
      <c r="T412" s="146"/>
      <c r="U412" s="147"/>
      <c r="W412" s="35" t="str">
        <f>"-- "&amp;C412</f>
        <v>-- ベース_検歴情報モジュール_検歴情報登録</v>
      </c>
    </row>
    <row r="413" spans="2:23" ht="18.75" customHeight="1">
      <c r="B413" s="43" t="s">
        <v>159</v>
      </c>
      <c r="C413" s="134" t="str">
        <f>C415&amp;"テーブルから対象患者で絞り込んだ結果を"&amp;R415&amp;"テーブルに格納する。"</f>
        <v>バックアップ_検歴情報モジュール_検歴情報テーブルから対象患者で絞り込んだ結果をベース_検歴情報モジュール_検歴情報テーブルに格納する。</v>
      </c>
      <c r="D413" s="135"/>
      <c r="E413" s="135"/>
      <c r="F413" s="135"/>
      <c r="G413" s="135"/>
      <c r="H413" s="135"/>
      <c r="I413" s="135"/>
      <c r="J413" s="135"/>
      <c r="K413" s="135"/>
      <c r="L413" s="135"/>
      <c r="M413" s="135"/>
      <c r="N413" s="135"/>
      <c r="O413" s="135"/>
      <c r="P413" s="135"/>
      <c r="Q413" s="135"/>
      <c r="R413" s="135"/>
      <c r="S413" s="135"/>
      <c r="T413" s="135"/>
      <c r="U413" s="136"/>
      <c r="W413" s="35" t="str">
        <f>"-- "&amp;C413</f>
        <v>-- バックアップ_検歴情報モジュール_検歴情報テーブルから対象患者で絞り込んだ結果をベース_検歴情報モジュール_検歴情報テーブルに格納する。</v>
      </c>
    </row>
    <row r="415" spans="2:23" ht="18.75" customHeight="1">
      <c r="C415" s="152" t="s">
        <v>1541</v>
      </c>
      <c r="D415" s="153"/>
      <c r="E415" s="143" t="str">
        <f>エンティティ一覧!$O$2</f>
        <v>milscm_2023_010</v>
      </c>
      <c r="H415" s="36"/>
      <c r="I415" s="36"/>
      <c r="J415" s="36"/>
      <c r="K415" s="36"/>
      <c r="L415" s="36"/>
      <c r="M415" s="36"/>
      <c r="N415" s="36"/>
      <c r="O415" s="36"/>
      <c r="P415" s="36"/>
      <c r="Q415" s="36"/>
      <c r="R415" s="156" t="str">
        <f>"ベース"&amp;SUBSTITUTE(C415,"バックアップ","")</f>
        <v>ベース_検歴情報モジュール_検歴情報</v>
      </c>
      <c r="S415" s="157"/>
      <c r="T415" s="143" t="str">
        <f>エンティティ一覧!$O$2</f>
        <v>milscm_2023_010</v>
      </c>
    </row>
    <row r="416" spans="2:23" ht="18.75" customHeight="1">
      <c r="C416" s="154"/>
      <c r="D416" s="155"/>
      <c r="E416" s="144"/>
      <c r="F416" s="37"/>
      <c r="G416" s="38"/>
      <c r="H416" s="37"/>
      <c r="I416" s="37"/>
      <c r="J416" s="37"/>
      <c r="K416" s="37"/>
      <c r="L416" s="37"/>
      <c r="M416" s="37"/>
      <c r="N416" s="37"/>
      <c r="O416" s="37"/>
      <c r="P416" s="37"/>
      <c r="Q416" s="37"/>
      <c r="R416" s="158"/>
      <c r="S416" s="159"/>
      <c r="T416" s="144"/>
    </row>
    <row r="417" spans="2:23" ht="18.75" customHeight="1">
      <c r="F417" s="39"/>
      <c r="G417" s="40"/>
    </row>
    <row r="418" spans="2:23" ht="18.75" customHeight="1">
      <c r="C418" s="137" t="s">
        <v>3742</v>
      </c>
      <c r="D418" s="138"/>
      <c r="E418" s="143" t="str">
        <f>エンティティ一覧!$O$2</f>
        <v>milscm_2023_010</v>
      </c>
      <c r="G418" s="41"/>
    </row>
    <row r="419" spans="2:23" ht="18.75" customHeight="1">
      <c r="C419" s="139"/>
      <c r="D419" s="140"/>
      <c r="E419" s="144"/>
      <c r="F419" s="37"/>
    </row>
    <row r="421" spans="2:23" ht="18.75" customHeight="1" thickBot="1">
      <c r="B421" s="42"/>
      <c r="C421" s="42"/>
      <c r="D421" s="42"/>
      <c r="E421" s="42"/>
      <c r="F421" s="42"/>
      <c r="G421" s="42"/>
      <c r="H421" s="42"/>
      <c r="I421" s="42"/>
      <c r="J421" s="42"/>
      <c r="K421" s="42"/>
      <c r="L421" s="42"/>
      <c r="M421" s="42"/>
      <c r="N421" s="42"/>
      <c r="O421" s="42"/>
      <c r="P421" s="42"/>
      <c r="Q421" s="42"/>
      <c r="R421" s="42"/>
      <c r="S421" s="42"/>
      <c r="T421" s="42"/>
      <c r="U421" s="42"/>
    </row>
    <row r="423" spans="2:23" ht="18.75" customHeight="1">
      <c r="B423" s="43" t="s">
        <v>163</v>
      </c>
      <c r="C423" s="51" t="s">
        <v>3784</v>
      </c>
      <c r="D423" s="92"/>
      <c r="W423" s="35" t="str">
        <f>"-- "&amp;B423&amp;" : "&amp;C423</f>
        <v>-- SQL_ID : 31_C4-33</v>
      </c>
    </row>
    <row r="424" spans="2:23" ht="18.75" customHeight="1">
      <c r="B424" s="43" t="s">
        <v>158</v>
      </c>
      <c r="C424" s="145" t="str">
        <f>R427&amp;"登録"</f>
        <v>ベース_検歴情報モジュール_検歴検体材料登録</v>
      </c>
      <c r="D424" s="146"/>
      <c r="E424" s="146"/>
      <c r="F424" s="146"/>
      <c r="G424" s="146"/>
      <c r="H424" s="146"/>
      <c r="I424" s="146"/>
      <c r="J424" s="146"/>
      <c r="K424" s="146"/>
      <c r="L424" s="146"/>
      <c r="M424" s="146"/>
      <c r="N424" s="146"/>
      <c r="O424" s="146"/>
      <c r="P424" s="146"/>
      <c r="Q424" s="146"/>
      <c r="R424" s="146"/>
      <c r="S424" s="146"/>
      <c r="T424" s="146"/>
      <c r="U424" s="147"/>
      <c r="W424" s="35" t="str">
        <f>"-- "&amp;C424</f>
        <v>-- ベース_検歴情報モジュール_検歴検体材料登録</v>
      </c>
    </row>
    <row r="425" spans="2:23" ht="18.75" customHeight="1">
      <c r="B425" s="43" t="s">
        <v>159</v>
      </c>
      <c r="C425" s="134" t="str">
        <f>C427&amp;"テーブルから対象患者で絞り込んだ結果を"&amp;R427&amp;"テーブルに格納する。"</f>
        <v>バックアップ_検歴情報モジュール_検歴検体材料テーブルから対象患者で絞り込んだ結果をベース_検歴情報モジュール_検歴検体材料テーブルに格納する。</v>
      </c>
      <c r="D425" s="135"/>
      <c r="E425" s="135"/>
      <c r="F425" s="135"/>
      <c r="G425" s="135"/>
      <c r="H425" s="135"/>
      <c r="I425" s="135"/>
      <c r="J425" s="135"/>
      <c r="K425" s="135"/>
      <c r="L425" s="135"/>
      <c r="M425" s="135"/>
      <c r="N425" s="135"/>
      <c r="O425" s="135"/>
      <c r="P425" s="135"/>
      <c r="Q425" s="135"/>
      <c r="R425" s="135"/>
      <c r="S425" s="135"/>
      <c r="T425" s="135"/>
      <c r="U425" s="136"/>
      <c r="W425" s="35" t="str">
        <f>"-- "&amp;C425</f>
        <v>-- バックアップ_検歴情報モジュール_検歴検体材料テーブルから対象患者で絞り込んだ結果をベース_検歴情報モジュール_検歴検体材料テーブルに格納する。</v>
      </c>
    </row>
    <row r="427" spans="2:23" ht="18.75" customHeight="1">
      <c r="C427" s="152" t="s">
        <v>1599</v>
      </c>
      <c r="D427" s="153"/>
      <c r="E427" s="143" t="str">
        <f>エンティティ一覧!$O$2</f>
        <v>milscm_2023_010</v>
      </c>
      <c r="H427" s="36"/>
      <c r="I427" s="36"/>
      <c r="J427" s="36"/>
      <c r="K427" s="36"/>
      <c r="L427" s="36"/>
      <c r="M427" s="36"/>
      <c r="N427" s="36"/>
      <c r="O427" s="36"/>
      <c r="P427" s="36"/>
      <c r="Q427" s="36"/>
      <c r="R427" s="156" t="str">
        <f>"ベース"&amp;SUBSTITUTE(C427,"バックアップ","")</f>
        <v>ベース_検歴情報モジュール_検歴検体材料</v>
      </c>
      <c r="S427" s="157"/>
      <c r="T427" s="143" t="str">
        <f>エンティティ一覧!$O$2</f>
        <v>milscm_2023_010</v>
      </c>
    </row>
    <row r="428" spans="2:23" ht="18.75" customHeight="1">
      <c r="C428" s="154"/>
      <c r="D428" s="155"/>
      <c r="E428" s="144"/>
      <c r="F428" s="37"/>
      <c r="G428" s="38"/>
      <c r="H428" s="37"/>
      <c r="I428" s="37"/>
      <c r="J428" s="37"/>
      <c r="K428" s="37"/>
      <c r="L428" s="37"/>
      <c r="M428" s="37"/>
      <c r="N428" s="37"/>
      <c r="O428" s="37"/>
      <c r="P428" s="37"/>
      <c r="Q428" s="37"/>
      <c r="R428" s="158"/>
      <c r="S428" s="159"/>
      <c r="T428" s="144"/>
    </row>
    <row r="429" spans="2:23" ht="18.75" customHeight="1">
      <c r="F429" s="39"/>
      <c r="G429" s="40"/>
    </row>
    <row r="430" spans="2:23" ht="18.75" customHeight="1">
      <c r="C430" s="137" t="s">
        <v>3742</v>
      </c>
      <c r="D430" s="138"/>
      <c r="E430" s="143" t="str">
        <f>エンティティ一覧!$O$2</f>
        <v>milscm_2023_010</v>
      </c>
      <c r="G430" s="41"/>
    </row>
    <row r="431" spans="2:23" ht="18.75" customHeight="1">
      <c r="C431" s="139"/>
      <c r="D431" s="140"/>
      <c r="E431" s="144"/>
      <c r="F431" s="37"/>
    </row>
    <row r="433" spans="2:23" ht="18.75" customHeight="1" thickBot="1">
      <c r="B433" s="42"/>
      <c r="C433" s="42"/>
      <c r="D433" s="42"/>
      <c r="E433" s="42"/>
      <c r="F433" s="42"/>
      <c r="G433" s="42"/>
      <c r="H433" s="42"/>
      <c r="I433" s="42"/>
      <c r="J433" s="42"/>
      <c r="K433" s="42"/>
      <c r="L433" s="42"/>
      <c r="M433" s="42"/>
      <c r="N433" s="42"/>
      <c r="O433" s="42"/>
      <c r="P433" s="42"/>
      <c r="Q433" s="42"/>
      <c r="R433" s="42"/>
      <c r="S433" s="42"/>
      <c r="T433" s="42"/>
      <c r="U433" s="42"/>
    </row>
    <row r="435" spans="2:23" ht="18.75" customHeight="1">
      <c r="B435" s="43" t="s">
        <v>163</v>
      </c>
      <c r="C435" s="51" t="s">
        <v>3785</v>
      </c>
      <c r="D435" s="92"/>
      <c r="W435" s="35" t="str">
        <f>"-- "&amp;B435&amp;" : "&amp;C435</f>
        <v>-- SQL_ID : 31_C4-35</v>
      </c>
    </row>
    <row r="436" spans="2:23" ht="18.75" customHeight="1">
      <c r="B436" s="43" t="s">
        <v>158</v>
      </c>
      <c r="C436" s="145" t="str">
        <f>R439&amp;"登録"</f>
        <v>ベース_検歴情報モジュール_検歴項目情報登録</v>
      </c>
      <c r="D436" s="146"/>
      <c r="E436" s="146"/>
      <c r="F436" s="146"/>
      <c r="G436" s="146"/>
      <c r="H436" s="146"/>
      <c r="I436" s="146"/>
      <c r="J436" s="146"/>
      <c r="K436" s="146"/>
      <c r="L436" s="146"/>
      <c r="M436" s="146"/>
      <c r="N436" s="146"/>
      <c r="O436" s="146"/>
      <c r="P436" s="146"/>
      <c r="Q436" s="146"/>
      <c r="R436" s="146"/>
      <c r="S436" s="146"/>
      <c r="T436" s="146"/>
      <c r="U436" s="147"/>
      <c r="W436" s="35" t="str">
        <f>"-- "&amp;C436</f>
        <v>-- ベース_検歴情報モジュール_検歴項目情報登録</v>
      </c>
    </row>
    <row r="437" spans="2:23" ht="18.75" customHeight="1">
      <c r="B437" s="43" t="s">
        <v>159</v>
      </c>
      <c r="C437" s="134" t="str">
        <f>C439&amp;"テーブルから対象患者で絞り込んだ結果を"&amp;R439&amp;"テーブルに格納する。"</f>
        <v>バックアップ_検歴情報モジュール_検歴項目情報テーブルから対象患者で絞り込んだ結果をベース_検歴情報モジュール_検歴項目情報テーブルに格納する。</v>
      </c>
      <c r="D437" s="135"/>
      <c r="E437" s="135"/>
      <c r="F437" s="135"/>
      <c r="G437" s="135"/>
      <c r="H437" s="135"/>
      <c r="I437" s="135"/>
      <c r="J437" s="135"/>
      <c r="K437" s="135"/>
      <c r="L437" s="135"/>
      <c r="M437" s="135"/>
      <c r="N437" s="135"/>
      <c r="O437" s="135"/>
      <c r="P437" s="135"/>
      <c r="Q437" s="135"/>
      <c r="R437" s="135"/>
      <c r="S437" s="135"/>
      <c r="T437" s="135"/>
      <c r="U437" s="136"/>
      <c r="W437" s="35" t="str">
        <f>"-- "&amp;C437</f>
        <v>-- バックアップ_検歴情報モジュール_検歴項目情報テーブルから対象患者で絞り込んだ結果をベース_検歴情報モジュール_検歴項目情報テーブルに格納する。</v>
      </c>
    </row>
    <row r="439" spans="2:23" ht="18.75" customHeight="1">
      <c r="C439" s="152" t="s">
        <v>1618</v>
      </c>
      <c r="D439" s="153"/>
      <c r="E439" s="143" t="str">
        <f>エンティティ一覧!$O$2</f>
        <v>milscm_2023_010</v>
      </c>
      <c r="H439" s="36"/>
      <c r="I439" s="36"/>
      <c r="J439" s="36"/>
      <c r="K439" s="36"/>
      <c r="L439" s="36"/>
      <c r="M439" s="36"/>
      <c r="N439" s="36"/>
      <c r="O439" s="36"/>
      <c r="P439" s="36"/>
      <c r="Q439" s="36"/>
      <c r="R439" s="156" t="str">
        <f>"ベース"&amp;SUBSTITUTE(C439,"バックアップ","")</f>
        <v>ベース_検歴情報モジュール_検歴項目情報</v>
      </c>
      <c r="S439" s="157"/>
      <c r="T439" s="143" t="str">
        <f>エンティティ一覧!$O$2</f>
        <v>milscm_2023_010</v>
      </c>
    </row>
    <row r="440" spans="2:23" ht="18.75" customHeight="1">
      <c r="C440" s="154"/>
      <c r="D440" s="155"/>
      <c r="E440" s="144"/>
      <c r="F440" s="37"/>
      <c r="G440" s="38"/>
      <c r="H440" s="37"/>
      <c r="I440" s="37"/>
      <c r="J440" s="37"/>
      <c r="K440" s="37"/>
      <c r="L440" s="37"/>
      <c r="M440" s="37"/>
      <c r="N440" s="37"/>
      <c r="O440" s="37"/>
      <c r="P440" s="37"/>
      <c r="Q440" s="37"/>
      <c r="R440" s="158"/>
      <c r="S440" s="159"/>
      <c r="T440" s="144"/>
    </row>
    <row r="441" spans="2:23" ht="18.75" customHeight="1">
      <c r="F441" s="39"/>
      <c r="G441" s="40"/>
    </row>
    <row r="442" spans="2:23" ht="18.75" customHeight="1">
      <c r="C442" s="137" t="s">
        <v>3742</v>
      </c>
      <c r="D442" s="138"/>
      <c r="E442" s="143" t="str">
        <f>エンティティ一覧!$O$2</f>
        <v>milscm_2023_010</v>
      </c>
      <c r="G442" s="41"/>
    </row>
    <row r="443" spans="2:23" ht="18.75" customHeight="1">
      <c r="C443" s="139"/>
      <c r="D443" s="140"/>
      <c r="E443" s="144"/>
      <c r="F443" s="37"/>
    </row>
    <row r="445" spans="2:23" ht="18.75" customHeight="1" thickBot="1">
      <c r="B445" s="42"/>
      <c r="C445" s="42"/>
      <c r="D445" s="42"/>
      <c r="E445" s="42"/>
      <c r="F445" s="42"/>
      <c r="G445" s="42"/>
      <c r="H445" s="42"/>
      <c r="I445" s="42"/>
      <c r="J445" s="42"/>
      <c r="K445" s="42"/>
      <c r="L445" s="42"/>
      <c r="M445" s="42"/>
      <c r="N445" s="42"/>
      <c r="O445" s="42"/>
      <c r="P445" s="42"/>
      <c r="Q445" s="42"/>
      <c r="R445" s="42"/>
      <c r="S445" s="42"/>
      <c r="T445" s="42"/>
      <c r="U445" s="42"/>
    </row>
    <row r="447" spans="2:23" ht="18.75" customHeight="1">
      <c r="B447" s="43" t="s">
        <v>163</v>
      </c>
      <c r="C447" s="51" t="s">
        <v>4071</v>
      </c>
      <c r="D447" s="96"/>
      <c r="W447" s="35" t="str">
        <f>"-- "&amp;B447&amp;" : "&amp;C447</f>
        <v>-- SQL_ID : 31_C4-37</v>
      </c>
    </row>
    <row r="448" spans="2:23" ht="18.75" customHeight="1">
      <c r="B448" s="43" t="s">
        <v>158</v>
      </c>
      <c r="C448" s="145" t="str">
        <f>R451&amp;"登録"</f>
        <v>ベース_バイタルサインモジュール_バイタルサイン登録</v>
      </c>
      <c r="D448" s="146"/>
      <c r="E448" s="146"/>
      <c r="F448" s="146"/>
      <c r="G448" s="146"/>
      <c r="H448" s="146"/>
      <c r="I448" s="146"/>
      <c r="J448" s="146"/>
      <c r="K448" s="146"/>
      <c r="L448" s="146"/>
      <c r="M448" s="146"/>
      <c r="N448" s="146"/>
      <c r="O448" s="146"/>
      <c r="P448" s="146"/>
      <c r="Q448" s="146"/>
      <c r="R448" s="146"/>
      <c r="S448" s="146"/>
      <c r="T448" s="146"/>
      <c r="U448" s="147"/>
      <c r="W448" s="35" t="str">
        <f>"-- "&amp;C448</f>
        <v>-- ベース_バイタルサインモジュール_バイタルサイン登録</v>
      </c>
    </row>
    <row r="449" spans="2:23" ht="18.75" customHeight="1">
      <c r="B449" s="43" t="s">
        <v>159</v>
      </c>
      <c r="C449" s="134" t="str">
        <f>C451&amp;"テーブルから対象患者で絞り込んだ結果を"&amp;R451&amp;"テーブルに格納する。"</f>
        <v>バックアップ_バイタルサインモジュール_バイタルサインテーブルから対象患者で絞り込んだ結果をベース_バイタルサインモジュール_バイタルサインテーブルに格納する。</v>
      </c>
      <c r="D449" s="135"/>
      <c r="E449" s="135"/>
      <c r="F449" s="135"/>
      <c r="G449" s="135"/>
      <c r="H449" s="135"/>
      <c r="I449" s="135"/>
      <c r="J449" s="135"/>
      <c r="K449" s="135"/>
      <c r="L449" s="135"/>
      <c r="M449" s="135"/>
      <c r="N449" s="135"/>
      <c r="O449" s="135"/>
      <c r="P449" s="135"/>
      <c r="Q449" s="135"/>
      <c r="R449" s="135"/>
      <c r="S449" s="135"/>
      <c r="T449" s="135"/>
      <c r="U449" s="136"/>
      <c r="W449" s="35" t="str">
        <f>"-- "&amp;C449</f>
        <v>-- バックアップ_バイタルサインモジュール_バイタルサインテーブルから対象患者で絞り込んだ結果をベース_バイタルサインモジュール_バイタルサインテーブルに格納する。</v>
      </c>
    </row>
    <row r="451" spans="2:23" ht="18.75" customHeight="1">
      <c r="C451" s="152" t="s">
        <v>1676</v>
      </c>
      <c r="D451" s="153"/>
      <c r="E451" s="143" t="str">
        <f>エンティティ一覧!$O$2</f>
        <v>milscm_2023_010</v>
      </c>
      <c r="H451" s="36"/>
      <c r="I451" s="36"/>
      <c r="J451" s="36"/>
      <c r="K451" s="36"/>
      <c r="L451" s="36"/>
      <c r="M451" s="36"/>
      <c r="N451" s="36"/>
      <c r="O451" s="36"/>
      <c r="P451" s="36"/>
      <c r="Q451" s="36"/>
      <c r="R451" s="156" t="str">
        <f>"ベース"&amp;SUBSTITUTE(C451,"バックアップ","")</f>
        <v>ベース_バイタルサインモジュール_バイタルサイン</v>
      </c>
      <c r="S451" s="157"/>
      <c r="T451" s="143" t="str">
        <f>エンティティ一覧!$O$2</f>
        <v>milscm_2023_010</v>
      </c>
    </row>
    <row r="452" spans="2:23" ht="18.75" customHeight="1">
      <c r="C452" s="154"/>
      <c r="D452" s="155"/>
      <c r="E452" s="144"/>
      <c r="F452" s="37"/>
      <c r="G452" s="38"/>
      <c r="H452" s="37"/>
      <c r="I452" s="37"/>
      <c r="J452" s="37"/>
      <c r="K452" s="37"/>
      <c r="L452" s="37"/>
      <c r="M452" s="37"/>
      <c r="N452" s="37"/>
      <c r="O452" s="37"/>
      <c r="P452" s="37"/>
      <c r="Q452" s="37"/>
      <c r="R452" s="158"/>
      <c r="S452" s="159"/>
      <c r="T452" s="144"/>
    </row>
    <row r="453" spans="2:23" ht="18.75" customHeight="1">
      <c r="F453" s="39"/>
      <c r="G453" s="40"/>
    </row>
    <row r="454" spans="2:23" ht="18.75" customHeight="1">
      <c r="C454" s="137" t="s">
        <v>3742</v>
      </c>
      <c r="D454" s="138"/>
      <c r="E454" s="143" t="str">
        <f>エンティティ一覧!$O$2</f>
        <v>milscm_2023_010</v>
      </c>
      <c r="G454" s="41"/>
    </row>
    <row r="455" spans="2:23" ht="18.75" customHeight="1">
      <c r="C455" s="139"/>
      <c r="D455" s="140"/>
      <c r="E455" s="144"/>
      <c r="F455" s="37"/>
    </row>
    <row r="457" spans="2:23" ht="18.75" customHeight="1" thickBot="1">
      <c r="B457" s="42"/>
      <c r="C457" s="42"/>
      <c r="D457" s="42"/>
      <c r="E457" s="42"/>
      <c r="F457" s="42"/>
      <c r="G457" s="42"/>
      <c r="H457" s="42"/>
      <c r="I457" s="42"/>
      <c r="J457" s="42"/>
      <c r="K457" s="42"/>
      <c r="L457" s="42"/>
      <c r="M457" s="42"/>
      <c r="N457" s="42"/>
      <c r="O457" s="42"/>
      <c r="P457" s="42"/>
      <c r="Q457" s="42"/>
      <c r="R457" s="42"/>
      <c r="S457" s="42"/>
      <c r="T457" s="42"/>
      <c r="U457" s="42"/>
    </row>
    <row r="459" spans="2:23" ht="18.75" customHeight="1">
      <c r="B459" s="43" t="s">
        <v>163</v>
      </c>
      <c r="C459" s="51" t="s">
        <v>4072</v>
      </c>
      <c r="D459" s="96"/>
      <c r="W459" s="35" t="str">
        <f>"-- "&amp;B459&amp;" : "&amp;C459</f>
        <v>-- SQL_ID : 31_C4-38</v>
      </c>
    </row>
    <row r="460" spans="2:23" ht="18.75" customHeight="1">
      <c r="B460" s="43" t="s">
        <v>158</v>
      </c>
      <c r="C460" s="145" t="str">
        <f>R463&amp;"登録"</f>
        <v>ベース_バイタルサインモジュール_記録項目登録</v>
      </c>
      <c r="D460" s="146"/>
      <c r="E460" s="146"/>
      <c r="F460" s="146"/>
      <c r="G460" s="146"/>
      <c r="H460" s="146"/>
      <c r="I460" s="146"/>
      <c r="J460" s="146"/>
      <c r="K460" s="146"/>
      <c r="L460" s="146"/>
      <c r="M460" s="146"/>
      <c r="N460" s="146"/>
      <c r="O460" s="146"/>
      <c r="P460" s="146"/>
      <c r="Q460" s="146"/>
      <c r="R460" s="146"/>
      <c r="S460" s="146"/>
      <c r="T460" s="146"/>
      <c r="U460" s="147"/>
      <c r="W460" s="35" t="str">
        <f>"-- "&amp;C460</f>
        <v>-- ベース_バイタルサインモジュール_記録項目登録</v>
      </c>
    </row>
    <row r="461" spans="2:23" ht="18.75" customHeight="1">
      <c r="B461" s="43" t="s">
        <v>159</v>
      </c>
      <c r="C461" s="134" t="str">
        <f>C463&amp;"テーブルから対象患者で絞り込んだ結果を"&amp;R463&amp;"テーブルに格納する。"</f>
        <v>バックアップ_バイタルサインモジュール_記録項目テーブルから対象患者で絞り込んだ結果をベース_バイタルサインモジュール_記録項目テーブルに格納する。</v>
      </c>
      <c r="D461" s="135"/>
      <c r="E461" s="135"/>
      <c r="F461" s="135"/>
      <c r="G461" s="135"/>
      <c r="H461" s="135"/>
      <c r="I461" s="135"/>
      <c r="J461" s="135"/>
      <c r="K461" s="135"/>
      <c r="L461" s="135"/>
      <c r="M461" s="135"/>
      <c r="N461" s="135"/>
      <c r="O461" s="135"/>
      <c r="P461" s="135"/>
      <c r="Q461" s="135"/>
      <c r="R461" s="135"/>
      <c r="S461" s="135"/>
      <c r="T461" s="135"/>
      <c r="U461" s="136"/>
      <c r="W461" s="35" t="str">
        <f>"-- "&amp;C461</f>
        <v>-- バックアップ_バイタルサインモジュール_記録項目テーブルから対象患者で絞り込んだ結果をベース_バイタルサインモジュール_記録項目テーブルに格納する。</v>
      </c>
    </row>
    <row r="463" spans="2:23" ht="18.75" customHeight="1">
      <c r="C463" s="152" t="s">
        <v>1713</v>
      </c>
      <c r="D463" s="153"/>
      <c r="E463" s="143" t="str">
        <f>エンティティ一覧!$O$2</f>
        <v>milscm_2023_010</v>
      </c>
      <c r="H463" s="36"/>
      <c r="I463" s="36"/>
      <c r="J463" s="36"/>
      <c r="K463" s="36"/>
      <c r="L463" s="36"/>
      <c r="M463" s="36"/>
      <c r="N463" s="36"/>
      <c r="O463" s="36"/>
      <c r="P463" s="36"/>
      <c r="Q463" s="36"/>
      <c r="R463" s="156" t="str">
        <f>"ベース"&amp;SUBSTITUTE(C463,"バックアップ","")</f>
        <v>ベース_バイタルサインモジュール_記録項目</v>
      </c>
      <c r="S463" s="157"/>
      <c r="T463" s="143" t="str">
        <f>エンティティ一覧!$O$2</f>
        <v>milscm_2023_010</v>
      </c>
    </row>
    <row r="464" spans="2:23" ht="18.75" customHeight="1">
      <c r="C464" s="154"/>
      <c r="D464" s="155"/>
      <c r="E464" s="144"/>
      <c r="F464" s="37"/>
      <c r="G464" s="38"/>
      <c r="H464" s="37"/>
      <c r="I464" s="37"/>
      <c r="J464" s="37"/>
      <c r="K464" s="37"/>
      <c r="L464" s="37"/>
      <c r="M464" s="37"/>
      <c r="N464" s="37"/>
      <c r="O464" s="37"/>
      <c r="P464" s="37"/>
      <c r="Q464" s="37"/>
      <c r="R464" s="158"/>
      <c r="S464" s="159"/>
      <c r="T464" s="144"/>
    </row>
    <row r="465" spans="2:23" ht="18.75" customHeight="1">
      <c r="F465" s="39"/>
      <c r="G465" s="40"/>
    </row>
    <row r="466" spans="2:23" ht="18.75" customHeight="1">
      <c r="C466" s="137" t="s">
        <v>3742</v>
      </c>
      <c r="D466" s="138"/>
      <c r="E466" s="143" t="str">
        <f>エンティティ一覧!$O$2</f>
        <v>milscm_2023_010</v>
      </c>
      <c r="G466" s="41"/>
    </row>
    <row r="467" spans="2:23" ht="18.75" customHeight="1">
      <c r="C467" s="139"/>
      <c r="D467" s="140"/>
      <c r="E467" s="144"/>
      <c r="F467" s="37"/>
    </row>
    <row r="469" spans="2:23" ht="18.75" customHeight="1" thickBot="1">
      <c r="B469" s="42"/>
      <c r="C469" s="42"/>
      <c r="D469" s="42"/>
      <c r="E469" s="42"/>
      <c r="F469" s="42"/>
      <c r="G469" s="42"/>
      <c r="H469" s="42"/>
      <c r="I469" s="42"/>
      <c r="J469" s="42"/>
      <c r="K469" s="42"/>
      <c r="L469" s="42"/>
      <c r="M469" s="42"/>
      <c r="N469" s="42"/>
      <c r="O469" s="42"/>
      <c r="P469" s="42"/>
      <c r="Q469" s="42"/>
      <c r="R469" s="42"/>
      <c r="S469" s="42"/>
      <c r="T469" s="42"/>
      <c r="U469" s="42"/>
    </row>
    <row r="471" spans="2:23" ht="18.75" customHeight="1">
      <c r="B471" s="43" t="s">
        <v>163</v>
      </c>
      <c r="C471" s="51" t="s">
        <v>4073</v>
      </c>
      <c r="D471" s="96"/>
      <c r="W471" s="35" t="str">
        <f>"-- "&amp;B471&amp;" : "&amp;C471</f>
        <v>-- SQL_ID : 31_C4-40</v>
      </c>
    </row>
    <row r="472" spans="2:23" ht="18.75" customHeight="1">
      <c r="B472" s="43" t="s">
        <v>158</v>
      </c>
      <c r="C472" s="145" t="str">
        <f>R475&amp;"登録"</f>
        <v>ベース_体温表モジュール_バイタルサイン登録</v>
      </c>
      <c r="D472" s="146"/>
      <c r="E472" s="146"/>
      <c r="F472" s="146"/>
      <c r="G472" s="146"/>
      <c r="H472" s="146"/>
      <c r="I472" s="146"/>
      <c r="J472" s="146"/>
      <c r="K472" s="146"/>
      <c r="L472" s="146"/>
      <c r="M472" s="146"/>
      <c r="N472" s="146"/>
      <c r="O472" s="146"/>
      <c r="P472" s="146"/>
      <c r="Q472" s="146"/>
      <c r="R472" s="146"/>
      <c r="S472" s="146"/>
      <c r="T472" s="146"/>
      <c r="U472" s="147"/>
      <c r="W472" s="35" t="str">
        <f>"-- "&amp;C472</f>
        <v>-- ベース_体温表モジュール_バイタルサイン登録</v>
      </c>
    </row>
    <row r="473" spans="2:23" ht="18.75" customHeight="1">
      <c r="B473" s="43" t="s">
        <v>159</v>
      </c>
      <c r="C473" s="134" t="str">
        <f>C475&amp;"テーブルから対象患者で絞り込んだ結果を"&amp;R475&amp;"テーブルに格納する。"</f>
        <v>バックアップ_体温表モジュール_バイタルサインテーブルから対象患者で絞り込んだ結果をベース_体温表モジュール_バイタルサインテーブルに格納する。</v>
      </c>
      <c r="D473" s="135"/>
      <c r="E473" s="135"/>
      <c r="F473" s="135"/>
      <c r="G473" s="135"/>
      <c r="H473" s="135"/>
      <c r="I473" s="135"/>
      <c r="J473" s="135"/>
      <c r="K473" s="135"/>
      <c r="L473" s="135"/>
      <c r="M473" s="135"/>
      <c r="N473" s="135"/>
      <c r="O473" s="135"/>
      <c r="P473" s="135"/>
      <c r="Q473" s="135"/>
      <c r="R473" s="135"/>
      <c r="S473" s="135"/>
      <c r="T473" s="135"/>
      <c r="U473" s="136"/>
      <c r="W473" s="35" t="str">
        <f>"-- "&amp;C473</f>
        <v>-- バックアップ_体温表モジュール_バイタルサインテーブルから対象患者で絞り込んだ結果をベース_体温表モジュール_バイタルサインテーブルに格納する。</v>
      </c>
    </row>
    <row r="475" spans="2:23" ht="18.75" customHeight="1">
      <c r="C475" s="152" t="s">
        <v>1727</v>
      </c>
      <c r="D475" s="153"/>
      <c r="E475" s="143" t="str">
        <f>エンティティ一覧!$O$2</f>
        <v>milscm_2023_010</v>
      </c>
      <c r="H475" s="36"/>
      <c r="I475" s="36"/>
      <c r="J475" s="36"/>
      <c r="K475" s="36"/>
      <c r="L475" s="36"/>
      <c r="M475" s="36"/>
      <c r="N475" s="36"/>
      <c r="O475" s="36"/>
      <c r="P475" s="36"/>
      <c r="Q475" s="36"/>
      <c r="R475" s="156" t="str">
        <f>"ベース"&amp;SUBSTITUTE(C475,"バックアップ","")</f>
        <v>ベース_体温表モジュール_バイタルサイン</v>
      </c>
      <c r="S475" s="157"/>
      <c r="T475" s="143" t="str">
        <f>エンティティ一覧!$O$2</f>
        <v>milscm_2023_010</v>
      </c>
    </row>
    <row r="476" spans="2:23" ht="18.75" customHeight="1">
      <c r="C476" s="154"/>
      <c r="D476" s="155"/>
      <c r="E476" s="144"/>
      <c r="F476" s="37"/>
      <c r="G476" s="38"/>
      <c r="H476" s="37"/>
      <c r="I476" s="37"/>
      <c r="J476" s="37"/>
      <c r="K476" s="37"/>
      <c r="L476" s="37"/>
      <c r="M476" s="37"/>
      <c r="N476" s="37"/>
      <c r="O476" s="37"/>
      <c r="P476" s="37"/>
      <c r="Q476" s="37"/>
      <c r="R476" s="158"/>
      <c r="S476" s="159"/>
      <c r="T476" s="144"/>
    </row>
    <row r="477" spans="2:23" ht="18.75" customHeight="1">
      <c r="F477" s="39"/>
      <c r="G477" s="40"/>
    </row>
    <row r="478" spans="2:23" ht="18.75" customHeight="1">
      <c r="C478" s="137" t="s">
        <v>3742</v>
      </c>
      <c r="D478" s="138"/>
      <c r="E478" s="143" t="str">
        <f>エンティティ一覧!$O$2</f>
        <v>milscm_2023_010</v>
      </c>
      <c r="G478" s="41"/>
    </row>
    <row r="479" spans="2:23" ht="18.75" customHeight="1">
      <c r="C479" s="139"/>
      <c r="D479" s="140"/>
      <c r="E479" s="144"/>
      <c r="F479" s="37"/>
    </row>
    <row r="481" spans="2:23" ht="18.75" customHeight="1" thickBot="1">
      <c r="B481" s="42"/>
      <c r="C481" s="42"/>
      <c r="D481" s="42"/>
      <c r="E481" s="42"/>
      <c r="F481" s="42"/>
      <c r="G481" s="42"/>
      <c r="H481" s="42"/>
      <c r="I481" s="42"/>
      <c r="J481" s="42"/>
      <c r="K481" s="42"/>
      <c r="L481" s="42"/>
      <c r="M481" s="42"/>
      <c r="N481" s="42"/>
      <c r="O481" s="42"/>
      <c r="P481" s="42"/>
      <c r="Q481" s="42"/>
      <c r="R481" s="42"/>
      <c r="S481" s="42"/>
      <c r="T481" s="42"/>
      <c r="U481" s="42"/>
    </row>
    <row r="483" spans="2:23" ht="18.75" customHeight="1">
      <c r="B483" s="43" t="s">
        <v>163</v>
      </c>
      <c r="C483" s="51" t="s">
        <v>4074</v>
      </c>
      <c r="D483" s="96"/>
      <c r="W483" s="35" t="str">
        <f>"-- "&amp;B483&amp;" : "&amp;C483</f>
        <v>-- SQL_ID : 31_C4-41</v>
      </c>
    </row>
    <row r="484" spans="2:23" ht="18.75" customHeight="1">
      <c r="B484" s="43" t="s">
        <v>158</v>
      </c>
      <c r="C484" s="145" t="str">
        <f>R487&amp;"登録"</f>
        <v>ベース_体温表モジュール_記録項目登録</v>
      </c>
      <c r="D484" s="146"/>
      <c r="E484" s="146"/>
      <c r="F484" s="146"/>
      <c r="G484" s="146"/>
      <c r="H484" s="146"/>
      <c r="I484" s="146"/>
      <c r="J484" s="146"/>
      <c r="K484" s="146"/>
      <c r="L484" s="146"/>
      <c r="M484" s="146"/>
      <c r="N484" s="146"/>
      <c r="O484" s="146"/>
      <c r="P484" s="146"/>
      <c r="Q484" s="146"/>
      <c r="R484" s="146"/>
      <c r="S484" s="146"/>
      <c r="T484" s="146"/>
      <c r="U484" s="147"/>
      <c r="W484" s="35" t="str">
        <f>"-- "&amp;C484</f>
        <v>-- ベース_体温表モジュール_記録項目登録</v>
      </c>
    </row>
    <row r="485" spans="2:23" ht="18.75" customHeight="1">
      <c r="B485" s="43" t="s">
        <v>159</v>
      </c>
      <c r="C485" s="134" t="str">
        <f>C487&amp;"テーブルから対象患者で絞り込んだ結果を"&amp;R487&amp;"テーブルに格納する。"</f>
        <v>バックアップ_体温表モジュール_記録項目テーブルから対象患者で絞り込んだ結果をベース_体温表モジュール_記録項目テーブルに格納する。</v>
      </c>
      <c r="D485" s="135"/>
      <c r="E485" s="135"/>
      <c r="F485" s="135"/>
      <c r="G485" s="135"/>
      <c r="H485" s="135"/>
      <c r="I485" s="135"/>
      <c r="J485" s="135"/>
      <c r="K485" s="135"/>
      <c r="L485" s="135"/>
      <c r="M485" s="135"/>
      <c r="N485" s="135"/>
      <c r="O485" s="135"/>
      <c r="P485" s="135"/>
      <c r="Q485" s="135"/>
      <c r="R485" s="135"/>
      <c r="S485" s="135"/>
      <c r="T485" s="135"/>
      <c r="U485" s="136"/>
      <c r="W485" s="35" t="str">
        <f>"-- "&amp;C485</f>
        <v>-- バックアップ_体温表モジュール_記録項目テーブルから対象患者で絞り込んだ結果をベース_体温表モジュール_記録項目テーブルに格納する。</v>
      </c>
    </row>
    <row r="487" spans="2:23" ht="18.75" customHeight="1">
      <c r="C487" s="152" t="s">
        <v>1731</v>
      </c>
      <c r="D487" s="153"/>
      <c r="E487" s="143" t="str">
        <f>エンティティ一覧!$O$2</f>
        <v>milscm_2023_010</v>
      </c>
      <c r="H487" s="36"/>
      <c r="I487" s="36"/>
      <c r="J487" s="36"/>
      <c r="K487" s="36"/>
      <c r="L487" s="36"/>
      <c r="M487" s="36"/>
      <c r="N487" s="36"/>
      <c r="O487" s="36"/>
      <c r="P487" s="36"/>
      <c r="Q487" s="36"/>
      <c r="R487" s="156" t="str">
        <f>"ベース"&amp;SUBSTITUTE(C487,"バックアップ","")</f>
        <v>ベース_体温表モジュール_記録項目</v>
      </c>
      <c r="S487" s="157"/>
      <c r="T487" s="143" t="str">
        <f>エンティティ一覧!$O$2</f>
        <v>milscm_2023_010</v>
      </c>
    </row>
    <row r="488" spans="2:23" ht="18.75" customHeight="1">
      <c r="C488" s="154"/>
      <c r="D488" s="155"/>
      <c r="E488" s="144"/>
      <c r="F488" s="37"/>
      <c r="G488" s="38"/>
      <c r="H488" s="37"/>
      <c r="I488" s="37"/>
      <c r="J488" s="37"/>
      <c r="K488" s="37"/>
      <c r="L488" s="37"/>
      <c r="M488" s="37"/>
      <c r="N488" s="37"/>
      <c r="O488" s="37"/>
      <c r="P488" s="37"/>
      <c r="Q488" s="37"/>
      <c r="R488" s="158"/>
      <c r="S488" s="159"/>
      <c r="T488" s="144"/>
    </row>
    <row r="489" spans="2:23" ht="18.75" customHeight="1">
      <c r="F489" s="39"/>
      <c r="G489" s="40"/>
    </row>
    <row r="490" spans="2:23" ht="18.75" customHeight="1">
      <c r="C490" s="137" t="s">
        <v>3742</v>
      </c>
      <c r="D490" s="138"/>
      <c r="E490" s="143" t="str">
        <f>エンティティ一覧!$O$2</f>
        <v>milscm_2023_010</v>
      </c>
      <c r="G490" s="41"/>
    </row>
    <row r="491" spans="2:23" ht="18.75" customHeight="1">
      <c r="C491" s="139"/>
      <c r="D491" s="140"/>
      <c r="E491" s="144"/>
      <c r="F491" s="37"/>
    </row>
    <row r="493" spans="2:23" ht="18.75" customHeight="1" thickBot="1">
      <c r="B493" s="42"/>
      <c r="C493" s="42"/>
      <c r="D493" s="42"/>
      <c r="E493" s="42"/>
      <c r="F493" s="42"/>
      <c r="G493" s="42"/>
      <c r="H493" s="42"/>
      <c r="I493" s="42"/>
      <c r="J493" s="42"/>
      <c r="K493" s="42"/>
      <c r="L493" s="42"/>
      <c r="M493" s="42"/>
      <c r="N493" s="42"/>
      <c r="O493" s="42"/>
      <c r="P493" s="42"/>
      <c r="Q493" s="42"/>
      <c r="R493" s="42"/>
      <c r="S493" s="42"/>
      <c r="T493" s="42"/>
      <c r="U493" s="42"/>
    </row>
  </sheetData>
  <mergeCells count="328">
    <mergeCell ref="C358:D359"/>
    <mergeCell ref="E358:E359"/>
    <mergeCell ref="C346:D347"/>
    <mergeCell ref="E346:E347"/>
    <mergeCell ref="C352:U352"/>
    <mergeCell ref="C353:U353"/>
    <mergeCell ref="C355:D356"/>
    <mergeCell ref="E355:E356"/>
    <mergeCell ref="R355:S356"/>
    <mergeCell ref="T355:T356"/>
    <mergeCell ref="C334:D335"/>
    <mergeCell ref="E334:E335"/>
    <mergeCell ref="C340:U340"/>
    <mergeCell ref="C341:U341"/>
    <mergeCell ref="C343:D344"/>
    <mergeCell ref="E343:E344"/>
    <mergeCell ref="R343:S344"/>
    <mergeCell ref="T343:T344"/>
    <mergeCell ref="C322:D323"/>
    <mergeCell ref="E322:E323"/>
    <mergeCell ref="C328:U328"/>
    <mergeCell ref="C329:U329"/>
    <mergeCell ref="C331:D332"/>
    <mergeCell ref="E331:E332"/>
    <mergeCell ref="R331:S332"/>
    <mergeCell ref="T331:T332"/>
    <mergeCell ref="C310:D311"/>
    <mergeCell ref="E310:E311"/>
    <mergeCell ref="C316:U316"/>
    <mergeCell ref="C317:U317"/>
    <mergeCell ref="C319:D320"/>
    <mergeCell ref="E319:E320"/>
    <mergeCell ref="R319:S320"/>
    <mergeCell ref="T319:T320"/>
    <mergeCell ref="C298:D299"/>
    <mergeCell ref="E298:E299"/>
    <mergeCell ref="C304:U304"/>
    <mergeCell ref="C305:U305"/>
    <mergeCell ref="C307:D308"/>
    <mergeCell ref="E307:E308"/>
    <mergeCell ref="R307:S308"/>
    <mergeCell ref="T307:T308"/>
    <mergeCell ref="C286:D287"/>
    <mergeCell ref="E286:E287"/>
    <mergeCell ref="C292:U292"/>
    <mergeCell ref="C293:U293"/>
    <mergeCell ref="C295:D296"/>
    <mergeCell ref="E295:E296"/>
    <mergeCell ref="R295:S296"/>
    <mergeCell ref="T295:T296"/>
    <mergeCell ref="C274:D275"/>
    <mergeCell ref="E274:E275"/>
    <mergeCell ref="C280:U280"/>
    <mergeCell ref="C281:U281"/>
    <mergeCell ref="C283:D284"/>
    <mergeCell ref="E283:E284"/>
    <mergeCell ref="R283:S284"/>
    <mergeCell ref="T283:T284"/>
    <mergeCell ref="C202:D203"/>
    <mergeCell ref="E202:E203"/>
    <mergeCell ref="C268:U268"/>
    <mergeCell ref="C269:U269"/>
    <mergeCell ref="C271:D272"/>
    <mergeCell ref="E271:E272"/>
    <mergeCell ref="R271:S272"/>
    <mergeCell ref="T271:T272"/>
    <mergeCell ref="C190:D191"/>
    <mergeCell ref="E190:E191"/>
    <mergeCell ref="C196:U196"/>
    <mergeCell ref="C197:U197"/>
    <mergeCell ref="C199:D200"/>
    <mergeCell ref="E199:E200"/>
    <mergeCell ref="R199:S200"/>
    <mergeCell ref="T199:T200"/>
    <mergeCell ref="C247:D248"/>
    <mergeCell ref="E247:E248"/>
    <mergeCell ref="R247:S248"/>
    <mergeCell ref="T247:T248"/>
    <mergeCell ref="C232:U232"/>
    <mergeCell ref="C233:U233"/>
    <mergeCell ref="C235:D236"/>
    <mergeCell ref="E235:E236"/>
    <mergeCell ref="C178:D179"/>
    <mergeCell ref="E178:E179"/>
    <mergeCell ref="C184:U184"/>
    <mergeCell ref="C185:U185"/>
    <mergeCell ref="C187:D188"/>
    <mergeCell ref="E187:E188"/>
    <mergeCell ref="R187:S188"/>
    <mergeCell ref="T187:T188"/>
    <mergeCell ref="C94:D95"/>
    <mergeCell ref="E94:E95"/>
    <mergeCell ref="C172:U172"/>
    <mergeCell ref="C173:U173"/>
    <mergeCell ref="C175:D176"/>
    <mergeCell ref="E175:E176"/>
    <mergeCell ref="R175:S176"/>
    <mergeCell ref="T175:T176"/>
    <mergeCell ref="C100:U100"/>
    <mergeCell ref="C101:U101"/>
    <mergeCell ref="C103:D104"/>
    <mergeCell ref="E103:E104"/>
    <mergeCell ref="R103:S104"/>
    <mergeCell ref="T103:T104"/>
    <mergeCell ref="C106:D107"/>
    <mergeCell ref="E106:E107"/>
    <mergeCell ref="C82:D83"/>
    <mergeCell ref="E82:E83"/>
    <mergeCell ref="C88:U88"/>
    <mergeCell ref="C89:U89"/>
    <mergeCell ref="C91:D92"/>
    <mergeCell ref="E91:E92"/>
    <mergeCell ref="R91:S92"/>
    <mergeCell ref="T91:T92"/>
    <mergeCell ref="C70:D71"/>
    <mergeCell ref="E70:E71"/>
    <mergeCell ref="C76:U76"/>
    <mergeCell ref="C77:U77"/>
    <mergeCell ref="C79:D80"/>
    <mergeCell ref="E79:E80"/>
    <mergeCell ref="R79:S80"/>
    <mergeCell ref="T79:T80"/>
    <mergeCell ref="C58:D59"/>
    <mergeCell ref="E58:E59"/>
    <mergeCell ref="C64:U64"/>
    <mergeCell ref="C65:U65"/>
    <mergeCell ref="C67:D68"/>
    <mergeCell ref="E67:E68"/>
    <mergeCell ref="R67:S68"/>
    <mergeCell ref="T67:T68"/>
    <mergeCell ref="C46:D47"/>
    <mergeCell ref="E46:E47"/>
    <mergeCell ref="C52:U52"/>
    <mergeCell ref="C53:U53"/>
    <mergeCell ref="C55:D56"/>
    <mergeCell ref="E55:E56"/>
    <mergeCell ref="R55:S56"/>
    <mergeCell ref="T55:T56"/>
    <mergeCell ref="C22:D23"/>
    <mergeCell ref="E22:E23"/>
    <mergeCell ref="C40:U40"/>
    <mergeCell ref="C41:U41"/>
    <mergeCell ref="C43:D44"/>
    <mergeCell ref="E43:E44"/>
    <mergeCell ref="R43:S44"/>
    <mergeCell ref="T43:T44"/>
    <mergeCell ref="C10:D11"/>
    <mergeCell ref="E10:E11"/>
    <mergeCell ref="C16:U16"/>
    <mergeCell ref="C17:U17"/>
    <mergeCell ref="C19:D20"/>
    <mergeCell ref="E19:E20"/>
    <mergeCell ref="R19:S20"/>
    <mergeCell ref="T19:T20"/>
    <mergeCell ref="C28:U28"/>
    <mergeCell ref="C29:U29"/>
    <mergeCell ref="C31:D32"/>
    <mergeCell ref="E31:E32"/>
    <mergeCell ref="R31:S32"/>
    <mergeCell ref="T31:T32"/>
    <mergeCell ref="C34:D35"/>
    <mergeCell ref="E34:E35"/>
    <mergeCell ref="C4:U4"/>
    <mergeCell ref="C5:U5"/>
    <mergeCell ref="C7:D8"/>
    <mergeCell ref="E7:E8"/>
    <mergeCell ref="R7:S8"/>
    <mergeCell ref="T7:T8"/>
    <mergeCell ref="C250:D251"/>
    <mergeCell ref="E250:E251"/>
    <mergeCell ref="C262:D263"/>
    <mergeCell ref="E262:E263"/>
    <mergeCell ref="C214:D215"/>
    <mergeCell ref="E214:E215"/>
    <mergeCell ref="C226:D227"/>
    <mergeCell ref="E226:E227"/>
    <mergeCell ref="C238:D239"/>
    <mergeCell ref="E238:E239"/>
    <mergeCell ref="C256:U256"/>
    <mergeCell ref="C257:U257"/>
    <mergeCell ref="C259:D260"/>
    <mergeCell ref="E259:E260"/>
    <mergeCell ref="R259:S260"/>
    <mergeCell ref="T259:T260"/>
    <mergeCell ref="C244:U244"/>
    <mergeCell ref="C245:U245"/>
    <mergeCell ref="R235:S236"/>
    <mergeCell ref="T235:T236"/>
    <mergeCell ref="C220:U220"/>
    <mergeCell ref="C221:U221"/>
    <mergeCell ref="C223:D224"/>
    <mergeCell ref="E223:E224"/>
    <mergeCell ref="R223:S224"/>
    <mergeCell ref="T223:T224"/>
    <mergeCell ref="C208:U208"/>
    <mergeCell ref="C209:U209"/>
    <mergeCell ref="C211:D212"/>
    <mergeCell ref="E211:E212"/>
    <mergeCell ref="R211:S212"/>
    <mergeCell ref="T211:T212"/>
    <mergeCell ref="C364:U364"/>
    <mergeCell ref="C365:U365"/>
    <mergeCell ref="C367:D368"/>
    <mergeCell ref="E367:E368"/>
    <mergeCell ref="R367:S368"/>
    <mergeCell ref="T367:T368"/>
    <mergeCell ref="C370:D371"/>
    <mergeCell ref="E370:E371"/>
    <mergeCell ref="C376:U376"/>
    <mergeCell ref="C377:U377"/>
    <mergeCell ref="C379:D380"/>
    <mergeCell ref="E379:E380"/>
    <mergeCell ref="R379:S380"/>
    <mergeCell ref="T379:T380"/>
    <mergeCell ref="C382:D383"/>
    <mergeCell ref="E382:E383"/>
    <mergeCell ref="C388:U388"/>
    <mergeCell ref="C389:U389"/>
    <mergeCell ref="C391:D392"/>
    <mergeCell ref="E391:E392"/>
    <mergeCell ref="R391:S392"/>
    <mergeCell ref="T391:T392"/>
    <mergeCell ref="C394:D395"/>
    <mergeCell ref="E394:E395"/>
    <mergeCell ref="C400:U400"/>
    <mergeCell ref="C401:U401"/>
    <mergeCell ref="C403:D404"/>
    <mergeCell ref="E403:E404"/>
    <mergeCell ref="R403:S404"/>
    <mergeCell ref="T403:T404"/>
    <mergeCell ref="C406:D407"/>
    <mergeCell ref="E406:E407"/>
    <mergeCell ref="C412:U412"/>
    <mergeCell ref="C413:U413"/>
    <mergeCell ref="C415:D416"/>
    <mergeCell ref="E415:E416"/>
    <mergeCell ref="R415:S416"/>
    <mergeCell ref="T415:T416"/>
    <mergeCell ref="C418:D419"/>
    <mergeCell ref="E418:E419"/>
    <mergeCell ref="C437:U437"/>
    <mergeCell ref="C439:D440"/>
    <mergeCell ref="E439:E440"/>
    <mergeCell ref="R439:S440"/>
    <mergeCell ref="T439:T440"/>
    <mergeCell ref="C442:D443"/>
    <mergeCell ref="E442:E443"/>
    <mergeCell ref="C424:U424"/>
    <mergeCell ref="C425:U425"/>
    <mergeCell ref="C427:D428"/>
    <mergeCell ref="E427:E428"/>
    <mergeCell ref="R427:S428"/>
    <mergeCell ref="T427:T428"/>
    <mergeCell ref="C430:D431"/>
    <mergeCell ref="E430:E431"/>
    <mergeCell ref="C436:U436"/>
    <mergeCell ref="C112:U112"/>
    <mergeCell ref="C113:U113"/>
    <mergeCell ref="C115:D116"/>
    <mergeCell ref="E115:E116"/>
    <mergeCell ref="R115:S116"/>
    <mergeCell ref="T115:T116"/>
    <mergeCell ref="C118:D119"/>
    <mergeCell ref="E118:E119"/>
    <mergeCell ref="C124:U124"/>
    <mergeCell ref="C125:U125"/>
    <mergeCell ref="C127:D128"/>
    <mergeCell ref="E127:E128"/>
    <mergeCell ref="R127:S128"/>
    <mergeCell ref="T127:T128"/>
    <mergeCell ref="C130:D131"/>
    <mergeCell ref="E130:E131"/>
    <mergeCell ref="C136:U136"/>
    <mergeCell ref="C137:U137"/>
    <mergeCell ref="C139:D140"/>
    <mergeCell ref="E139:E140"/>
    <mergeCell ref="R139:S140"/>
    <mergeCell ref="T139:T140"/>
    <mergeCell ref="C160:U160"/>
    <mergeCell ref="C161:U161"/>
    <mergeCell ref="C163:D164"/>
    <mergeCell ref="E163:E164"/>
    <mergeCell ref="R163:S164"/>
    <mergeCell ref="T163:T164"/>
    <mergeCell ref="C166:D167"/>
    <mergeCell ref="E166:E167"/>
    <mergeCell ref="C142:D143"/>
    <mergeCell ref="E142:E143"/>
    <mergeCell ref="C148:U148"/>
    <mergeCell ref="C149:U149"/>
    <mergeCell ref="C151:D152"/>
    <mergeCell ref="E151:E152"/>
    <mergeCell ref="R151:S152"/>
    <mergeCell ref="T151:T152"/>
    <mergeCell ref="C154:D155"/>
    <mergeCell ref="E154:E155"/>
    <mergeCell ref="C448:U448"/>
    <mergeCell ref="C449:U449"/>
    <mergeCell ref="C451:D452"/>
    <mergeCell ref="E451:E452"/>
    <mergeCell ref="R451:S452"/>
    <mergeCell ref="T451:T452"/>
    <mergeCell ref="C454:D455"/>
    <mergeCell ref="E454:E455"/>
    <mergeCell ref="C460:U460"/>
    <mergeCell ref="C461:U461"/>
    <mergeCell ref="C463:D464"/>
    <mergeCell ref="E463:E464"/>
    <mergeCell ref="R463:S464"/>
    <mergeCell ref="T463:T464"/>
    <mergeCell ref="C466:D467"/>
    <mergeCell ref="E466:E467"/>
    <mergeCell ref="C472:U472"/>
    <mergeCell ref="C473:U473"/>
    <mergeCell ref="C490:D491"/>
    <mergeCell ref="E490:E491"/>
    <mergeCell ref="C475:D476"/>
    <mergeCell ref="E475:E476"/>
    <mergeCell ref="R475:S476"/>
    <mergeCell ref="T475:T476"/>
    <mergeCell ref="C478:D479"/>
    <mergeCell ref="E478:E479"/>
    <mergeCell ref="C484:U484"/>
    <mergeCell ref="C485:U485"/>
    <mergeCell ref="C487:D488"/>
    <mergeCell ref="E487:E488"/>
    <mergeCell ref="R487:S488"/>
    <mergeCell ref="T487:T488"/>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3:W320"/>
  <sheetViews>
    <sheetView showGridLines="0" tabSelected="1" zoomScaleNormal="100" workbookViewId="0"/>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1:23" ht="18.75" customHeight="1">
      <c r="A3" s="77"/>
      <c r="B3" s="43" t="s">
        <v>163</v>
      </c>
      <c r="C3" s="51" t="s">
        <v>4090</v>
      </c>
      <c r="D3" s="133"/>
      <c r="W3" s="35" t="str">
        <f>"-- "&amp;B3&amp;" : "&amp;C3</f>
        <v>-- SQL_ID : 41_01</v>
      </c>
    </row>
    <row r="4" spans="1:23" ht="18.75" customHeight="1">
      <c r="B4" s="43" t="s">
        <v>158</v>
      </c>
      <c r="C4" s="145" t="str">
        <f>R7&amp;"登録"</f>
        <v>ワーク_患者基本データ登録</v>
      </c>
      <c r="D4" s="146"/>
      <c r="E4" s="146"/>
      <c r="F4" s="146"/>
      <c r="G4" s="146"/>
      <c r="H4" s="146"/>
      <c r="I4" s="146"/>
      <c r="J4" s="146"/>
      <c r="K4" s="146"/>
      <c r="L4" s="146"/>
      <c r="M4" s="146"/>
      <c r="N4" s="146"/>
      <c r="O4" s="146"/>
      <c r="P4" s="146"/>
      <c r="Q4" s="146"/>
      <c r="R4" s="146"/>
      <c r="S4" s="146"/>
      <c r="T4" s="146"/>
      <c r="U4" s="147"/>
      <c r="W4" s="35" t="str">
        <f>"-- "&amp;C4</f>
        <v>-- ワーク_患者基本データ登録</v>
      </c>
    </row>
    <row r="5" spans="1:23" ht="18.75" customHeight="1">
      <c r="B5" s="43" t="s">
        <v>159</v>
      </c>
      <c r="C5" s="134" t="str">
        <f>"MMLの患者データを抽出し、"&amp;R7&amp;"テーブルに格納する。"</f>
        <v>MMLの患者データを抽出し、ワーク_患者基本データテーブルに格納する。</v>
      </c>
      <c r="D5" s="135"/>
      <c r="E5" s="135"/>
      <c r="F5" s="135"/>
      <c r="G5" s="135"/>
      <c r="H5" s="135"/>
      <c r="I5" s="135"/>
      <c r="J5" s="135"/>
      <c r="K5" s="135"/>
      <c r="L5" s="135"/>
      <c r="M5" s="135"/>
      <c r="N5" s="135"/>
      <c r="O5" s="135"/>
      <c r="P5" s="135"/>
      <c r="Q5" s="135"/>
      <c r="R5" s="135"/>
      <c r="S5" s="135"/>
      <c r="T5" s="135"/>
      <c r="U5" s="136"/>
      <c r="W5" s="35" t="str">
        <f>"-- "&amp;C5</f>
        <v>-- MMLの患者データを抽出し、ワーク_患者基本データテーブルに格納する。</v>
      </c>
    </row>
    <row r="7" spans="1:23" ht="18.75" customHeight="1">
      <c r="C7" s="137" t="s">
        <v>3696</v>
      </c>
      <c r="D7" s="138"/>
      <c r="E7" s="143" t="str">
        <f>エンティティ一覧!$O$2</f>
        <v>milscm_2023_010</v>
      </c>
      <c r="F7" s="36"/>
      <c r="G7" s="36"/>
      <c r="H7" s="36"/>
      <c r="I7" s="36"/>
      <c r="J7" s="36"/>
      <c r="M7" s="36"/>
      <c r="N7" s="36"/>
      <c r="O7" s="36"/>
      <c r="P7" s="36"/>
      <c r="Q7" s="36"/>
      <c r="R7" s="137" t="s">
        <v>4292</v>
      </c>
      <c r="S7" s="138"/>
      <c r="T7" s="143" t="str">
        <f>エンティティ一覧!$O$2</f>
        <v>milscm_2023_010</v>
      </c>
      <c r="W7" s="35" t="s">
        <v>3669</v>
      </c>
    </row>
    <row r="8" spans="1:23" ht="18.75" customHeight="1">
      <c r="C8" s="139"/>
      <c r="D8" s="140"/>
      <c r="E8" s="144"/>
      <c r="F8" s="37"/>
      <c r="G8" s="37"/>
      <c r="H8" s="37"/>
      <c r="I8" s="37"/>
      <c r="J8" s="37"/>
      <c r="K8" s="37"/>
      <c r="L8" s="37"/>
      <c r="M8" s="37"/>
      <c r="N8" s="37"/>
      <c r="O8" s="37"/>
      <c r="P8" s="37"/>
      <c r="Q8" s="37"/>
      <c r="R8" s="139"/>
      <c r="S8" s="140"/>
      <c r="T8" s="144"/>
    </row>
    <row r="10" spans="1:23" ht="18.75" customHeight="1" thickBot="1">
      <c r="B10" s="42"/>
      <c r="C10" s="42"/>
      <c r="D10" s="42"/>
      <c r="E10" s="42"/>
      <c r="F10" s="42"/>
      <c r="G10" s="42"/>
      <c r="H10" s="42"/>
      <c r="I10" s="42"/>
      <c r="J10" s="42"/>
      <c r="K10" s="42"/>
      <c r="L10" s="42"/>
      <c r="M10" s="42"/>
      <c r="N10" s="42"/>
      <c r="O10" s="42"/>
      <c r="P10" s="42"/>
      <c r="Q10" s="42"/>
      <c r="R10" s="42"/>
      <c r="S10" s="42"/>
      <c r="T10" s="42"/>
      <c r="U10" s="42"/>
    </row>
    <row r="12" spans="1:23" ht="18.75" customHeight="1">
      <c r="B12" s="43" t="s">
        <v>163</v>
      </c>
      <c r="C12" s="51" t="s">
        <v>4091</v>
      </c>
      <c r="D12" s="133"/>
      <c r="W12" s="35" t="str">
        <f>"-- "&amp;B12&amp;" : "&amp;C12</f>
        <v>-- SQL_ID : 41_02</v>
      </c>
    </row>
    <row r="13" spans="1:23" ht="18.75" customHeight="1">
      <c r="B13" s="43" t="s">
        <v>158</v>
      </c>
      <c r="C13" s="145" t="str">
        <f>R16&amp;"登録"</f>
        <v>ワーク_look-back登録</v>
      </c>
      <c r="D13" s="146"/>
      <c r="E13" s="146"/>
      <c r="F13" s="146"/>
      <c r="G13" s="146"/>
      <c r="H13" s="146"/>
      <c r="I13" s="146"/>
      <c r="J13" s="146"/>
      <c r="K13" s="146"/>
      <c r="L13" s="146"/>
      <c r="M13" s="146"/>
      <c r="N13" s="146"/>
      <c r="O13" s="146"/>
      <c r="P13" s="146"/>
      <c r="Q13" s="146"/>
      <c r="R13" s="146"/>
      <c r="S13" s="146"/>
      <c r="T13" s="146"/>
      <c r="U13" s="147"/>
      <c r="W13" s="35" t="str">
        <f>"-- "&amp;C13</f>
        <v>-- ワーク_look-back登録</v>
      </c>
    </row>
    <row r="14" spans="1:23" ht="18.75" customHeight="1">
      <c r="B14" s="43" t="s">
        <v>159</v>
      </c>
      <c r="C14" s="134" t="str">
        <f>"DPCの患者データを抽出し、"&amp;R16&amp;"テーブルに格納する。"</f>
        <v>DPCの患者データを抽出し、ワーク_look-backテーブルに格納する。</v>
      </c>
      <c r="D14" s="135"/>
      <c r="E14" s="135"/>
      <c r="F14" s="135"/>
      <c r="G14" s="135"/>
      <c r="H14" s="135"/>
      <c r="I14" s="135"/>
      <c r="J14" s="135"/>
      <c r="K14" s="135"/>
      <c r="L14" s="135"/>
      <c r="M14" s="135"/>
      <c r="N14" s="135"/>
      <c r="O14" s="135"/>
      <c r="P14" s="135"/>
      <c r="Q14" s="135"/>
      <c r="R14" s="135"/>
      <c r="S14" s="135"/>
      <c r="T14" s="135"/>
      <c r="U14" s="136"/>
      <c r="W14" s="35" t="str">
        <f>"-- "&amp;C14</f>
        <v>-- DPCの患者データを抽出し、ワーク_look-backテーブルに格納する。</v>
      </c>
    </row>
    <row r="16" spans="1:23" ht="18.75" customHeight="1">
      <c r="C16" s="137" t="s">
        <v>4093</v>
      </c>
      <c r="D16" s="138"/>
      <c r="E16" s="143" t="str">
        <f>エンティティ一覧!$O$2</f>
        <v>milscm_2023_010</v>
      </c>
      <c r="H16" s="36"/>
      <c r="I16" s="36"/>
      <c r="J16" s="36"/>
      <c r="K16" s="36"/>
      <c r="L16" s="36"/>
      <c r="M16" s="36"/>
      <c r="N16" s="36"/>
      <c r="O16" s="36"/>
      <c r="P16" s="36"/>
      <c r="Q16" s="36"/>
      <c r="R16" s="137" t="s">
        <v>4092</v>
      </c>
      <c r="S16" s="138"/>
      <c r="T16" s="143" t="str">
        <f>エンティティ一覧!$O$2</f>
        <v>milscm_2023_010</v>
      </c>
    </row>
    <row r="17" spans="2:23" ht="18.75" customHeight="1">
      <c r="C17" s="139"/>
      <c r="D17" s="140"/>
      <c r="E17" s="144"/>
      <c r="F17" s="37"/>
      <c r="G17" s="37"/>
      <c r="H17" s="37"/>
      <c r="I17" s="37"/>
      <c r="J17" s="37"/>
      <c r="K17" s="101"/>
      <c r="L17" s="37"/>
      <c r="M17" s="37"/>
      <c r="N17" s="37"/>
      <c r="O17" s="37"/>
      <c r="P17" s="37"/>
      <c r="Q17" s="37"/>
      <c r="R17" s="139"/>
      <c r="S17" s="140"/>
      <c r="T17" s="144"/>
    </row>
    <row r="18" spans="2:23" ht="18.75" customHeight="1">
      <c r="F18" s="39"/>
      <c r="G18" s="94"/>
      <c r="H18" s="98"/>
      <c r="I18" s="98"/>
      <c r="J18" s="98"/>
      <c r="K18" s="102"/>
    </row>
    <row r="19" spans="2:23" ht="18.75" customHeight="1">
      <c r="C19" s="137" t="s">
        <v>4094</v>
      </c>
      <c r="D19" s="138"/>
      <c r="E19" s="143" t="str">
        <f>エンティティ一覧!$O$2</f>
        <v>milscm_2023_010</v>
      </c>
      <c r="G19" s="36"/>
      <c r="H19" s="36"/>
      <c r="I19" s="36"/>
      <c r="J19" s="36"/>
      <c r="K19" s="103"/>
    </row>
    <row r="20" spans="2:23" ht="18.75" customHeight="1">
      <c r="C20" s="139"/>
      <c r="D20" s="140"/>
      <c r="E20" s="144"/>
      <c r="F20" s="37"/>
    </row>
    <row r="22" spans="2:23" ht="18.75" customHeight="1" thickBot="1">
      <c r="B22" s="42"/>
      <c r="C22" s="42"/>
      <c r="D22" s="42"/>
      <c r="E22" s="42"/>
      <c r="F22" s="42"/>
      <c r="G22" s="42"/>
      <c r="H22" s="42"/>
      <c r="I22" s="42"/>
      <c r="J22" s="42"/>
      <c r="K22" s="42"/>
      <c r="L22" s="42"/>
      <c r="M22" s="42"/>
      <c r="N22" s="42"/>
      <c r="O22" s="42"/>
      <c r="P22" s="42"/>
      <c r="Q22" s="42"/>
      <c r="R22" s="42"/>
      <c r="S22" s="42"/>
      <c r="T22" s="42"/>
      <c r="U22" s="42"/>
    </row>
    <row r="24" spans="2:23" ht="18.75" customHeight="1">
      <c r="B24" s="43" t="s">
        <v>163</v>
      </c>
      <c r="C24" s="51" t="s">
        <v>4096</v>
      </c>
      <c r="D24" s="133"/>
      <c r="W24" s="35" t="str">
        <f>"-- "&amp;B24&amp;" : "&amp;C24</f>
        <v>-- SQL_ID : 41_03</v>
      </c>
    </row>
    <row r="25" spans="2:23" ht="18.75" customHeight="1">
      <c r="B25" s="43" t="s">
        <v>158</v>
      </c>
      <c r="C25" s="145" t="str">
        <f>R28&amp;"登録"</f>
        <v>ワーク_疾患データ_DPC登録</v>
      </c>
      <c r="D25" s="146"/>
      <c r="E25" s="146"/>
      <c r="F25" s="146"/>
      <c r="G25" s="146"/>
      <c r="H25" s="146"/>
      <c r="I25" s="146"/>
      <c r="J25" s="146"/>
      <c r="K25" s="146"/>
      <c r="L25" s="146"/>
      <c r="M25" s="146"/>
      <c r="N25" s="146"/>
      <c r="O25" s="146"/>
      <c r="P25" s="146"/>
      <c r="Q25" s="146"/>
      <c r="R25" s="146"/>
      <c r="S25" s="146"/>
      <c r="T25" s="146"/>
      <c r="U25" s="147"/>
      <c r="W25" s="35" t="str">
        <f>"-- "&amp;C25</f>
        <v>-- ワーク_疾患データ_DPC登録</v>
      </c>
    </row>
    <row r="26" spans="2:23" ht="18.75" customHeight="1">
      <c r="B26" s="43" t="s">
        <v>159</v>
      </c>
      <c r="C26" s="134" t="str">
        <f>"DPCの疾患データ（疑いを除く）を抽出し、疾患マスタに登録されている疾患コードのデータを"&amp;R28&amp;"テーブルに格納する。"</f>
        <v>DPCの疾患データ（疑いを除く）を抽出し、疾患マスタに登録されている疾患コードのデータをワーク_疾患データ_DPCテーブルに格納する。</v>
      </c>
      <c r="D26" s="135"/>
      <c r="E26" s="135"/>
      <c r="F26" s="135"/>
      <c r="G26" s="135"/>
      <c r="H26" s="135"/>
      <c r="I26" s="135"/>
      <c r="J26" s="135"/>
      <c r="K26" s="135"/>
      <c r="L26" s="135"/>
      <c r="M26" s="135"/>
      <c r="N26" s="135"/>
      <c r="O26" s="135"/>
      <c r="P26" s="135"/>
      <c r="Q26" s="135"/>
      <c r="R26" s="135"/>
      <c r="S26" s="135"/>
      <c r="T26" s="135"/>
      <c r="U26" s="136"/>
      <c r="W26" s="35" t="str">
        <f>"-- "&amp;C26</f>
        <v>-- DPCの疾患データ（疑いを除く）を抽出し、疾患マスタに登録されている疾患コードのデータをワーク_疾患データ_DPCテーブルに格納する。</v>
      </c>
    </row>
    <row r="28" spans="2:23" ht="18.75" customHeight="1">
      <c r="C28" s="137" t="s">
        <v>4093</v>
      </c>
      <c r="D28" s="138"/>
      <c r="E28" s="143" t="str">
        <f>エンティティ一覧!$O$2</f>
        <v>milscm_2023_010</v>
      </c>
      <c r="H28" s="36"/>
      <c r="I28" s="36"/>
      <c r="J28" s="36"/>
      <c r="K28" s="36"/>
      <c r="L28" s="36"/>
      <c r="M28" s="36"/>
      <c r="N28" s="36"/>
      <c r="O28" s="36"/>
      <c r="P28" s="36"/>
      <c r="Q28" s="36"/>
      <c r="R28" s="137" t="s">
        <v>4097</v>
      </c>
      <c r="S28" s="138"/>
      <c r="T28" s="143" t="str">
        <f>エンティティ一覧!$O$2</f>
        <v>milscm_2023_010</v>
      </c>
    </row>
    <row r="29" spans="2:23" ht="18.75" customHeight="1">
      <c r="C29" s="139"/>
      <c r="D29" s="140"/>
      <c r="E29" s="144"/>
      <c r="F29" s="37"/>
      <c r="G29" s="37"/>
      <c r="H29" s="37"/>
      <c r="I29" s="37"/>
      <c r="J29" s="37"/>
      <c r="K29" s="101"/>
      <c r="L29" s="37"/>
      <c r="M29" s="37"/>
      <c r="N29" s="38"/>
      <c r="O29" s="37"/>
      <c r="P29" s="37"/>
      <c r="Q29" s="37"/>
      <c r="R29" s="139"/>
      <c r="S29" s="140"/>
      <c r="T29" s="144"/>
    </row>
    <row r="30" spans="2:23" ht="18.75" customHeight="1">
      <c r="F30" s="39"/>
      <c r="G30" s="94"/>
      <c r="H30" s="98"/>
      <c r="I30" s="98"/>
      <c r="J30" s="98"/>
      <c r="K30" s="102"/>
      <c r="N30" s="41"/>
    </row>
    <row r="31" spans="2:23" ht="18.75" customHeight="1">
      <c r="C31" s="137" t="s">
        <v>4094</v>
      </c>
      <c r="D31" s="138"/>
      <c r="E31" s="143" t="str">
        <f>エンティティ一覧!$O$2</f>
        <v>milscm_2023_010</v>
      </c>
      <c r="G31" s="36"/>
      <c r="H31" s="36"/>
      <c r="I31" s="36"/>
      <c r="J31" s="36"/>
      <c r="K31" s="103"/>
      <c r="N31" s="41"/>
    </row>
    <row r="32" spans="2:23" ht="18.75" customHeight="1">
      <c r="C32" s="139"/>
      <c r="D32" s="140"/>
      <c r="E32" s="144"/>
      <c r="F32" s="37"/>
      <c r="K32" s="101"/>
      <c r="N32" s="41"/>
    </row>
    <row r="33" spans="3:17" ht="18.75" customHeight="1">
      <c r="K33" s="39"/>
      <c r="L33" s="40"/>
      <c r="M33" s="39"/>
      <c r="N33" s="40"/>
      <c r="O33" s="98"/>
      <c r="P33" s="94"/>
      <c r="Q33" s="94"/>
    </row>
    <row r="34" spans="3:17" ht="18.75" customHeight="1">
      <c r="C34" s="137" t="s">
        <v>4098</v>
      </c>
      <c r="D34" s="138"/>
      <c r="E34" s="143" t="str">
        <f>エンティティ一覧!$O$2</f>
        <v>milscm_2023_010</v>
      </c>
      <c r="F34" s="36"/>
      <c r="G34" s="36"/>
      <c r="H34" s="36"/>
      <c r="I34" s="36"/>
      <c r="J34" s="36"/>
      <c r="K34" s="102"/>
      <c r="L34" s="41"/>
      <c r="M34" s="39"/>
      <c r="N34" s="40"/>
      <c r="O34" s="98"/>
      <c r="P34" s="94"/>
      <c r="Q34" s="94"/>
    </row>
    <row r="35" spans="3:17" ht="18.75" customHeight="1">
      <c r="C35" s="139"/>
      <c r="D35" s="140"/>
      <c r="E35" s="144"/>
      <c r="F35" s="37"/>
      <c r="G35" s="37"/>
      <c r="H35" s="37"/>
      <c r="I35" s="37"/>
      <c r="J35" s="37"/>
      <c r="K35" s="101"/>
      <c r="M35" s="39"/>
      <c r="N35" s="40"/>
      <c r="O35" s="98"/>
      <c r="P35" s="94"/>
      <c r="Q35" s="94"/>
    </row>
    <row r="36" spans="3:17" ht="18.75" customHeight="1">
      <c r="C36" s="99"/>
      <c r="D36" s="99"/>
      <c r="E36" s="99"/>
      <c r="F36" s="98"/>
      <c r="G36" s="98"/>
      <c r="H36" s="98"/>
      <c r="I36" s="98"/>
      <c r="J36" s="98"/>
      <c r="K36" s="39"/>
      <c r="L36" s="40"/>
      <c r="M36" s="39"/>
      <c r="N36" s="40"/>
      <c r="O36" s="98"/>
      <c r="P36" s="94"/>
      <c r="Q36" s="94"/>
    </row>
    <row r="37" spans="3:17" ht="18.75" customHeight="1">
      <c r="C37" s="99"/>
      <c r="D37" s="99"/>
      <c r="E37" s="99"/>
      <c r="F37" s="98"/>
      <c r="G37" s="98"/>
      <c r="H37" s="98"/>
      <c r="I37" s="98"/>
      <c r="J37" s="98"/>
      <c r="K37" s="39"/>
      <c r="L37" s="40"/>
      <c r="M37" s="39"/>
      <c r="N37" s="40"/>
      <c r="O37" s="98"/>
      <c r="P37" s="94"/>
      <c r="Q37" s="94"/>
    </row>
    <row r="38" spans="3:17" ht="18.75" customHeight="1">
      <c r="C38" s="99"/>
      <c r="D38" s="99"/>
      <c r="E38" s="99"/>
      <c r="F38" s="98"/>
      <c r="G38" s="98"/>
      <c r="H38" s="98"/>
      <c r="I38" s="98"/>
      <c r="J38" s="98"/>
      <c r="K38" s="39"/>
      <c r="L38" s="40"/>
      <c r="M38" s="39"/>
      <c r="N38" s="40"/>
      <c r="O38" s="98"/>
      <c r="P38" s="94"/>
      <c r="Q38" s="94"/>
    </row>
    <row r="39" spans="3:17" ht="18.75" customHeight="1">
      <c r="C39" s="99"/>
      <c r="D39" s="99"/>
      <c r="E39" s="99"/>
      <c r="F39" s="98"/>
      <c r="G39" s="98"/>
      <c r="H39" s="98"/>
      <c r="I39" s="98"/>
      <c r="J39" s="98"/>
      <c r="K39" s="39"/>
      <c r="L39" s="40"/>
      <c r="M39" s="39"/>
      <c r="N39" s="40"/>
      <c r="O39" s="98"/>
      <c r="P39" s="94"/>
      <c r="Q39" s="94"/>
    </row>
    <row r="40" spans="3:17" ht="18.75" customHeight="1">
      <c r="K40" s="39"/>
      <c r="L40" s="40"/>
      <c r="M40" s="39"/>
      <c r="N40" s="40"/>
      <c r="O40" s="98"/>
      <c r="P40" s="94"/>
      <c r="Q40" s="94"/>
    </row>
    <row r="41" spans="3:17" ht="18.75" customHeight="1">
      <c r="K41" s="39"/>
      <c r="L41" s="40"/>
      <c r="M41" s="39"/>
      <c r="N41" s="40"/>
      <c r="O41" s="98"/>
      <c r="P41" s="94"/>
      <c r="Q41" s="94"/>
    </row>
    <row r="42" spans="3:17" ht="18.75" customHeight="1">
      <c r="C42" s="137" t="s">
        <v>4099</v>
      </c>
      <c r="D42" s="138"/>
      <c r="E42" s="143" t="str">
        <f>エンティティ一覧!$O$2</f>
        <v>milscm_2023_010</v>
      </c>
      <c r="F42" s="36"/>
      <c r="G42" s="36"/>
      <c r="H42" s="36"/>
      <c r="I42" s="36"/>
      <c r="J42" s="36"/>
      <c r="K42" s="102"/>
      <c r="L42" s="41"/>
      <c r="M42" s="39"/>
      <c r="N42" s="40"/>
      <c r="O42" s="98"/>
      <c r="P42" s="94"/>
      <c r="Q42" s="94"/>
    </row>
    <row r="43" spans="3:17" ht="18.75" customHeight="1">
      <c r="C43" s="139"/>
      <c r="D43" s="140"/>
      <c r="E43" s="144"/>
      <c r="F43" s="37"/>
      <c r="G43" s="37"/>
      <c r="H43" s="37"/>
      <c r="I43" s="37"/>
      <c r="J43" s="37"/>
      <c r="K43" s="101"/>
      <c r="M43" s="39"/>
      <c r="N43" s="40"/>
      <c r="O43" s="98"/>
      <c r="P43" s="94"/>
      <c r="Q43" s="94"/>
    </row>
    <row r="44" spans="3:17" ht="18.75" customHeight="1">
      <c r="K44" s="39"/>
      <c r="L44" s="40"/>
      <c r="M44" s="39"/>
      <c r="N44" s="40"/>
      <c r="O44" s="98"/>
      <c r="P44" s="94"/>
      <c r="Q44" s="94"/>
    </row>
    <row r="45" spans="3:17" ht="18.75" customHeight="1">
      <c r="C45" s="137" t="s">
        <v>4100</v>
      </c>
      <c r="D45" s="138"/>
      <c r="E45" s="143" t="str">
        <f>エンティティ一覧!$O$2</f>
        <v>milscm_2023_010</v>
      </c>
      <c r="F45" s="36"/>
      <c r="G45" s="36"/>
      <c r="H45" s="36"/>
      <c r="I45" s="36"/>
      <c r="J45" s="36"/>
      <c r="L45" s="41"/>
      <c r="M45" s="39"/>
      <c r="N45" s="40"/>
      <c r="O45" s="98"/>
      <c r="P45" s="94"/>
      <c r="Q45" s="94"/>
    </row>
    <row r="46" spans="3:17" ht="18.75" customHeight="1">
      <c r="C46" s="139"/>
      <c r="D46" s="140"/>
      <c r="E46" s="144"/>
      <c r="F46" s="37"/>
      <c r="G46" s="37"/>
      <c r="H46" s="37"/>
      <c r="I46" s="37"/>
      <c r="J46" s="37"/>
      <c r="K46" s="37"/>
      <c r="M46" s="39"/>
      <c r="N46" s="40"/>
      <c r="O46" s="98"/>
      <c r="P46" s="94"/>
      <c r="Q46" s="94"/>
    </row>
    <row r="47" spans="3:17" ht="18.75" customHeight="1">
      <c r="M47" s="39"/>
      <c r="N47" s="40"/>
      <c r="O47" s="98"/>
      <c r="P47" s="94"/>
      <c r="Q47" s="94"/>
    </row>
    <row r="48" spans="3:17" ht="18.75" customHeight="1">
      <c r="H48" s="137" t="s">
        <v>177</v>
      </c>
      <c r="I48" s="138"/>
      <c r="J48" s="143" t="str">
        <f>エンティティ一覧!$O$2</f>
        <v>milscm_2023_010</v>
      </c>
      <c r="K48" s="36"/>
      <c r="L48" s="36"/>
      <c r="N48" s="41"/>
      <c r="P48" s="39"/>
      <c r="Q48" s="94"/>
    </row>
    <row r="49" spans="1:23" ht="18.75" customHeight="1">
      <c r="H49" s="139"/>
      <c r="I49" s="140"/>
      <c r="J49" s="144"/>
      <c r="K49" s="37"/>
      <c r="L49" s="37"/>
      <c r="M49" s="37"/>
      <c r="P49" s="39"/>
      <c r="Q49" s="94"/>
    </row>
    <row r="51" spans="1:23" ht="18.75" customHeight="1" thickBot="1">
      <c r="B51" s="42"/>
      <c r="C51" s="42"/>
      <c r="D51" s="42"/>
      <c r="E51" s="42"/>
      <c r="F51" s="42"/>
      <c r="G51" s="42"/>
      <c r="H51" s="42"/>
      <c r="I51" s="42"/>
      <c r="J51" s="42"/>
      <c r="K51" s="42"/>
      <c r="L51" s="42"/>
      <c r="M51" s="42"/>
      <c r="N51" s="42"/>
      <c r="O51" s="42"/>
      <c r="P51" s="42"/>
      <c r="Q51" s="42"/>
      <c r="R51" s="42"/>
      <c r="S51" s="42"/>
      <c r="T51" s="42"/>
      <c r="U51" s="42"/>
    </row>
    <row r="53" spans="1:23" ht="18.75" customHeight="1">
      <c r="A53" s="77"/>
      <c r="B53" s="43" t="s">
        <v>163</v>
      </c>
      <c r="C53" s="51" t="s">
        <v>4293</v>
      </c>
      <c r="D53" s="133"/>
      <c r="W53" s="35" t="str">
        <f>"-- "&amp;B53&amp;" : "&amp;C53</f>
        <v>-- SQL_ID : 41_04</v>
      </c>
    </row>
    <row r="54" spans="1:23" ht="18.75" customHeight="1">
      <c r="B54" s="43" t="s">
        <v>158</v>
      </c>
      <c r="C54" s="145" t="str">
        <f>R57&amp;"登録"</f>
        <v>ワーク_処方データ登録</v>
      </c>
      <c r="D54" s="146"/>
      <c r="E54" s="146"/>
      <c r="F54" s="146"/>
      <c r="G54" s="146"/>
      <c r="H54" s="146"/>
      <c r="I54" s="146"/>
      <c r="J54" s="146"/>
      <c r="K54" s="146"/>
      <c r="L54" s="146"/>
      <c r="M54" s="146"/>
      <c r="N54" s="146"/>
      <c r="O54" s="146"/>
      <c r="P54" s="146"/>
      <c r="Q54" s="146"/>
      <c r="R54" s="146"/>
      <c r="S54" s="146"/>
      <c r="T54" s="146"/>
      <c r="U54" s="147"/>
      <c r="W54" s="35" t="str">
        <f>"-- "&amp;C54</f>
        <v>-- ワーク_処方データ登録</v>
      </c>
    </row>
    <row r="55" spans="1:23" ht="18.75" customHeight="1">
      <c r="B55" s="43" t="s">
        <v>159</v>
      </c>
      <c r="C55" s="134" t="str">
        <f>C57&amp;"から"&amp;H60&amp;"に存在するデータを抽出し、"&amp;R57&amp;"テーブルに格納する。"</f>
        <v>ベース_処方データから薬剤マスタに存在するデータを抽出し、ワーク_処方データテーブルに格納する。</v>
      </c>
      <c r="D55" s="135"/>
      <c r="E55" s="135"/>
      <c r="F55" s="135"/>
      <c r="G55" s="135"/>
      <c r="H55" s="135"/>
      <c r="I55" s="135"/>
      <c r="J55" s="135"/>
      <c r="K55" s="135"/>
      <c r="L55" s="135"/>
      <c r="M55" s="135"/>
      <c r="N55" s="135"/>
      <c r="O55" s="135"/>
      <c r="P55" s="135"/>
      <c r="Q55" s="135"/>
      <c r="R55" s="135"/>
      <c r="S55" s="135"/>
      <c r="T55" s="135"/>
      <c r="U55" s="136"/>
      <c r="W55" s="35" t="str">
        <f>"-- "&amp;C55</f>
        <v>-- ベース_処方データから薬剤マスタに存在するデータを抽出し、ワーク_処方データテーブルに格納する。</v>
      </c>
    </row>
    <row r="57" spans="1:23" ht="18.75" customHeight="1">
      <c r="C57" s="137" t="s">
        <v>4101</v>
      </c>
      <c r="D57" s="138"/>
      <c r="E57" s="143" t="str">
        <f>エンティティ一覧!$O$2</f>
        <v>milscm_2023_010</v>
      </c>
      <c r="F57" s="36"/>
      <c r="G57" s="36"/>
      <c r="H57" s="36"/>
      <c r="I57" s="36"/>
      <c r="J57" s="36"/>
      <c r="M57" s="36"/>
      <c r="N57" s="36"/>
      <c r="O57" s="36"/>
      <c r="P57" s="36"/>
      <c r="Q57" s="36"/>
      <c r="R57" s="137" t="s">
        <v>4294</v>
      </c>
      <c r="S57" s="138"/>
      <c r="T57" s="143" t="str">
        <f>エンティティ一覧!$O$2</f>
        <v>milscm_2023_010</v>
      </c>
      <c r="W57" s="35" t="s">
        <v>3669</v>
      </c>
    </row>
    <row r="58" spans="1:23" ht="18.75" customHeight="1">
      <c r="C58" s="139"/>
      <c r="D58" s="140"/>
      <c r="E58" s="144"/>
      <c r="F58" s="37"/>
      <c r="G58" s="37"/>
      <c r="H58" s="37"/>
      <c r="I58" s="37"/>
      <c r="J58" s="37"/>
      <c r="K58" s="37"/>
      <c r="L58" s="37"/>
      <c r="M58" s="101"/>
      <c r="N58" s="37"/>
      <c r="O58" s="37"/>
      <c r="P58" s="37"/>
      <c r="Q58" s="37"/>
      <c r="R58" s="139"/>
      <c r="S58" s="140"/>
      <c r="T58" s="144"/>
    </row>
    <row r="59" spans="1:23" ht="18.75" customHeight="1">
      <c r="M59" s="39"/>
      <c r="N59" s="40"/>
      <c r="O59" s="98"/>
      <c r="P59" s="94"/>
      <c r="Q59" s="94"/>
    </row>
    <row r="60" spans="1:23" ht="18.75" customHeight="1">
      <c r="H60" s="137" t="s">
        <v>3677</v>
      </c>
      <c r="I60" s="138"/>
      <c r="J60" s="143" t="str">
        <f>エンティティ一覧!$O$2</f>
        <v>milscm_2023_010</v>
      </c>
      <c r="K60" s="36"/>
      <c r="L60" s="36"/>
      <c r="N60" s="41"/>
      <c r="P60" s="39"/>
      <c r="Q60" s="94"/>
    </row>
    <row r="61" spans="1:23" ht="18.75" customHeight="1">
      <c r="H61" s="139"/>
      <c r="I61" s="140"/>
      <c r="J61" s="144"/>
      <c r="K61" s="37"/>
      <c r="L61" s="37"/>
      <c r="M61" s="37"/>
      <c r="P61" s="39"/>
      <c r="Q61" s="94"/>
    </row>
    <row r="63" spans="1:23" ht="18.75" customHeight="1" thickBot="1">
      <c r="B63" s="42"/>
      <c r="C63" s="42"/>
      <c r="D63" s="42"/>
      <c r="E63" s="42"/>
      <c r="F63" s="42"/>
      <c r="G63" s="42"/>
      <c r="H63" s="42"/>
      <c r="I63" s="42"/>
      <c r="J63" s="42"/>
      <c r="K63" s="42"/>
      <c r="L63" s="42"/>
      <c r="M63" s="42"/>
      <c r="N63" s="42"/>
      <c r="O63" s="42"/>
      <c r="P63" s="42"/>
      <c r="Q63" s="42"/>
      <c r="R63" s="42"/>
      <c r="S63" s="42"/>
      <c r="T63" s="42"/>
      <c r="U63" s="42"/>
    </row>
    <row r="65" spans="1:23" ht="18.75" customHeight="1">
      <c r="A65" s="77"/>
      <c r="B65" s="43" t="s">
        <v>163</v>
      </c>
      <c r="C65" s="51" t="s">
        <v>4102</v>
      </c>
      <c r="D65" s="133"/>
      <c r="W65" s="35" t="str">
        <f>"-- "&amp;B65&amp;" : "&amp;C65</f>
        <v>-- SQL_ID : 41_05</v>
      </c>
    </row>
    <row r="66" spans="1:23" ht="18.75" customHeight="1">
      <c r="B66" s="43" t="s">
        <v>158</v>
      </c>
      <c r="C66" s="145" t="str">
        <f>R69&amp;"登録"</f>
        <v>ワーク_バイタル_DPC登録</v>
      </c>
      <c r="D66" s="146"/>
      <c r="E66" s="146"/>
      <c r="F66" s="146"/>
      <c r="G66" s="146"/>
      <c r="H66" s="146"/>
      <c r="I66" s="146"/>
      <c r="J66" s="146"/>
      <c r="K66" s="146"/>
      <c r="L66" s="146"/>
      <c r="M66" s="146"/>
      <c r="N66" s="146"/>
      <c r="O66" s="146"/>
      <c r="P66" s="146"/>
      <c r="Q66" s="146"/>
      <c r="R66" s="146"/>
      <c r="S66" s="146"/>
      <c r="T66" s="146"/>
      <c r="U66" s="147"/>
      <c r="W66" s="35" t="str">
        <f>"-- "&amp;C66</f>
        <v>-- ワーク_バイタル_DPC登録</v>
      </c>
    </row>
    <row r="67" spans="1:23" ht="18.75" customHeight="1">
      <c r="B67" s="43" t="s">
        <v>159</v>
      </c>
      <c r="C67" s="134" t="str">
        <f>"DPCの患者データから身長、体重を抽出し、"&amp;R69&amp;"テーブルに格納する。"</f>
        <v>DPCの患者データから身長、体重を抽出し、ワーク_バイタル_DPCテーブルに格納する。</v>
      </c>
      <c r="D67" s="135"/>
      <c r="E67" s="135"/>
      <c r="F67" s="135"/>
      <c r="G67" s="135"/>
      <c r="H67" s="135"/>
      <c r="I67" s="135"/>
      <c r="J67" s="135"/>
      <c r="K67" s="135"/>
      <c r="L67" s="135"/>
      <c r="M67" s="135"/>
      <c r="N67" s="135"/>
      <c r="O67" s="135"/>
      <c r="P67" s="135"/>
      <c r="Q67" s="135"/>
      <c r="R67" s="135"/>
      <c r="S67" s="135"/>
      <c r="T67" s="135"/>
      <c r="U67" s="136"/>
      <c r="W67" s="35" t="str">
        <f>"-- "&amp;C67</f>
        <v>-- DPCの患者データから身長、体重を抽出し、ワーク_バイタル_DPCテーブルに格納する。</v>
      </c>
    </row>
    <row r="69" spans="1:23" ht="18.75" customHeight="1">
      <c r="C69" s="137" t="s">
        <v>4098</v>
      </c>
      <c r="D69" s="138"/>
      <c r="E69" s="143" t="str">
        <f>エンティティ一覧!$O$2</f>
        <v>milscm_2023_010</v>
      </c>
      <c r="F69" s="36"/>
      <c r="G69" s="36"/>
      <c r="H69" s="36"/>
      <c r="I69" s="36"/>
      <c r="J69" s="36"/>
      <c r="M69" s="36"/>
      <c r="N69" s="36"/>
      <c r="O69" s="36"/>
      <c r="P69" s="36"/>
      <c r="Q69" s="36"/>
      <c r="R69" s="137" t="s">
        <v>4103</v>
      </c>
      <c r="S69" s="138"/>
      <c r="T69" s="143" t="str">
        <f>エンティティ一覧!$O$2</f>
        <v>milscm_2023_010</v>
      </c>
      <c r="W69" s="35" t="s">
        <v>3669</v>
      </c>
    </row>
    <row r="70" spans="1:23" ht="18.75" customHeight="1">
      <c r="C70" s="139"/>
      <c r="D70" s="140"/>
      <c r="E70" s="144"/>
      <c r="F70" s="37"/>
      <c r="G70" s="37"/>
      <c r="H70" s="37"/>
      <c r="I70" s="37"/>
      <c r="J70" s="37"/>
      <c r="K70" s="37"/>
      <c r="L70" s="37"/>
      <c r="M70" s="37"/>
      <c r="N70" s="37"/>
      <c r="O70" s="37"/>
      <c r="P70" s="37"/>
      <c r="Q70" s="37"/>
      <c r="R70" s="139"/>
      <c r="S70" s="140"/>
      <c r="T70" s="144"/>
    </row>
    <row r="72" spans="1:23" ht="18.75" customHeight="1" thickBot="1">
      <c r="B72" s="42"/>
      <c r="C72" s="42"/>
      <c r="D72" s="42"/>
      <c r="E72" s="42"/>
      <c r="F72" s="42"/>
      <c r="G72" s="42"/>
      <c r="H72" s="42"/>
      <c r="I72" s="42"/>
      <c r="J72" s="42"/>
      <c r="K72" s="42"/>
      <c r="L72" s="42"/>
      <c r="M72" s="42"/>
      <c r="N72" s="42"/>
      <c r="O72" s="42"/>
      <c r="P72" s="42"/>
      <c r="Q72" s="42"/>
      <c r="R72" s="42"/>
      <c r="S72" s="42"/>
      <c r="T72" s="42"/>
      <c r="U72" s="42"/>
    </row>
    <row r="74" spans="1:23" ht="18.75" customHeight="1">
      <c r="A74" s="77"/>
      <c r="B74" s="43" t="s">
        <v>163</v>
      </c>
      <c r="C74" s="51" t="s">
        <v>4104</v>
      </c>
      <c r="D74" s="133"/>
      <c r="W74" s="35" t="str">
        <f>"-- "&amp;B74&amp;" : "&amp;C74</f>
        <v>-- SQL_ID : 41_06</v>
      </c>
    </row>
    <row r="75" spans="1:23" ht="18.75" customHeight="1">
      <c r="B75" s="43" t="s">
        <v>158</v>
      </c>
      <c r="C75" s="145" t="str">
        <f>R78&amp;"登録"</f>
        <v>ワーク_バイタル_MML登録</v>
      </c>
      <c r="D75" s="146"/>
      <c r="E75" s="146"/>
      <c r="F75" s="146"/>
      <c r="G75" s="146"/>
      <c r="H75" s="146"/>
      <c r="I75" s="146"/>
      <c r="J75" s="146"/>
      <c r="K75" s="146"/>
      <c r="L75" s="146"/>
      <c r="M75" s="146"/>
      <c r="N75" s="146"/>
      <c r="O75" s="146"/>
      <c r="P75" s="146"/>
      <c r="Q75" s="146"/>
      <c r="R75" s="146"/>
      <c r="S75" s="146"/>
      <c r="T75" s="146"/>
      <c r="U75" s="147"/>
      <c r="W75" s="35" t="str">
        <f>"-- "&amp;C75</f>
        <v>-- ワーク_バイタル_MML登録</v>
      </c>
    </row>
    <row r="76" spans="1:23" ht="18.75" customHeight="1">
      <c r="B76" s="43" t="s">
        <v>159</v>
      </c>
      <c r="C76" s="134" t="str">
        <f>"MMLの患者データから身長、体重を抽出し、"&amp;R78&amp;"テーブルに格納する。"</f>
        <v>MMLの患者データから身長、体重を抽出し、ワーク_バイタル_MMLテーブルに格納する。</v>
      </c>
      <c r="D76" s="135"/>
      <c r="E76" s="135"/>
      <c r="F76" s="135"/>
      <c r="G76" s="135"/>
      <c r="H76" s="135"/>
      <c r="I76" s="135"/>
      <c r="J76" s="135"/>
      <c r="K76" s="135"/>
      <c r="L76" s="135"/>
      <c r="M76" s="135"/>
      <c r="N76" s="135"/>
      <c r="O76" s="135"/>
      <c r="P76" s="135"/>
      <c r="Q76" s="135"/>
      <c r="R76" s="135"/>
      <c r="S76" s="135"/>
      <c r="T76" s="135"/>
      <c r="U76" s="136"/>
      <c r="W76" s="35" t="str">
        <f>"-- "&amp;C76</f>
        <v>-- MMLの患者データから身長、体重を抽出し、ワーク_バイタル_MMLテーブルに格納する。</v>
      </c>
    </row>
    <row r="78" spans="1:23" ht="18.75" customHeight="1">
      <c r="C78" s="137" t="s">
        <v>4082</v>
      </c>
      <c r="D78" s="138"/>
      <c r="E78" s="143" t="str">
        <f>エンティティ一覧!$O$2</f>
        <v>milscm_2023_010</v>
      </c>
      <c r="F78" s="36"/>
      <c r="G78" s="36"/>
      <c r="H78" s="36"/>
      <c r="I78" s="36"/>
      <c r="J78" s="36"/>
      <c r="K78" s="36"/>
      <c r="L78" s="36"/>
      <c r="M78" s="36"/>
      <c r="N78" s="36"/>
      <c r="O78" s="36"/>
      <c r="P78" s="36"/>
      <c r="Q78" s="36"/>
      <c r="R78" s="137" t="s">
        <v>4105</v>
      </c>
      <c r="S78" s="138"/>
      <c r="T78" s="143" t="str">
        <f>エンティティ一覧!$O$2</f>
        <v>milscm_2023_010</v>
      </c>
      <c r="W78" s="35" t="s">
        <v>3669</v>
      </c>
    </row>
    <row r="79" spans="1:23" ht="18.75" customHeight="1">
      <c r="C79" s="139"/>
      <c r="D79" s="140"/>
      <c r="E79" s="144"/>
      <c r="F79" s="37"/>
      <c r="G79" s="37"/>
      <c r="H79" s="37"/>
      <c r="I79" s="37"/>
      <c r="J79" s="37"/>
      <c r="K79" s="37"/>
      <c r="L79" s="38"/>
      <c r="M79" s="37"/>
      <c r="N79" s="37"/>
      <c r="O79" s="37"/>
      <c r="P79" s="101"/>
      <c r="Q79" s="37"/>
      <c r="R79" s="139"/>
      <c r="S79" s="140"/>
      <c r="T79" s="144"/>
    </row>
    <row r="80" spans="1:23" ht="18.75" customHeight="1">
      <c r="H80" s="98"/>
      <c r="I80" s="98"/>
      <c r="J80" s="98"/>
      <c r="K80" s="39"/>
      <c r="L80" s="40"/>
      <c r="M80" s="98"/>
      <c r="N80" s="98"/>
      <c r="O80" s="98"/>
      <c r="P80" s="102"/>
    </row>
    <row r="81" spans="2:23" ht="18.75" customHeight="1">
      <c r="C81" s="137" t="s">
        <v>4083</v>
      </c>
      <c r="D81" s="138"/>
      <c r="E81" s="143" t="str">
        <f>エンティティ一覧!$O$2</f>
        <v>milscm_2023_010</v>
      </c>
      <c r="F81" s="36"/>
      <c r="G81" s="36"/>
      <c r="H81" s="36"/>
      <c r="I81" s="36"/>
      <c r="J81" s="36"/>
      <c r="L81" s="41"/>
      <c r="M81" s="98"/>
      <c r="N81" s="98"/>
      <c r="O81" s="98"/>
      <c r="P81" s="102"/>
    </row>
    <row r="82" spans="2:23" ht="18.75" customHeight="1">
      <c r="C82" s="139"/>
      <c r="D82" s="140"/>
      <c r="E82" s="144"/>
      <c r="F82" s="37"/>
      <c r="G82" s="37"/>
      <c r="H82" s="37"/>
      <c r="I82" s="37"/>
      <c r="J82" s="37"/>
      <c r="K82" s="37"/>
      <c r="M82" s="98"/>
      <c r="N82" s="98"/>
      <c r="O82" s="98"/>
      <c r="P82" s="102"/>
    </row>
    <row r="83" spans="2:23" ht="18.75" customHeight="1">
      <c r="L83" s="98"/>
      <c r="M83" s="98"/>
      <c r="N83" s="98"/>
      <c r="O83" s="98"/>
      <c r="P83" s="102"/>
    </row>
    <row r="84" spans="2:23" ht="18.75" customHeight="1">
      <c r="H84" s="137" t="s">
        <v>3736</v>
      </c>
      <c r="I84" s="138"/>
      <c r="J84" s="143" t="str">
        <f>エンティティ一覧!$O$2</f>
        <v>milscm_2023_010</v>
      </c>
      <c r="L84" s="36"/>
      <c r="M84" s="36"/>
      <c r="N84" s="36"/>
      <c r="O84" s="36"/>
      <c r="P84" s="103"/>
      <c r="Q84" s="98"/>
    </row>
    <row r="85" spans="2:23" ht="18.75" customHeight="1">
      <c r="H85" s="139"/>
      <c r="I85" s="140"/>
      <c r="J85" s="144"/>
      <c r="K85" s="37"/>
      <c r="L85" s="98"/>
      <c r="M85" s="98"/>
      <c r="N85" s="98"/>
      <c r="O85" s="98"/>
      <c r="P85" s="98"/>
    </row>
    <row r="87" spans="2:23" ht="18.75" customHeight="1" thickBot="1">
      <c r="B87" s="42"/>
      <c r="C87" s="42"/>
      <c r="D87" s="42"/>
      <c r="E87" s="42"/>
      <c r="F87" s="42"/>
      <c r="G87" s="42"/>
      <c r="H87" s="42"/>
      <c r="I87" s="42"/>
      <c r="J87" s="42"/>
      <c r="K87" s="42"/>
      <c r="L87" s="42"/>
      <c r="M87" s="42"/>
      <c r="N87" s="42"/>
      <c r="O87" s="42"/>
      <c r="P87" s="42"/>
      <c r="Q87" s="42"/>
      <c r="R87" s="42"/>
      <c r="S87" s="42"/>
      <c r="T87" s="42"/>
      <c r="U87" s="42"/>
    </row>
    <row r="89" spans="2:23" ht="18.75" customHeight="1">
      <c r="B89" s="43" t="s">
        <v>163</v>
      </c>
      <c r="C89" s="51" t="s">
        <v>4106</v>
      </c>
      <c r="D89" s="133"/>
      <c r="W89" s="35" t="str">
        <f>"-- "&amp;B89&amp;" : "&amp;C89</f>
        <v>-- SQL_ID : 41_07</v>
      </c>
    </row>
    <row r="90" spans="2:23" ht="18.75" customHeight="1">
      <c r="B90" s="43" t="s">
        <v>158</v>
      </c>
      <c r="C90" s="145" t="str">
        <f>R93&amp;"登録"</f>
        <v>ワーク_バイタル登録</v>
      </c>
      <c r="D90" s="146"/>
      <c r="E90" s="146"/>
      <c r="F90" s="146"/>
      <c r="G90" s="146"/>
      <c r="H90" s="146"/>
      <c r="I90" s="146"/>
      <c r="J90" s="146"/>
      <c r="K90" s="146"/>
      <c r="L90" s="146"/>
      <c r="M90" s="146"/>
      <c r="N90" s="146"/>
      <c r="O90" s="146"/>
      <c r="P90" s="146"/>
      <c r="Q90" s="146"/>
      <c r="R90" s="146"/>
      <c r="S90" s="146"/>
      <c r="T90" s="146"/>
      <c r="U90" s="147"/>
      <c r="W90" s="35" t="str">
        <f>"-- "&amp;C90</f>
        <v>-- ワーク_バイタル登録</v>
      </c>
    </row>
    <row r="91" spans="2:23" ht="18.75" customHeight="1">
      <c r="B91" s="43" t="s">
        <v>159</v>
      </c>
      <c r="C91" s="134" t="str">
        <f>"ワーク_バイタル_DPCとワーク_バイタル_MMLの患者データを結合し、"&amp;R93&amp;"テーブルに格納する。"</f>
        <v>ワーク_バイタル_DPCとワーク_バイタル_MMLの患者データを結合し、ワーク_バイタルテーブルに格納する。</v>
      </c>
      <c r="D91" s="135"/>
      <c r="E91" s="135"/>
      <c r="F91" s="135"/>
      <c r="G91" s="135"/>
      <c r="H91" s="135"/>
      <c r="I91" s="135"/>
      <c r="J91" s="135"/>
      <c r="K91" s="135"/>
      <c r="L91" s="135"/>
      <c r="M91" s="135"/>
      <c r="N91" s="135"/>
      <c r="O91" s="135"/>
      <c r="P91" s="135"/>
      <c r="Q91" s="135"/>
      <c r="R91" s="135"/>
      <c r="S91" s="135"/>
      <c r="T91" s="135"/>
      <c r="U91" s="136"/>
      <c r="W91" s="35" t="str">
        <f>"-- "&amp;C91</f>
        <v>-- ワーク_バイタル_DPCとワーク_バイタル_MMLの患者データを結合し、ワーク_バイタルテーブルに格納する。</v>
      </c>
    </row>
    <row r="93" spans="2:23" ht="18.75" customHeight="1">
      <c r="C93" s="137" t="s">
        <v>4103</v>
      </c>
      <c r="D93" s="138"/>
      <c r="E93" s="143" t="str">
        <f>エンティティ一覧!$O$2</f>
        <v>milscm_2023_010</v>
      </c>
      <c r="H93" s="36"/>
      <c r="I93" s="36"/>
      <c r="J93" s="36"/>
      <c r="K93" s="36"/>
      <c r="L93" s="36"/>
      <c r="M93" s="36"/>
      <c r="N93" s="36"/>
      <c r="O93" s="36"/>
      <c r="P93" s="36"/>
      <c r="Q93" s="36"/>
      <c r="R93" s="137" t="s">
        <v>4107</v>
      </c>
      <c r="S93" s="138"/>
      <c r="T93" s="143" t="str">
        <f>エンティティ一覧!$O$2</f>
        <v>milscm_2023_010</v>
      </c>
    </row>
    <row r="94" spans="2:23" ht="18.75" customHeight="1">
      <c r="C94" s="139"/>
      <c r="D94" s="140"/>
      <c r="E94" s="144"/>
      <c r="F94" s="37"/>
      <c r="G94" s="37"/>
      <c r="H94" s="37"/>
      <c r="I94" s="37"/>
      <c r="J94" s="37"/>
      <c r="K94" s="37"/>
      <c r="L94" s="37"/>
      <c r="M94" s="37"/>
      <c r="N94" s="37"/>
      <c r="O94" s="37"/>
      <c r="P94" s="101"/>
      <c r="Q94" s="37"/>
      <c r="R94" s="139"/>
      <c r="S94" s="140"/>
      <c r="T94" s="144"/>
    </row>
    <row r="95" spans="2:23" ht="18.75" customHeight="1">
      <c r="F95" s="39"/>
      <c r="G95" s="94"/>
      <c r="H95" s="98"/>
      <c r="I95" s="98"/>
      <c r="J95" s="98"/>
      <c r="P95" s="102"/>
    </row>
    <row r="96" spans="2:23" ht="18.75" customHeight="1">
      <c r="C96" s="137" t="s">
        <v>4105</v>
      </c>
      <c r="D96" s="138"/>
      <c r="E96" s="143" t="str">
        <f>エンティティ一覧!$O$2</f>
        <v>milscm_2023_010</v>
      </c>
      <c r="G96" s="36"/>
      <c r="H96" s="36"/>
      <c r="I96" s="36"/>
      <c r="J96" s="36"/>
      <c r="K96" s="36"/>
      <c r="L96" s="36"/>
      <c r="M96" s="36"/>
      <c r="N96" s="36"/>
      <c r="O96" s="36"/>
      <c r="P96" s="103"/>
    </row>
    <row r="97" spans="1:23" ht="18.75" customHeight="1">
      <c r="C97" s="139"/>
      <c r="D97" s="140"/>
      <c r="E97" s="144"/>
      <c r="F97" s="37"/>
      <c r="K97" s="37"/>
      <c r="L97" s="37"/>
      <c r="M97" s="37"/>
      <c r="N97" s="37"/>
      <c r="O97" s="37"/>
    </row>
    <row r="99" spans="1:23" ht="18.75" customHeight="1" thickBot="1">
      <c r="B99" s="42"/>
      <c r="C99" s="42"/>
      <c r="D99" s="42"/>
      <c r="E99" s="42"/>
      <c r="F99" s="42"/>
      <c r="G99" s="42"/>
      <c r="H99" s="42"/>
      <c r="I99" s="42"/>
      <c r="J99" s="42"/>
      <c r="K99" s="42"/>
      <c r="L99" s="42"/>
      <c r="M99" s="42"/>
      <c r="N99" s="42"/>
      <c r="O99" s="42"/>
      <c r="P99" s="42"/>
      <c r="Q99" s="42"/>
      <c r="R99" s="42"/>
      <c r="S99" s="42"/>
      <c r="T99" s="42"/>
      <c r="U99" s="42"/>
    </row>
    <row r="101" spans="1:23" ht="18.75" customHeight="1">
      <c r="A101" s="77"/>
      <c r="B101" s="43" t="s">
        <v>163</v>
      </c>
      <c r="C101" s="51" t="s">
        <v>4298</v>
      </c>
      <c r="D101" s="133"/>
      <c r="W101" s="35" t="str">
        <f>"-- "&amp;B101&amp;" : "&amp;C101</f>
        <v>-- SQL_ID : 41_08</v>
      </c>
    </row>
    <row r="102" spans="1:23" ht="18.75" customHeight="1">
      <c r="B102" s="43" t="s">
        <v>158</v>
      </c>
      <c r="C102" s="145" t="str">
        <f>R105&amp;"登録"</f>
        <v>ワーク_診療行為データ登録</v>
      </c>
      <c r="D102" s="146"/>
      <c r="E102" s="146"/>
      <c r="F102" s="146"/>
      <c r="G102" s="146"/>
      <c r="H102" s="146"/>
      <c r="I102" s="146"/>
      <c r="J102" s="146"/>
      <c r="K102" s="146"/>
      <c r="L102" s="146"/>
      <c r="M102" s="146"/>
      <c r="N102" s="146"/>
      <c r="O102" s="146"/>
      <c r="P102" s="146"/>
      <c r="Q102" s="146"/>
      <c r="R102" s="146"/>
      <c r="S102" s="146"/>
      <c r="T102" s="146"/>
      <c r="U102" s="147"/>
      <c r="W102" s="35" t="str">
        <f>"-- "&amp;C102</f>
        <v>-- ワーク_診療行為データ登録</v>
      </c>
    </row>
    <row r="103" spans="1:23" ht="18.75" customHeight="1">
      <c r="B103" s="43" t="s">
        <v>159</v>
      </c>
      <c r="C103" s="134" t="str">
        <f>C105&amp;"から"&amp;H108&amp;"に存在するデータを抽出し、"&amp;R105&amp;"テーブルに格納する。"</f>
        <v>ベース_診療行為データから診療行為マスタに存在するデータを抽出し、ワーク_診療行為データテーブルに格納する。</v>
      </c>
      <c r="D103" s="135"/>
      <c r="E103" s="135"/>
      <c r="F103" s="135"/>
      <c r="G103" s="135"/>
      <c r="H103" s="135"/>
      <c r="I103" s="135"/>
      <c r="J103" s="135"/>
      <c r="K103" s="135"/>
      <c r="L103" s="135"/>
      <c r="M103" s="135"/>
      <c r="N103" s="135"/>
      <c r="O103" s="135"/>
      <c r="P103" s="135"/>
      <c r="Q103" s="135"/>
      <c r="R103" s="135"/>
      <c r="S103" s="135"/>
      <c r="T103" s="135"/>
      <c r="U103" s="136"/>
      <c r="W103" s="35" t="str">
        <f>"-- "&amp;C103</f>
        <v>-- ベース_診療行為データから診療行為マスタに存在するデータを抽出し、ワーク_診療行為データテーブルに格納する。</v>
      </c>
    </row>
    <row r="105" spans="1:23" ht="18.75" customHeight="1">
      <c r="C105" s="137" t="s">
        <v>3694</v>
      </c>
      <c r="D105" s="138"/>
      <c r="E105" s="143" t="str">
        <f>エンティティ一覧!$O$2</f>
        <v>milscm_2023_010</v>
      </c>
      <c r="F105" s="36"/>
      <c r="G105" s="36"/>
      <c r="H105" s="36"/>
      <c r="I105" s="36"/>
      <c r="J105" s="36"/>
      <c r="M105" s="36"/>
      <c r="N105" s="36"/>
      <c r="O105" s="36"/>
      <c r="P105" s="36"/>
      <c r="Q105" s="36"/>
      <c r="R105" s="137" t="s">
        <v>4108</v>
      </c>
      <c r="S105" s="138"/>
      <c r="T105" s="143" t="str">
        <f>エンティティ一覧!$O$2</f>
        <v>milscm_2023_010</v>
      </c>
      <c r="W105" s="35" t="s">
        <v>3669</v>
      </c>
    </row>
    <row r="106" spans="1:23" ht="18.75" customHeight="1">
      <c r="C106" s="139"/>
      <c r="D106" s="140"/>
      <c r="E106" s="144"/>
      <c r="F106" s="37"/>
      <c r="G106" s="37"/>
      <c r="H106" s="37"/>
      <c r="I106" s="37"/>
      <c r="J106" s="37"/>
      <c r="K106" s="37"/>
      <c r="L106" s="37"/>
      <c r="M106" s="37"/>
      <c r="N106" s="38"/>
      <c r="O106" s="37"/>
      <c r="P106" s="37"/>
      <c r="Q106" s="37"/>
      <c r="R106" s="139"/>
      <c r="S106" s="140"/>
      <c r="T106" s="144"/>
    </row>
    <row r="107" spans="1:23" ht="18.75" customHeight="1">
      <c r="M107" s="39"/>
      <c r="N107" s="40"/>
      <c r="O107" s="98"/>
      <c r="P107" s="94"/>
      <c r="Q107" s="94"/>
    </row>
    <row r="108" spans="1:23" ht="18.75" customHeight="1">
      <c r="H108" s="160" t="s">
        <v>4062</v>
      </c>
      <c r="I108" s="161"/>
      <c r="J108" s="143" t="str">
        <f>エンティティ一覧!$O$2</f>
        <v>milscm_2023_010</v>
      </c>
      <c r="K108" s="104"/>
      <c r="L108" s="104"/>
      <c r="M108" s="39"/>
      <c r="N108" s="41"/>
      <c r="P108" s="39"/>
      <c r="Q108" s="94"/>
    </row>
    <row r="109" spans="1:23" ht="18.75" customHeight="1">
      <c r="H109" s="162"/>
      <c r="I109" s="163"/>
      <c r="J109" s="144"/>
      <c r="K109" s="105"/>
      <c r="L109" s="105"/>
      <c r="M109" s="105"/>
      <c r="P109" s="39"/>
      <c r="Q109" s="94"/>
    </row>
    <row r="111" spans="1:23" ht="18.75" customHeight="1" thickBot="1">
      <c r="B111" s="42"/>
      <c r="C111" s="42"/>
      <c r="D111" s="42"/>
      <c r="E111" s="42"/>
      <c r="F111" s="42"/>
      <c r="G111" s="42"/>
      <c r="H111" s="42"/>
      <c r="I111" s="42"/>
      <c r="J111" s="42"/>
      <c r="K111" s="42"/>
      <c r="L111" s="42"/>
      <c r="M111" s="42"/>
      <c r="N111" s="42"/>
      <c r="O111" s="42"/>
      <c r="P111" s="42"/>
      <c r="Q111" s="42"/>
      <c r="R111" s="42"/>
      <c r="S111" s="42"/>
      <c r="T111" s="42"/>
      <c r="U111" s="42"/>
    </row>
    <row r="113" spans="2:23" ht="18.75" customHeight="1">
      <c r="B113" s="43" t="s">
        <v>163</v>
      </c>
      <c r="C113" s="51" t="s">
        <v>4299</v>
      </c>
      <c r="D113" s="133"/>
      <c r="W113" s="35" t="str">
        <f>"-- "&amp;B113&amp;" : "&amp;C113</f>
        <v>-- SQL_ID : 41_09</v>
      </c>
    </row>
    <row r="114" spans="2:23" ht="18.75" customHeight="1">
      <c r="B114" s="43" t="s">
        <v>158</v>
      </c>
      <c r="C114" s="145" t="str">
        <f>R117&amp;"登録"</f>
        <v>ワーク_検体検査データ_スキーマ2登録</v>
      </c>
      <c r="D114" s="146"/>
      <c r="E114" s="146"/>
      <c r="F114" s="146"/>
      <c r="G114" s="146"/>
      <c r="H114" s="146"/>
      <c r="I114" s="146"/>
      <c r="J114" s="146"/>
      <c r="K114" s="146"/>
      <c r="L114" s="146"/>
      <c r="M114" s="146"/>
      <c r="N114" s="146"/>
      <c r="O114" s="146"/>
      <c r="P114" s="146"/>
      <c r="Q114" s="146"/>
      <c r="R114" s="146"/>
      <c r="S114" s="146"/>
      <c r="T114" s="146"/>
      <c r="U114" s="147"/>
      <c r="W114" s="35" t="str">
        <f>"-- "&amp;C114</f>
        <v>-- ワーク_検体検査データ_スキーマ2登録</v>
      </c>
    </row>
    <row r="115" spans="2:23" ht="18.75" customHeight="1">
      <c r="B115" s="43" t="s">
        <v>159</v>
      </c>
      <c r="C115" s="134" t="str">
        <f>"MMLの検体検査データを抽出し、"&amp;R117&amp;"テーブルに格納する。"</f>
        <v>MMLの検体検査データを抽出し、ワーク_検体検査データ_スキーマ2テーブルに格納する。</v>
      </c>
      <c r="D115" s="135"/>
      <c r="E115" s="135"/>
      <c r="F115" s="135"/>
      <c r="G115" s="135"/>
      <c r="H115" s="135"/>
      <c r="I115" s="135"/>
      <c r="J115" s="135"/>
      <c r="K115" s="135"/>
      <c r="L115" s="135"/>
      <c r="M115" s="135"/>
      <c r="N115" s="135"/>
      <c r="O115" s="135"/>
      <c r="P115" s="135"/>
      <c r="Q115" s="135"/>
      <c r="R115" s="135"/>
      <c r="S115" s="135"/>
      <c r="T115" s="135"/>
      <c r="U115" s="136"/>
      <c r="W115" s="35" t="str">
        <f>"-- "&amp;C115</f>
        <v>-- MMLの検体検査データを抽出し、ワーク_検体検査データ_スキーマ2テーブルに格納する。</v>
      </c>
    </row>
    <row r="117" spans="2:23" ht="18.75" customHeight="1">
      <c r="C117" s="137" t="s">
        <v>3690</v>
      </c>
      <c r="D117" s="138"/>
      <c r="E117" s="143" t="str">
        <f>エンティティ一覧!$O$2</f>
        <v>milscm_2023_010</v>
      </c>
      <c r="F117" s="36"/>
      <c r="G117" s="36"/>
      <c r="H117" s="36"/>
      <c r="I117" s="36"/>
      <c r="J117" s="36"/>
      <c r="K117" s="36"/>
      <c r="L117" s="36"/>
      <c r="R117" s="137" t="s">
        <v>4109</v>
      </c>
      <c r="S117" s="138"/>
      <c r="T117" s="143" t="str">
        <f>エンティティ一覧!$O$2</f>
        <v>milscm_2023_010</v>
      </c>
    </row>
    <row r="118" spans="2:23" ht="18.75" customHeight="1">
      <c r="C118" s="139"/>
      <c r="D118" s="140"/>
      <c r="E118" s="144"/>
      <c r="F118" s="37"/>
      <c r="G118" s="37"/>
      <c r="H118" s="37"/>
      <c r="I118" s="37"/>
      <c r="J118" s="37"/>
      <c r="K118" s="37"/>
      <c r="L118" s="37"/>
      <c r="M118" s="37"/>
      <c r="N118" s="100"/>
      <c r="O118" s="38"/>
      <c r="P118" s="100"/>
      <c r="Q118" s="38"/>
      <c r="R118" s="139"/>
      <c r="S118" s="140"/>
      <c r="T118" s="144"/>
    </row>
    <row r="119" spans="2:23" ht="18.75" customHeight="1">
      <c r="K119" s="39"/>
      <c r="L119" s="94"/>
      <c r="M119" s="102"/>
      <c r="N119" s="39"/>
      <c r="O119" s="40"/>
      <c r="P119" s="106"/>
      <c r="Q119" s="40"/>
    </row>
    <row r="120" spans="2:23" ht="18.75" customHeight="1">
      <c r="H120" s="137" t="s">
        <v>3691</v>
      </c>
      <c r="I120" s="138"/>
      <c r="J120" s="143" t="str">
        <f>エンティティ一覧!$O$2</f>
        <v>milscm_2023_010</v>
      </c>
      <c r="L120" s="36"/>
      <c r="M120" s="103"/>
      <c r="N120" s="39"/>
      <c r="O120" s="40"/>
      <c r="P120" s="106"/>
      <c r="Q120" s="40"/>
    </row>
    <row r="121" spans="2:23" ht="18.75" customHeight="1">
      <c r="H121" s="139"/>
      <c r="I121" s="140"/>
      <c r="J121" s="144"/>
      <c r="K121" s="100"/>
      <c r="N121" s="39"/>
      <c r="O121" s="40"/>
      <c r="P121" s="106"/>
      <c r="Q121" s="40"/>
    </row>
    <row r="122" spans="2:23" ht="18.75" customHeight="1">
      <c r="K122" s="39"/>
      <c r="L122" s="40"/>
      <c r="N122" s="39"/>
      <c r="O122" s="40"/>
      <c r="P122" s="106"/>
      <c r="Q122" s="40"/>
    </row>
    <row r="123" spans="2:23" ht="18.75" customHeight="1">
      <c r="H123" s="137" t="s">
        <v>3998</v>
      </c>
      <c r="I123" s="138"/>
      <c r="J123" s="143" t="str">
        <f>エンティティ一覧!$O$2</f>
        <v>milscm_2023_010</v>
      </c>
      <c r="L123" s="41"/>
      <c r="N123" s="39"/>
      <c r="O123" s="40"/>
      <c r="P123" s="106"/>
      <c r="Q123" s="40"/>
    </row>
    <row r="124" spans="2:23" ht="18.75" customHeight="1">
      <c r="H124" s="139"/>
      <c r="I124" s="140"/>
      <c r="J124" s="144"/>
      <c r="K124" s="37"/>
      <c r="N124" s="39"/>
      <c r="O124" s="40"/>
      <c r="P124" s="106"/>
      <c r="Q124" s="40"/>
    </row>
    <row r="125" spans="2:23" ht="18.75" customHeight="1">
      <c r="N125" s="39"/>
      <c r="O125" s="40"/>
      <c r="P125" s="106"/>
      <c r="Q125" s="40"/>
    </row>
    <row r="126" spans="2:23" ht="18.75" customHeight="1">
      <c r="H126" s="137" t="s">
        <v>3692</v>
      </c>
      <c r="I126" s="138"/>
      <c r="J126" s="143" t="str">
        <f>エンティティ一覧!$O$2</f>
        <v>milscm_2023_010</v>
      </c>
      <c r="M126" s="36"/>
      <c r="O126" s="41"/>
      <c r="P126" s="106"/>
      <c r="Q126" s="40"/>
    </row>
    <row r="127" spans="2:23" ht="18.75" customHeight="1">
      <c r="H127" s="139"/>
      <c r="I127" s="140"/>
      <c r="J127" s="144"/>
      <c r="K127" s="37"/>
      <c r="L127" s="38"/>
      <c r="M127" s="37"/>
      <c r="N127" s="37"/>
      <c r="P127" s="106"/>
      <c r="Q127" s="40"/>
    </row>
    <row r="128" spans="2:23" ht="18.75" customHeight="1">
      <c r="K128" s="39"/>
      <c r="L128" s="40"/>
      <c r="P128" s="106"/>
      <c r="Q128" s="40"/>
    </row>
    <row r="129" spans="2:23" ht="18.75" customHeight="1">
      <c r="H129" s="137" t="s">
        <v>3998</v>
      </c>
      <c r="I129" s="138"/>
      <c r="J129" s="143" t="str">
        <f>エンティティ一覧!$O$2</f>
        <v>milscm_2023_010</v>
      </c>
      <c r="L129" s="41"/>
      <c r="P129" s="106"/>
      <c r="Q129" s="40"/>
    </row>
    <row r="130" spans="2:23" ht="18.75" customHeight="1">
      <c r="H130" s="139"/>
      <c r="I130" s="140"/>
      <c r="J130" s="144"/>
      <c r="K130" s="37"/>
      <c r="P130" s="106"/>
      <c r="Q130" s="40"/>
    </row>
    <row r="131" spans="2:23" ht="18.75" customHeight="1">
      <c r="P131" s="106"/>
      <c r="Q131" s="40"/>
    </row>
    <row r="132" spans="2:23" ht="18.75" customHeight="1">
      <c r="H132" s="137" t="s">
        <v>3998</v>
      </c>
      <c r="I132" s="138"/>
      <c r="J132" s="143" t="str">
        <f>エンティティ一覧!$O$2</f>
        <v>milscm_2023_010</v>
      </c>
      <c r="K132" s="107"/>
      <c r="L132" s="36"/>
      <c r="M132" s="36"/>
      <c r="N132" s="36"/>
      <c r="O132" s="36"/>
      <c r="P132" s="108"/>
      <c r="Q132" s="41"/>
    </row>
    <row r="133" spans="2:23" ht="18.75" customHeight="1">
      <c r="H133" s="139"/>
      <c r="I133" s="140"/>
      <c r="J133" s="144"/>
      <c r="P133" s="98"/>
      <c r="Q133" s="41"/>
    </row>
    <row r="134" spans="2:23" ht="18.75" customHeight="1">
      <c r="P134" s="39"/>
      <c r="Q134" s="40"/>
    </row>
    <row r="135" spans="2:23" ht="18.75" customHeight="1">
      <c r="H135" s="137" t="s">
        <v>3736</v>
      </c>
      <c r="I135" s="138"/>
      <c r="J135" s="143" t="str">
        <f>エンティティ一覧!$O$2</f>
        <v>milscm_2023_010</v>
      </c>
      <c r="M135" s="36"/>
      <c r="N135" s="36"/>
      <c r="O135" s="36"/>
      <c r="Q135" s="41"/>
    </row>
    <row r="136" spans="2:23" ht="18.75" customHeight="1">
      <c r="H136" s="139"/>
      <c r="I136" s="140"/>
      <c r="J136" s="144"/>
      <c r="K136" s="37"/>
      <c r="L136" s="37"/>
      <c r="M136" s="37"/>
      <c r="N136" s="37"/>
      <c r="O136" s="37"/>
      <c r="P136" s="37"/>
    </row>
    <row r="138" spans="2:23" ht="18.75" customHeight="1" thickBot="1">
      <c r="B138" s="42"/>
      <c r="C138" s="42"/>
      <c r="D138" s="42"/>
      <c r="E138" s="42"/>
      <c r="F138" s="42"/>
      <c r="G138" s="42"/>
      <c r="H138" s="42"/>
      <c r="I138" s="42"/>
      <c r="J138" s="42"/>
      <c r="K138" s="42"/>
      <c r="L138" s="42"/>
      <c r="M138" s="42"/>
      <c r="N138" s="42"/>
      <c r="O138" s="42"/>
      <c r="P138" s="42"/>
      <c r="Q138" s="42"/>
      <c r="R138" s="42"/>
      <c r="S138" s="42"/>
      <c r="T138" s="42"/>
      <c r="U138" s="42"/>
    </row>
    <row r="140" spans="2:23" ht="18.75" customHeight="1">
      <c r="B140" s="43" t="s">
        <v>163</v>
      </c>
      <c r="C140" s="51" t="s">
        <v>4300</v>
      </c>
      <c r="D140" s="133"/>
      <c r="W140" s="35" t="str">
        <f>"-- "&amp;B140&amp;" : "&amp;C140</f>
        <v>-- SQL_ID : 41_10</v>
      </c>
    </row>
    <row r="141" spans="2:23" ht="18.75" customHeight="1">
      <c r="B141" s="43" t="s">
        <v>158</v>
      </c>
      <c r="C141" s="145" t="str">
        <f>R144&amp;"登録"</f>
        <v>ワーク_検体検査データ_スキーマ4登録</v>
      </c>
      <c r="D141" s="146"/>
      <c r="E141" s="146"/>
      <c r="F141" s="146"/>
      <c r="G141" s="146"/>
      <c r="H141" s="146"/>
      <c r="I141" s="146"/>
      <c r="J141" s="146"/>
      <c r="K141" s="146"/>
      <c r="L141" s="146"/>
      <c r="M141" s="146"/>
      <c r="N141" s="146"/>
      <c r="O141" s="146"/>
      <c r="P141" s="146"/>
      <c r="Q141" s="146"/>
      <c r="R141" s="146"/>
      <c r="S141" s="146"/>
      <c r="T141" s="146"/>
      <c r="U141" s="147"/>
      <c r="W141" s="35" t="str">
        <f>"-- "&amp;C141</f>
        <v>-- ワーク_検体検査データ_スキーマ4登録</v>
      </c>
    </row>
    <row r="142" spans="2:23" ht="18.75" customHeight="1">
      <c r="B142" s="43" t="s">
        <v>159</v>
      </c>
      <c r="C142" s="134" t="str">
        <f>"MML（スキーマ4）の検体検査データを抽出し、"&amp;R144&amp;"テーブルに格納する。"</f>
        <v>MML（スキーマ4）の検体検査データを抽出し、ワーク_検体検査データ_スキーマ4テーブルに格納する。</v>
      </c>
      <c r="D142" s="135"/>
      <c r="E142" s="135"/>
      <c r="F142" s="135"/>
      <c r="G142" s="135"/>
      <c r="H142" s="135"/>
      <c r="I142" s="135"/>
      <c r="J142" s="135"/>
      <c r="K142" s="135"/>
      <c r="L142" s="135"/>
      <c r="M142" s="135"/>
      <c r="N142" s="135"/>
      <c r="O142" s="135"/>
      <c r="P142" s="135"/>
      <c r="Q142" s="135"/>
      <c r="R142" s="135"/>
      <c r="S142" s="135"/>
      <c r="T142" s="135"/>
      <c r="U142" s="136"/>
      <c r="W142" s="35" t="str">
        <f>"-- "&amp;C142</f>
        <v>-- MML（スキーマ4）の検体検査データを抽出し、ワーク_検体検査データ_スキーマ4テーブルに格納する。</v>
      </c>
    </row>
    <row r="144" spans="2:23" ht="18.75" customHeight="1">
      <c r="C144" s="137" t="s">
        <v>3938</v>
      </c>
      <c r="D144" s="138"/>
      <c r="E144" s="143" t="str">
        <f>エンティティ一覧!$O$2</f>
        <v>milscm_2023_010</v>
      </c>
      <c r="F144" s="36"/>
      <c r="G144" s="36"/>
      <c r="H144" s="36"/>
      <c r="I144" s="36"/>
      <c r="J144" s="36"/>
      <c r="R144" s="137" t="s">
        <v>4110</v>
      </c>
      <c r="S144" s="138"/>
      <c r="T144" s="143" t="str">
        <f>エンティティ一覧!$O$2</f>
        <v>milscm_2023_010</v>
      </c>
    </row>
    <row r="145" spans="3:20" ht="18.75" customHeight="1">
      <c r="C145" s="139"/>
      <c r="D145" s="140"/>
      <c r="E145" s="144"/>
      <c r="F145" s="37"/>
      <c r="G145" s="37"/>
      <c r="H145" s="37"/>
      <c r="I145" s="37"/>
      <c r="J145" s="37"/>
      <c r="K145" s="37"/>
      <c r="L145" s="38"/>
      <c r="M145" s="37"/>
      <c r="N145" s="100"/>
      <c r="O145" s="38"/>
      <c r="P145" s="100"/>
      <c r="Q145" s="38"/>
      <c r="R145" s="139"/>
      <c r="S145" s="140"/>
      <c r="T145" s="144"/>
    </row>
    <row r="146" spans="3:20" ht="18.75" customHeight="1">
      <c r="F146" s="39"/>
      <c r="G146" s="94"/>
      <c r="K146" s="102"/>
      <c r="L146" s="39"/>
      <c r="M146" s="102"/>
      <c r="N146" s="39"/>
      <c r="O146" s="40"/>
      <c r="P146" s="106"/>
      <c r="Q146" s="40"/>
    </row>
    <row r="147" spans="3:20" ht="18.75" customHeight="1">
      <c r="C147" s="137" t="s">
        <v>3697</v>
      </c>
      <c r="D147" s="138"/>
      <c r="E147" s="143" t="str">
        <f>エンティティ一覧!$O$2</f>
        <v>milscm_2023_010</v>
      </c>
      <c r="F147" s="36"/>
      <c r="G147" s="36"/>
      <c r="H147" s="36"/>
      <c r="I147" s="36"/>
      <c r="J147" s="36"/>
      <c r="K147" s="103"/>
      <c r="L147" s="39"/>
      <c r="M147" s="102"/>
      <c r="N147" s="39"/>
      <c r="O147" s="40"/>
      <c r="P147" s="106"/>
      <c r="Q147" s="40"/>
    </row>
    <row r="148" spans="3:20" ht="18.75" customHeight="1">
      <c r="C148" s="139"/>
      <c r="D148" s="140"/>
      <c r="E148" s="144"/>
      <c r="F148" s="37"/>
      <c r="G148" s="37"/>
      <c r="H148" s="37"/>
      <c r="I148" s="37"/>
      <c r="J148" s="37"/>
      <c r="L148" s="39"/>
      <c r="M148" s="102"/>
      <c r="N148" s="39"/>
      <c r="O148" s="40"/>
      <c r="P148" s="106"/>
      <c r="Q148" s="40"/>
    </row>
    <row r="149" spans="3:20" ht="18.75" customHeight="1">
      <c r="K149" s="39"/>
      <c r="L149" s="94"/>
      <c r="M149" s="102"/>
      <c r="N149" s="39"/>
      <c r="O149" s="40"/>
      <c r="P149" s="106"/>
      <c r="Q149" s="40"/>
    </row>
    <row r="150" spans="3:20" ht="18.75" customHeight="1">
      <c r="H150" s="137" t="s">
        <v>3940</v>
      </c>
      <c r="I150" s="138"/>
      <c r="J150" s="143" t="str">
        <f>エンティティ一覧!$O$2</f>
        <v>milscm_2023_010</v>
      </c>
      <c r="L150" s="36"/>
      <c r="M150" s="103"/>
      <c r="N150" s="39"/>
      <c r="O150" s="40"/>
      <c r="P150" s="106"/>
      <c r="Q150" s="40"/>
    </row>
    <row r="151" spans="3:20" ht="18.75" customHeight="1">
      <c r="H151" s="139"/>
      <c r="I151" s="140"/>
      <c r="J151" s="144"/>
      <c r="K151" s="100"/>
      <c r="N151" s="39"/>
      <c r="O151" s="40"/>
      <c r="P151" s="106"/>
      <c r="Q151" s="40"/>
    </row>
    <row r="152" spans="3:20" ht="18.75" customHeight="1">
      <c r="G152" s="36"/>
      <c r="H152" s="36"/>
      <c r="I152" s="36"/>
      <c r="J152" s="36"/>
      <c r="L152" s="41"/>
      <c r="N152" s="39"/>
      <c r="O152" s="40"/>
      <c r="P152" s="106"/>
      <c r="Q152" s="40"/>
    </row>
    <row r="153" spans="3:20" ht="18.75" customHeight="1">
      <c r="G153" s="41"/>
      <c r="K153" s="37"/>
      <c r="N153" s="39"/>
      <c r="O153" s="40"/>
      <c r="P153" s="106"/>
      <c r="Q153" s="40"/>
    </row>
    <row r="154" spans="3:20" ht="18.75" customHeight="1">
      <c r="G154" s="41"/>
      <c r="H154" s="137" t="s">
        <v>3942</v>
      </c>
      <c r="I154" s="138"/>
      <c r="J154" s="143" t="str">
        <f>エンティティ一覧!$O$2</f>
        <v>milscm_2023_010</v>
      </c>
      <c r="M154" s="36"/>
      <c r="O154" s="41"/>
      <c r="P154" s="106"/>
      <c r="Q154" s="40"/>
    </row>
    <row r="155" spans="3:20" ht="18.75" customHeight="1">
      <c r="G155" s="41"/>
      <c r="H155" s="139"/>
      <c r="I155" s="140"/>
      <c r="J155" s="144"/>
      <c r="K155" s="37"/>
      <c r="L155" s="38"/>
      <c r="M155" s="37"/>
      <c r="N155" s="37"/>
      <c r="P155" s="106"/>
      <c r="Q155" s="40"/>
    </row>
    <row r="156" spans="3:20" ht="18.75" customHeight="1">
      <c r="G156" s="107"/>
      <c r="H156" s="36"/>
      <c r="I156" s="36"/>
      <c r="J156" s="36"/>
      <c r="K156" s="111"/>
      <c r="L156" s="40"/>
      <c r="P156" s="106"/>
      <c r="Q156" s="40"/>
    </row>
    <row r="157" spans="3:20" ht="18.75" customHeight="1">
      <c r="C157" s="137" t="s">
        <v>3998</v>
      </c>
      <c r="D157" s="138"/>
      <c r="E157" s="143" t="str">
        <f>エンティティ一覧!$O$2</f>
        <v>milscm_2023_010</v>
      </c>
      <c r="G157" s="112"/>
      <c r="H157" s="132"/>
      <c r="I157" s="132"/>
      <c r="J157" s="132"/>
      <c r="K157" s="113"/>
      <c r="L157" s="36"/>
      <c r="M157" s="36"/>
      <c r="N157" s="36"/>
      <c r="O157" s="103"/>
      <c r="P157" s="106"/>
      <c r="Q157" s="40"/>
    </row>
    <row r="158" spans="3:20" ht="18.75" customHeight="1">
      <c r="C158" s="139"/>
      <c r="D158" s="140"/>
      <c r="E158" s="144"/>
      <c r="F158" s="37"/>
      <c r="G158" s="41"/>
      <c r="H158" s="110"/>
      <c r="I158" s="110"/>
      <c r="J158" s="110"/>
      <c r="K158" s="37"/>
      <c r="L158" s="37"/>
      <c r="M158" s="37"/>
      <c r="N158" s="37"/>
      <c r="O158" s="37"/>
      <c r="P158" s="114"/>
      <c r="Q158" s="40"/>
    </row>
    <row r="159" spans="3:20" ht="18.75" customHeight="1">
      <c r="F159" s="39"/>
      <c r="G159" s="41"/>
      <c r="H159" s="109"/>
      <c r="I159" s="109"/>
      <c r="J159" s="109"/>
      <c r="K159" s="98"/>
      <c r="L159" s="98"/>
      <c r="M159" s="98"/>
      <c r="N159" s="98"/>
      <c r="O159" s="98"/>
      <c r="P159" s="114"/>
      <c r="Q159" s="40"/>
    </row>
    <row r="160" spans="3:20" ht="18.75" customHeight="1">
      <c r="C160" s="137" t="s">
        <v>4055</v>
      </c>
      <c r="D160" s="138"/>
      <c r="E160" s="143" t="str">
        <f>エンティティ一覧!$O$2</f>
        <v>milscm_2023_010</v>
      </c>
      <c r="F160" s="103"/>
      <c r="H160" s="110"/>
      <c r="I160" s="110"/>
      <c r="J160" s="110"/>
      <c r="K160" s="98"/>
      <c r="L160" s="98"/>
      <c r="M160" s="98"/>
      <c r="N160" s="98"/>
      <c r="O160" s="98"/>
      <c r="P160" s="102"/>
      <c r="Q160" s="41"/>
    </row>
    <row r="161" spans="2:23" ht="18.75" customHeight="1">
      <c r="C161" s="139"/>
      <c r="D161" s="140"/>
      <c r="E161" s="144"/>
      <c r="H161" s="110"/>
      <c r="I161" s="110"/>
      <c r="J161" s="110"/>
      <c r="P161" s="98"/>
      <c r="Q161" s="41"/>
    </row>
    <row r="162" spans="2:23" ht="18.75" customHeight="1">
      <c r="P162" s="39"/>
      <c r="Q162" s="40"/>
    </row>
    <row r="163" spans="2:23" ht="18.75" customHeight="1">
      <c r="H163" s="137" t="s">
        <v>3736</v>
      </c>
      <c r="I163" s="138"/>
      <c r="J163" s="143" t="str">
        <f>エンティティ一覧!$O$2</f>
        <v>milscm_2023_010</v>
      </c>
      <c r="L163" s="94"/>
      <c r="M163" s="36"/>
      <c r="N163" s="36"/>
      <c r="O163" s="36"/>
      <c r="P163" s="103"/>
    </row>
    <row r="164" spans="2:23" ht="18.75" customHeight="1">
      <c r="H164" s="139"/>
      <c r="I164" s="140"/>
      <c r="J164" s="144"/>
      <c r="K164" s="37"/>
      <c r="L164" s="105"/>
    </row>
    <row r="166" spans="2:23" ht="18.75" customHeight="1" thickBot="1">
      <c r="B166" s="42"/>
      <c r="C166" s="42"/>
      <c r="D166" s="42"/>
      <c r="E166" s="42"/>
      <c r="F166" s="42"/>
      <c r="G166" s="42"/>
      <c r="H166" s="42"/>
      <c r="I166" s="42"/>
      <c r="J166" s="42"/>
      <c r="K166" s="42"/>
      <c r="L166" s="42"/>
      <c r="M166" s="42"/>
      <c r="N166" s="42"/>
      <c r="O166" s="42"/>
      <c r="P166" s="42"/>
      <c r="Q166" s="42"/>
      <c r="R166" s="42"/>
      <c r="S166" s="42"/>
      <c r="T166" s="42"/>
      <c r="U166" s="42"/>
    </row>
    <row r="168" spans="2:23" ht="18.75" customHeight="1">
      <c r="B168" s="43" t="s">
        <v>163</v>
      </c>
      <c r="C168" s="51" t="s">
        <v>4301</v>
      </c>
      <c r="D168" s="133"/>
      <c r="W168" s="35" t="str">
        <f>"-- "&amp;B168&amp;" : "&amp;C168</f>
        <v>-- SQL_ID : 41_11</v>
      </c>
    </row>
    <row r="169" spans="2:23" ht="18.75" customHeight="1">
      <c r="B169" s="43" t="s">
        <v>158</v>
      </c>
      <c r="C169" s="145" t="str">
        <f>R172&amp;"登録"</f>
        <v>ワーク_検体検査データ登録</v>
      </c>
      <c r="D169" s="146"/>
      <c r="E169" s="146"/>
      <c r="F169" s="146"/>
      <c r="G169" s="146"/>
      <c r="H169" s="146"/>
      <c r="I169" s="146"/>
      <c r="J169" s="146"/>
      <c r="K169" s="146"/>
      <c r="L169" s="146"/>
      <c r="M169" s="146"/>
      <c r="N169" s="146"/>
      <c r="O169" s="146"/>
      <c r="P169" s="146"/>
      <c r="Q169" s="146"/>
      <c r="R169" s="146"/>
      <c r="S169" s="146"/>
      <c r="T169" s="146"/>
      <c r="U169" s="147"/>
      <c r="W169" s="35" t="str">
        <f>"-- "&amp;C169</f>
        <v>-- ワーク_検体検査データ登録</v>
      </c>
    </row>
    <row r="170" spans="2:23" ht="18.75" customHeight="1">
      <c r="B170" s="43" t="s">
        <v>159</v>
      </c>
      <c r="C170" s="134" t="str">
        <f>"MMLの検体検査データを抽出し、"&amp;R172&amp;"テーブルに格納する。"</f>
        <v>MMLの検体検査データを抽出し、ワーク_検体検査データテーブルに格納する。</v>
      </c>
      <c r="D170" s="135"/>
      <c r="E170" s="135"/>
      <c r="F170" s="135"/>
      <c r="G170" s="135"/>
      <c r="H170" s="135"/>
      <c r="I170" s="135"/>
      <c r="J170" s="135"/>
      <c r="K170" s="135"/>
      <c r="L170" s="135"/>
      <c r="M170" s="135"/>
      <c r="N170" s="135"/>
      <c r="O170" s="135"/>
      <c r="P170" s="135"/>
      <c r="Q170" s="135"/>
      <c r="R170" s="135"/>
      <c r="S170" s="135"/>
      <c r="T170" s="135"/>
      <c r="U170" s="136"/>
      <c r="W170" s="35" t="str">
        <f>"-- "&amp;C170</f>
        <v>-- MMLの検体検査データを抽出し、ワーク_検体検査データテーブルに格納する。</v>
      </c>
    </row>
    <row r="172" spans="2:23" ht="18.75" customHeight="1">
      <c r="C172" s="137" t="s">
        <v>4109</v>
      </c>
      <c r="D172" s="138"/>
      <c r="E172" s="143" t="str">
        <f>エンティティ一覧!$O$2</f>
        <v>milscm_2023_010</v>
      </c>
      <c r="H172" s="36"/>
      <c r="I172" s="36"/>
      <c r="J172" s="36"/>
      <c r="K172" s="36"/>
      <c r="L172" s="36"/>
      <c r="M172" s="36"/>
      <c r="N172" s="36"/>
      <c r="O172" s="36"/>
      <c r="P172" s="36"/>
      <c r="Q172" s="36"/>
      <c r="R172" s="137" t="s">
        <v>4111</v>
      </c>
      <c r="S172" s="138"/>
      <c r="T172" s="143" t="str">
        <f>エンティティ一覧!$O$2</f>
        <v>milscm_2023_010</v>
      </c>
    </row>
    <row r="173" spans="2:23" ht="18.75" customHeight="1">
      <c r="C173" s="139"/>
      <c r="D173" s="140"/>
      <c r="E173" s="144"/>
      <c r="F173" s="37"/>
      <c r="G173" s="38"/>
      <c r="H173" s="37"/>
      <c r="I173" s="37"/>
      <c r="J173" s="37"/>
      <c r="K173" s="37"/>
      <c r="L173" s="37"/>
      <c r="M173" s="37"/>
      <c r="N173" s="37"/>
      <c r="O173" s="37"/>
      <c r="P173" s="37"/>
      <c r="Q173" s="37"/>
      <c r="R173" s="139"/>
      <c r="S173" s="140"/>
      <c r="T173" s="144"/>
    </row>
    <row r="174" spans="2:23" ht="18.75" customHeight="1">
      <c r="F174" s="39"/>
      <c r="G174" s="40"/>
    </row>
    <row r="175" spans="2:23" ht="18.75" customHeight="1">
      <c r="C175" s="137" t="s">
        <v>4110</v>
      </c>
      <c r="D175" s="138"/>
      <c r="E175" s="143" t="str">
        <f>エンティティ一覧!$O$2</f>
        <v>milscm_2023_010</v>
      </c>
      <c r="G175" s="41"/>
    </row>
    <row r="176" spans="2:23" ht="18.75" customHeight="1">
      <c r="C176" s="139"/>
      <c r="D176" s="140"/>
      <c r="E176" s="144"/>
      <c r="F176" s="37"/>
    </row>
    <row r="178" spans="2:23" ht="18.75" customHeight="1" thickBot="1">
      <c r="B178" s="42"/>
      <c r="C178" s="42"/>
      <c r="D178" s="42"/>
      <c r="E178" s="42"/>
      <c r="F178" s="42"/>
      <c r="G178" s="42"/>
      <c r="H178" s="42"/>
      <c r="I178" s="42"/>
      <c r="J178" s="42"/>
      <c r="K178" s="42"/>
      <c r="L178" s="42"/>
      <c r="M178" s="42"/>
      <c r="N178" s="42"/>
      <c r="O178" s="42"/>
      <c r="P178" s="42"/>
      <c r="Q178" s="42"/>
      <c r="R178" s="42"/>
      <c r="S178" s="42"/>
      <c r="T178" s="42"/>
      <c r="U178" s="42"/>
    </row>
    <row r="180" spans="2:23" ht="18.75" customHeight="1">
      <c r="B180" s="43" t="s">
        <v>163</v>
      </c>
      <c r="C180" s="51" t="s">
        <v>4322</v>
      </c>
      <c r="D180" s="133"/>
      <c r="W180" s="35" t="str">
        <f>"-- "&amp;B180&amp;" : "&amp;C180</f>
        <v>-- SQL_ID : 41_12_01</v>
      </c>
    </row>
    <row r="181" spans="2:23" ht="18.75" customHeight="1">
      <c r="B181" s="43" t="s">
        <v>158</v>
      </c>
      <c r="C181" s="145" t="str">
        <f>R184&amp;"登録"</f>
        <v>ワーク_テキスト情報_一時登録</v>
      </c>
      <c r="D181" s="146"/>
      <c r="E181" s="146"/>
      <c r="F181" s="146"/>
      <c r="G181" s="146"/>
      <c r="H181" s="146"/>
      <c r="I181" s="146"/>
      <c r="J181" s="146"/>
      <c r="K181" s="146"/>
      <c r="L181" s="146"/>
      <c r="M181" s="146"/>
      <c r="N181" s="146"/>
      <c r="O181" s="146"/>
      <c r="P181" s="146"/>
      <c r="Q181" s="146"/>
      <c r="R181" s="146"/>
      <c r="S181" s="146"/>
      <c r="T181" s="146"/>
      <c r="U181" s="147"/>
      <c r="W181" s="35" t="str">
        <f>"-- "&amp;C181</f>
        <v>-- ワーク_テキスト情報_一時登録</v>
      </c>
    </row>
    <row r="182" spans="2:23" ht="18.75" customHeight="1">
      <c r="B182" s="43" t="s">
        <v>159</v>
      </c>
      <c r="C182" s="134" t="str">
        <f>"MMLのテキストデータを抽出し、"&amp;R184&amp;"テーブルに格納する。"</f>
        <v>MMLのテキストデータを抽出し、ワーク_テキスト情報_一時テーブルに格納する。</v>
      </c>
      <c r="D182" s="135"/>
      <c r="E182" s="135"/>
      <c r="F182" s="135"/>
      <c r="G182" s="135"/>
      <c r="H182" s="135"/>
      <c r="I182" s="135"/>
      <c r="J182" s="135"/>
      <c r="K182" s="135"/>
      <c r="L182" s="135"/>
      <c r="M182" s="135"/>
      <c r="N182" s="135"/>
      <c r="O182" s="135"/>
      <c r="P182" s="135"/>
      <c r="Q182" s="135"/>
      <c r="R182" s="135"/>
      <c r="S182" s="135"/>
      <c r="T182" s="135"/>
      <c r="U182" s="136"/>
      <c r="W182" s="35" t="str">
        <f>"-- "&amp;C182</f>
        <v>-- MMLのテキストデータを抽出し、ワーク_テキスト情報_一時テーブルに格納する。</v>
      </c>
    </row>
    <row r="184" spans="2:23" ht="18.75" customHeight="1">
      <c r="C184" s="148" t="s">
        <v>3680</v>
      </c>
      <c r="D184" s="149"/>
      <c r="E184" s="143" t="str">
        <f>エンティティ一覧!$O$2</f>
        <v>milscm_2023_010</v>
      </c>
      <c r="F184" s="36"/>
      <c r="G184" s="36"/>
      <c r="H184" s="36"/>
      <c r="I184" s="36"/>
      <c r="J184" s="36"/>
      <c r="K184" s="36"/>
      <c r="L184" s="36"/>
      <c r="M184" s="36"/>
      <c r="N184" s="36"/>
      <c r="O184" s="36"/>
      <c r="R184" s="137" t="s">
        <v>4112</v>
      </c>
      <c r="S184" s="138"/>
      <c r="T184" s="143" t="str">
        <f>エンティティ一覧!$O$2</f>
        <v>milscm_2023_010</v>
      </c>
    </row>
    <row r="185" spans="2:23" ht="18.75" customHeight="1">
      <c r="C185" s="150"/>
      <c r="D185" s="151"/>
      <c r="E185" s="144"/>
      <c r="F185" s="37"/>
      <c r="G185" s="37"/>
      <c r="H185" s="37"/>
      <c r="I185" s="37"/>
      <c r="J185" s="37"/>
      <c r="K185" s="37"/>
      <c r="L185" s="37"/>
      <c r="M185" s="37"/>
      <c r="N185" s="37"/>
      <c r="O185" s="37"/>
      <c r="P185" s="37"/>
      <c r="Q185" s="37"/>
      <c r="R185" s="139"/>
      <c r="S185" s="140"/>
      <c r="T185" s="144"/>
    </row>
    <row r="187" spans="2:23" ht="18.75" customHeight="1" thickBot="1">
      <c r="B187" s="42"/>
      <c r="C187" s="42"/>
      <c r="D187" s="42"/>
      <c r="E187" s="42"/>
      <c r="F187" s="42"/>
      <c r="G187" s="42"/>
      <c r="H187" s="42"/>
      <c r="I187" s="42"/>
      <c r="J187" s="42"/>
      <c r="K187" s="42"/>
      <c r="L187" s="42"/>
      <c r="M187" s="42"/>
      <c r="N187" s="42"/>
      <c r="O187" s="42"/>
      <c r="P187" s="42"/>
      <c r="Q187" s="42"/>
      <c r="R187" s="42"/>
      <c r="S187" s="42"/>
      <c r="T187" s="42"/>
      <c r="U187" s="42"/>
    </row>
    <row r="189" spans="2:23" ht="18.75" customHeight="1">
      <c r="B189" s="43" t="s">
        <v>163</v>
      </c>
      <c r="C189" s="51" t="s">
        <v>4323</v>
      </c>
      <c r="D189" s="133"/>
      <c r="W189" s="35" t="str">
        <f>"-- "&amp;B189&amp;" : "&amp;C189</f>
        <v>-- SQL_ID : 41_12_02</v>
      </c>
    </row>
    <row r="190" spans="2:23" ht="18.75" customHeight="1">
      <c r="B190" s="43" t="s">
        <v>158</v>
      </c>
      <c r="C190" s="145" t="str">
        <f>R193&amp;"登録"</f>
        <v>ワーク_テキスト情報_一時登録</v>
      </c>
      <c r="D190" s="146"/>
      <c r="E190" s="146"/>
      <c r="F190" s="146"/>
      <c r="G190" s="146"/>
      <c r="H190" s="146"/>
      <c r="I190" s="146"/>
      <c r="J190" s="146"/>
      <c r="K190" s="146"/>
      <c r="L190" s="146"/>
      <c r="M190" s="146"/>
      <c r="N190" s="146"/>
      <c r="O190" s="146"/>
      <c r="P190" s="146"/>
      <c r="Q190" s="146"/>
      <c r="R190" s="146"/>
      <c r="S190" s="146"/>
      <c r="T190" s="146"/>
      <c r="U190" s="147"/>
      <c r="W190" s="35" t="str">
        <f>"-- "&amp;C190</f>
        <v>-- ワーク_テキスト情報_一時登録</v>
      </c>
    </row>
    <row r="191" spans="2:23" ht="18.75" customHeight="1">
      <c r="B191" s="43" t="s">
        <v>159</v>
      </c>
      <c r="C191" s="134" t="str">
        <f>"MMLのテキストデータを抽出し、"&amp;R193&amp;"テーブルに格納する。"</f>
        <v>MMLのテキストデータを抽出し、ワーク_テキスト情報_一時テーブルに格納する。</v>
      </c>
      <c r="D191" s="135"/>
      <c r="E191" s="135"/>
      <c r="F191" s="135"/>
      <c r="G191" s="135"/>
      <c r="H191" s="135"/>
      <c r="I191" s="135"/>
      <c r="J191" s="135"/>
      <c r="K191" s="135"/>
      <c r="L191" s="135"/>
      <c r="M191" s="135"/>
      <c r="N191" s="135"/>
      <c r="O191" s="135"/>
      <c r="P191" s="135"/>
      <c r="Q191" s="135"/>
      <c r="R191" s="135"/>
      <c r="S191" s="135"/>
      <c r="T191" s="135"/>
      <c r="U191" s="136"/>
      <c r="W191" s="35" t="str">
        <f>"-- "&amp;C191</f>
        <v>-- MMLのテキストデータを抽出し、ワーク_テキスト情報_一時テーブルに格納する。</v>
      </c>
    </row>
    <row r="193" spans="2:23" ht="18.75" customHeight="1">
      <c r="C193" s="148" t="s">
        <v>3683</v>
      </c>
      <c r="D193" s="149"/>
      <c r="E193" s="143" t="str">
        <f>エンティティ一覧!$O$2</f>
        <v>milscm_2023_010</v>
      </c>
      <c r="F193" s="36"/>
      <c r="G193" s="36"/>
      <c r="H193" s="36"/>
      <c r="I193" s="36"/>
      <c r="J193" s="36"/>
      <c r="K193" s="36"/>
      <c r="L193" s="36"/>
      <c r="M193" s="36"/>
      <c r="N193" s="36"/>
      <c r="O193" s="36"/>
      <c r="R193" s="137" t="s">
        <v>4112</v>
      </c>
      <c r="S193" s="138"/>
      <c r="T193" s="143" t="str">
        <f>エンティティ一覧!$O$2</f>
        <v>milscm_2023_010</v>
      </c>
    </row>
    <row r="194" spans="2:23" ht="18.75" customHeight="1">
      <c r="C194" s="150"/>
      <c r="D194" s="151"/>
      <c r="E194" s="144"/>
      <c r="F194" s="37"/>
      <c r="G194" s="37"/>
      <c r="H194" s="37"/>
      <c r="I194" s="37"/>
      <c r="J194" s="37"/>
      <c r="K194" s="37"/>
      <c r="L194" s="37"/>
      <c r="M194" s="37"/>
      <c r="N194" s="37"/>
      <c r="O194" s="37"/>
      <c r="P194" s="37"/>
      <c r="Q194" s="37"/>
      <c r="R194" s="139"/>
      <c r="S194" s="140"/>
      <c r="T194" s="144"/>
    </row>
    <row r="196" spans="2:23" ht="18.75" customHeight="1" thickBot="1">
      <c r="B196" s="42"/>
      <c r="C196" s="42"/>
      <c r="D196" s="42"/>
      <c r="E196" s="42"/>
      <c r="F196" s="42"/>
      <c r="G196" s="42"/>
      <c r="H196" s="42"/>
      <c r="I196" s="42"/>
      <c r="J196" s="42"/>
      <c r="K196" s="42"/>
      <c r="L196" s="42"/>
      <c r="M196" s="42"/>
      <c r="N196" s="42"/>
      <c r="O196" s="42"/>
      <c r="P196" s="42"/>
      <c r="Q196" s="42"/>
      <c r="R196" s="42"/>
      <c r="S196" s="42"/>
      <c r="T196" s="42"/>
      <c r="U196" s="42"/>
    </row>
    <row r="198" spans="2:23" ht="18.75" customHeight="1">
      <c r="B198" s="43" t="s">
        <v>163</v>
      </c>
      <c r="C198" s="51" t="s">
        <v>4324</v>
      </c>
      <c r="D198" s="133"/>
      <c r="W198" s="35" t="str">
        <f>"-- "&amp;B198&amp;" : "&amp;C198</f>
        <v>-- SQL_ID : 41_12_03</v>
      </c>
    </row>
    <row r="199" spans="2:23" ht="18.75" customHeight="1">
      <c r="B199" s="43" t="s">
        <v>158</v>
      </c>
      <c r="C199" s="145" t="str">
        <f>R202&amp;"登録"</f>
        <v>ワーク_テキスト情報_一時登録</v>
      </c>
      <c r="D199" s="146"/>
      <c r="E199" s="146"/>
      <c r="F199" s="146"/>
      <c r="G199" s="146"/>
      <c r="H199" s="146"/>
      <c r="I199" s="146"/>
      <c r="J199" s="146"/>
      <c r="K199" s="146"/>
      <c r="L199" s="146"/>
      <c r="M199" s="146"/>
      <c r="N199" s="146"/>
      <c r="O199" s="146"/>
      <c r="P199" s="146"/>
      <c r="Q199" s="146"/>
      <c r="R199" s="146"/>
      <c r="S199" s="146"/>
      <c r="T199" s="146"/>
      <c r="U199" s="147"/>
      <c r="W199" s="35" t="str">
        <f>"-- "&amp;C199</f>
        <v>-- ワーク_テキスト情報_一時登録</v>
      </c>
    </row>
    <row r="200" spans="2:23" ht="18.75" customHeight="1">
      <c r="B200" s="43" t="s">
        <v>159</v>
      </c>
      <c r="C200" s="134" t="str">
        <f>"MMLのテキストデータを抽出し、"&amp;R202&amp;"テーブルに格納する。"</f>
        <v>MMLのテキストデータを抽出し、ワーク_テキスト情報_一時テーブルに格納する。</v>
      </c>
      <c r="D200" s="135"/>
      <c r="E200" s="135"/>
      <c r="F200" s="135"/>
      <c r="G200" s="135"/>
      <c r="H200" s="135"/>
      <c r="I200" s="135"/>
      <c r="J200" s="135"/>
      <c r="K200" s="135"/>
      <c r="L200" s="135"/>
      <c r="M200" s="135"/>
      <c r="N200" s="135"/>
      <c r="O200" s="135"/>
      <c r="P200" s="135"/>
      <c r="Q200" s="135"/>
      <c r="R200" s="135"/>
      <c r="S200" s="135"/>
      <c r="T200" s="135"/>
      <c r="U200" s="136"/>
      <c r="W200" s="35" t="str">
        <f>"-- "&amp;C200</f>
        <v>-- MMLのテキストデータを抽出し、ワーク_テキスト情報_一時テーブルに格納する。</v>
      </c>
    </row>
    <row r="202" spans="2:23" ht="18.75" customHeight="1">
      <c r="C202" s="148" t="s">
        <v>3684</v>
      </c>
      <c r="D202" s="149"/>
      <c r="E202" s="143" t="str">
        <f>エンティティ一覧!$O$2</f>
        <v>milscm_2023_010</v>
      </c>
      <c r="F202" s="36"/>
      <c r="G202" s="36"/>
      <c r="H202" s="36"/>
      <c r="I202" s="36"/>
      <c r="J202" s="36"/>
      <c r="K202" s="36"/>
      <c r="L202" s="36"/>
      <c r="M202" s="36"/>
      <c r="N202" s="36"/>
      <c r="O202" s="36"/>
      <c r="R202" s="137" t="s">
        <v>4112</v>
      </c>
      <c r="S202" s="138"/>
      <c r="T202" s="143" t="str">
        <f>エンティティ一覧!$O$2</f>
        <v>milscm_2023_010</v>
      </c>
    </row>
    <row r="203" spans="2:23" ht="18.75" customHeight="1">
      <c r="C203" s="150"/>
      <c r="D203" s="151"/>
      <c r="E203" s="144"/>
      <c r="F203" s="37"/>
      <c r="G203" s="37"/>
      <c r="H203" s="37"/>
      <c r="I203" s="37"/>
      <c r="J203" s="37"/>
      <c r="K203" s="37"/>
      <c r="L203" s="37"/>
      <c r="M203" s="37"/>
      <c r="N203" s="37"/>
      <c r="O203" s="37"/>
      <c r="P203" s="37"/>
      <c r="Q203" s="37"/>
      <c r="R203" s="139"/>
      <c r="S203" s="140"/>
      <c r="T203" s="144"/>
    </row>
    <row r="205" spans="2:23" ht="18.75" customHeight="1" thickBot="1">
      <c r="B205" s="42"/>
      <c r="C205" s="42"/>
      <c r="D205" s="42"/>
      <c r="E205" s="42"/>
      <c r="F205" s="42"/>
      <c r="G205" s="42"/>
      <c r="H205" s="42"/>
      <c r="I205" s="42"/>
      <c r="J205" s="42"/>
      <c r="K205" s="42"/>
      <c r="L205" s="42"/>
      <c r="M205" s="42"/>
      <c r="N205" s="42"/>
      <c r="O205" s="42"/>
      <c r="P205" s="42"/>
      <c r="Q205" s="42"/>
      <c r="R205" s="42"/>
      <c r="S205" s="42"/>
      <c r="T205" s="42"/>
      <c r="U205" s="42"/>
    </row>
    <row r="207" spans="2:23" ht="18.75" customHeight="1">
      <c r="B207" s="43" t="s">
        <v>163</v>
      </c>
      <c r="C207" s="51" t="s">
        <v>4325</v>
      </c>
      <c r="D207" s="133"/>
      <c r="W207" s="35" t="str">
        <f>"-- "&amp;B207&amp;" : "&amp;C207</f>
        <v>-- SQL_ID : 41_12_04</v>
      </c>
    </row>
    <row r="208" spans="2:23" ht="18.75" customHeight="1">
      <c r="B208" s="43" t="s">
        <v>158</v>
      </c>
      <c r="C208" s="145" t="str">
        <f>R211&amp;"登録"</f>
        <v>ワーク_テキスト情報_一時登録</v>
      </c>
      <c r="D208" s="146"/>
      <c r="E208" s="146"/>
      <c r="F208" s="146"/>
      <c r="G208" s="146"/>
      <c r="H208" s="146"/>
      <c r="I208" s="146"/>
      <c r="J208" s="146"/>
      <c r="K208" s="146"/>
      <c r="L208" s="146"/>
      <c r="M208" s="146"/>
      <c r="N208" s="146"/>
      <c r="O208" s="146"/>
      <c r="P208" s="146"/>
      <c r="Q208" s="146"/>
      <c r="R208" s="146"/>
      <c r="S208" s="146"/>
      <c r="T208" s="146"/>
      <c r="U208" s="147"/>
      <c r="W208" s="35" t="str">
        <f>"-- "&amp;C208</f>
        <v>-- ワーク_テキスト情報_一時登録</v>
      </c>
    </row>
    <row r="209" spans="2:23" ht="18.75" customHeight="1">
      <c r="B209" s="43" t="s">
        <v>159</v>
      </c>
      <c r="C209" s="134" t="str">
        <f>"MMLのテキストデータを抽出し、"&amp;R211&amp;"テーブルに格納する。"</f>
        <v>MMLのテキストデータを抽出し、ワーク_テキスト情報_一時テーブルに格納する。</v>
      </c>
      <c r="D209" s="135"/>
      <c r="E209" s="135"/>
      <c r="F209" s="135"/>
      <c r="G209" s="135"/>
      <c r="H209" s="135"/>
      <c r="I209" s="135"/>
      <c r="J209" s="135"/>
      <c r="K209" s="135"/>
      <c r="L209" s="135"/>
      <c r="M209" s="135"/>
      <c r="N209" s="135"/>
      <c r="O209" s="135"/>
      <c r="P209" s="135"/>
      <c r="Q209" s="135"/>
      <c r="R209" s="135"/>
      <c r="S209" s="135"/>
      <c r="T209" s="135"/>
      <c r="U209" s="136"/>
      <c r="W209" s="35" t="str">
        <f>"-- "&amp;C209</f>
        <v>-- MMLのテキストデータを抽出し、ワーク_テキスト情報_一時テーブルに格納する。</v>
      </c>
    </row>
    <row r="211" spans="2:23" ht="18.75" customHeight="1">
      <c r="C211" s="148" t="s">
        <v>3681</v>
      </c>
      <c r="D211" s="149"/>
      <c r="E211" s="143" t="str">
        <f>エンティティ一覧!$O$2</f>
        <v>milscm_2023_010</v>
      </c>
      <c r="F211" s="36"/>
      <c r="G211" s="36"/>
      <c r="H211" s="36"/>
      <c r="I211" s="36"/>
      <c r="J211" s="36"/>
      <c r="K211" s="36"/>
      <c r="L211" s="36"/>
      <c r="M211" s="36"/>
      <c r="N211" s="36"/>
      <c r="O211" s="36"/>
      <c r="R211" s="137" t="s">
        <v>4112</v>
      </c>
      <c r="S211" s="138"/>
      <c r="T211" s="143" t="str">
        <f>エンティティ一覧!$O$2</f>
        <v>milscm_2023_010</v>
      </c>
    </row>
    <row r="212" spans="2:23" ht="18.75" customHeight="1">
      <c r="C212" s="150"/>
      <c r="D212" s="151"/>
      <c r="E212" s="144"/>
      <c r="F212" s="37"/>
      <c r="G212" s="37"/>
      <c r="H212" s="37"/>
      <c r="I212" s="37"/>
      <c r="J212" s="37"/>
      <c r="K212" s="37"/>
      <c r="L212" s="37"/>
      <c r="M212" s="37"/>
      <c r="N212" s="37"/>
      <c r="O212" s="37"/>
      <c r="P212" s="37"/>
      <c r="Q212" s="37"/>
      <c r="R212" s="139"/>
      <c r="S212" s="140"/>
      <c r="T212" s="144"/>
    </row>
    <row r="214" spans="2:23" ht="18.75" customHeight="1" thickBot="1">
      <c r="B214" s="42"/>
      <c r="C214" s="42"/>
      <c r="D214" s="42"/>
      <c r="E214" s="42"/>
      <c r="F214" s="42"/>
      <c r="G214" s="42"/>
      <c r="H214" s="42"/>
      <c r="I214" s="42"/>
      <c r="J214" s="42"/>
      <c r="K214" s="42"/>
      <c r="L214" s="42"/>
      <c r="M214" s="42"/>
      <c r="N214" s="42"/>
      <c r="O214" s="42"/>
      <c r="P214" s="42"/>
      <c r="Q214" s="42"/>
      <c r="R214" s="42"/>
      <c r="S214" s="42"/>
      <c r="T214" s="42"/>
      <c r="U214" s="42"/>
    </row>
    <row r="216" spans="2:23" ht="18.75" customHeight="1">
      <c r="B216" s="43" t="s">
        <v>163</v>
      </c>
      <c r="C216" s="51" t="s">
        <v>4326</v>
      </c>
      <c r="D216" s="133"/>
      <c r="W216" s="35" t="str">
        <f>"-- "&amp;B216&amp;" : "&amp;C216</f>
        <v>-- SQL_ID : 41_12_05</v>
      </c>
    </row>
    <row r="217" spans="2:23" ht="18.75" customHeight="1">
      <c r="B217" s="43" t="s">
        <v>158</v>
      </c>
      <c r="C217" s="145" t="str">
        <f>R220&amp;"登録"</f>
        <v>ワーク_テキスト情報_一時登録</v>
      </c>
      <c r="D217" s="146"/>
      <c r="E217" s="146"/>
      <c r="F217" s="146"/>
      <c r="G217" s="146"/>
      <c r="H217" s="146"/>
      <c r="I217" s="146"/>
      <c r="J217" s="146"/>
      <c r="K217" s="146"/>
      <c r="L217" s="146"/>
      <c r="M217" s="146"/>
      <c r="N217" s="146"/>
      <c r="O217" s="146"/>
      <c r="P217" s="146"/>
      <c r="Q217" s="146"/>
      <c r="R217" s="146"/>
      <c r="S217" s="146"/>
      <c r="T217" s="146"/>
      <c r="U217" s="147"/>
      <c r="W217" s="35" t="str">
        <f>"-- "&amp;C217</f>
        <v>-- ワーク_テキスト情報_一時登録</v>
      </c>
    </row>
    <row r="218" spans="2:23" ht="18.75" customHeight="1">
      <c r="B218" s="43" t="s">
        <v>159</v>
      </c>
      <c r="C218" s="134" t="str">
        <f>"MMLのテキストデータを抽出し、"&amp;R220&amp;"テーブルに格納する。"</f>
        <v>MMLのテキストデータを抽出し、ワーク_テキスト情報_一時テーブルに格納する。</v>
      </c>
      <c r="D218" s="135"/>
      <c r="E218" s="135"/>
      <c r="F218" s="135"/>
      <c r="G218" s="135"/>
      <c r="H218" s="135"/>
      <c r="I218" s="135"/>
      <c r="J218" s="135"/>
      <c r="K218" s="135"/>
      <c r="L218" s="135"/>
      <c r="M218" s="135"/>
      <c r="N218" s="135"/>
      <c r="O218" s="135"/>
      <c r="P218" s="135"/>
      <c r="Q218" s="135"/>
      <c r="R218" s="135"/>
      <c r="S218" s="135"/>
      <c r="T218" s="135"/>
      <c r="U218" s="136"/>
      <c r="W218" s="35" t="str">
        <f>"-- "&amp;C218</f>
        <v>-- MMLのテキストデータを抽出し、ワーク_テキスト情報_一時テーブルに格納する。</v>
      </c>
    </row>
    <row r="220" spans="2:23" ht="18.75" customHeight="1">
      <c r="C220" s="148" t="s">
        <v>3681</v>
      </c>
      <c r="D220" s="149"/>
      <c r="E220" s="143" t="str">
        <f>エンティティ一覧!$O$2</f>
        <v>milscm_2023_010</v>
      </c>
      <c r="F220" s="36"/>
      <c r="G220" s="36"/>
      <c r="H220" s="36"/>
      <c r="I220" s="36"/>
      <c r="J220" s="36"/>
      <c r="K220" s="36"/>
      <c r="L220" s="36"/>
      <c r="M220" s="36"/>
      <c r="N220" s="36"/>
      <c r="O220" s="36"/>
      <c r="R220" s="137" t="s">
        <v>4112</v>
      </c>
      <c r="S220" s="138"/>
      <c r="T220" s="143" t="str">
        <f>エンティティ一覧!$O$2</f>
        <v>milscm_2023_010</v>
      </c>
    </row>
    <row r="221" spans="2:23" ht="18.75" customHeight="1">
      <c r="C221" s="150"/>
      <c r="D221" s="151"/>
      <c r="E221" s="144"/>
      <c r="F221" s="37"/>
      <c r="G221" s="37"/>
      <c r="H221" s="37"/>
      <c r="I221" s="37"/>
      <c r="J221" s="37"/>
      <c r="K221" s="37"/>
      <c r="L221" s="37"/>
      <c r="M221" s="37"/>
      <c r="N221" s="37"/>
      <c r="O221" s="37"/>
      <c r="P221" s="37"/>
      <c r="Q221" s="37"/>
      <c r="R221" s="139"/>
      <c r="S221" s="140"/>
      <c r="T221" s="144"/>
    </row>
    <row r="223" spans="2:23" ht="18.75" customHeight="1" thickBot="1">
      <c r="B223" s="42"/>
      <c r="C223" s="42"/>
      <c r="D223" s="42"/>
      <c r="E223" s="42"/>
      <c r="F223" s="42"/>
      <c r="G223" s="42"/>
      <c r="H223" s="42"/>
      <c r="I223" s="42"/>
      <c r="J223" s="42"/>
      <c r="K223" s="42"/>
      <c r="L223" s="42"/>
      <c r="M223" s="42"/>
      <c r="N223" s="42"/>
      <c r="O223" s="42"/>
      <c r="P223" s="42"/>
      <c r="Q223" s="42"/>
      <c r="R223" s="42"/>
      <c r="S223" s="42"/>
      <c r="T223" s="42"/>
      <c r="U223" s="42"/>
    </row>
    <row r="225" spans="2:23" ht="18.75" customHeight="1">
      <c r="B225" s="43" t="s">
        <v>163</v>
      </c>
      <c r="C225" s="51" t="s">
        <v>4327</v>
      </c>
      <c r="D225" s="133"/>
      <c r="W225" s="35" t="str">
        <f>"-- "&amp;B225&amp;" : "&amp;C225</f>
        <v>-- SQL_ID : 41_12_06</v>
      </c>
    </row>
    <row r="226" spans="2:23" ht="18.75" customHeight="1">
      <c r="B226" s="43" t="s">
        <v>158</v>
      </c>
      <c r="C226" s="145" t="str">
        <f>R229&amp;"登録"</f>
        <v>ワーク_テキスト情報_一時登録</v>
      </c>
      <c r="D226" s="146"/>
      <c r="E226" s="146"/>
      <c r="F226" s="146"/>
      <c r="G226" s="146"/>
      <c r="H226" s="146"/>
      <c r="I226" s="146"/>
      <c r="J226" s="146"/>
      <c r="K226" s="146"/>
      <c r="L226" s="146"/>
      <c r="M226" s="146"/>
      <c r="N226" s="146"/>
      <c r="O226" s="146"/>
      <c r="P226" s="146"/>
      <c r="Q226" s="146"/>
      <c r="R226" s="146"/>
      <c r="S226" s="146"/>
      <c r="T226" s="146"/>
      <c r="U226" s="147"/>
      <c r="W226" s="35" t="str">
        <f>"-- "&amp;C226</f>
        <v>-- ワーク_テキスト情報_一時登録</v>
      </c>
    </row>
    <row r="227" spans="2:23" ht="18.75" customHeight="1">
      <c r="B227" s="43" t="s">
        <v>159</v>
      </c>
      <c r="C227" s="134" t="str">
        <f>"MMLのテキストデータを抽出し、"&amp;R229&amp;"テーブルに格納する。"</f>
        <v>MMLのテキストデータを抽出し、ワーク_テキスト情報_一時テーブルに格納する。</v>
      </c>
      <c r="D227" s="135"/>
      <c r="E227" s="135"/>
      <c r="F227" s="135"/>
      <c r="G227" s="135"/>
      <c r="H227" s="135"/>
      <c r="I227" s="135"/>
      <c r="J227" s="135"/>
      <c r="K227" s="135"/>
      <c r="L227" s="135"/>
      <c r="M227" s="135"/>
      <c r="N227" s="135"/>
      <c r="O227" s="135"/>
      <c r="P227" s="135"/>
      <c r="Q227" s="135"/>
      <c r="R227" s="135"/>
      <c r="S227" s="135"/>
      <c r="T227" s="135"/>
      <c r="U227" s="136"/>
      <c r="W227" s="35" t="str">
        <f>"-- "&amp;C227</f>
        <v>-- MMLのテキストデータを抽出し、ワーク_テキスト情報_一時テーブルに格納する。</v>
      </c>
    </row>
    <row r="229" spans="2:23" ht="18.75" customHeight="1">
      <c r="C229" s="148" t="s">
        <v>3681</v>
      </c>
      <c r="D229" s="149"/>
      <c r="E229" s="143" t="str">
        <f>エンティティ一覧!$O$2</f>
        <v>milscm_2023_010</v>
      </c>
      <c r="F229" s="36"/>
      <c r="G229" s="36"/>
      <c r="H229" s="36"/>
      <c r="I229" s="36"/>
      <c r="J229" s="36"/>
      <c r="K229" s="36"/>
      <c r="L229" s="36"/>
      <c r="M229" s="36"/>
      <c r="N229" s="36"/>
      <c r="O229" s="36"/>
      <c r="R229" s="137" t="s">
        <v>4112</v>
      </c>
      <c r="S229" s="138"/>
      <c r="T229" s="143" t="str">
        <f>エンティティ一覧!$O$2</f>
        <v>milscm_2023_010</v>
      </c>
    </row>
    <row r="230" spans="2:23" ht="18.75" customHeight="1">
      <c r="C230" s="150"/>
      <c r="D230" s="151"/>
      <c r="E230" s="144"/>
      <c r="F230" s="37"/>
      <c r="G230" s="37"/>
      <c r="H230" s="37"/>
      <c r="I230" s="37"/>
      <c r="J230" s="37"/>
      <c r="K230" s="37"/>
      <c r="L230" s="37"/>
      <c r="M230" s="37"/>
      <c r="N230" s="37"/>
      <c r="O230" s="37"/>
      <c r="P230" s="37"/>
      <c r="Q230" s="37"/>
      <c r="R230" s="139"/>
      <c r="S230" s="140"/>
      <c r="T230" s="144"/>
    </row>
    <row r="232" spans="2:23" ht="18.75" customHeight="1" thickBot="1">
      <c r="B232" s="42"/>
      <c r="C232" s="42"/>
      <c r="D232" s="42"/>
      <c r="E232" s="42"/>
      <c r="F232" s="42"/>
      <c r="G232" s="42"/>
      <c r="H232" s="42"/>
      <c r="I232" s="42"/>
      <c r="J232" s="42"/>
      <c r="K232" s="42"/>
      <c r="L232" s="42"/>
      <c r="M232" s="42"/>
      <c r="N232" s="42"/>
      <c r="O232" s="42"/>
      <c r="P232" s="42"/>
      <c r="Q232" s="42"/>
      <c r="R232" s="42"/>
      <c r="S232" s="42"/>
      <c r="T232" s="42"/>
      <c r="U232" s="42"/>
    </row>
    <row r="234" spans="2:23" ht="18.75" customHeight="1">
      <c r="B234" s="43" t="s">
        <v>163</v>
      </c>
      <c r="C234" s="51" t="s">
        <v>4328</v>
      </c>
      <c r="D234" s="133"/>
      <c r="W234" s="35" t="str">
        <f>"-- "&amp;B234&amp;" : "&amp;C234</f>
        <v>-- SQL_ID : 41_12_07</v>
      </c>
    </row>
    <row r="235" spans="2:23" ht="18.75" customHeight="1">
      <c r="B235" s="43" t="s">
        <v>158</v>
      </c>
      <c r="C235" s="145" t="str">
        <f>R238&amp;"登録"</f>
        <v>ワーク_テキスト情報_一時登録</v>
      </c>
      <c r="D235" s="146"/>
      <c r="E235" s="146"/>
      <c r="F235" s="146"/>
      <c r="G235" s="146"/>
      <c r="H235" s="146"/>
      <c r="I235" s="146"/>
      <c r="J235" s="146"/>
      <c r="K235" s="146"/>
      <c r="L235" s="146"/>
      <c r="M235" s="146"/>
      <c r="N235" s="146"/>
      <c r="O235" s="146"/>
      <c r="P235" s="146"/>
      <c r="Q235" s="146"/>
      <c r="R235" s="146"/>
      <c r="S235" s="146"/>
      <c r="T235" s="146"/>
      <c r="U235" s="147"/>
      <c r="W235" s="35" t="str">
        <f>"-- "&amp;C235</f>
        <v>-- ワーク_テキスト情報_一時登録</v>
      </c>
    </row>
    <row r="236" spans="2:23" ht="18.75" customHeight="1">
      <c r="B236" s="43" t="s">
        <v>159</v>
      </c>
      <c r="C236" s="134" t="str">
        <f>"MMLのテキストデータを抽出し、"&amp;R238&amp;"テーブルに格納する。"</f>
        <v>MMLのテキストデータを抽出し、ワーク_テキスト情報_一時テーブルに格納する。</v>
      </c>
      <c r="D236" s="135"/>
      <c r="E236" s="135"/>
      <c r="F236" s="135"/>
      <c r="G236" s="135"/>
      <c r="H236" s="135"/>
      <c r="I236" s="135"/>
      <c r="J236" s="135"/>
      <c r="K236" s="135"/>
      <c r="L236" s="135"/>
      <c r="M236" s="135"/>
      <c r="N236" s="135"/>
      <c r="O236" s="135"/>
      <c r="P236" s="135"/>
      <c r="Q236" s="135"/>
      <c r="R236" s="135"/>
      <c r="S236" s="135"/>
      <c r="T236" s="135"/>
      <c r="U236" s="136"/>
      <c r="W236" s="35" t="str">
        <f>"-- "&amp;C236</f>
        <v>-- MMLのテキストデータを抽出し、ワーク_テキスト情報_一時テーブルに格納する。</v>
      </c>
    </row>
    <row r="238" spans="2:23" ht="18.75" customHeight="1">
      <c r="C238" s="148" t="s">
        <v>3681</v>
      </c>
      <c r="D238" s="149"/>
      <c r="E238" s="143" t="str">
        <f>エンティティ一覧!$O$2</f>
        <v>milscm_2023_010</v>
      </c>
      <c r="F238" s="36"/>
      <c r="G238" s="36"/>
      <c r="H238" s="36"/>
      <c r="I238" s="36"/>
      <c r="J238" s="36"/>
      <c r="K238" s="36"/>
      <c r="L238" s="36"/>
      <c r="M238" s="36"/>
      <c r="N238" s="36"/>
      <c r="O238" s="36"/>
      <c r="R238" s="137" t="s">
        <v>4112</v>
      </c>
      <c r="S238" s="138"/>
      <c r="T238" s="143" t="str">
        <f>エンティティ一覧!$O$2</f>
        <v>milscm_2023_010</v>
      </c>
    </row>
    <row r="239" spans="2:23" ht="18.75" customHeight="1">
      <c r="C239" s="150"/>
      <c r="D239" s="151"/>
      <c r="E239" s="144"/>
      <c r="F239" s="37"/>
      <c r="G239" s="37"/>
      <c r="H239" s="37"/>
      <c r="I239" s="37"/>
      <c r="J239" s="37"/>
      <c r="K239" s="37"/>
      <c r="L239" s="37"/>
      <c r="M239" s="37"/>
      <c r="N239" s="37"/>
      <c r="O239" s="37"/>
      <c r="P239" s="37"/>
      <c r="Q239" s="37"/>
      <c r="R239" s="139"/>
      <c r="S239" s="140"/>
      <c r="T239" s="144"/>
    </row>
    <row r="241" spans="2:23" ht="18.75" customHeight="1" thickBot="1">
      <c r="B241" s="42"/>
      <c r="C241" s="42"/>
      <c r="D241" s="42"/>
      <c r="E241" s="42"/>
      <c r="F241" s="42"/>
      <c r="G241" s="42"/>
      <c r="H241" s="42"/>
      <c r="I241" s="42"/>
      <c r="J241" s="42"/>
      <c r="K241" s="42"/>
      <c r="L241" s="42"/>
      <c r="M241" s="42"/>
      <c r="N241" s="42"/>
      <c r="O241" s="42"/>
      <c r="P241" s="42"/>
      <c r="Q241" s="42"/>
      <c r="R241" s="42"/>
      <c r="S241" s="42"/>
      <c r="T241" s="42"/>
      <c r="U241" s="42"/>
    </row>
    <row r="243" spans="2:23" ht="18.75" customHeight="1">
      <c r="B243" s="43" t="s">
        <v>163</v>
      </c>
      <c r="C243" s="51" t="s">
        <v>4329</v>
      </c>
      <c r="D243" s="133"/>
      <c r="W243" s="35" t="str">
        <f>"-- "&amp;B243&amp;" : "&amp;C243</f>
        <v>-- SQL_ID : 41_12_08</v>
      </c>
    </row>
    <row r="244" spans="2:23" ht="18.75" customHeight="1">
      <c r="B244" s="43" t="s">
        <v>158</v>
      </c>
      <c r="C244" s="145" t="str">
        <f>R247&amp;"登録"</f>
        <v>ワーク_テキスト情報_一時登録</v>
      </c>
      <c r="D244" s="146"/>
      <c r="E244" s="146"/>
      <c r="F244" s="146"/>
      <c r="G244" s="146"/>
      <c r="H244" s="146"/>
      <c r="I244" s="146"/>
      <c r="J244" s="146"/>
      <c r="K244" s="146"/>
      <c r="L244" s="146"/>
      <c r="M244" s="146"/>
      <c r="N244" s="146"/>
      <c r="O244" s="146"/>
      <c r="P244" s="146"/>
      <c r="Q244" s="146"/>
      <c r="R244" s="146"/>
      <c r="S244" s="146"/>
      <c r="T244" s="146"/>
      <c r="U244" s="147"/>
      <c r="W244" s="35" t="str">
        <f>"-- "&amp;C244</f>
        <v>-- ワーク_テキスト情報_一時登録</v>
      </c>
    </row>
    <row r="245" spans="2:23" ht="18.75" customHeight="1">
      <c r="B245" s="43" t="s">
        <v>159</v>
      </c>
      <c r="C245" s="134" t="str">
        <f>"MMLのテキストデータを抽出し、"&amp;R247&amp;"テーブルに格納する。"</f>
        <v>MMLのテキストデータを抽出し、ワーク_テキスト情報_一時テーブルに格納する。</v>
      </c>
      <c r="D245" s="135"/>
      <c r="E245" s="135"/>
      <c r="F245" s="135"/>
      <c r="G245" s="135"/>
      <c r="H245" s="135"/>
      <c r="I245" s="135"/>
      <c r="J245" s="135"/>
      <c r="K245" s="135"/>
      <c r="L245" s="135"/>
      <c r="M245" s="135"/>
      <c r="N245" s="135"/>
      <c r="O245" s="135"/>
      <c r="P245" s="135"/>
      <c r="Q245" s="135"/>
      <c r="R245" s="135"/>
      <c r="S245" s="135"/>
      <c r="T245" s="135"/>
      <c r="U245" s="136"/>
      <c r="W245" s="35" t="str">
        <f>"-- "&amp;C245</f>
        <v>-- MMLのテキストデータを抽出し、ワーク_テキスト情報_一時テーブルに格納する。</v>
      </c>
    </row>
    <row r="247" spans="2:23" ht="18.75" customHeight="1">
      <c r="C247" s="148" t="s">
        <v>3681</v>
      </c>
      <c r="D247" s="149"/>
      <c r="E247" s="143" t="str">
        <f>エンティティ一覧!$O$2</f>
        <v>milscm_2023_010</v>
      </c>
      <c r="F247" s="36"/>
      <c r="G247" s="36"/>
      <c r="H247" s="36"/>
      <c r="I247" s="36"/>
      <c r="J247" s="36"/>
      <c r="K247" s="36"/>
      <c r="L247" s="36"/>
      <c r="M247" s="36"/>
      <c r="N247" s="36"/>
      <c r="O247" s="36"/>
      <c r="R247" s="137" t="s">
        <v>4112</v>
      </c>
      <c r="S247" s="138"/>
      <c r="T247" s="143" t="str">
        <f>エンティティ一覧!$O$2</f>
        <v>milscm_2023_010</v>
      </c>
    </row>
    <row r="248" spans="2:23" ht="18.75" customHeight="1">
      <c r="C248" s="150"/>
      <c r="D248" s="151"/>
      <c r="E248" s="144"/>
      <c r="F248" s="37"/>
      <c r="G248" s="37"/>
      <c r="H248" s="37"/>
      <c r="I248" s="37"/>
      <c r="J248" s="37"/>
      <c r="K248" s="37"/>
      <c r="L248" s="37"/>
      <c r="M248" s="37"/>
      <c r="N248" s="37"/>
      <c r="O248" s="37"/>
      <c r="P248" s="37"/>
      <c r="Q248" s="37"/>
      <c r="R248" s="139"/>
      <c r="S248" s="140"/>
      <c r="T248" s="144"/>
    </row>
    <row r="250" spans="2:23" ht="18.75" customHeight="1" thickBot="1">
      <c r="B250" s="42"/>
      <c r="C250" s="42"/>
      <c r="D250" s="42"/>
      <c r="E250" s="42"/>
      <c r="F250" s="42"/>
      <c r="G250" s="42"/>
      <c r="H250" s="42"/>
      <c r="I250" s="42"/>
      <c r="J250" s="42"/>
      <c r="K250" s="42"/>
      <c r="L250" s="42"/>
      <c r="M250" s="42"/>
      <c r="N250" s="42"/>
      <c r="O250" s="42"/>
      <c r="P250" s="42"/>
      <c r="Q250" s="42"/>
      <c r="R250" s="42"/>
      <c r="S250" s="42"/>
      <c r="T250" s="42"/>
      <c r="U250" s="42"/>
    </row>
    <row r="252" spans="2:23" ht="18.75" customHeight="1">
      <c r="B252" s="43" t="s">
        <v>163</v>
      </c>
      <c r="C252" s="51" t="s">
        <v>4330</v>
      </c>
      <c r="D252" s="133"/>
      <c r="W252" s="35" t="str">
        <f>"-- "&amp;B252&amp;" : "&amp;C252</f>
        <v>-- SQL_ID : 41_12_09</v>
      </c>
    </row>
    <row r="253" spans="2:23" ht="18.75" customHeight="1">
      <c r="B253" s="43" t="s">
        <v>158</v>
      </c>
      <c r="C253" s="145" t="str">
        <f>R256&amp;"登録"</f>
        <v>ワーク_テキスト情報_一時登録</v>
      </c>
      <c r="D253" s="146"/>
      <c r="E253" s="146"/>
      <c r="F253" s="146"/>
      <c r="G253" s="146"/>
      <c r="H253" s="146"/>
      <c r="I253" s="146"/>
      <c r="J253" s="146"/>
      <c r="K253" s="146"/>
      <c r="L253" s="146"/>
      <c r="M253" s="146"/>
      <c r="N253" s="146"/>
      <c r="O253" s="146"/>
      <c r="P253" s="146"/>
      <c r="Q253" s="146"/>
      <c r="R253" s="146"/>
      <c r="S253" s="146"/>
      <c r="T253" s="146"/>
      <c r="U253" s="147"/>
      <c r="W253" s="35" t="str">
        <f>"-- "&amp;C253</f>
        <v>-- ワーク_テキスト情報_一時登録</v>
      </c>
    </row>
    <row r="254" spans="2:23" ht="18.75" customHeight="1">
      <c r="B254" s="43" t="s">
        <v>159</v>
      </c>
      <c r="C254" s="134" t="str">
        <f>"MMLのテキストデータを抽出し、"&amp;R256&amp;"テーブルに格納する。"</f>
        <v>MMLのテキストデータを抽出し、ワーク_テキスト情報_一時テーブルに格納する。</v>
      </c>
      <c r="D254" s="135"/>
      <c r="E254" s="135"/>
      <c r="F254" s="135"/>
      <c r="G254" s="135"/>
      <c r="H254" s="135"/>
      <c r="I254" s="135"/>
      <c r="J254" s="135"/>
      <c r="K254" s="135"/>
      <c r="L254" s="135"/>
      <c r="M254" s="135"/>
      <c r="N254" s="135"/>
      <c r="O254" s="135"/>
      <c r="P254" s="135"/>
      <c r="Q254" s="135"/>
      <c r="R254" s="135"/>
      <c r="S254" s="135"/>
      <c r="T254" s="135"/>
      <c r="U254" s="136"/>
      <c r="W254" s="35" t="str">
        <f>"-- "&amp;C254</f>
        <v>-- MMLのテキストデータを抽出し、ワーク_テキスト情報_一時テーブルに格納する。</v>
      </c>
    </row>
    <row r="256" spans="2:23" ht="18.75" customHeight="1">
      <c r="C256" s="148" t="s">
        <v>3685</v>
      </c>
      <c r="D256" s="149"/>
      <c r="E256" s="143" t="str">
        <f>エンティティ一覧!$O$2</f>
        <v>milscm_2023_010</v>
      </c>
      <c r="F256" s="36"/>
      <c r="G256" s="36"/>
      <c r="H256" s="36"/>
      <c r="I256" s="36"/>
      <c r="J256" s="36"/>
      <c r="K256" s="36"/>
      <c r="L256" s="36"/>
      <c r="M256" s="36"/>
      <c r="N256" s="36"/>
      <c r="O256" s="36"/>
      <c r="R256" s="137" t="s">
        <v>4112</v>
      </c>
      <c r="S256" s="138"/>
      <c r="T256" s="143" t="str">
        <f>エンティティ一覧!$O$2</f>
        <v>milscm_2023_010</v>
      </c>
    </row>
    <row r="257" spans="2:23" ht="18.75" customHeight="1">
      <c r="C257" s="150"/>
      <c r="D257" s="151"/>
      <c r="E257" s="144"/>
      <c r="F257" s="37"/>
      <c r="G257" s="37"/>
      <c r="H257" s="37"/>
      <c r="I257" s="37"/>
      <c r="J257" s="37"/>
      <c r="K257" s="37"/>
      <c r="L257" s="37"/>
      <c r="M257" s="37"/>
      <c r="N257" s="37"/>
      <c r="O257" s="37"/>
      <c r="P257" s="37"/>
      <c r="Q257" s="37"/>
      <c r="R257" s="139"/>
      <c r="S257" s="140"/>
      <c r="T257" s="144"/>
    </row>
    <row r="259" spans="2:23" ht="18.75" customHeight="1" thickBot="1">
      <c r="B259" s="42"/>
      <c r="C259" s="42"/>
      <c r="D259" s="42"/>
      <c r="E259" s="42"/>
      <c r="F259" s="42"/>
      <c r="G259" s="42"/>
      <c r="H259" s="42"/>
      <c r="I259" s="42"/>
      <c r="J259" s="42"/>
      <c r="K259" s="42"/>
      <c r="L259" s="42"/>
      <c r="M259" s="42"/>
      <c r="N259" s="42"/>
      <c r="O259" s="42"/>
      <c r="P259" s="42"/>
      <c r="Q259" s="42"/>
      <c r="R259" s="42"/>
      <c r="S259" s="42"/>
      <c r="T259" s="42"/>
      <c r="U259" s="42"/>
    </row>
    <row r="261" spans="2:23" ht="18.75" customHeight="1">
      <c r="B261" s="43" t="s">
        <v>163</v>
      </c>
      <c r="C261" s="51" t="s">
        <v>4331</v>
      </c>
      <c r="D261" s="133"/>
      <c r="W261" s="35" t="str">
        <f>"-- "&amp;B261&amp;" : "&amp;C261</f>
        <v>-- SQL_ID : 41_12_10</v>
      </c>
    </row>
    <row r="262" spans="2:23" ht="18.75" customHeight="1">
      <c r="B262" s="43" t="s">
        <v>158</v>
      </c>
      <c r="C262" s="145" t="str">
        <f>R265&amp;"登録"</f>
        <v>ワーク_テキスト情報_一時登録</v>
      </c>
      <c r="D262" s="146"/>
      <c r="E262" s="146"/>
      <c r="F262" s="146"/>
      <c r="G262" s="146"/>
      <c r="H262" s="146"/>
      <c r="I262" s="146"/>
      <c r="J262" s="146"/>
      <c r="K262" s="146"/>
      <c r="L262" s="146"/>
      <c r="M262" s="146"/>
      <c r="N262" s="146"/>
      <c r="O262" s="146"/>
      <c r="P262" s="146"/>
      <c r="Q262" s="146"/>
      <c r="R262" s="146"/>
      <c r="S262" s="146"/>
      <c r="T262" s="146"/>
      <c r="U262" s="147"/>
      <c r="W262" s="35" t="str">
        <f>"-- "&amp;C262</f>
        <v>-- ワーク_テキスト情報_一時登録</v>
      </c>
    </row>
    <row r="263" spans="2:23" ht="18.75" customHeight="1">
      <c r="B263" s="43" t="s">
        <v>159</v>
      </c>
      <c r="C263" s="134" t="str">
        <f>"MMLのテキストデータを抽出し、"&amp;R265&amp;"テーブルに格納する。"</f>
        <v>MMLのテキストデータを抽出し、ワーク_テキスト情報_一時テーブルに格納する。</v>
      </c>
      <c r="D263" s="135"/>
      <c r="E263" s="135"/>
      <c r="F263" s="135"/>
      <c r="G263" s="135"/>
      <c r="H263" s="135"/>
      <c r="I263" s="135"/>
      <c r="J263" s="135"/>
      <c r="K263" s="135"/>
      <c r="L263" s="135"/>
      <c r="M263" s="135"/>
      <c r="N263" s="135"/>
      <c r="O263" s="135"/>
      <c r="P263" s="135"/>
      <c r="Q263" s="135"/>
      <c r="R263" s="135"/>
      <c r="S263" s="135"/>
      <c r="T263" s="135"/>
      <c r="U263" s="136"/>
      <c r="W263" s="35" t="str">
        <f>"-- "&amp;C263</f>
        <v>-- MMLのテキストデータを抽出し、ワーク_テキスト情報_一時テーブルに格納する。</v>
      </c>
    </row>
    <row r="265" spans="2:23" ht="18.75" customHeight="1">
      <c r="C265" s="148" t="s">
        <v>3685</v>
      </c>
      <c r="D265" s="149"/>
      <c r="E265" s="143" t="str">
        <f>エンティティ一覧!$O$2</f>
        <v>milscm_2023_010</v>
      </c>
      <c r="F265" s="36"/>
      <c r="G265" s="36"/>
      <c r="H265" s="36"/>
      <c r="I265" s="36"/>
      <c r="J265" s="36"/>
      <c r="K265" s="36"/>
      <c r="L265" s="36"/>
      <c r="M265" s="36"/>
      <c r="N265" s="36"/>
      <c r="O265" s="36"/>
      <c r="R265" s="137" t="s">
        <v>4112</v>
      </c>
      <c r="S265" s="138"/>
      <c r="T265" s="143" t="str">
        <f>エンティティ一覧!$O$2</f>
        <v>milscm_2023_010</v>
      </c>
    </row>
    <row r="266" spans="2:23" ht="18.75" customHeight="1">
      <c r="C266" s="150"/>
      <c r="D266" s="151"/>
      <c r="E266" s="144"/>
      <c r="F266" s="37"/>
      <c r="G266" s="37"/>
      <c r="H266" s="37"/>
      <c r="I266" s="37"/>
      <c r="J266" s="37"/>
      <c r="K266" s="37"/>
      <c r="L266" s="37"/>
      <c r="M266" s="37"/>
      <c r="N266" s="37"/>
      <c r="O266" s="37"/>
      <c r="P266" s="37"/>
      <c r="Q266" s="37"/>
      <c r="R266" s="139"/>
      <c r="S266" s="140"/>
      <c r="T266" s="144"/>
    </row>
    <row r="268" spans="2:23" ht="18.75" customHeight="1" thickBot="1">
      <c r="B268" s="42"/>
      <c r="C268" s="42"/>
      <c r="D268" s="42"/>
      <c r="E268" s="42"/>
      <c r="F268" s="42"/>
      <c r="G268" s="42"/>
      <c r="H268" s="42"/>
      <c r="I268" s="42"/>
      <c r="J268" s="42"/>
      <c r="K268" s="42"/>
      <c r="L268" s="42"/>
      <c r="M268" s="42"/>
      <c r="N268" s="42"/>
      <c r="O268" s="42"/>
      <c r="P268" s="42"/>
      <c r="Q268" s="42"/>
      <c r="R268" s="42"/>
      <c r="S268" s="42"/>
      <c r="T268" s="42"/>
      <c r="U268" s="42"/>
    </row>
    <row r="270" spans="2:23" ht="18.75" customHeight="1">
      <c r="B270" s="43" t="s">
        <v>163</v>
      </c>
      <c r="C270" s="51" t="s">
        <v>4332</v>
      </c>
      <c r="D270" s="133"/>
      <c r="W270" s="35" t="str">
        <f>"-- "&amp;B270&amp;" : "&amp;C270</f>
        <v>-- SQL_ID : 41_12_11</v>
      </c>
    </row>
    <row r="271" spans="2:23" ht="18.75" customHeight="1">
      <c r="B271" s="43" t="s">
        <v>158</v>
      </c>
      <c r="C271" s="145" t="str">
        <f>R274&amp;"登録"</f>
        <v>ワーク_テキスト情報_一時登録</v>
      </c>
      <c r="D271" s="146"/>
      <c r="E271" s="146"/>
      <c r="F271" s="146"/>
      <c r="G271" s="146"/>
      <c r="H271" s="146"/>
      <c r="I271" s="146"/>
      <c r="J271" s="146"/>
      <c r="K271" s="146"/>
      <c r="L271" s="146"/>
      <c r="M271" s="146"/>
      <c r="N271" s="146"/>
      <c r="O271" s="146"/>
      <c r="P271" s="146"/>
      <c r="Q271" s="146"/>
      <c r="R271" s="146"/>
      <c r="S271" s="146"/>
      <c r="T271" s="146"/>
      <c r="U271" s="147"/>
      <c r="W271" s="35" t="str">
        <f>"-- "&amp;C271</f>
        <v>-- ワーク_テキスト情報_一時登録</v>
      </c>
    </row>
    <row r="272" spans="2:23" ht="18.75" customHeight="1">
      <c r="B272" s="43" t="s">
        <v>159</v>
      </c>
      <c r="C272" s="134" t="str">
        <f>"MMLのテキストデータを抽出し、"&amp;R274&amp;"テーブルに格納する。"</f>
        <v>MMLのテキストデータを抽出し、ワーク_テキスト情報_一時テーブルに格納する。</v>
      </c>
      <c r="D272" s="135"/>
      <c r="E272" s="135"/>
      <c r="F272" s="135"/>
      <c r="G272" s="135"/>
      <c r="H272" s="135"/>
      <c r="I272" s="135"/>
      <c r="J272" s="135"/>
      <c r="K272" s="135"/>
      <c r="L272" s="135"/>
      <c r="M272" s="135"/>
      <c r="N272" s="135"/>
      <c r="O272" s="135"/>
      <c r="P272" s="135"/>
      <c r="Q272" s="135"/>
      <c r="R272" s="135"/>
      <c r="S272" s="135"/>
      <c r="T272" s="135"/>
      <c r="U272" s="136"/>
      <c r="W272" s="35" t="str">
        <f>"-- "&amp;C272</f>
        <v>-- MMLのテキストデータを抽出し、ワーク_テキスト情報_一時テーブルに格納する。</v>
      </c>
    </row>
    <row r="274" spans="2:23" ht="18.75" customHeight="1">
      <c r="C274" s="148" t="s">
        <v>3685</v>
      </c>
      <c r="D274" s="149"/>
      <c r="E274" s="143" t="str">
        <f>エンティティ一覧!$O$2</f>
        <v>milscm_2023_010</v>
      </c>
      <c r="F274" s="36"/>
      <c r="G274" s="36"/>
      <c r="H274" s="36"/>
      <c r="I274" s="36"/>
      <c r="J274" s="36"/>
      <c r="K274" s="36"/>
      <c r="L274" s="36"/>
      <c r="M274" s="36"/>
      <c r="N274" s="36"/>
      <c r="O274" s="36"/>
      <c r="R274" s="137" t="s">
        <v>4112</v>
      </c>
      <c r="S274" s="138"/>
      <c r="T274" s="143" t="str">
        <f>エンティティ一覧!$O$2</f>
        <v>milscm_2023_010</v>
      </c>
    </row>
    <row r="275" spans="2:23" ht="18.75" customHeight="1">
      <c r="C275" s="150"/>
      <c r="D275" s="151"/>
      <c r="E275" s="144"/>
      <c r="F275" s="37"/>
      <c r="G275" s="37"/>
      <c r="H275" s="37"/>
      <c r="I275" s="37"/>
      <c r="J275" s="37"/>
      <c r="K275" s="37"/>
      <c r="L275" s="37"/>
      <c r="M275" s="37"/>
      <c r="N275" s="37"/>
      <c r="O275" s="37"/>
      <c r="P275" s="37"/>
      <c r="Q275" s="37"/>
      <c r="R275" s="139"/>
      <c r="S275" s="140"/>
      <c r="T275" s="144"/>
    </row>
    <row r="277" spans="2:23" ht="18.75" customHeight="1" thickBot="1">
      <c r="B277" s="42"/>
      <c r="C277" s="42"/>
      <c r="D277" s="42"/>
      <c r="E277" s="42"/>
      <c r="F277" s="42"/>
      <c r="G277" s="42"/>
      <c r="H277" s="42"/>
      <c r="I277" s="42"/>
      <c r="J277" s="42"/>
      <c r="K277" s="42"/>
      <c r="L277" s="42"/>
      <c r="M277" s="42"/>
      <c r="N277" s="42"/>
      <c r="O277" s="42"/>
      <c r="P277" s="42"/>
      <c r="Q277" s="42"/>
      <c r="R277" s="42"/>
      <c r="S277" s="42"/>
      <c r="T277" s="42"/>
      <c r="U277" s="42"/>
    </row>
    <row r="279" spans="2:23" ht="18.75" customHeight="1">
      <c r="B279" s="43" t="s">
        <v>163</v>
      </c>
      <c r="C279" s="51" t="s">
        <v>4333</v>
      </c>
      <c r="D279" s="133"/>
      <c r="W279" s="35" t="str">
        <f>"-- "&amp;B279&amp;" : "&amp;C279</f>
        <v>-- SQL_ID : 41_12_12</v>
      </c>
    </row>
    <row r="280" spans="2:23" ht="18.75" customHeight="1">
      <c r="B280" s="43" t="s">
        <v>158</v>
      </c>
      <c r="C280" s="145" t="str">
        <f>R283&amp;"登録"</f>
        <v>ワーク_テキスト情報_一時登録</v>
      </c>
      <c r="D280" s="146"/>
      <c r="E280" s="146"/>
      <c r="F280" s="146"/>
      <c r="G280" s="146"/>
      <c r="H280" s="146"/>
      <c r="I280" s="146"/>
      <c r="J280" s="146"/>
      <c r="K280" s="146"/>
      <c r="L280" s="146"/>
      <c r="M280" s="146"/>
      <c r="N280" s="146"/>
      <c r="O280" s="146"/>
      <c r="P280" s="146"/>
      <c r="Q280" s="146"/>
      <c r="R280" s="146"/>
      <c r="S280" s="146"/>
      <c r="T280" s="146"/>
      <c r="U280" s="147"/>
      <c r="W280" s="35" t="str">
        <f>"-- "&amp;C280</f>
        <v>-- ワーク_テキスト情報_一時登録</v>
      </c>
    </row>
    <row r="281" spans="2:23" ht="18.75" customHeight="1">
      <c r="B281" s="43" t="s">
        <v>159</v>
      </c>
      <c r="C281" s="134" t="str">
        <f>"MMLのテキストデータを抽出し、"&amp;R283&amp;"テーブルに格納する。"</f>
        <v>MMLのテキストデータを抽出し、ワーク_テキスト情報_一時テーブルに格納する。</v>
      </c>
      <c r="D281" s="135"/>
      <c r="E281" s="135"/>
      <c r="F281" s="135"/>
      <c r="G281" s="135"/>
      <c r="H281" s="135"/>
      <c r="I281" s="135"/>
      <c r="J281" s="135"/>
      <c r="K281" s="135"/>
      <c r="L281" s="135"/>
      <c r="M281" s="135"/>
      <c r="N281" s="135"/>
      <c r="O281" s="135"/>
      <c r="P281" s="135"/>
      <c r="Q281" s="135"/>
      <c r="R281" s="135"/>
      <c r="S281" s="135"/>
      <c r="T281" s="135"/>
      <c r="U281" s="136"/>
      <c r="W281" s="35" t="str">
        <f>"-- "&amp;C281</f>
        <v>-- MMLのテキストデータを抽出し、ワーク_テキスト情報_一時テーブルに格納する。</v>
      </c>
    </row>
    <row r="283" spans="2:23" ht="18.75" customHeight="1">
      <c r="C283" s="148" t="s">
        <v>3685</v>
      </c>
      <c r="D283" s="149"/>
      <c r="E283" s="143" t="str">
        <f>エンティティ一覧!$O$2</f>
        <v>milscm_2023_010</v>
      </c>
      <c r="F283" s="36"/>
      <c r="G283" s="36"/>
      <c r="H283" s="36"/>
      <c r="I283" s="36"/>
      <c r="J283" s="36"/>
      <c r="K283" s="36"/>
      <c r="L283" s="36"/>
      <c r="M283" s="36"/>
      <c r="N283" s="36"/>
      <c r="O283" s="36"/>
      <c r="R283" s="137" t="s">
        <v>4112</v>
      </c>
      <c r="S283" s="138"/>
      <c r="T283" s="143" t="str">
        <f>エンティティ一覧!$O$2</f>
        <v>milscm_2023_010</v>
      </c>
    </row>
    <row r="284" spans="2:23" ht="18.75" customHeight="1">
      <c r="C284" s="150"/>
      <c r="D284" s="151"/>
      <c r="E284" s="144"/>
      <c r="F284" s="37"/>
      <c r="G284" s="37"/>
      <c r="H284" s="37"/>
      <c r="I284" s="37"/>
      <c r="J284" s="37"/>
      <c r="K284" s="37"/>
      <c r="L284" s="37"/>
      <c r="M284" s="37"/>
      <c r="N284" s="37"/>
      <c r="O284" s="37"/>
      <c r="P284" s="37"/>
      <c r="Q284" s="37"/>
      <c r="R284" s="139"/>
      <c r="S284" s="140"/>
      <c r="T284" s="144"/>
    </row>
    <row r="286" spans="2:23" ht="18.75" customHeight="1" thickBot="1">
      <c r="B286" s="42"/>
      <c r="C286" s="42"/>
      <c r="D286" s="42"/>
      <c r="E286" s="42"/>
      <c r="F286" s="42"/>
      <c r="G286" s="42"/>
      <c r="H286" s="42"/>
      <c r="I286" s="42"/>
      <c r="J286" s="42"/>
      <c r="K286" s="42"/>
      <c r="L286" s="42"/>
      <c r="M286" s="42"/>
      <c r="N286" s="42"/>
      <c r="O286" s="42"/>
      <c r="P286" s="42"/>
      <c r="Q286" s="42"/>
      <c r="R286" s="42"/>
      <c r="S286" s="42"/>
      <c r="T286" s="42"/>
      <c r="U286" s="42"/>
    </row>
    <row r="288" spans="2:23" ht="18.75" customHeight="1">
      <c r="B288" s="43" t="s">
        <v>163</v>
      </c>
      <c r="C288" s="51" t="s">
        <v>4334</v>
      </c>
      <c r="D288" s="133"/>
      <c r="W288" s="35" t="str">
        <f>"-- "&amp;B288&amp;" : "&amp;C288</f>
        <v>-- SQL_ID : 41_12_13</v>
      </c>
    </row>
    <row r="289" spans="2:23" ht="18.75" customHeight="1">
      <c r="B289" s="43" t="s">
        <v>158</v>
      </c>
      <c r="C289" s="145" t="str">
        <f>R292&amp;"登録"</f>
        <v>ワーク_テキスト情報_一時登録</v>
      </c>
      <c r="D289" s="146"/>
      <c r="E289" s="146"/>
      <c r="F289" s="146"/>
      <c r="G289" s="146"/>
      <c r="H289" s="146"/>
      <c r="I289" s="146"/>
      <c r="J289" s="146"/>
      <c r="K289" s="146"/>
      <c r="L289" s="146"/>
      <c r="M289" s="146"/>
      <c r="N289" s="146"/>
      <c r="O289" s="146"/>
      <c r="P289" s="146"/>
      <c r="Q289" s="146"/>
      <c r="R289" s="146"/>
      <c r="S289" s="146"/>
      <c r="T289" s="146"/>
      <c r="U289" s="147"/>
      <c r="W289" s="35" t="str">
        <f>"-- "&amp;C289</f>
        <v>-- ワーク_テキスト情報_一時登録</v>
      </c>
    </row>
    <row r="290" spans="2:23" ht="18.75" customHeight="1">
      <c r="B290" s="43" t="s">
        <v>159</v>
      </c>
      <c r="C290" s="134" t="str">
        <f>"MMLのテキストデータを抽出し、"&amp;R292&amp;"テーブルに格納する。"</f>
        <v>MMLのテキストデータを抽出し、ワーク_テキスト情報_一時テーブルに格納する。</v>
      </c>
      <c r="D290" s="135"/>
      <c r="E290" s="135"/>
      <c r="F290" s="135"/>
      <c r="G290" s="135"/>
      <c r="H290" s="135"/>
      <c r="I290" s="135"/>
      <c r="J290" s="135"/>
      <c r="K290" s="135"/>
      <c r="L290" s="135"/>
      <c r="M290" s="135"/>
      <c r="N290" s="135"/>
      <c r="O290" s="135"/>
      <c r="P290" s="135"/>
      <c r="Q290" s="135"/>
      <c r="R290" s="135"/>
      <c r="S290" s="135"/>
      <c r="T290" s="135"/>
      <c r="U290" s="136"/>
      <c r="W290" s="35" t="str">
        <f>"-- "&amp;C290</f>
        <v>-- MMLのテキストデータを抽出し、ワーク_テキスト情報_一時テーブルに格納する。</v>
      </c>
    </row>
    <row r="292" spans="2:23" ht="18.75" customHeight="1">
      <c r="C292" s="148" t="s">
        <v>3688</v>
      </c>
      <c r="D292" s="149"/>
      <c r="E292" s="143" t="str">
        <f>エンティティ一覧!$O$2</f>
        <v>milscm_2023_010</v>
      </c>
      <c r="F292" s="36"/>
      <c r="G292" s="36"/>
      <c r="H292" s="36"/>
      <c r="I292" s="36"/>
      <c r="J292" s="36"/>
      <c r="K292" s="36"/>
      <c r="L292" s="36"/>
      <c r="M292" s="36"/>
      <c r="N292" s="36"/>
      <c r="O292" s="36"/>
      <c r="R292" s="137" t="s">
        <v>4112</v>
      </c>
      <c r="S292" s="138"/>
      <c r="T292" s="143" t="str">
        <f>エンティティ一覧!$O$2</f>
        <v>milscm_2023_010</v>
      </c>
    </row>
    <row r="293" spans="2:23" ht="18.75" customHeight="1">
      <c r="C293" s="150"/>
      <c r="D293" s="151"/>
      <c r="E293" s="144"/>
      <c r="F293" s="37"/>
      <c r="G293" s="37"/>
      <c r="H293" s="37"/>
      <c r="I293" s="37"/>
      <c r="J293" s="37"/>
      <c r="K293" s="101"/>
      <c r="L293" s="37"/>
      <c r="M293" s="37"/>
      <c r="N293" s="37"/>
      <c r="O293" s="37"/>
      <c r="P293" s="37"/>
      <c r="Q293" s="37"/>
      <c r="R293" s="139"/>
      <c r="S293" s="140"/>
      <c r="T293" s="144"/>
    </row>
    <row r="294" spans="2:23" ht="18.75" customHeight="1">
      <c r="K294" s="102"/>
    </row>
    <row r="295" spans="2:23" ht="18.75" customHeight="1">
      <c r="C295" s="148" t="s">
        <v>3685</v>
      </c>
      <c r="D295" s="149"/>
      <c r="E295" s="143" t="str">
        <f>エンティティ一覧!$O$2</f>
        <v>milscm_2023_010</v>
      </c>
      <c r="F295" s="36"/>
      <c r="G295" s="36"/>
      <c r="H295" s="36"/>
      <c r="I295" s="36"/>
      <c r="J295" s="36"/>
      <c r="K295" s="103"/>
    </row>
    <row r="296" spans="2:23" ht="18.75" customHeight="1">
      <c r="C296" s="150"/>
      <c r="D296" s="151"/>
      <c r="E296" s="144"/>
      <c r="F296" s="37"/>
      <c r="G296" s="37"/>
      <c r="H296" s="37"/>
      <c r="I296" s="37"/>
      <c r="J296" s="37"/>
    </row>
    <row r="297" spans="2:23" ht="18.75" customHeight="1" thickBot="1">
      <c r="B297" s="42"/>
      <c r="C297" s="42"/>
      <c r="D297" s="42"/>
      <c r="E297" s="42"/>
      <c r="F297" s="42"/>
      <c r="G297" s="42"/>
      <c r="H297" s="42"/>
      <c r="I297" s="42"/>
      <c r="J297" s="42"/>
      <c r="K297" s="42"/>
      <c r="L297" s="42"/>
      <c r="M297" s="42"/>
      <c r="N297" s="42"/>
      <c r="O297" s="42"/>
      <c r="P297" s="42"/>
      <c r="Q297" s="42"/>
      <c r="R297" s="42"/>
      <c r="S297" s="42"/>
      <c r="T297" s="42"/>
      <c r="U297" s="42"/>
    </row>
    <row r="299" spans="2:23" ht="18.75" customHeight="1">
      <c r="B299" s="43" t="s">
        <v>163</v>
      </c>
      <c r="C299" s="51" t="s">
        <v>4341</v>
      </c>
      <c r="D299" s="133"/>
      <c r="W299" s="35" t="str">
        <f>"-- "&amp;B299&amp;" : "&amp;C299</f>
        <v>-- SQL_ID : 41_13</v>
      </c>
    </row>
    <row r="300" spans="2:23" ht="18.75" customHeight="1">
      <c r="B300" s="43" t="s">
        <v>158</v>
      </c>
      <c r="C300" s="145" t="str">
        <f>R303&amp;"登録"</f>
        <v>ワーク_テキスト情報登録</v>
      </c>
      <c r="D300" s="146"/>
      <c r="E300" s="146"/>
      <c r="F300" s="146"/>
      <c r="G300" s="146"/>
      <c r="H300" s="146"/>
      <c r="I300" s="146"/>
      <c r="J300" s="146"/>
      <c r="K300" s="146"/>
      <c r="L300" s="146"/>
      <c r="M300" s="146"/>
      <c r="N300" s="146"/>
      <c r="O300" s="146"/>
      <c r="P300" s="146"/>
      <c r="Q300" s="146"/>
      <c r="R300" s="146"/>
      <c r="S300" s="146"/>
      <c r="T300" s="146"/>
      <c r="U300" s="147"/>
      <c r="W300" s="35" t="str">
        <f>"-- "&amp;C300</f>
        <v>-- ワーク_テキスト情報登録</v>
      </c>
    </row>
    <row r="301" spans="2:23" ht="18.75" customHeight="1">
      <c r="B301" s="43" t="s">
        <v>159</v>
      </c>
      <c r="C301" s="134" t="str">
        <f>"MMLのテキストデータを抽出し、"&amp;R303&amp;"テーブルに格納する。"</f>
        <v>MMLのテキストデータを抽出し、ワーク_テキスト情報テーブルに格納する。</v>
      </c>
      <c r="D301" s="135"/>
      <c r="E301" s="135"/>
      <c r="F301" s="135"/>
      <c r="G301" s="135"/>
      <c r="H301" s="135"/>
      <c r="I301" s="135"/>
      <c r="J301" s="135"/>
      <c r="K301" s="135"/>
      <c r="L301" s="135"/>
      <c r="M301" s="135"/>
      <c r="N301" s="135"/>
      <c r="O301" s="135"/>
      <c r="P301" s="135"/>
      <c r="Q301" s="135"/>
      <c r="R301" s="135"/>
      <c r="S301" s="135"/>
      <c r="T301" s="135"/>
      <c r="U301" s="136"/>
      <c r="W301" s="35" t="str">
        <f>"-- "&amp;C301</f>
        <v>-- MMLのテキストデータを抽出し、ワーク_テキスト情報テーブルに格納する。</v>
      </c>
    </row>
    <row r="303" spans="2:23" ht="18.75" customHeight="1">
      <c r="C303" s="137" t="s">
        <v>4112</v>
      </c>
      <c r="D303" s="138"/>
      <c r="E303" s="143" t="str">
        <f>エンティティ一覧!$O$2</f>
        <v>milscm_2023_010</v>
      </c>
      <c r="F303" s="36"/>
      <c r="G303" s="36"/>
      <c r="H303" s="36"/>
      <c r="I303" s="36"/>
      <c r="J303" s="36"/>
      <c r="K303" s="36"/>
      <c r="L303" s="36"/>
      <c r="M303" s="36"/>
      <c r="N303" s="36"/>
      <c r="O303" s="36"/>
      <c r="R303" s="137" t="s">
        <v>4321</v>
      </c>
      <c r="S303" s="138"/>
      <c r="T303" s="143" t="str">
        <f>エンティティ一覧!$O$2</f>
        <v>milscm_2023_010</v>
      </c>
    </row>
    <row r="304" spans="2:23" ht="18.75" customHeight="1">
      <c r="C304" s="139"/>
      <c r="D304" s="140"/>
      <c r="E304" s="144"/>
      <c r="F304" s="37"/>
      <c r="G304" s="37"/>
      <c r="H304" s="37"/>
      <c r="I304" s="37"/>
      <c r="J304" s="37"/>
      <c r="K304" s="37"/>
      <c r="L304" s="37"/>
      <c r="M304" s="37"/>
      <c r="N304" s="37"/>
      <c r="O304" s="37"/>
      <c r="P304" s="37"/>
      <c r="Q304" s="38"/>
      <c r="R304" s="139"/>
      <c r="S304" s="140"/>
      <c r="T304" s="144"/>
    </row>
    <row r="305" spans="1:23" ht="18.75" customHeight="1">
      <c r="P305" s="39"/>
      <c r="Q305" s="40"/>
    </row>
    <row r="306" spans="1:23" ht="18.75" customHeight="1">
      <c r="H306" s="137" t="s">
        <v>3736</v>
      </c>
      <c r="I306" s="138"/>
      <c r="J306" s="143" t="str">
        <f>エンティティ一覧!$O$2</f>
        <v>milscm_2023_010</v>
      </c>
      <c r="M306" s="36"/>
      <c r="N306" s="36"/>
      <c r="O306" s="36"/>
      <c r="Q306" s="41"/>
    </row>
    <row r="307" spans="1:23" ht="18.75" customHeight="1">
      <c r="H307" s="139"/>
      <c r="I307" s="140"/>
      <c r="J307" s="144"/>
      <c r="K307" s="37"/>
      <c r="L307" s="37"/>
      <c r="M307" s="37"/>
      <c r="N307" s="37"/>
      <c r="O307" s="37"/>
      <c r="P307" s="37"/>
    </row>
    <row r="308" spans="1:23" ht="18.75" customHeight="1" thickBot="1">
      <c r="B308" s="42"/>
      <c r="C308" s="42"/>
      <c r="D308" s="42"/>
      <c r="E308" s="42"/>
      <c r="F308" s="42"/>
      <c r="G308" s="42"/>
      <c r="H308" s="42"/>
      <c r="I308" s="42"/>
      <c r="J308" s="42"/>
      <c r="K308" s="42"/>
      <c r="L308" s="42"/>
      <c r="M308" s="42"/>
      <c r="N308" s="42"/>
      <c r="O308" s="42"/>
      <c r="P308" s="42"/>
      <c r="Q308" s="42"/>
      <c r="R308" s="42"/>
      <c r="S308" s="42"/>
      <c r="T308" s="42"/>
      <c r="U308" s="42"/>
    </row>
    <row r="310" spans="1:23" ht="18.75" customHeight="1">
      <c r="A310" s="77"/>
      <c r="B310" s="43" t="s">
        <v>163</v>
      </c>
      <c r="C310" s="51" t="s">
        <v>4343</v>
      </c>
      <c r="D310" s="133"/>
      <c r="W310" s="35" t="str">
        <f>"-- "&amp;B310&amp;" : "&amp;C310</f>
        <v>-- SQL_ID : 41_14</v>
      </c>
    </row>
    <row r="311" spans="1:23" ht="18.75" customHeight="1">
      <c r="B311" s="43" t="s">
        <v>158</v>
      </c>
      <c r="C311" s="145" t="str">
        <f>R314&amp;"登録"</f>
        <v>ワーク_処方データ_index登録</v>
      </c>
      <c r="D311" s="146"/>
      <c r="E311" s="146"/>
      <c r="F311" s="146"/>
      <c r="G311" s="146"/>
      <c r="H311" s="146"/>
      <c r="I311" s="146"/>
      <c r="J311" s="146"/>
      <c r="K311" s="146"/>
      <c r="L311" s="146"/>
      <c r="M311" s="146"/>
      <c r="N311" s="146"/>
      <c r="O311" s="146"/>
      <c r="P311" s="146"/>
      <c r="Q311" s="146"/>
      <c r="R311" s="146"/>
      <c r="S311" s="146"/>
      <c r="T311" s="146"/>
      <c r="U311" s="147"/>
      <c r="W311" s="35" t="str">
        <f>"-- "&amp;C311</f>
        <v>-- ワーク_処方データ_index登録</v>
      </c>
    </row>
    <row r="312" spans="1:23" ht="18.75" customHeight="1">
      <c r="B312" s="43" t="s">
        <v>159</v>
      </c>
      <c r="C312" s="134" t="str">
        <f>C314&amp;"からロケルマに関するデータを抽出し、"&amp;R314&amp;"テーブルに格納する。"</f>
        <v>ベース_処方データからロケルマに関するデータを抽出し、ワーク_処方データ_indexテーブルに格納する。</v>
      </c>
      <c r="D312" s="135"/>
      <c r="E312" s="135"/>
      <c r="F312" s="135"/>
      <c r="G312" s="135"/>
      <c r="H312" s="135"/>
      <c r="I312" s="135"/>
      <c r="J312" s="135"/>
      <c r="K312" s="135"/>
      <c r="L312" s="135"/>
      <c r="M312" s="135"/>
      <c r="N312" s="135"/>
      <c r="O312" s="135"/>
      <c r="P312" s="135"/>
      <c r="Q312" s="135"/>
      <c r="R312" s="135"/>
      <c r="S312" s="135"/>
      <c r="T312" s="135"/>
      <c r="U312" s="136"/>
      <c r="W312" s="35" t="str">
        <f>"-- "&amp;C312</f>
        <v>-- ベース_処方データからロケルマに関するデータを抽出し、ワーク_処方データ_indexテーブルに格納する。</v>
      </c>
    </row>
    <row r="314" spans="1:23" ht="18.75" customHeight="1">
      <c r="C314" s="137" t="s">
        <v>4101</v>
      </c>
      <c r="D314" s="138"/>
      <c r="E314" s="143" t="str">
        <f>エンティティ一覧!$O$2</f>
        <v>milscm_2023_010</v>
      </c>
      <c r="F314" s="36"/>
      <c r="G314" s="36"/>
      <c r="H314" s="36"/>
      <c r="I314" s="36"/>
      <c r="J314" s="36"/>
      <c r="M314" s="36"/>
      <c r="N314" s="36"/>
      <c r="O314" s="36"/>
      <c r="P314" s="36"/>
      <c r="Q314" s="36"/>
      <c r="R314" s="137" t="s">
        <v>4344</v>
      </c>
      <c r="S314" s="138"/>
      <c r="T314" s="143" t="str">
        <f>エンティティ一覧!$O$2</f>
        <v>milscm_2023_010</v>
      </c>
      <c r="W314" s="35" t="s">
        <v>3669</v>
      </c>
    </row>
    <row r="315" spans="1:23" ht="18.75" customHeight="1">
      <c r="C315" s="139"/>
      <c r="D315" s="140"/>
      <c r="E315" s="144"/>
      <c r="F315" s="37"/>
      <c r="G315" s="37"/>
      <c r="H315" s="37"/>
      <c r="I315" s="37"/>
      <c r="J315" s="37"/>
      <c r="K315" s="37"/>
      <c r="L315" s="37"/>
      <c r="M315" s="101"/>
      <c r="N315" s="37"/>
      <c r="O315" s="37"/>
      <c r="P315" s="37"/>
      <c r="Q315" s="37"/>
      <c r="R315" s="139"/>
      <c r="S315" s="140"/>
      <c r="T315" s="144"/>
    </row>
    <row r="316" spans="1:23" ht="18.75" customHeight="1">
      <c r="M316" s="39"/>
      <c r="N316" s="40"/>
      <c r="O316" s="98"/>
      <c r="P316" s="94"/>
      <c r="Q316" s="94"/>
    </row>
    <row r="317" spans="1:23" ht="18.75" customHeight="1">
      <c r="H317" s="137" t="s">
        <v>3677</v>
      </c>
      <c r="I317" s="138"/>
      <c r="J317" s="143" t="str">
        <f>エンティティ一覧!$O$2</f>
        <v>milscm_2023_010</v>
      </c>
      <c r="K317" s="36"/>
      <c r="L317" s="36"/>
      <c r="N317" s="41"/>
      <c r="P317" s="39"/>
      <c r="Q317" s="94"/>
    </row>
    <row r="318" spans="1:23" ht="18.75" customHeight="1">
      <c r="H318" s="139"/>
      <c r="I318" s="140"/>
      <c r="J318" s="144"/>
      <c r="K318" s="37"/>
      <c r="L318" s="37"/>
      <c r="M318" s="37"/>
      <c r="P318" s="39"/>
      <c r="Q318" s="94"/>
    </row>
    <row r="320" spans="1:23" ht="18.75" customHeight="1" thickBot="1">
      <c r="B320" s="42"/>
      <c r="C320" s="42"/>
      <c r="D320" s="42"/>
      <c r="E320" s="42"/>
      <c r="F320" s="42"/>
      <c r="G320" s="42"/>
      <c r="H320" s="42"/>
      <c r="I320" s="42"/>
      <c r="J320" s="42"/>
      <c r="K320" s="42"/>
      <c r="L320" s="42"/>
      <c r="M320" s="42"/>
      <c r="N320" s="42"/>
      <c r="O320" s="42"/>
      <c r="P320" s="42"/>
      <c r="Q320" s="42"/>
      <c r="R320" s="42"/>
      <c r="S320" s="42"/>
      <c r="T320" s="42"/>
      <c r="U320" s="42"/>
    </row>
  </sheetData>
  <mergeCells count="210">
    <mergeCell ref="C4:U4"/>
    <mergeCell ref="C5:U5"/>
    <mergeCell ref="C7:D8"/>
    <mergeCell ref="E7:E8"/>
    <mergeCell ref="R7:S8"/>
    <mergeCell ref="T7:T8"/>
    <mergeCell ref="C13:U13"/>
    <mergeCell ref="C14:U14"/>
    <mergeCell ref="C16:D17"/>
    <mergeCell ref="E16:E17"/>
    <mergeCell ref="R16:S17"/>
    <mergeCell ref="T16:T17"/>
    <mergeCell ref="C19:D20"/>
    <mergeCell ref="E19:E20"/>
    <mergeCell ref="C25:U25"/>
    <mergeCell ref="C26:U26"/>
    <mergeCell ref="C28:D29"/>
    <mergeCell ref="E28:E29"/>
    <mergeCell ref="R28:S29"/>
    <mergeCell ref="T28:T29"/>
    <mergeCell ref="C31:D32"/>
    <mergeCell ref="E31:E32"/>
    <mergeCell ref="C34:D35"/>
    <mergeCell ref="E34:E35"/>
    <mergeCell ref="C42:D43"/>
    <mergeCell ref="E42:E43"/>
    <mergeCell ref="C45:D46"/>
    <mergeCell ref="E45:E46"/>
    <mergeCell ref="H48:I49"/>
    <mergeCell ref="J48:J49"/>
    <mergeCell ref="C54:U54"/>
    <mergeCell ref="C55:U55"/>
    <mergeCell ref="C57:D58"/>
    <mergeCell ref="E57:E58"/>
    <mergeCell ref="R57:S58"/>
    <mergeCell ref="T57:T58"/>
    <mergeCell ref="H60:I61"/>
    <mergeCell ref="J60:J61"/>
    <mergeCell ref="C66:U66"/>
    <mergeCell ref="C67:U67"/>
    <mergeCell ref="C69:D70"/>
    <mergeCell ref="E69:E70"/>
    <mergeCell ref="R69:S70"/>
    <mergeCell ref="T69:T70"/>
    <mergeCell ref="C75:U75"/>
    <mergeCell ref="C76:U76"/>
    <mergeCell ref="C78:D79"/>
    <mergeCell ref="E78:E79"/>
    <mergeCell ref="R78:S79"/>
    <mergeCell ref="T78:T79"/>
    <mergeCell ref="C81:D82"/>
    <mergeCell ref="E81:E82"/>
    <mergeCell ref="H84:I85"/>
    <mergeCell ref="J84:J85"/>
    <mergeCell ref="C90:U90"/>
    <mergeCell ref="C91:U91"/>
    <mergeCell ref="C93:D94"/>
    <mergeCell ref="E93:E94"/>
    <mergeCell ref="R93:S94"/>
    <mergeCell ref="T93:T94"/>
    <mergeCell ref="C96:D97"/>
    <mergeCell ref="E96:E97"/>
    <mergeCell ref="C102:U102"/>
    <mergeCell ref="C103:U103"/>
    <mergeCell ref="C105:D106"/>
    <mergeCell ref="E105:E106"/>
    <mergeCell ref="R105:S106"/>
    <mergeCell ref="T105:T106"/>
    <mergeCell ref="H108:I109"/>
    <mergeCell ref="J108:J109"/>
    <mergeCell ref="C114:U114"/>
    <mergeCell ref="C115:U115"/>
    <mergeCell ref="C117:D118"/>
    <mergeCell ref="E117:E118"/>
    <mergeCell ref="R117:S118"/>
    <mergeCell ref="T117:T118"/>
    <mergeCell ref="H120:I121"/>
    <mergeCell ref="J120:J121"/>
    <mergeCell ref="H123:I124"/>
    <mergeCell ref="J123:J124"/>
    <mergeCell ref="H126:I127"/>
    <mergeCell ref="J126:J127"/>
    <mergeCell ref="H129:I130"/>
    <mergeCell ref="J129:J130"/>
    <mergeCell ref="H132:I133"/>
    <mergeCell ref="J132:J133"/>
    <mergeCell ref="H135:I136"/>
    <mergeCell ref="J135:J136"/>
    <mergeCell ref="C141:U141"/>
    <mergeCell ref="C142:U142"/>
    <mergeCell ref="C144:D145"/>
    <mergeCell ref="E144:E145"/>
    <mergeCell ref="R144:S145"/>
    <mergeCell ref="T144:T145"/>
    <mergeCell ref="C147:D148"/>
    <mergeCell ref="E147:E148"/>
    <mergeCell ref="H150:I151"/>
    <mergeCell ref="J150:J151"/>
    <mergeCell ref="H154:I155"/>
    <mergeCell ref="J154:J155"/>
    <mergeCell ref="C157:D158"/>
    <mergeCell ref="E157:E158"/>
    <mergeCell ref="C160:D161"/>
    <mergeCell ref="E160:E161"/>
    <mergeCell ref="H163:I164"/>
    <mergeCell ref="J163:J164"/>
    <mergeCell ref="C169:U169"/>
    <mergeCell ref="C170:U170"/>
    <mergeCell ref="C172:D173"/>
    <mergeCell ref="E172:E173"/>
    <mergeCell ref="R172:S173"/>
    <mergeCell ref="T172:T173"/>
    <mergeCell ref="C175:D176"/>
    <mergeCell ref="E175:E176"/>
    <mergeCell ref="C181:U181"/>
    <mergeCell ref="C182:U182"/>
    <mergeCell ref="C184:D185"/>
    <mergeCell ref="E184:E185"/>
    <mergeCell ref="R184:S185"/>
    <mergeCell ref="T184:T185"/>
    <mergeCell ref="C190:U190"/>
    <mergeCell ref="C191:U191"/>
    <mergeCell ref="C193:D194"/>
    <mergeCell ref="E193:E194"/>
    <mergeCell ref="R193:S194"/>
    <mergeCell ref="T193:T194"/>
    <mergeCell ref="C199:U199"/>
    <mergeCell ref="C200:U200"/>
    <mergeCell ref="C202:D203"/>
    <mergeCell ref="E202:E203"/>
    <mergeCell ref="R202:S203"/>
    <mergeCell ref="T202:T203"/>
    <mergeCell ref="C208:U208"/>
    <mergeCell ref="C209:U209"/>
    <mergeCell ref="C211:D212"/>
    <mergeCell ref="E211:E212"/>
    <mergeCell ref="R211:S212"/>
    <mergeCell ref="T211:T212"/>
    <mergeCell ref="C217:U217"/>
    <mergeCell ref="C218:U218"/>
    <mergeCell ref="C220:D221"/>
    <mergeCell ref="E220:E221"/>
    <mergeCell ref="R220:S221"/>
    <mergeCell ref="T220:T221"/>
    <mergeCell ref="C226:U226"/>
    <mergeCell ref="C227:U227"/>
    <mergeCell ref="C229:D230"/>
    <mergeCell ref="E229:E230"/>
    <mergeCell ref="R229:S230"/>
    <mergeCell ref="T229:T230"/>
    <mergeCell ref="C235:U235"/>
    <mergeCell ref="C236:U236"/>
    <mergeCell ref="C238:D239"/>
    <mergeCell ref="E238:E239"/>
    <mergeCell ref="R238:S239"/>
    <mergeCell ref="T238:T239"/>
    <mergeCell ref="C244:U244"/>
    <mergeCell ref="C245:U245"/>
    <mergeCell ref="C247:D248"/>
    <mergeCell ref="E247:E248"/>
    <mergeCell ref="R247:S248"/>
    <mergeCell ref="T247:T248"/>
    <mergeCell ref="C253:U253"/>
    <mergeCell ref="C254:U254"/>
    <mergeCell ref="C256:D257"/>
    <mergeCell ref="E256:E257"/>
    <mergeCell ref="R256:S257"/>
    <mergeCell ref="T256:T257"/>
    <mergeCell ref="C262:U262"/>
    <mergeCell ref="C263:U263"/>
    <mergeCell ref="C265:D266"/>
    <mergeCell ref="E265:E266"/>
    <mergeCell ref="R265:S266"/>
    <mergeCell ref="T265:T266"/>
    <mergeCell ref="C271:U271"/>
    <mergeCell ref="C272:U272"/>
    <mergeCell ref="C274:D275"/>
    <mergeCell ref="E274:E275"/>
    <mergeCell ref="R274:S275"/>
    <mergeCell ref="T274:T275"/>
    <mergeCell ref="C280:U280"/>
    <mergeCell ref="C281:U281"/>
    <mergeCell ref="C283:D284"/>
    <mergeCell ref="E283:E284"/>
    <mergeCell ref="R283:S284"/>
    <mergeCell ref="T283:T284"/>
    <mergeCell ref="C289:U289"/>
    <mergeCell ref="C290:U290"/>
    <mergeCell ref="C292:D293"/>
    <mergeCell ref="E292:E293"/>
    <mergeCell ref="R292:S293"/>
    <mergeCell ref="T292:T293"/>
    <mergeCell ref="C295:D296"/>
    <mergeCell ref="E295:E296"/>
    <mergeCell ref="C300:U300"/>
    <mergeCell ref="C314:D315"/>
    <mergeCell ref="E314:E315"/>
    <mergeCell ref="R314:S315"/>
    <mergeCell ref="T314:T315"/>
    <mergeCell ref="H317:I318"/>
    <mergeCell ref="J317:J318"/>
    <mergeCell ref="C301:U301"/>
    <mergeCell ref="C303:D304"/>
    <mergeCell ref="E303:E304"/>
    <mergeCell ref="R303:S304"/>
    <mergeCell ref="T303:T304"/>
    <mergeCell ref="H306:I307"/>
    <mergeCell ref="J306:J307"/>
    <mergeCell ref="C311:U311"/>
    <mergeCell ref="C312:U312"/>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3:W156"/>
  <sheetViews>
    <sheetView showGridLines="0" zoomScale="85" zoomScaleNormal="85" workbookViewId="0"/>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1:23" ht="18.75" customHeight="1">
      <c r="A3" s="77"/>
      <c r="B3" s="43" t="s">
        <v>163</v>
      </c>
      <c r="C3" s="51" t="s">
        <v>4113</v>
      </c>
      <c r="D3" s="96"/>
      <c r="W3" s="35" t="str">
        <f>"-- "&amp;B3&amp;" : "&amp;C3</f>
        <v>-- SQL_ID : 51_01</v>
      </c>
    </row>
    <row r="4" spans="1:23" ht="18.75" customHeight="1">
      <c r="B4" s="43" t="s">
        <v>158</v>
      </c>
      <c r="C4" s="145" t="str">
        <f>R7&amp;"登録"</f>
        <v>セレクト_患者データ登録</v>
      </c>
      <c r="D4" s="146"/>
      <c r="E4" s="146"/>
      <c r="F4" s="146"/>
      <c r="G4" s="146"/>
      <c r="H4" s="146"/>
      <c r="I4" s="146"/>
      <c r="J4" s="146"/>
      <c r="K4" s="146"/>
      <c r="L4" s="146"/>
      <c r="M4" s="146"/>
      <c r="N4" s="146"/>
      <c r="O4" s="146"/>
      <c r="P4" s="146"/>
      <c r="Q4" s="146"/>
      <c r="R4" s="146"/>
      <c r="S4" s="146"/>
      <c r="T4" s="146"/>
      <c r="U4" s="147"/>
      <c r="W4" s="35" t="str">
        <f>"-- "&amp;C4</f>
        <v>-- セレクト_患者データ登録</v>
      </c>
    </row>
    <row r="5" spans="1:23" ht="18.75" customHeight="1">
      <c r="B5" s="43" t="s">
        <v>159</v>
      </c>
      <c r="C5" s="134" t="str">
        <f>"ワーク_患者基本データの患者データを抽出し、"&amp;R7&amp;"テーブルに格納する。"</f>
        <v>ワーク_患者基本データの患者データを抽出し、セレクト_患者データテーブルに格納する。</v>
      </c>
      <c r="D5" s="135"/>
      <c r="E5" s="135"/>
      <c r="F5" s="135"/>
      <c r="G5" s="135"/>
      <c r="H5" s="135"/>
      <c r="I5" s="135"/>
      <c r="J5" s="135"/>
      <c r="K5" s="135"/>
      <c r="L5" s="135"/>
      <c r="M5" s="135"/>
      <c r="N5" s="135"/>
      <c r="O5" s="135"/>
      <c r="P5" s="135"/>
      <c r="Q5" s="135"/>
      <c r="R5" s="135"/>
      <c r="S5" s="135"/>
      <c r="T5" s="135"/>
      <c r="U5" s="136"/>
      <c r="W5" s="35" t="str">
        <f>"-- "&amp;C5</f>
        <v>-- ワーク_患者基本データの患者データを抽出し、セレクト_患者データテーブルに格納する。</v>
      </c>
    </row>
    <row r="7" spans="1:23" ht="18.75" customHeight="1">
      <c r="C7" s="137" t="s">
        <v>4291</v>
      </c>
      <c r="D7" s="138"/>
      <c r="E7" s="143" t="str">
        <f>エンティティ一覧!$O$2</f>
        <v>milscm_2023_010</v>
      </c>
      <c r="F7" s="36"/>
      <c r="G7" s="98"/>
      <c r="H7" s="98"/>
      <c r="I7" s="98"/>
      <c r="J7" s="98"/>
      <c r="K7" s="98"/>
      <c r="L7" s="98"/>
      <c r="M7" s="98"/>
      <c r="N7" s="98"/>
      <c r="O7" s="98"/>
      <c r="P7" s="98"/>
      <c r="Q7" s="36"/>
      <c r="R7" s="137" t="s">
        <v>4114</v>
      </c>
      <c r="S7" s="138"/>
      <c r="T7" s="143" t="str">
        <f>エンティティ一覧!$O$2</f>
        <v>milscm_2023_010</v>
      </c>
      <c r="W7" s="35" t="s">
        <v>3669</v>
      </c>
    </row>
    <row r="8" spans="1:23" ht="18.75" customHeight="1">
      <c r="C8" s="139"/>
      <c r="D8" s="140"/>
      <c r="E8" s="144"/>
      <c r="F8" s="37"/>
      <c r="G8" s="38"/>
      <c r="H8" s="37"/>
      <c r="I8" s="37"/>
      <c r="J8" s="37"/>
      <c r="K8" s="37"/>
      <c r="L8" s="38"/>
      <c r="M8" s="37"/>
      <c r="N8" s="37"/>
      <c r="O8" s="37"/>
      <c r="P8" s="37"/>
      <c r="Q8" s="37"/>
      <c r="R8" s="139"/>
      <c r="S8" s="140"/>
      <c r="T8" s="144"/>
    </row>
    <row r="9" spans="1:23" ht="18.75" customHeight="1">
      <c r="F9" s="98"/>
      <c r="G9" s="41"/>
      <c r="H9" s="98"/>
      <c r="I9" s="98"/>
      <c r="J9" s="98"/>
      <c r="K9" s="98"/>
      <c r="L9" s="41"/>
      <c r="M9" s="98"/>
      <c r="N9" s="98"/>
      <c r="O9" s="98"/>
      <c r="P9" s="98"/>
      <c r="Q9" s="98"/>
    </row>
    <row r="10" spans="1:23" ht="18.75" customHeight="1">
      <c r="C10" s="160" t="s">
        <v>4342</v>
      </c>
      <c r="D10" s="161"/>
      <c r="E10" s="143" t="str">
        <f>エンティティ一覧!$O$2</f>
        <v>milscm_2023_010</v>
      </c>
      <c r="F10" s="36"/>
      <c r="G10" s="41"/>
      <c r="H10" s="98"/>
      <c r="I10" s="98"/>
      <c r="J10" s="98"/>
      <c r="K10" s="98"/>
      <c r="L10" s="41"/>
      <c r="M10" s="98"/>
      <c r="N10" s="98"/>
      <c r="O10" s="98"/>
      <c r="P10" s="98"/>
      <c r="Q10" s="98"/>
    </row>
    <row r="11" spans="1:23" ht="18.75" customHeight="1">
      <c r="C11" s="162"/>
      <c r="D11" s="163"/>
      <c r="E11" s="144"/>
      <c r="L11" s="41"/>
      <c r="M11" s="98"/>
      <c r="N11" s="98"/>
      <c r="O11" s="98"/>
      <c r="P11" s="98"/>
      <c r="Q11" s="98"/>
    </row>
    <row r="12" spans="1:23" ht="18.75" customHeight="1">
      <c r="F12" s="98"/>
      <c r="G12" s="98"/>
      <c r="H12" s="98"/>
      <c r="I12" s="98"/>
      <c r="J12" s="98"/>
      <c r="L12" s="41"/>
      <c r="M12" s="98"/>
      <c r="N12" s="98"/>
      <c r="O12" s="98"/>
      <c r="P12" s="98"/>
      <c r="Q12" s="98"/>
    </row>
    <row r="13" spans="1:23" ht="18.75" customHeight="1">
      <c r="C13" s="137" t="s">
        <v>4092</v>
      </c>
      <c r="D13" s="138"/>
      <c r="E13" s="143" t="str">
        <f>エンティティ一覧!$O$2</f>
        <v>milscm_2023_010</v>
      </c>
      <c r="F13" s="107"/>
      <c r="G13" s="36"/>
      <c r="H13" s="36"/>
      <c r="I13" s="36"/>
      <c r="J13" s="36"/>
      <c r="K13" s="36"/>
      <c r="L13" s="41"/>
      <c r="M13" s="98"/>
      <c r="N13" s="98"/>
      <c r="O13" s="98"/>
      <c r="P13" s="98"/>
      <c r="Q13" s="98"/>
    </row>
    <row r="14" spans="1:23" ht="18.75" customHeight="1">
      <c r="C14" s="139"/>
      <c r="D14" s="140"/>
      <c r="E14" s="144"/>
      <c r="P14" s="98"/>
      <c r="Q14" s="98"/>
    </row>
    <row r="15" spans="1:23" ht="18.75" customHeight="1" thickBot="1">
      <c r="B15" s="42"/>
      <c r="C15" s="42"/>
      <c r="D15" s="42"/>
      <c r="E15" s="42"/>
      <c r="F15" s="42"/>
      <c r="G15" s="42"/>
      <c r="H15" s="42"/>
      <c r="I15" s="42"/>
      <c r="J15" s="42"/>
      <c r="K15" s="42"/>
      <c r="L15" s="42"/>
      <c r="M15" s="42"/>
      <c r="N15" s="42"/>
      <c r="O15" s="42"/>
      <c r="P15" s="42"/>
      <c r="Q15" s="42"/>
      <c r="R15" s="42"/>
      <c r="S15" s="42"/>
      <c r="T15" s="42"/>
      <c r="U15" s="42"/>
    </row>
    <row r="17" spans="2:23" ht="18.75" customHeight="1">
      <c r="B17" s="43" t="s">
        <v>163</v>
      </c>
      <c r="C17" s="115" t="s">
        <v>4115</v>
      </c>
      <c r="D17" s="116"/>
      <c r="W17" s="35" t="str">
        <f>"-- "&amp;B17&amp;" : "&amp;C17</f>
        <v>-- SQL_ID : 51_02</v>
      </c>
    </row>
    <row r="18" spans="2:23" ht="18.75" customHeight="1">
      <c r="B18" s="43" t="s">
        <v>158</v>
      </c>
      <c r="C18" s="145" t="str">
        <f>R21&amp;"登録"</f>
        <v>セレクト_検査データ登録</v>
      </c>
      <c r="D18" s="146"/>
      <c r="E18" s="146"/>
      <c r="F18" s="146"/>
      <c r="G18" s="146"/>
      <c r="H18" s="146"/>
      <c r="I18" s="146"/>
      <c r="J18" s="146"/>
      <c r="K18" s="146"/>
      <c r="L18" s="146"/>
      <c r="M18" s="146"/>
      <c r="N18" s="146"/>
      <c r="O18" s="146"/>
      <c r="P18" s="146"/>
      <c r="Q18" s="146"/>
      <c r="R18" s="146"/>
      <c r="S18" s="146"/>
      <c r="T18" s="146"/>
      <c r="U18" s="147"/>
      <c r="W18" s="35" t="str">
        <f>"-- "&amp;C18</f>
        <v>-- セレクト_検査データ登録</v>
      </c>
    </row>
    <row r="19" spans="2:23" ht="18.75" customHeight="1">
      <c r="B19" s="43" t="s">
        <v>159</v>
      </c>
      <c r="C19" s="134" t="str">
        <f>"MMLのテキストデータを抽出し、"&amp;R21&amp;"テーブルに格納する。"</f>
        <v>MMLのテキストデータを抽出し、セレクト_検査データテーブルに格納する。</v>
      </c>
      <c r="D19" s="135"/>
      <c r="E19" s="135"/>
      <c r="F19" s="135"/>
      <c r="G19" s="135"/>
      <c r="H19" s="135"/>
      <c r="I19" s="135"/>
      <c r="J19" s="135"/>
      <c r="K19" s="135"/>
      <c r="L19" s="135"/>
      <c r="M19" s="135"/>
      <c r="N19" s="135"/>
      <c r="O19" s="135"/>
      <c r="P19" s="135"/>
      <c r="Q19" s="135"/>
      <c r="R19" s="135"/>
      <c r="S19" s="135"/>
      <c r="T19" s="135"/>
      <c r="U19" s="136"/>
      <c r="W19" s="35" t="str">
        <f>"-- "&amp;C19</f>
        <v>-- MMLのテキストデータを抽出し、セレクト_検査データテーブルに格納する。</v>
      </c>
    </row>
    <row r="21" spans="2:23" ht="18.75" customHeight="1">
      <c r="C21" s="137" t="s">
        <v>4111</v>
      </c>
      <c r="D21" s="138"/>
      <c r="E21" s="143" t="str">
        <f>エンティティ一覧!$O$2</f>
        <v>milscm_2023_010</v>
      </c>
      <c r="F21" s="36"/>
      <c r="G21" s="36"/>
      <c r="H21" s="36"/>
      <c r="I21" s="36"/>
      <c r="J21" s="36"/>
      <c r="K21" s="36"/>
      <c r="L21" s="36"/>
      <c r="M21" s="36"/>
      <c r="N21" s="36"/>
      <c r="O21" s="36"/>
      <c r="R21" s="137" t="s">
        <v>4116</v>
      </c>
      <c r="S21" s="138"/>
      <c r="T21" s="143" t="str">
        <f>エンティティ一覧!$O$2</f>
        <v>milscm_2023_010</v>
      </c>
    </row>
    <row r="22" spans="2:23" ht="18.75" customHeight="1">
      <c r="C22" s="139"/>
      <c r="D22" s="140"/>
      <c r="E22" s="144"/>
      <c r="F22" s="100"/>
      <c r="G22" s="37"/>
      <c r="H22" s="37"/>
      <c r="I22" s="37"/>
      <c r="J22" s="37"/>
      <c r="K22" s="37"/>
      <c r="L22" s="37"/>
      <c r="M22" s="37"/>
      <c r="N22" s="37"/>
      <c r="O22" s="37"/>
      <c r="P22" s="37"/>
      <c r="Q22" s="37"/>
      <c r="R22" s="139"/>
      <c r="S22" s="140"/>
      <c r="T22" s="144"/>
    </row>
    <row r="23" spans="2:23" ht="18.75" customHeight="1">
      <c r="F23" s="102"/>
    </row>
    <row r="24" spans="2:23" ht="18.75" customHeight="1">
      <c r="C24" s="137" t="s">
        <v>4064</v>
      </c>
      <c r="D24" s="138"/>
      <c r="E24" s="143" t="str">
        <f>エンティティ一覧!$O$2</f>
        <v>milscm_2023_010</v>
      </c>
      <c r="F24" s="103"/>
    </row>
    <row r="25" spans="2:23" ht="18.75" customHeight="1">
      <c r="C25" s="139"/>
      <c r="D25" s="140"/>
      <c r="E25" s="144"/>
    </row>
    <row r="26" spans="2:23" ht="18.75" customHeight="1" thickBot="1">
      <c r="B26" s="42"/>
      <c r="C26" s="42"/>
      <c r="D26" s="42"/>
      <c r="E26" s="42"/>
      <c r="F26" s="42"/>
      <c r="G26" s="42"/>
      <c r="H26" s="42"/>
      <c r="I26" s="42"/>
      <c r="J26" s="42"/>
      <c r="K26" s="42"/>
      <c r="L26" s="42"/>
      <c r="M26" s="42"/>
      <c r="N26" s="42"/>
      <c r="O26" s="42"/>
      <c r="P26" s="42"/>
      <c r="Q26" s="42"/>
      <c r="R26" s="42"/>
      <c r="S26" s="42"/>
      <c r="T26" s="42"/>
      <c r="U26" s="42"/>
    </row>
    <row r="28" spans="2:23" ht="18.75" customHeight="1">
      <c r="B28" s="43" t="s">
        <v>163</v>
      </c>
      <c r="C28" s="115" t="s">
        <v>4118</v>
      </c>
      <c r="D28" s="116"/>
      <c r="W28" s="35" t="str">
        <f>"-- "&amp;B28&amp;" : "&amp;C28</f>
        <v>-- SQL_ID : 51_02-1</v>
      </c>
    </row>
    <row r="29" spans="2:23" ht="18.75" customHeight="1">
      <c r="B29" s="43" t="s">
        <v>158</v>
      </c>
      <c r="C29" s="145" t="str">
        <f>R32&amp;"削除_血清クレアチニン18歳未満データ削除"</f>
        <v>セレクト_検査データ削除_血清クレアチニン18歳未満データ削除</v>
      </c>
      <c r="D29" s="146"/>
      <c r="E29" s="146"/>
      <c r="F29" s="146"/>
      <c r="G29" s="146"/>
      <c r="H29" s="146"/>
      <c r="I29" s="146"/>
      <c r="J29" s="146"/>
      <c r="K29" s="146"/>
      <c r="L29" s="146"/>
      <c r="M29" s="146"/>
      <c r="N29" s="146"/>
      <c r="O29" s="146"/>
      <c r="P29" s="146"/>
      <c r="Q29" s="146"/>
      <c r="R29" s="146"/>
      <c r="S29" s="146"/>
      <c r="T29" s="146"/>
      <c r="U29" s="147"/>
      <c r="W29" s="35" t="str">
        <f>"-- "&amp;C29</f>
        <v>-- セレクト_検査データ削除_血清クレアチニン18歳未満データ削除</v>
      </c>
    </row>
    <row r="30" spans="2:23" ht="18.75" customHeight="1">
      <c r="B30" s="43" t="s">
        <v>159</v>
      </c>
      <c r="C30" s="134" t="str">
        <f>"セレクト_検査データから表示名が血清クレアチニンのデータを抽出し、年齢が18歳未満の患者の検査データを"&amp;R32&amp;"テーブルから削除する。"</f>
        <v>セレクト_検査データから表示名が血清クレアチニンのデータを抽出し、年齢が18歳未満の患者の検査データをセレクト_検査データテーブルから削除する。</v>
      </c>
      <c r="D30" s="135"/>
      <c r="E30" s="135"/>
      <c r="F30" s="135"/>
      <c r="G30" s="135"/>
      <c r="H30" s="135"/>
      <c r="I30" s="135"/>
      <c r="J30" s="135"/>
      <c r="K30" s="135"/>
      <c r="L30" s="135"/>
      <c r="M30" s="135"/>
      <c r="N30" s="135"/>
      <c r="O30" s="135"/>
      <c r="P30" s="135"/>
      <c r="Q30" s="135"/>
      <c r="R30" s="135"/>
      <c r="S30" s="135"/>
      <c r="T30" s="135"/>
      <c r="U30" s="136"/>
      <c r="W30" s="35" t="str">
        <f>"-- "&amp;C30</f>
        <v>-- セレクト_検査データから表示名が血清クレアチニンのデータを抽出し、年齢が18歳未満の患者の検査データをセレクト_検査データテーブルから削除する。</v>
      </c>
    </row>
    <row r="32" spans="2:23" ht="18.75" customHeight="1">
      <c r="C32" s="137" t="s">
        <v>4116</v>
      </c>
      <c r="D32" s="138"/>
      <c r="E32" s="143" t="str">
        <f>エンティティ一覧!$O$2</f>
        <v>milscm_2023_010</v>
      </c>
      <c r="F32" s="36"/>
      <c r="G32" s="98"/>
      <c r="H32" s="98"/>
      <c r="I32" s="98"/>
      <c r="J32" s="98"/>
      <c r="K32" s="36"/>
      <c r="L32" s="36"/>
      <c r="M32" s="36"/>
      <c r="N32" s="36"/>
      <c r="O32" s="36"/>
      <c r="R32" s="137" t="s">
        <v>4116</v>
      </c>
      <c r="S32" s="138"/>
      <c r="T32" s="143" t="str">
        <f>エンティティ一覧!$O$2</f>
        <v>milscm_2023_010</v>
      </c>
    </row>
    <row r="33" spans="2:23" ht="18.75" customHeight="1">
      <c r="C33" s="139"/>
      <c r="D33" s="140"/>
      <c r="E33" s="144"/>
      <c r="F33" s="38"/>
      <c r="G33" s="37"/>
      <c r="H33" s="37"/>
      <c r="I33" s="37"/>
      <c r="J33" s="37"/>
      <c r="K33" s="101"/>
      <c r="L33" s="37"/>
      <c r="M33" s="37"/>
      <c r="N33" s="37"/>
      <c r="O33" s="37"/>
      <c r="P33" s="37"/>
      <c r="Q33" s="37"/>
      <c r="R33" s="139"/>
      <c r="S33" s="140"/>
      <c r="T33" s="144"/>
    </row>
    <row r="34" spans="2:23" ht="18.75" customHeight="1">
      <c r="L34" s="41"/>
    </row>
    <row r="35" spans="2:23" ht="18.75" customHeight="1">
      <c r="C35" s="137" t="s">
        <v>4117</v>
      </c>
      <c r="D35" s="138"/>
      <c r="E35" s="143" t="str">
        <f>エンティティ一覧!$O$2</f>
        <v>milscm_2023_010</v>
      </c>
      <c r="F35" s="107"/>
      <c r="G35" s="36"/>
      <c r="H35" s="36"/>
      <c r="I35" s="36"/>
      <c r="J35" s="36"/>
      <c r="K35" s="36"/>
      <c r="L35" s="41"/>
    </row>
    <row r="36" spans="2:23" ht="18.75" customHeight="1">
      <c r="C36" s="139"/>
      <c r="D36" s="140"/>
      <c r="E36" s="144"/>
    </row>
    <row r="37" spans="2:23" ht="18.75" customHeight="1">
      <c r="C37" s="99"/>
      <c r="D37" s="99"/>
      <c r="E37" s="99"/>
      <c r="F37" s="98"/>
      <c r="G37" s="98"/>
      <c r="H37" s="98"/>
      <c r="I37" s="98"/>
      <c r="J37" s="98"/>
      <c r="K37" s="98"/>
      <c r="L37" s="98"/>
      <c r="M37" s="98"/>
      <c r="N37" s="98"/>
      <c r="O37" s="98"/>
      <c r="P37" s="98"/>
      <c r="Q37" s="98"/>
      <c r="R37" s="99"/>
      <c r="S37" s="99"/>
      <c r="T37" s="99"/>
    </row>
    <row r="38" spans="2:23" ht="18.75" customHeight="1">
      <c r="C38" s="99"/>
      <c r="D38" s="99"/>
      <c r="E38" s="99"/>
      <c r="F38" s="98"/>
      <c r="G38" s="98"/>
      <c r="H38" s="98"/>
      <c r="I38" s="98"/>
      <c r="J38" s="98"/>
      <c r="K38" s="98"/>
      <c r="L38" s="98"/>
      <c r="M38" s="98"/>
      <c r="N38" s="98"/>
      <c r="O38" s="98"/>
      <c r="P38" s="98"/>
      <c r="Q38" s="98"/>
      <c r="R38" s="99"/>
      <c r="S38" s="99"/>
      <c r="T38" s="99"/>
    </row>
    <row r="39" spans="2:23" ht="18.75" customHeight="1">
      <c r="C39" s="99"/>
      <c r="D39" s="99"/>
      <c r="E39" s="99"/>
      <c r="F39" s="98"/>
      <c r="G39" s="98"/>
      <c r="H39" s="98"/>
      <c r="I39" s="98"/>
      <c r="J39" s="98"/>
      <c r="K39" s="98"/>
      <c r="L39" s="98"/>
      <c r="M39" s="98"/>
      <c r="N39" s="98"/>
      <c r="O39" s="98"/>
      <c r="P39" s="98"/>
      <c r="Q39" s="98"/>
      <c r="R39" s="99"/>
      <c r="S39" s="99"/>
      <c r="T39" s="99"/>
    </row>
    <row r="40" spans="2:23" ht="18.75" customHeight="1" thickBot="1">
      <c r="B40" s="42"/>
      <c r="C40" s="42"/>
      <c r="D40" s="42"/>
      <c r="E40" s="42"/>
      <c r="F40" s="42"/>
      <c r="G40" s="42"/>
      <c r="H40" s="42"/>
      <c r="I40" s="42"/>
      <c r="J40" s="42"/>
      <c r="K40" s="42"/>
      <c r="L40" s="42"/>
      <c r="M40" s="42"/>
      <c r="N40" s="42"/>
      <c r="O40" s="42"/>
      <c r="P40" s="42"/>
      <c r="Q40" s="42"/>
      <c r="R40" s="42"/>
      <c r="S40" s="42"/>
      <c r="T40" s="42"/>
      <c r="U40" s="42"/>
    </row>
    <row r="42" spans="2:23" ht="18.75" customHeight="1">
      <c r="B42" s="43" t="s">
        <v>163</v>
      </c>
      <c r="C42" s="115" t="s">
        <v>4519</v>
      </c>
      <c r="D42" s="116"/>
      <c r="W42" s="35" t="str">
        <f>"-- "&amp;B42&amp;" : "&amp;C42</f>
        <v>-- SQL_ID : 51_02-2</v>
      </c>
    </row>
    <row r="43" spans="2:23" ht="18.75" customHeight="1">
      <c r="B43" s="43" t="s">
        <v>158</v>
      </c>
      <c r="C43" s="145" t="str">
        <f>R46&amp;"登録_eGFR追加"</f>
        <v>セレクト_検査データ登録_eGFR追加</v>
      </c>
      <c r="D43" s="146"/>
      <c r="E43" s="146"/>
      <c r="F43" s="146"/>
      <c r="G43" s="146"/>
      <c r="H43" s="146"/>
      <c r="I43" s="146"/>
      <c r="J43" s="146"/>
      <c r="K43" s="146"/>
      <c r="L43" s="146"/>
      <c r="M43" s="146"/>
      <c r="N43" s="146"/>
      <c r="O43" s="146"/>
      <c r="P43" s="146"/>
      <c r="Q43" s="146"/>
      <c r="R43" s="146"/>
      <c r="S43" s="146"/>
      <c r="T43" s="146"/>
      <c r="U43" s="147"/>
      <c r="W43" s="35" t="str">
        <f>"-- "&amp;C43</f>
        <v>-- セレクト_検査データ登録_eGFR追加</v>
      </c>
    </row>
    <row r="44" spans="2:23" ht="18.75" customHeight="1">
      <c r="B44" s="43" t="s">
        <v>159</v>
      </c>
      <c r="C44" s="134" t="str">
        <f>"セレクト_検査データから表示名が血清クレアチニンのデータを抽出し、eGFRを算出した結果を"&amp;R46&amp;"テーブルに格納する。"</f>
        <v>セレクト_検査データから表示名が血清クレアチニンのデータを抽出し、eGFRを算出した結果をセレクト_検査データテーブルに格納する。</v>
      </c>
      <c r="D44" s="135"/>
      <c r="E44" s="135"/>
      <c r="F44" s="135"/>
      <c r="G44" s="135"/>
      <c r="H44" s="135"/>
      <c r="I44" s="135"/>
      <c r="J44" s="135"/>
      <c r="K44" s="135"/>
      <c r="L44" s="135"/>
      <c r="M44" s="135"/>
      <c r="N44" s="135"/>
      <c r="O44" s="135"/>
      <c r="P44" s="135"/>
      <c r="Q44" s="135"/>
      <c r="R44" s="135"/>
      <c r="S44" s="135"/>
      <c r="T44" s="135"/>
      <c r="U44" s="136"/>
      <c r="W44" s="35" t="str">
        <f>"-- "&amp;C44</f>
        <v>-- セレクト_検査データから表示名が血清クレアチニンのデータを抽出し、eGFRを算出した結果をセレクト_検査データテーブルに格納する。</v>
      </c>
    </row>
    <row r="46" spans="2:23" ht="18.75" customHeight="1">
      <c r="C46" s="137" t="s">
        <v>4116</v>
      </c>
      <c r="D46" s="138"/>
      <c r="E46" s="143" t="str">
        <f>エンティティ一覧!$O$2</f>
        <v>milscm_2023_010</v>
      </c>
      <c r="F46" s="36"/>
      <c r="G46" s="98"/>
      <c r="H46" s="98"/>
      <c r="I46" s="98"/>
      <c r="J46" s="98"/>
      <c r="K46" s="36"/>
      <c r="L46" s="36"/>
      <c r="M46" s="36"/>
      <c r="N46" s="36"/>
      <c r="O46" s="36"/>
      <c r="R46" s="137" t="s">
        <v>4116</v>
      </c>
      <c r="S46" s="138"/>
      <c r="T46" s="143" t="str">
        <f>エンティティ一覧!$O$2</f>
        <v>milscm_2023_010</v>
      </c>
    </row>
    <row r="47" spans="2:23" ht="18.75" customHeight="1">
      <c r="C47" s="139"/>
      <c r="D47" s="140"/>
      <c r="E47" s="144"/>
      <c r="F47" s="38"/>
      <c r="G47" s="37"/>
      <c r="H47" s="37"/>
      <c r="I47" s="37"/>
      <c r="J47" s="37"/>
      <c r="K47" s="101"/>
      <c r="L47" s="37"/>
      <c r="M47" s="37"/>
      <c r="N47" s="37"/>
      <c r="O47" s="37"/>
      <c r="P47" s="37"/>
      <c r="Q47" s="37"/>
      <c r="R47" s="139"/>
      <c r="S47" s="140"/>
      <c r="T47" s="144"/>
    </row>
    <row r="48" spans="2:23" ht="18.75" customHeight="1">
      <c r="L48" s="41"/>
    </row>
    <row r="49" spans="2:23" ht="18.75" customHeight="1">
      <c r="C49" s="137" t="s">
        <v>4117</v>
      </c>
      <c r="D49" s="138"/>
      <c r="E49" s="143" t="str">
        <f>エンティティ一覧!$O$2</f>
        <v>milscm_2023_010</v>
      </c>
      <c r="F49" s="107"/>
      <c r="G49" s="36"/>
      <c r="H49" s="36"/>
      <c r="I49" s="36"/>
      <c r="J49" s="36"/>
      <c r="K49" s="36"/>
      <c r="L49" s="41"/>
    </row>
    <row r="50" spans="2:23" ht="18.75" customHeight="1">
      <c r="C50" s="139"/>
      <c r="D50" s="140"/>
      <c r="E50" s="144"/>
    </row>
    <row r="51" spans="2:23" ht="18.75" customHeight="1">
      <c r="C51" s="99"/>
      <c r="D51" s="99"/>
      <c r="E51" s="99"/>
      <c r="F51" s="98"/>
      <c r="G51" s="98"/>
      <c r="H51" s="98"/>
      <c r="I51" s="98"/>
      <c r="J51" s="98"/>
      <c r="K51" s="98"/>
      <c r="L51" s="98"/>
      <c r="M51" s="98"/>
      <c r="N51" s="98"/>
      <c r="O51" s="98"/>
      <c r="P51" s="98"/>
      <c r="Q51" s="98"/>
      <c r="R51" s="99"/>
      <c r="S51" s="99"/>
      <c r="T51" s="99"/>
    </row>
    <row r="52" spans="2:23" ht="18.75" customHeight="1">
      <c r="C52" s="99"/>
      <c r="D52" s="99"/>
      <c r="E52" s="99"/>
      <c r="F52" s="98"/>
      <c r="G52" s="98"/>
      <c r="H52" s="98"/>
      <c r="I52" s="98"/>
      <c r="J52" s="98"/>
      <c r="K52" s="98"/>
      <c r="L52" s="98"/>
      <c r="M52" s="98"/>
      <c r="N52" s="98"/>
      <c r="O52" s="98"/>
      <c r="P52" s="98"/>
      <c r="Q52" s="98"/>
      <c r="R52" s="99"/>
      <c r="S52" s="99"/>
      <c r="T52" s="99"/>
    </row>
    <row r="53" spans="2:23" ht="18.75" customHeight="1">
      <c r="C53" s="99"/>
      <c r="D53" s="99"/>
      <c r="E53" s="99"/>
      <c r="F53" s="98"/>
      <c r="G53" s="98"/>
      <c r="H53" s="98"/>
      <c r="I53" s="98"/>
      <c r="J53" s="98"/>
      <c r="K53" s="98"/>
      <c r="L53" s="98"/>
      <c r="M53" s="98"/>
      <c r="N53" s="98"/>
      <c r="O53" s="98"/>
      <c r="P53" s="98"/>
      <c r="Q53" s="98"/>
      <c r="R53" s="99"/>
      <c r="S53" s="99"/>
      <c r="T53" s="99"/>
    </row>
    <row r="54" spans="2:23" ht="18.75" customHeight="1" thickBot="1">
      <c r="B54" s="42"/>
      <c r="C54" s="42"/>
      <c r="D54" s="42"/>
      <c r="E54" s="42"/>
      <c r="F54" s="42"/>
      <c r="G54" s="42"/>
      <c r="H54" s="42"/>
      <c r="I54" s="42"/>
      <c r="J54" s="42"/>
      <c r="K54" s="42"/>
      <c r="L54" s="42"/>
      <c r="M54" s="42"/>
      <c r="N54" s="42"/>
      <c r="O54" s="42"/>
      <c r="P54" s="42"/>
      <c r="Q54" s="42"/>
      <c r="R54" s="42"/>
      <c r="S54" s="42"/>
      <c r="T54" s="42"/>
      <c r="U54" s="42"/>
    </row>
    <row r="56" spans="2:23" ht="18.75" customHeight="1">
      <c r="B56" s="43" t="s">
        <v>163</v>
      </c>
      <c r="C56" s="115" t="s">
        <v>4119</v>
      </c>
      <c r="D56" s="116"/>
      <c r="W56" s="35" t="str">
        <f>"-- "&amp;B56&amp;" : "&amp;C56</f>
        <v>-- SQL_ID : 51_03</v>
      </c>
    </row>
    <row r="57" spans="2:23" ht="18.75" customHeight="1">
      <c r="B57" s="43" t="s">
        <v>158</v>
      </c>
      <c r="C57" s="145" t="str">
        <f>R60&amp;"登録"</f>
        <v>セレクト_検査データ_患者背景用登録</v>
      </c>
      <c r="D57" s="146"/>
      <c r="E57" s="146"/>
      <c r="F57" s="146"/>
      <c r="G57" s="146"/>
      <c r="H57" s="146"/>
      <c r="I57" s="146"/>
      <c r="J57" s="146"/>
      <c r="K57" s="146"/>
      <c r="L57" s="146"/>
      <c r="M57" s="146"/>
      <c r="N57" s="146"/>
      <c r="O57" s="146"/>
      <c r="P57" s="146"/>
      <c r="Q57" s="146"/>
      <c r="R57" s="146"/>
      <c r="S57" s="146"/>
      <c r="T57" s="146"/>
      <c r="U57" s="147"/>
      <c r="W57" s="35" t="str">
        <f>"-- "&amp;C57</f>
        <v>-- セレクト_検査データ_患者背景用登録</v>
      </c>
    </row>
    <row r="58" spans="2:23" ht="18.75" customHeight="1">
      <c r="B58" s="43" t="s">
        <v>159</v>
      </c>
      <c r="C58" s="134" t="str">
        <f>"セレクト_検査データから指定期間のものを、"&amp;R60&amp;"テーブルに格納する。"</f>
        <v>セレクト_検査データから指定期間のものを、セレクト_検査データ_患者背景用テーブルに格納する。</v>
      </c>
      <c r="D58" s="135"/>
      <c r="E58" s="135"/>
      <c r="F58" s="135"/>
      <c r="G58" s="135"/>
      <c r="H58" s="135"/>
      <c r="I58" s="135"/>
      <c r="J58" s="135"/>
      <c r="K58" s="135"/>
      <c r="L58" s="135"/>
      <c r="M58" s="135"/>
      <c r="N58" s="135"/>
      <c r="O58" s="135"/>
      <c r="P58" s="135"/>
      <c r="Q58" s="135"/>
      <c r="R58" s="135"/>
      <c r="S58" s="135"/>
      <c r="T58" s="135"/>
      <c r="U58" s="136"/>
      <c r="W58" s="35" t="str">
        <f>"-- "&amp;C58</f>
        <v>-- セレクト_検査データから指定期間のものを、セレクト_検査データ_患者背景用テーブルに格納する。</v>
      </c>
    </row>
    <row r="60" spans="2:23" ht="18.75" customHeight="1">
      <c r="C60" s="137" t="s">
        <v>4116</v>
      </c>
      <c r="D60" s="138"/>
      <c r="E60" s="143" t="str">
        <f>エンティティ一覧!$O$2</f>
        <v>milscm_2023_010</v>
      </c>
      <c r="F60" s="36"/>
      <c r="G60" s="98"/>
      <c r="H60" s="98"/>
      <c r="I60" s="98"/>
      <c r="J60" s="98"/>
      <c r="K60" s="98"/>
      <c r="L60" s="36"/>
      <c r="M60" s="36"/>
      <c r="N60" s="36"/>
      <c r="O60" s="36"/>
      <c r="R60" s="137" t="s">
        <v>4120</v>
      </c>
      <c r="S60" s="138"/>
      <c r="T60" s="143" t="str">
        <f>エンティティ一覧!$O$2</f>
        <v>milscm_2023_010</v>
      </c>
    </row>
    <row r="61" spans="2:23" ht="18.75" customHeight="1">
      <c r="C61" s="139"/>
      <c r="D61" s="140"/>
      <c r="E61" s="144"/>
      <c r="F61" s="38"/>
      <c r="G61" s="38"/>
      <c r="H61" s="37"/>
      <c r="I61" s="37"/>
      <c r="J61" s="37"/>
      <c r="K61" s="37"/>
      <c r="L61" s="37"/>
      <c r="M61" s="37"/>
      <c r="N61" s="37"/>
      <c r="O61" s="37"/>
      <c r="P61" s="37"/>
      <c r="Q61" s="37"/>
      <c r="R61" s="139"/>
      <c r="S61" s="140"/>
      <c r="T61" s="144"/>
    </row>
    <row r="62" spans="2:23" ht="18.75" customHeight="1">
      <c r="G62" s="41"/>
      <c r="H62" s="98"/>
      <c r="I62" s="98"/>
      <c r="J62" s="98"/>
      <c r="K62" s="98"/>
      <c r="L62" s="98"/>
    </row>
    <row r="63" spans="2:23" ht="18.75" customHeight="1">
      <c r="C63" s="137" t="s">
        <v>4117</v>
      </c>
      <c r="D63" s="138"/>
      <c r="E63" s="143" t="str">
        <f>エンティティ一覧!$O$2</f>
        <v>milscm_2023_010</v>
      </c>
      <c r="F63" s="107"/>
      <c r="G63" s="41"/>
      <c r="H63" s="98"/>
      <c r="I63" s="98"/>
      <c r="J63" s="98"/>
      <c r="K63" s="98"/>
      <c r="L63" s="98"/>
    </row>
    <row r="64" spans="2:23" ht="18.75" customHeight="1">
      <c r="C64" s="139"/>
      <c r="D64" s="140"/>
      <c r="E64" s="144"/>
    </row>
    <row r="65" spans="2:23" ht="18.75" customHeight="1" thickBot="1">
      <c r="B65" s="42"/>
      <c r="C65" s="42"/>
      <c r="D65" s="42"/>
      <c r="E65" s="42"/>
      <c r="F65" s="42"/>
      <c r="G65" s="42"/>
      <c r="H65" s="42"/>
      <c r="I65" s="42"/>
      <c r="J65" s="42"/>
      <c r="K65" s="42"/>
      <c r="L65" s="42"/>
      <c r="M65" s="42"/>
      <c r="N65" s="42"/>
      <c r="O65" s="42"/>
      <c r="P65" s="42"/>
      <c r="Q65" s="42"/>
      <c r="R65" s="42"/>
      <c r="S65" s="42"/>
      <c r="T65" s="42"/>
      <c r="U65" s="42"/>
    </row>
    <row r="67" spans="2:23" ht="18.75" customHeight="1">
      <c r="B67" s="43" t="s">
        <v>163</v>
      </c>
      <c r="C67" s="115" t="s">
        <v>4121</v>
      </c>
      <c r="D67" s="116"/>
      <c r="W67" s="35" t="str">
        <f>"-- "&amp;B67&amp;" : "&amp;C67</f>
        <v>-- SQL_ID : 51_04</v>
      </c>
    </row>
    <row r="68" spans="2:23" ht="18.75" customHeight="1">
      <c r="B68" s="43" t="s">
        <v>158</v>
      </c>
      <c r="C68" s="145" t="str">
        <f>R71&amp;"登録"</f>
        <v>セレクト_検査データ_カリウム登録</v>
      </c>
      <c r="D68" s="146"/>
      <c r="E68" s="146"/>
      <c r="F68" s="146"/>
      <c r="G68" s="146"/>
      <c r="H68" s="146"/>
      <c r="I68" s="146"/>
      <c r="J68" s="146"/>
      <c r="K68" s="146"/>
      <c r="L68" s="146"/>
      <c r="M68" s="146"/>
      <c r="N68" s="146"/>
      <c r="O68" s="146"/>
      <c r="P68" s="146"/>
      <c r="Q68" s="146"/>
      <c r="R68" s="146"/>
      <c r="S68" s="146"/>
      <c r="T68" s="146"/>
      <c r="U68" s="147"/>
      <c r="W68" s="35" t="str">
        <f>"-- "&amp;C68</f>
        <v>-- セレクト_検査データ_カリウム登録</v>
      </c>
    </row>
    <row r="69" spans="2:23" ht="18.75" customHeight="1">
      <c r="B69" s="43" t="s">
        <v>159</v>
      </c>
      <c r="C69" s="134" t="str">
        <f>"セレクト_検査データから指定期間のものを、"&amp;R71&amp;"テーブルに格納する。"</f>
        <v>セレクト_検査データから指定期間のものを、セレクト_検査データ_カリウムテーブルに格納する。</v>
      </c>
      <c r="D69" s="135"/>
      <c r="E69" s="135"/>
      <c r="F69" s="135"/>
      <c r="G69" s="135"/>
      <c r="H69" s="135"/>
      <c r="I69" s="135"/>
      <c r="J69" s="135"/>
      <c r="K69" s="135"/>
      <c r="L69" s="135"/>
      <c r="M69" s="135"/>
      <c r="N69" s="135"/>
      <c r="O69" s="135"/>
      <c r="P69" s="135"/>
      <c r="Q69" s="135"/>
      <c r="R69" s="135"/>
      <c r="S69" s="135"/>
      <c r="T69" s="135"/>
      <c r="U69" s="136"/>
      <c r="W69" s="35" t="str">
        <f>"-- "&amp;C69</f>
        <v>-- セレクト_検査データから指定期間のものを、セレクト_検査データ_カリウムテーブルに格納する。</v>
      </c>
    </row>
    <row r="71" spans="2:23" ht="18.75" customHeight="1">
      <c r="C71" s="137" t="s">
        <v>4116</v>
      </c>
      <c r="D71" s="138"/>
      <c r="E71" s="143" t="str">
        <f>エンティティ一覧!$O$2</f>
        <v>milscm_2023_010</v>
      </c>
      <c r="F71" s="36"/>
      <c r="G71" s="98"/>
      <c r="H71" s="98"/>
      <c r="I71" s="98"/>
      <c r="J71" s="98"/>
      <c r="K71" s="98"/>
      <c r="L71" s="36"/>
      <c r="M71" s="36"/>
      <c r="N71" s="36"/>
      <c r="O71" s="36"/>
      <c r="R71" s="137" t="s">
        <v>4122</v>
      </c>
      <c r="S71" s="138"/>
      <c r="T71" s="143" t="str">
        <f>エンティティ一覧!$O$2</f>
        <v>milscm_2023_010</v>
      </c>
    </row>
    <row r="72" spans="2:23" ht="18.75" customHeight="1">
      <c r="C72" s="139"/>
      <c r="D72" s="140"/>
      <c r="E72" s="144"/>
      <c r="F72" s="38"/>
      <c r="G72" s="38"/>
      <c r="H72" s="37"/>
      <c r="I72" s="37"/>
      <c r="J72" s="37"/>
      <c r="K72" s="37"/>
      <c r="L72" s="37"/>
      <c r="M72" s="37"/>
      <c r="N72" s="37"/>
      <c r="O72" s="37"/>
      <c r="P72" s="37"/>
      <c r="Q72" s="37"/>
      <c r="R72" s="139"/>
      <c r="S72" s="140"/>
      <c r="T72" s="144"/>
    </row>
    <row r="73" spans="2:23" ht="18.75" customHeight="1">
      <c r="G73" s="41"/>
      <c r="H73" s="98"/>
      <c r="I73" s="98"/>
      <c r="J73" s="98"/>
      <c r="K73" s="98"/>
      <c r="L73" s="98"/>
    </row>
    <row r="74" spans="2:23" ht="18.75" customHeight="1">
      <c r="C74" s="137" t="s">
        <v>4117</v>
      </c>
      <c r="D74" s="138"/>
      <c r="E74" s="143" t="str">
        <f>エンティティ一覧!$O$2</f>
        <v>milscm_2023_010</v>
      </c>
      <c r="F74" s="107"/>
      <c r="G74" s="41"/>
      <c r="H74" s="98"/>
      <c r="I74" s="98"/>
      <c r="J74" s="98"/>
      <c r="K74" s="98"/>
      <c r="L74" s="98"/>
    </row>
    <row r="75" spans="2:23" ht="18.75" customHeight="1">
      <c r="C75" s="139"/>
      <c r="D75" s="140"/>
      <c r="E75" s="144"/>
    </row>
    <row r="76" spans="2:23" ht="18.75" customHeight="1" thickBot="1">
      <c r="B76" s="42"/>
      <c r="C76" s="42"/>
      <c r="D76" s="42"/>
      <c r="E76" s="42"/>
      <c r="F76" s="42"/>
      <c r="G76" s="42"/>
      <c r="H76" s="42"/>
      <c r="I76" s="42"/>
      <c r="J76" s="42"/>
      <c r="K76" s="42"/>
      <c r="L76" s="42"/>
      <c r="M76" s="42"/>
      <c r="N76" s="42"/>
      <c r="O76" s="42"/>
      <c r="P76" s="42"/>
      <c r="Q76" s="42"/>
      <c r="R76" s="42"/>
      <c r="S76" s="42"/>
      <c r="T76" s="42"/>
      <c r="U76" s="42"/>
    </row>
    <row r="78" spans="2:23" ht="18.75" customHeight="1">
      <c r="B78" s="43" t="s">
        <v>163</v>
      </c>
      <c r="C78" s="115" t="s">
        <v>4123</v>
      </c>
      <c r="D78" s="116"/>
      <c r="W78" s="35" t="str">
        <f>"-- "&amp;B78&amp;" : "&amp;C78</f>
        <v>-- SQL_ID : 51_05</v>
      </c>
    </row>
    <row r="79" spans="2:23" ht="18.75" customHeight="1">
      <c r="B79" s="43" t="s">
        <v>158</v>
      </c>
      <c r="C79" s="145" t="str">
        <f>R82&amp;"登録"</f>
        <v>セレクト_併用薬データ_患者背景用登録</v>
      </c>
      <c r="D79" s="146"/>
      <c r="E79" s="146"/>
      <c r="F79" s="146"/>
      <c r="G79" s="146"/>
      <c r="H79" s="146"/>
      <c r="I79" s="146"/>
      <c r="J79" s="146"/>
      <c r="K79" s="146"/>
      <c r="L79" s="146"/>
      <c r="M79" s="146"/>
      <c r="N79" s="146"/>
      <c r="O79" s="146"/>
      <c r="P79" s="146"/>
      <c r="Q79" s="146"/>
      <c r="R79" s="146"/>
      <c r="S79" s="146"/>
      <c r="T79" s="146"/>
      <c r="U79" s="147"/>
      <c r="W79" s="35" t="str">
        <f>"-- "&amp;C79</f>
        <v>-- セレクト_併用薬データ_患者背景用登録</v>
      </c>
    </row>
    <row r="80" spans="2:23" ht="18.75" customHeight="1">
      <c r="B80" s="43" t="s">
        <v>159</v>
      </c>
      <c r="C80" s="134" t="str">
        <f>"セレクト_患者データから指定表示名のものをフラグ設定し、"&amp;R82&amp;"テーブルに格納する。"</f>
        <v>セレクト_患者データから指定表示名のものをフラグ設定し、セレクト_併用薬データ_患者背景用テーブルに格納する。</v>
      </c>
      <c r="D80" s="135"/>
      <c r="E80" s="135"/>
      <c r="F80" s="135"/>
      <c r="G80" s="135"/>
      <c r="H80" s="135"/>
      <c r="I80" s="135"/>
      <c r="J80" s="135"/>
      <c r="K80" s="135"/>
      <c r="L80" s="135"/>
      <c r="M80" s="135"/>
      <c r="N80" s="135"/>
      <c r="O80" s="135"/>
      <c r="P80" s="135"/>
      <c r="Q80" s="135"/>
      <c r="R80" s="135"/>
      <c r="S80" s="135"/>
      <c r="T80" s="135"/>
      <c r="U80" s="136"/>
      <c r="W80" s="35" t="str">
        <f>"-- "&amp;C80</f>
        <v>-- セレクト_患者データから指定表示名のものをフラグ設定し、セレクト_併用薬データ_患者背景用テーブルに格納する。</v>
      </c>
    </row>
    <row r="82" spans="3:20" ht="18.75" customHeight="1">
      <c r="C82" s="137" t="s">
        <v>4117</v>
      </c>
      <c r="D82" s="138"/>
      <c r="E82" s="143" t="str">
        <f>エンティティ一覧!$O$2</f>
        <v>milscm_2023_010</v>
      </c>
      <c r="F82" s="36"/>
      <c r="G82" s="98"/>
      <c r="H82" s="98"/>
      <c r="I82" s="98"/>
      <c r="J82" s="98"/>
      <c r="K82" s="98"/>
      <c r="L82" s="36"/>
      <c r="M82" s="36"/>
      <c r="N82" s="36"/>
      <c r="O82" s="36"/>
      <c r="R82" s="137" t="s">
        <v>4124</v>
      </c>
      <c r="S82" s="138"/>
      <c r="T82" s="143" t="str">
        <f>エンティティ一覧!$O$2</f>
        <v>milscm_2023_010</v>
      </c>
    </row>
    <row r="83" spans="3:20" ht="18.75" customHeight="1">
      <c r="C83" s="139"/>
      <c r="D83" s="140"/>
      <c r="E83" s="144"/>
      <c r="F83" s="38"/>
      <c r="G83" s="37"/>
      <c r="H83" s="37"/>
      <c r="I83" s="37"/>
      <c r="J83" s="37"/>
      <c r="K83" s="101"/>
      <c r="L83" s="37"/>
      <c r="M83" s="37"/>
      <c r="N83" s="37"/>
      <c r="O83" s="37"/>
      <c r="P83" s="37"/>
      <c r="Q83" s="37"/>
      <c r="R83" s="139"/>
      <c r="S83" s="140"/>
      <c r="T83" s="144"/>
    </row>
    <row r="84" spans="3:20" ht="18.75" customHeight="1">
      <c r="C84" s="99"/>
      <c r="D84" s="99"/>
      <c r="E84" s="99"/>
      <c r="F84" s="98"/>
      <c r="G84" s="98"/>
      <c r="H84" s="98"/>
      <c r="I84" s="98"/>
      <c r="J84" s="98"/>
      <c r="K84" s="102"/>
      <c r="L84" s="98"/>
      <c r="M84" s="98"/>
      <c r="N84" s="98"/>
      <c r="O84" s="98"/>
      <c r="P84" s="98"/>
      <c r="Q84" s="98"/>
      <c r="R84" s="99"/>
      <c r="S84" s="99"/>
      <c r="T84" s="99"/>
    </row>
    <row r="85" spans="3:20" ht="18.75" customHeight="1">
      <c r="C85" s="137" t="s">
        <v>4295</v>
      </c>
      <c r="D85" s="138"/>
      <c r="E85" s="143" t="str">
        <f>エンティティ一覧!$O$2</f>
        <v>milscm_2023_010</v>
      </c>
      <c r="F85" s="36"/>
      <c r="G85" s="98"/>
      <c r="H85" s="98"/>
      <c r="I85" s="36"/>
      <c r="J85" s="36"/>
      <c r="K85" s="103"/>
      <c r="L85" s="98"/>
      <c r="M85" s="98"/>
      <c r="N85" s="98"/>
      <c r="O85" s="98"/>
      <c r="P85" s="98"/>
      <c r="Q85" s="98"/>
      <c r="R85" s="99"/>
      <c r="S85" s="99"/>
      <c r="T85" s="99"/>
    </row>
    <row r="86" spans="3:20" ht="18.75" customHeight="1">
      <c r="C86" s="139"/>
      <c r="D86" s="140"/>
      <c r="E86" s="144"/>
      <c r="F86" s="100"/>
      <c r="G86" s="37"/>
      <c r="H86" s="37"/>
      <c r="I86" s="98"/>
      <c r="J86" s="98"/>
      <c r="K86" s="98"/>
      <c r="L86" s="98"/>
      <c r="M86" s="98"/>
      <c r="N86" s="98"/>
      <c r="O86" s="98"/>
      <c r="P86" s="98"/>
      <c r="Q86" s="98"/>
      <c r="R86" s="99"/>
      <c r="S86" s="99"/>
      <c r="T86" s="99"/>
    </row>
    <row r="87" spans="3:20" ht="18.75" customHeight="1">
      <c r="C87" s="99"/>
      <c r="D87" s="99"/>
      <c r="E87" s="99"/>
      <c r="F87" s="102"/>
      <c r="G87" s="98"/>
      <c r="H87" s="98"/>
      <c r="I87" s="98"/>
      <c r="J87" s="98"/>
      <c r="K87" s="98"/>
      <c r="L87" s="98"/>
      <c r="M87" s="98"/>
      <c r="N87" s="98"/>
      <c r="O87" s="98"/>
      <c r="P87" s="98"/>
      <c r="Q87" s="98"/>
      <c r="R87" s="99"/>
      <c r="S87" s="99"/>
      <c r="T87" s="99"/>
    </row>
    <row r="88" spans="3:20" ht="18.75" customHeight="1">
      <c r="C88" s="137" t="s">
        <v>4114</v>
      </c>
      <c r="D88" s="138"/>
      <c r="E88" s="143" t="str">
        <f>エンティティ一覧!$O$2</f>
        <v>milscm_2023_010</v>
      </c>
      <c r="F88" s="103"/>
      <c r="G88" s="98"/>
      <c r="H88" s="98"/>
      <c r="I88" s="98"/>
      <c r="J88" s="98"/>
      <c r="K88" s="98"/>
      <c r="L88" s="98"/>
      <c r="M88" s="98"/>
      <c r="N88" s="98"/>
      <c r="O88" s="98"/>
      <c r="P88" s="98"/>
      <c r="Q88" s="98"/>
      <c r="R88" s="99"/>
      <c r="S88" s="99"/>
      <c r="T88" s="99"/>
    </row>
    <row r="89" spans="3:20" ht="18.75" customHeight="1">
      <c r="C89" s="139"/>
      <c r="D89" s="140"/>
      <c r="E89" s="144"/>
      <c r="F89" s="98"/>
      <c r="G89" s="98"/>
      <c r="H89" s="98"/>
      <c r="I89" s="98"/>
      <c r="J89" s="98"/>
      <c r="K89" s="98"/>
      <c r="L89" s="98"/>
      <c r="M89" s="98"/>
      <c r="N89" s="98"/>
      <c r="O89" s="98"/>
      <c r="P89" s="98"/>
      <c r="Q89" s="98"/>
      <c r="R89" s="99"/>
      <c r="S89" s="99"/>
      <c r="T89" s="99"/>
    </row>
    <row r="90" spans="3:20" ht="18.75" customHeight="1">
      <c r="C90" s="99"/>
      <c r="D90" s="99"/>
      <c r="E90" s="99"/>
      <c r="F90" s="98"/>
      <c r="G90" s="98"/>
      <c r="H90" s="98"/>
      <c r="I90" s="98"/>
      <c r="J90" s="98"/>
      <c r="K90" s="98"/>
      <c r="L90" s="98"/>
      <c r="M90" s="98"/>
      <c r="N90" s="98"/>
      <c r="O90" s="98"/>
      <c r="P90" s="98"/>
      <c r="Q90" s="98"/>
      <c r="R90" s="99"/>
      <c r="S90" s="99"/>
      <c r="T90" s="99"/>
    </row>
    <row r="91" spans="3:20" ht="18.75" customHeight="1">
      <c r="C91" s="99"/>
      <c r="D91" s="99"/>
      <c r="E91" s="99"/>
      <c r="F91" s="98"/>
      <c r="G91" s="98"/>
      <c r="H91" s="98"/>
      <c r="I91" s="98"/>
      <c r="J91" s="98"/>
      <c r="K91" s="98"/>
      <c r="L91" s="98"/>
      <c r="M91" s="98"/>
      <c r="N91" s="98"/>
      <c r="O91" s="98"/>
      <c r="P91" s="98"/>
      <c r="Q91" s="98"/>
      <c r="R91" s="99"/>
      <c r="S91" s="99"/>
      <c r="T91" s="99"/>
    </row>
    <row r="92" spans="3:20" ht="18.75" customHeight="1">
      <c r="C92" s="99"/>
      <c r="D92" s="99"/>
      <c r="E92" s="99"/>
      <c r="F92" s="98"/>
      <c r="G92" s="98"/>
      <c r="H92" s="98"/>
      <c r="I92" s="98"/>
      <c r="J92" s="98"/>
      <c r="K92" s="98"/>
      <c r="L92" s="98"/>
      <c r="M92" s="98"/>
      <c r="N92" s="98"/>
      <c r="O92" s="98"/>
      <c r="P92" s="98"/>
      <c r="Q92" s="98"/>
      <c r="R92" s="99"/>
      <c r="S92" s="99"/>
      <c r="T92" s="99"/>
    </row>
    <row r="93" spans="3:20" ht="18.75" customHeight="1">
      <c r="C93" s="99"/>
      <c r="D93" s="99"/>
      <c r="E93" s="99"/>
      <c r="F93" s="98"/>
      <c r="G93" s="98"/>
      <c r="H93" s="98"/>
      <c r="I93" s="98"/>
      <c r="J93" s="98"/>
      <c r="K93" s="98"/>
      <c r="L93" s="98"/>
      <c r="M93" s="98"/>
      <c r="N93" s="98"/>
      <c r="O93" s="98"/>
      <c r="P93" s="98"/>
      <c r="Q93" s="98"/>
      <c r="R93" s="99"/>
      <c r="S93" s="99"/>
      <c r="T93" s="99"/>
    </row>
    <row r="94" spans="3:20" ht="18.75" customHeight="1">
      <c r="C94" s="99"/>
      <c r="D94" s="99"/>
      <c r="E94" s="99"/>
      <c r="F94" s="98"/>
      <c r="G94" s="98"/>
      <c r="H94" s="98"/>
      <c r="I94" s="98"/>
      <c r="J94" s="98"/>
      <c r="K94" s="98"/>
      <c r="L94" s="98"/>
      <c r="M94" s="98"/>
      <c r="N94" s="98"/>
      <c r="O94" s="98"/>
      <c r="P94" s="98"/>
      <c r="Q94" s="98"/>
      <c r="R94" s="99"/>
      <c r="S94" s="99"/>
      <c r="T94" s="99"/>
    </row>
    <row r="95" spans="3:20" ht="18.75" customHeight="1">
      <c r="C95" s="99"/>
      <c r="D95" s="99"/>
      <c r="E95" s="99"/>
      <c r="F95" s="98"/>
      <c r="G95" s="98"/>
      <c r="H95" s="98"/>
      <c r="I95" s="98"/>
      <c r="J95" s="98"/>
      <c r="K95" s="98"/>
      <c r="L95" s="98"/>
      <c r="M95" s="98"/>
      <c r="N95" s="98"/>
      <c r="O95" s="98"/>
      <c r="P95" s="98"/>
      <c r="Q95" s="98"/>
      <c r="R95" s="99"/>
      <c r="S95" s="99"/>
      <c r="T95" s="99"/>
    </row>
    <row r="96" spans="3:20" ht="18.75" customHeight="1">
      <c r="C96" s="99"/>
      <c r="D96" s="99"/>
      <c r="E96" s="99"/>
      <c r="F96" s="98"/>
      <c r="G96" s="98"/>
      <c r="H96" s="98"/>
      <c r="I96" s="98"/>
      <c r="J96" s="98"/>
      <c r="K96" s="98"/>
      <c r="L96" s="98"/>
      <c r="M96" s="98"/>
      <c r="N96" s="98"/>
      <c r="O96" s="98"/>
      <c r="P96" s="98"/>
      <c r="Q96" s="98"/>
      <c r="R96" s="99"/>
      <c r="S96" s="99"/>
      <c r="T96" s="99"/>
    </row>
    <row r="97" spans="2:23" ht="18.75" customHeight="1">
      <c r="C97" s="99"/>
      <c r="D97" s="99"/>
      <c r="E97" s="99"/>
      <c r="F97" s="98"/>
      <c r="G97" s="98"/>
      <c r="H97" s="98"/>
      <c r="I97" s="98"/>
      <c r="J97" s="98"/>
      <c r="K97" s="98"/>
      <c r="L97" s="98"/>
      <c r="M97" s="98"/>
      <c r="N97" s="98"/>
      <c r="O97" s="98"/>
      <c r="P97" s="98"/>
      <c r="Q97" s="98"/>
      <c r="R97" s="99"/>
      <c r="S97" s="99"/>
      <c r="T97" s="99"/>
    </row>
    <row r="98" spans="2:23" ht="18.75" customHeight="1">
      <c r="C98" s="99"/>
      <c r="D98" s="99"/>
      <c r="E98" s="99"/>
      <c r="F98" s="98"/>
      <c r="G98" s="98"/>
      <c r="H98" s="98"/>
      <c r="I98" s="98"/>
      <c r="J98" s="98"/>
      <c r="K98" s="98"/>
      <c r="L98" s="98"/>
      <c r="M98" s="98"/>
      <c r="N98" s="98"/>
      <c r="O98" s="98"/>
      <c r="P98" s="98"/>
      <c r="Q98" s="98"/>
      <c r="R98" s="99"/>
      <c r="S98" s="99"/>
      <c r="T98" s="99"/>
    </row>
    <row r="99" spans="2:23" ht="18.75" customHeight="1">
      <c r="C99" s="99"/>
      <c r="D99" s="99"/>
      <c r="E99" s="99"/>
      <c r="F99" s="98"/>
      <c r="G99" s="98"/>
      <c r="H99" s="98"/>
      <c r="I99" s="98"/>
      <c r="J99" s="98"/>
      <c r="K99" s="98"/>
      <c r="L99" s="98"/>
      <c r="M99" s="98"/>
      <c r="N99" s="98"/>
      <c r="O99" s="98"/>
      <c r="P99" s="98"/>
      <c r="Q99" s="98"/>
      <c r="R99" s="99"/>
      <c r="S99" s="99"/>
      <c r="T99" s="99"/>
    </row>
    <row r="100" spans="2:23" ht="18.75" customHeight="1" thickBot="1">
      <c r="B100" s="42"/>
      <c r="C100" s="42"/>
      <c r="D100" s="42"/>
      <c r="E100" s="42"/>
      <c r="F100" s="42"/>
      <c r="G100" s="42"/>
      <c r="H100" s="42"/>
      <c r="I100" s="42"/>
      <c r="J100" s="42"/>
      <c r="K100" s="42"/>
      <c r="L100" s="42"/>
      <c r="M100" s="42"/>
      <c r="N100" s="42"/>
      <c r="O100" s="42"/>
      <c r="P100" s="42"/>
      <c r="Q100" s="42"/>
      <c r="R100" s="42"/>
      <c r="S100" s="42"/>
      <c r="T100" s="42"/>
      <c r="U100" s="42"/>
    </row>
    <row r="102" spans="2:23" ht="18.75" customHeight="1">
      <c r="B102" s="43" t="s">
        <v>163</v>
      </c>
      <c r="C102" s="115" t="s">
        <v>4125</v>
      </c>
      <c r="D102" s="116"/>
      <c r="W102" s="35" t="str">
        <f>"-- "&amp;B102&amp;" : "&amp;C102</f>
        <v>-- SQL_ID : 51_06</v>
      </c>
    </row>
    <row r="103" spans="2:23" ht="18.75" customHeight="1">
      <c r="B103" s="43" t="s">
        <v>158</v>
      </c>
      <c r="C103" s="145" t="str">
        <f>R106&amp;"登録"</f>
        <v>セレクト_合併症有無_CKD_患者背景用登録</v>
      </c>
      <c r="D103" s="146"/>
      <c r="E103" s="146"/>
      <c r="F103" s="146"/>
      <c r="G103" s="146"/>
      <c r="H103" s="146"/>
      <c r="I103" s="146"/>
      <c r="J103" s="146"/>
      <c r="K103" s="146"/>
      <c r="L103" s="146"/>
      <c r="M103" s="146"/>
      <c r="N103" s="146"/>
      <c r="O103" s="146"/>
      <c r="P103" s="146"/>
      <c r="Q103" s="146"/>
      <c r="R103" s="146"/>
      <c r="S103" s="146"/>
      <c r="T103" s="146"/>
      <c r="U103" s="147"/>
      <c r="W103" s="35" t="str">
        <f>"-- "&amp;C103</f>
        <v>-- セレクト_合併症有無_CKD_患者背景用登録</v>
      </c>
    </row>
    <row r="104" spans="2:23" ht="18.75" customHeight="1">
      <c r="B104" s="43" t="s">
        <v>159</v>
      </c>
      <c r="C104" s="134" t="str">
        <f>"セレクト_患者データから指定条件のものを、"&amp;R106&amp;"テーブルに格納する。"</f>
        <v>セレクト_患者データから指定条件のものを、セレクト_合併症有無_CKD_患者背景用テーブルに格納する。</v>
      </c>
      <c r="D104" s="135"/>
      <c r="E104" s="135"/>
      <c r="F104" s="135"/>
      <c r="G104" s="135"/>
      <c r="H104" s="135"/>
      <c r="I104" s="135"/>
      <c r="J104" s="135"/>
      <c r="K104" s="135"/>
      <c r="L104" s="135"/>
      <c r="M104" s="135"/>
      <c r="N104" s="135"/>
      <c r="O104" s="135"/>
      <c r="P104" s="135"/>
      <c r="Q104" s="135"/>
      <c r="R104" s="135"/>
      <c r="S104" s="135"/>
      <c r="T104" s="135"/>
      <c r="U104" s="136"/>
      <c r="W104" s="35" t="str">
        <f>"-- "&amp;C104</f>
        <v>-- セレクト_患者データから指定条件のものを、セレクト_合併症有無_CKD_患者背景用テーブルに格納する。</v>
      </c>
    </row>
    <row r="106" spans="2:23" ht="18.75" customHeight="1">
      <c r="C106" s="137" t="s">
        <v>4117</v>
      </c>
      <c r="D106" s="138"/>
      <c r="E106" s="143" t="str">
        <f>エンティティ一覧!$O$2</f>
        <v>milscm_2023_010</v>
      </c>
      <c r="F106" s="36"/>
      <c r="G106" s="98"/>
      <c r="H106" s="98"/>
      <c r="I106" s="98"/>
      <c r="J106" s="98"/>
      <c r="K106" s="98"/>
      <c r="L106" s="98"/>
      <c r="M106" s="98"/>
      <c r="N106" s="98"/>
      <c r="O106" s="98"/>
      <c r="R106" s="137" t="s">
        <v>4127</v>
      </c>
      <c r="S106" s="138"/>
      <c r="T106" s="143" t="str">
        <f>エンティティ一覧!$O$2</f>
        <v>milscm_2023_010</v>
      </c>
    </row>
    <row r="107" spans="2:23" ht="18.75" customHeight="1">
      <c r="C107" s="139"/>
      <c r="D107" s="140"/>
      <c r="E107" s="144"/>
      <c r="F107" s="38"/>
      <c r="G107" s="37"/>
      <c r="H107" s="37"/>
      <c r="I107" s="37"/>
      <c r="J107" s="37"/>
      <c r="K107" s="37"/>
      <c r="L107" s="37"/>
      <c r="M107" s="37"/>
      <c r="N107" s="37"/>
      <c r="O107" s="37"/>
      <c r="P107" s="101"/>
      <c r="Q107" s="37"/>
      <c r="R107" s="139"/>
      <c r="S107" s="140"/>
      <c r="T107" s="144"/>
    </row>
    <row r="108" spans="2:23" ht="18.75" customHeight="1">
      <c r="C108" s="99"/>
      <c r="D108" s="99"/>
      <c r="E108" s="99"/>
      <c r="F108" s="98"/>
      <c r="G108" s="98"/>
      <c r="H108" s="98"/>
      <c r="I108" s="98"/>
      <c r="J108" s="98"/>
      <c r="K108" s="98"/>
      <c r="L108" s="98"/>
      <c r="M108" s="98"/>
      <c r="N108" s="98"/>
      <c r="O108" s="98"/>
      <c r="P108" s="102"/>
      <c r="Q108" s="98"/>
      <c r="R108" s="99"/>
      <c r="S108" s="99"/>
      <c r="T108" s="99"/>
    </row>
    <row r="109" spans="2:23" ht="18.75" customHeight="1">
      <c r="C109" s="137" t="s">
        <v>4120</v>
      </c>
      <c r="D109" s="138"/>
      <c r="E109" s="143" t="str">
        <f>エンティティ一覧!$O$2</f>
        <v>milscm_2023_010</v>
      </c>
      <c r="F109" s="36"/>
      <c r="G109" s="98"/>
      <c r="H109" s="98"/>
      <c r="I109" s="98"/>
      <c r="J109" s="98"/>
      <c r="K109" s="98"/>
      <c r="L109" s="36"/>
      <c r="M109" s="36"/>
      <c r="N109" s="36"/>
      <c r="O109" s="36"/>
      <c r="P109" s="103"/>
      <c r="Q109" s="98"/>
      <c r="R109" s="99"/>
      <c r="S109" s="99"/>
      <c r="T109" s="99"/>
    </row>
    <row r="110" spans="2:23" ht="18.75" customHeight="1">
      <c r="C110" s="139"/>
      <c r="D110" s="140"/>
      <c r="E110" s="144"/>
      <c r="F110" s="38"/>
      <c r="G110" s="37"/>
      <c r="H110" s="37"/>
      <c r="I110" s="37"/>
      <c r="J110" s="37"/>
      <c r="K110" s="101"/>
      <c r="L110" s="98"/>
      <c r="M110" s="98"/>
      <c r="N110" s="98"/>
      <c r="O110" s="98"/>
      <c r="P110" s="98"/>
      <c r="Q110" s="98"/>
      <c r="R110" s="99"/>
      <c r="S110" s="99"/>
      <c r="T110" s="99"/>
    </row>
    <row r="111" spans="2:23" ht="18.75" customHeight="1">
      <c r="C111" s="99"/>
      <c r="D111" s="99"/>
      <c r="E111" s="99"/>
      <c r="F111" s="98"/>
      <c r="G111" s="98"/>
      <c r="H111" s="98"/>
      <c r="I111" s="98"/>
      <c r="J111" s="98"/>
      <c r="K111" s="102"/>
      <c r="L111" s="98"/>
      <c r="M111" s="98"/>
      <c r="N111" s="98"/>
      <c r="O111" s="98"/>
      <c r="P111" s="98"/>
      <c r="Q111" s="98"/>
      <c r="R111" s="99"/>
      <c r="S111" s="99"/>
      <c r="T111" s="99"/>
    </row>
    <row r="112" spans="2:23" ht="18.75" customHeight="1">
      <c r="C112" s="137" t="s">
        <v>4114</v>
      </c>
      <c r="D112" s="138"/>
      <c r="E112" s="143" t="str">
        <f>エンティティ一覧!$O$2</f>
        <v>milscm_2023_010</v>
      </c>
      <c r="F112" s="36"/>
      <c r="G112" s="36"/>
      <c r="H112" s="36"/>
      <c r="I112" s="36"/>
      <c r="J112" s="36"/>
      <c r="K112" s="103"/>
      <c r="L112" s="98"/>
      <c r="M112" s="98"/>
      <c r="N112" s="98"/>
      <c r="O112" s="98"/>
      <c r="P112" s="98"/>
      <c r="Q112" s="98"/>
      <c r="R112" s="99"/>
      <c r="S112" s="99"/>
      <c r="T112" s="99"/>
    </row>
    <row r="113" spans="2:23" ht="18.75" customHeight="1">
      <c r="C113" s="139"/>
      <c r="D113" s="140"/>
      <c r="E113" s="144"/>
      <c r="F113" s="98"/>
      <c r="G113" s="98"/>
      <c r="H113" s="98"/>
      <c r="I113" s="98"/>
      <c r="J113" s="98"/>
      <c r="K113" s="98"/>
      <c r="L113" s="98"/>
      <c r="M113" s="98"/>
      <c r="N113" s="98"/>
      <c r="O113" s="98"/>
      <c r="P113" s="98"/>
      <c r="Q113" s="98"/>
      <c r="R113" s="99"/>
      <c r="S113" s="99"/>
      <c r="T113" s="99"/>
    </row>
    <row r="114" spans="2:23" ht="18.75" customHeight="1" thickBot="1">
      <c r="B114" s="42"/>
      <c r="C114" s="42"/>
      <c r="D114" s="42"/>
      <c r="E114" s="42"/>
      <c r="F114" s="42"/>
      <c r="G114" s="42"/>
      <c r="H114" s="42"/>
      <c r="I114" s="42"/>
      <c r="J114" s="42"/>
      <c r="K114" s="42"/>
      <c r="L114" s="42"/>
      <c r="M114" s="42"/>
      <c r="N114" s="42"/>
      <c r="O114" s="42"/>
      <c r="P114" s="42"/>
      <c r="Q114" s="42"/>
      <c r="R114" s="42"/>
      <c r="S114" s="42"/>
      <c r="T114" s="42"/>
      <c r="U114" s="42"/>
    </row>
    <row r="116" spans="2:23" ht="18.75" customHeight="1">
      <c r="B116" s="43" t="s">
        <v>163</v>
      </c>
      <c r="C116" s="115" t="s">
        <v>4126</v>
      </c>
      <c r="D116" s="116"/>
      <c r="W116" s="35" t="str">
        <f>"-- "&amp;B116&amp;" : "&amp;C116</f>
        <v>-- SQL_ID : 51_07</v>
      </c>
    </row>
    <row r="117" spans="2:23" ht="18.75" customHeight="1">
      <c r="B117" s="43" t="s">
        <v>158</v>
      </c>
      <c r="C117" s="145" t="str">
        <f>R120&amp;"登録"</f>
        <v>セレクト_合併症有無_CKD以外_患者背景用登録</v>
      </c>
      <c r="D117" s="146"/>
      <c r="E117" s="146"/>
      <c r="F117" s="146"/>
      <c r="G117" s="146"/>
      <c r="H117" s="146"/>
      <c r="I117" s="146"/>
      <c r="J117" s="146"/>
      <c r="K117" s="146"/>
      <c r="L117" s="146"/>
      <c r="M117" s="146"/>
      <c r="N117" s="146"/>
      <c r="O117" s="146"/>
      <c r="P117" s="146"/>
      <c r="Q117" s="146"/>
      <c r="R117" s="146"/>
      <c r="S117" s="146"/>
      <c r="T117" s="146"/>
      <c r="U117" s="147"/>
      <c r="W117" s="35" t="str">
        <f>"-- "&amp;C117</f>
        <v>-- セレクト_合併症有無_CKD以外_患者背景用登録</v>
      </c>
    </row>
    <row r="118" spans="2:23" ht="18.75" customHeight="1">
      <c r="B118" s="43" t="s">
        <v>159</v>
      </c>
      <c r="C118" s="134" t="str">
        <f>"セレクト_患者データから指定条件のものを、"&amp;R120&amp;"テーブルに格納する。"</f>
        <v>セレクト_患者データから指定条件のものを、セレクト_合併症有無_CKD以外_患者背景用テーブルに格納する。</v>
      </c>
      <c r="D118" s="135"/>
      <c r="E118" s="135"/>
      <c r="F118" s="135"/>
      <c r="G118" s="135"/>
      <c r="H118" s="135"/>
      <c r="I118" s="135"/>
      <c r="J118" s="135"/>
      <c r="K118" s="135"/>
      <c r="L118" s="135"/>
      <c r="M118" s="135"/>
      <c r="N118" s="135"/>
      <c r="O118" s="135"/>
      <c r="P118" s="135"/>
      <c r="Q118" s="135"/>
      <c r="R118" s="135"/>
      <c r="S118" s="135"/>
      <c r="T118" s="135"/>
      <c r="U118" s="136"/>
      <c r="W118" s="35" t="str">
        <f>"-- "&amp;C118</f>
        <v>-- セレクト_患者データから指定条件のものを、セレクト_合併症有無_CKD以外_患者背景用テーブルに格納する。</v>
      </c>
    </row>
    <row r="120" spans="2:23" ht="18.75" customHeight="1">
      <c r="C120" s="137" t="s">
        <v>4117</v>
      </c>
      <c r="D120" s="138"/>
      <c r="E120" s="143" t="str">
        <f>エンティティ一覧!$O$2</f>
        <v>milscm_2023_010</v>
      </c>
      <c r="F120" s="36"/>
      <c r="G120" s="98"/>
      <c r="H120" s="98"/>
      <c r="I120" s="98"/>
      <c r="J120" s="98"/>
      <c r="K120" s="98"/>
      <c r="L120" s="98"/>
      <c r="M120" s="98"/>
      <c r="N120" s="98"/>
      <c r="O120" s="98"/>
      <c r="R120" s="137" t="s">
        <v>4128</v>
      </c>
      <c r="S120" s="138"/>
      <c r="T120" s="143" t="str">
        <f>エンティティ一覧!$O$2</f>
        <v>milscm_2023_010</v>
      </c>
    </row>
    <row r="121" spans="2:23" ht="18.75" customHeight="1">
      <c r="C121" s="139"/>
      <c r="D121" s="140"/>
      <c r="E121" s="144"/>
      <c r="F121" s="38"/>
      <c r="G121" s="37"/>
      <c r="H121" s="37"/>
      <c r="I121" s="37"/>
      <c r="J121" s="37"/>
      <c r="K121" s="37"/>
      <c r="L121" s="38"/>
      <c r="M121" s="37"/>
      <c r="N121" s="37"/>
      <c r="O121" s="37"/>
      <c r="P121" s="37"/>
      <c r="Q121" s="37"/>
      <c r="R121" s="139"/>
      <c r="S121" s="140"/>
      <c r="T121" s="144"/>
    </row>
    <row r="122" spans="2:23" ht="18.75" customHeight="1">
      <c r="C122" s="99"/>
      <c r="D122" s="99"/>
      <c r="E122" s="99"/>
      <c r="F122" s="98"/>
      <c r="G122" s="98"/>
      <c r="H122" s="98"/>
      <c r="I122" s="98"/>
      <c r="J122" s="98"/>
      <c r="K122" s="98"/>
      <c r="L122" s="41"/>
      <c r="M122" s="98"/>
      <c r="N122" s="98"/>
      <c r="O122" s="98"/>
      <c r="P122" s="98"/>
      <c r="Q122" s="98"/>
      <c r="R122" s="99"/>
      <c r="S122" s="99"/>
      <c r="T122" s="99"/>
    </row>
    <row r="123" spans="2:23" ht="18.75" customHeight="1">
      <c r="C123" s="137" t="s">
        <v>4097</v>
      </c>
      <c r="D123" s="138"/>
      <c r="E123" s="143" t="str">
        <f>エンティティ一覧!$O$2</f>
        <v>milscm_2023_010</v>
      </c>
      <c r="F123" s="36"/>
      <c r="G123" s="98"/>
      <c r="H123" s="98"/>
      <c r="I123" s="98"/>
      <c r="J123" s="98"/>
      <c r="K123" s="98"/>
      <c r="L123" s="41"/>
      <c r="M123" s="98"/>
      <c r="N123" s="98"/>
      <c r="O123" s="98"/>
      <c r="P123" s="98"/>
      <c r="Q123" s="98"/>
      <c r="R123" s="99"/>
      <c r="S123" s="99"/>
      <c r="T123" s="99"/>
    </row>
    <row r="124" spans="2:23" ht="18.75" customHeight="1">
      <c r="C124" s="139"/>
      <c r="D124" s="140"/>
      <c r="E124" s="144"/>
      <c r="F124" s="38"/>
      <c r="G124" s="38"/>
      <c r="H124" s="37"/>
      <c r="I124" s="37"/>
      <c r="J124" s="37"/>
      <c r="K124" s="37"/>
      <c r="L124" s="98"/>
      <c r="M124" s="98"/>
      <c r="N124" s="98"/>
      <c r="O124" s="98"/>
      <c r="P124" s="98"/>
      <c r="Q124" s="98"/>
      <c r="R124" s="99"/>
      <c r="S124" s="99"/>
      <c r="T124" s="99"/>
    </row>
    <row r="125" spans="2:23" ht="18.75" customHeight="1">
      <c r="C125" s="99"/>
      <c r="D125" s="99"/>
      <c r="E125" s="99"/>
      <c r="F125" s="98"/>
      <c r="G125" s="41"/>
      <c r="H125" s="98"/>
      <c r="I125" s="98"/>
      <c r="J125" s="98"/>
      <c r="K125" s="98"/>
      <c r="L125" s="98"/>
      <c r="M125" s="98"/>
      <c r="N125" s="98"/>
      <c r="O125" s="98"/>
      <c r="P125" s="98"/>
      <c r="Q125" s="98"/>
      <c r="R125" s="99"/>
      <c r="S125" s="99"/>
      <c r="T125" s="99"/>
    </row>
    <row r="126" spans="2:23" ht="18.75" customHeight="1">
      <c r="C126" s="137" t="s">
        <v>4114</v>
      </c>
      <c r="D126" s="138"/>
      <c r="E126" s="143" t="str">
        <f>エンティティ一覧!$O$2</f>
        <v>milscm_2023_010</v>
      </c>
      <c r="F126" s="36"/>
      <c r="G126" s="41"/>
      <c r="H126" s="98"/>
      <c r="I126" s="98"/>
      <c r="J126" s="98"/>
      <c r="K126" s="98"/>
      <c r="L126" s="98"/>
      <c r="M126" s="98"/>
      <c r="N126" s="98"/>
      <c r="O126" s="98"/>
      <c r="P126" s="98"/>
      <c r="Q126" s="98"/>
      <c r="R126" s="99"/>
      <c r="S126" s="99"/>
      <c r="T126" s="99"/>
    </row>
    <row r="127" spans="2:23" ht="18.75" customHeight="1">
      <c r="C127" s="139"/>
      <c r="D127" s="140"/>
      <c r="E127" s="144"/>
      <c r="F127" s="98"/>
      <c r="G127" s="98"/>
      <c r="H127" s="98"/>
      <c r="I127" s="98"/>
      <c r="J127" s="98"/>
      <c r="K127" s="98"/>
      <c r="L127" s="98"/>
      <c r="M127" s="98"/>
      <c r="N127" s="98"/>
      <c r="O127" s="98"/>
      <c r="P127" s="98"/>
      <c r="Q127" s="98"/>
      <c r="R127" s="99"/>
      <c r="S127" s="99"/>
      <c r="T127" s="99"/>
    </row>
    <row r="128" spans="2:23" ht="18.75" customHeight="1">
      <c r="C128" s="99"/>
      <c r="D128" s="99"/>
      <c r="E128" s="99"/>
      <c r="F128" s="98"/>
      <c r="G128" s="98"/>
      <c r="H128" s="98"/>
      <c r="I128" s="98"/>
      <c r="J128" s="98"/>
      <c r="K128" s="98"/>
      <c r="L128" s="98"/>
      <c r="M128" s="98"/>
      <c r="N128" s="98"/>
      <c r="O128" s="98"/>
      <c r="P128" s="98"/>
      <c r="Q128" s="98"/>
      <c r="R128" s="99"/>
      <c r="S128" s="99"/>
      <c r="T128" s="99"/>
    </row>
    <row r="129" spans="2:23" ht="18.75" customHeight="1" thickBot="1">
      <c r="B129" s="42"/>
      <c r="C129" s="42"/>
      <c r="D129" s="42"/>
      <c r="E129" s="42"/>
      <c r="F129" s="42"/>
      <c r="G129" s="42"/>
      <c r="H129" s="42"/>
      <c r="I129" s="42"/>
      <c r="J129" s="42"/>
      <c r="K129" s="42"/>
      <c r="L129" s="42"/>
      <c r="M129" s="42"/>
      <c r="N129" s="42"/>
      <c r="O129" s="42"/>
      <c r="P129" s="42"/>
      <c r="Q129" s="42"/>
      <c r="R129" s="42"/>
      <c r="S129" s="42"/>
      <c r="T129" s="42"/>
      <c r="U129" s="42"/>
    </row>
    <row r="131" spans="2:23" ht="18.75" customHeight="1">
      <c r="B131" s="43" t="s">
        <v>163</v>
      </c>
      <c r="C131" s="115" t="s">
        <v>4129</v>
      </c>
      <c r="D131" s="116"/>
      <c r="W131" s="35" t="str">
        <f>"-- "&amp;B131&amp;" : "&amp;C131</f>
        <v>-- SQL_ID : 51_08</v>
      </c>
    </row>
    <row r="132" spans="2:23" ht="18.75" customHeight="1">
      <c r="B132" s="43" t="s">
        <v>158</v>
      </c>
      <c r="C132" s="145" t="str">
        <f>R135&amp;"登録"</f>
        <v>セレクト_透析有無_患者背景用登録</v>
      </c>
      <c r="D132" s="146"/>
      <c r="E132" s="146"/>
      <c r="F132" s="146"/>
      <c r="G132" s="146"/>
      <c r="H132" s="146"/>
      <c r="I132" s="146"/>
      <c r="J132" s="146"/>
      <c r="K132" s="146"/>
      <c r="L132" s="146"/>
      <c r="M132" s="146"/>
      <c r="N132" s="146"/>
      <c r="O132" s="146"/>
      <c r="P132" s="146"/>
      <c r="Q132" s="146"/>
      <c r="R132" s="146"/>
      <c r="S132" s="146"/>
      <c r="T132" s="146"/>
      <c r="U132" s="147"/>
      <c r="W132" s="35" t="str">
        <f>"-- "&amp;C132</f>
        <v>-- セレクト_透析有無_患者背景用登録</v>
      </c>
    </row>
    <row r="133" spans="2:23" ht="18.75" customHeight="1">
      <c r="B133" s="43" t="s">
        <v>159</v>
      </c>
      <c r="C133" s="134" t="str">
        <f>"セレクト_患者データから指定条件のものを、"&amp;R135&amp;"テーブルに格納する。"</f>
        <v>セレクト_患者データから指定条件のものを、セレクト_透析有無_患者背景用テーブルに格納する。</v>
      </c>
      <c r="D133" s="135"/>
      <c r="E133" s="135"/>
      <c r="F133" s="135"/>
      <c r="G133" s="135"/>
      <c r="H133" s="135"/>
      <c r="I133" s="135"/>
      <c r="J133" s="135"/>
      <c r="K133" s="135"/>
      <c r="L133" s="135"/>
      <c r="M133" s="135"/>
      <c r="N133" s="135"/>
      <c r="O133" s="135"/>
      <c r="P133" s="135"/>
      <c r="Q133" s="135"/>
      <c r="R133" s="135"/>
      <c r="S133" s="135"/>
      <c r="T133" s="135"/>
      <c r="U133" s="136"/>
      <c r="W133" s="35" t="str">
        <f>"-- "&amp;C133</f>
        <v>-- セレクト_患者データから指定条件のものを、セレクト_透析有無_患者背景用テーブルに格納する。</v>
      </c>
    </row>
    <row r="135" spans="2:23" ht="18.75" customHeight="1">
      <c r="C135" s="137" t="s">
        <v>4114</v>
      </c>
      <c r="D135" s="138"/>
      <c r="E135" s="143" t="str">
        <f>エンティティ一覧!$O$2</f>
        <v>milscm_2023_010</v>
      </c>
      <c r="F135" s="36"/>
      <c r="G135" s="98"/>
      <c r="H135" s="98"/>
      <c r="I135" s="98"/>
      <c r="J135" s="98"/>
      <c r="K135" s="98"/>
      <c r="L135" s="98"/>
      <c r="M135" s="98"/>
      <c r="N135" s="98"/>
      <c r="O135" s="98"/>
      <c r="R135" s="137" t="s">
        <v>4130</v>
      </c>
      <c r="S135" s="138"/>
      <c r="T135" s="143" t="str">
        <f>エンティティ一覧!$O$2</f>
        <v>milscm_2023_010</v>
      </c>
    </row>
    <row r="136" spans="2:23" ht="18.75" customHeight="1">
      <c r="C136" s="139"/>
      <c r="D136" s="140"/>
      <c r="E136" s="144"/>
      <c r="F136" s="38"/>
      <c r="G136" s="37"/>
      <c r="H136" s="37"/>
      <c r="I136" s="37"/>
      <c r="J136" s="37"/>
      <c r="K136" s="101"/>
      <c r="L136" s="37"/>
      <c r="M136" s="37"/>
      <c r="N136" s="37"/>
      <c r="O136" s="37"/>
      <c r="P136" s="37"/>
      <c r="Q136" s="37"/>
      <c r="R136" s="139"/>
      <c r="S136" s="140"/>
      <c r="T136" s="144"/>
    </row>
    <row r="137" spans="2:23" ht="18.75" customHeight="1">
      <c r="C137" s="99"/>
      <c r="D137" s="99"/>
      <c r="E137" s="99"/>
      <c r="F137" s="98"/>
      <c r="G137" s="98"/>
      <c r="H137" s="98"/>
      <c r="I137" s="98"/>
      <c r="J137" s="98"/>
      <c r="K137" s="98"/>
      <c r="L137" s="41"/>
      <c r="M137" s="98"/>
      <c r="N137" s="98"/>
      <c r="O137" s="98"/>
      <c r="P137" s="98"/>
      <c r="Q137" s="98"/>
      <c r="R137" s="99"/>
      <c r="S137" s="99"/>
      <c r="T137" s="99"/>
    </row>
    <row r="138" spans="2:23" ht="18.75" customHeight="1">
      <c r="C138" s="137" t="s">
        <v>4108</v>
      </c>
      <c r="D138" s="138"/>
      <c r="E138" s="143" t="str">
        <f>エンティティ一覧!$O$2</f>
        <v>milscm_2023_010</v>
      </c>
      <c r="F138" s="36"/>
      <c r="G138" s="98"/>
      <c r="H138" s="98"/>
      <c r="I138" s="98"/>
      <c r="J138" s="98"/>
      <c r="K138" s="98"/>
      <c r="L138" s="41"/>
      <c r="M138" s="98"/>
      <c r="N138" s="98"/>
      <c r="O138" s="98"/>
      <c r="P138" s="98"/>
      <c r="Q138" s="98"/>
      <c r="R138" s="99"/>
      <c r="S138" s="99"/>
      <c r="T138" s="99"/>
    </row>
    <row r="139" spans="2:23" ht="18.75" customHeight="1">
      <c r="C139" s="139"/>
      <c r="D139" s="140"/>
      <c r="E139" s="144"/>
      <c r="F139" s="38"/>
      <c r="G139" s="38"/>
      <c r="H139" s="37"/>
      <c r="I139" s="37"/>
      <c r="J139" s="37"/>
      <c r="K139" s="37"/>
      <c r="L139" s="98"/>
      <c r="M139" s="98"/>
      <c r="N139" s="98"/>
      <c r="O139" s="98"/>
      <c r="P139" s="98"/>
      <c r="Q139" s="98"/>
      <c r="R139" s="99"/>
      <c r="S139" s="99"/>
      <c r="T139" s="99"/>
    </row>
    <row r="140" spans="2:23" ht="18.75" customHeight="1">
      <c r="C140" s="99"/>
      <c r="D140" s="99"/>
      <c r="E140" s="99"/>
      <c r="F140" s="98"/>
      <c r="G140" s="41"/>
      <c r="H140" s="98"/>
      <c r="I140" s="98"/>
      <c r="J140" s="98"/>
      <c r="K140" s="98"/>
      <c r="L140" s="98"/>
      <c r="M140" s="98"/>
      <c r="N140" s="98"/>
      <c r="O140" s="98"/>
      <c r="P140" s="98"/>
      <c r="Q140" s="98"/>
      <c r="R140" s="99"/>
      <c r="S140" s="99"/>
      <c r="T140" s="99"/>
    </row>
    <row r="141" spans="2:23" ht="18.75" customHeight="1">
      <c r="C141" s="137" t="s">
        <v>4114</v>
      </c>
      <c r="D141" s="138"/>
      <c r="E141" s="143" t="str">
        <f>エンティティ一覧!$O$2</f>
        <v>milscm_2023_010</v>
      </c>
      <c r="F141" s="36"/>
      <c r="G141" s="41"/>
      <c r="H141" s="98"/>
      <c r="I141" s="98"/>
      <c r="J141" s="98"/>
      <c r="K141" s="98"/>
      <c r="L141" s="98"/>
      <c r="M141" s="98"/>
      <c r="N141" s="98"/>
      <c r="O141" s="98"/>
      <c r="P141" s="98"/>
      <c r="Q141" s="98"/>
      <c r="R141" s="99"/>
      <c r="S141" s="99"/>
      <c r="T141" s="99"/>
    </row>
    <row r="142" spans="2:23" ht="18.75" customHeight="1">
      <c r="C142" s="139"/>
      <c r="D142" s="140"/>
      <c r="E142" s="144"/>
      <c r="F142" s="98"/>
      <c r="G142" s="98"/>
      <c r="H142" s="98"/>
      <c r="I142" s="98"/>
      <c r="J142" s="98"/>
      <c r="K142" s="98"/>
      <c r="L142" s="98"/>
      <c r="M142" s="98"/>
      <c r="N142" s="98"/>
      <c r="O142" s="98"/>
      <c r="P142" s="98"/>
      <c r="Q142" s="98"/>
      <c r="R142" s="99"/>
      <c r="S142" s="99"/>
      <c r="T142" s="99"/>
    </row>
    <row r="143" spans="2:23" ht="18.75" customHeight="1">
      <c r="C143" s="99"/>
      <c r="D143" s="99"/>
      <c r="E143" s="99"/>
      <c r="F143" s="98"/>
      <c r="G143" s="98"/>
      <c r="H143" s="98"/>
      <c r="I143" s="98"/>
      <c r="J143" s="98"/>
      <c r="K143" s="98"/>
      <c r="L143" s="98"/>
      <c r="M143" s="98"/>
      <c r="N143" s="98"/>
      <c r="O143" s="98"/>
      <c r="P143" s="98"/>
      <c r="Q143" s="98"/>
      <c r="R143" s="99"/>
      <c r="S143" s="99"/>
      <c r="T143" s="99"/>
    </row>
    <row r="144" spans="2:23" ht="18.75" customHeight="1" thickBot="1">
      <c r="B144" s="42"/>
      <c r="C144" s="42"/>
      <c r="D144" s="42"/>
      <c r="E144" s="42"/>
      <c r="F144" s="42"/>
      <c r="G144" s="42"/>
      <c r="H144" s="42"/>
      <c r="I144" s="42"/>
      <c r="J144" s="42"/>
      <c r="K144" s="42"/>
      <c r="L144" s="42"/>
      <c r="M144" s="42"/>
      <c r="N144" s="42"/>
      <c r="O144" s="42"/>
      <c r="P144" s="42"/>
      <c r="Q144" s="42"/>
      <c r="R144" s="42"/>
      <c r="S144" s="42"/>
      <c r="T144" s="42"/>
      <c r="U144" s="42"/>
    </row>
    <row r="146" spans="2:23" ht="18.75" customHeight="1">
      <c r="B146" s="43" t="s">
        <v>163</v>
      </c>
      <c r="C146" s="115" t="s">
        <v>4350</v>
      </c>
      <c r="D146" s="116"/>
      <c r="W146" s="35" t="str">
        <f>"-- "&amp;B146&amp;" : "&amp;C146</f>
        <v>-- SQL_ID : 51_09</v>
      </c>
    </row>
    <row r="147" spans="2:23" ht="18.75" customHeight="1">
      <c r="B147" s="43" t="s">
        <v>158</v>
      </c>
      <c r="C147" s="145" t="str">
        <f>R150&amp;"登録"</f>
        <v>セレクト_バイタル登録</v>
      </c>
      <c r="D147" s="146"/>
      <c r="E147" s="146"/>
      <c r="F147" s="146"/>
      <c r="G147" s="146"/>
      <c r="H147" s="146"/>
      <c r="I147" s="146"/>
      <c r="J147" s="146"/>
      <c r="K147" s="146"/>
      <c r="L147" s="146"/>
      <c r="M147" s="146"/>
      <c r="N147" s="146"/>
      <c r="O147" s="146"/>
      <c r="P147" s="146"/>
      <c r="Q147" s="146"/>
      <c r="R147" s="146"/>
      <c r="S147" s="146"/>
      <c r="T147" s="146"/>
      <c r="U147" s="147"/>
      <c r="W147" s="35" t="str">
        <f>"-- "&amp;C147</f>
        <v>-- セレクト_バイタル登録</v>
      </c>
    </row>
    <row r="148" spans="2:23" ht="18.75" customHeight="1">
      <c r="B148" s="43" t="s">
        <v>159</v>
      </c>
      <c r="C148" s="134" t="str">
        <f>"セレクト_患者データから指定条件のものを、"&amp;R150&amp;"テーブルに格納する。"</f>
        <v>セレクト_患者データから指定条件のものを、セレクト_バイタルテーブルに格納する。</v>
      </c>
      <c r="D148" s="135"/>
      <c r="E148" s="135"/>
      <c r="F148" s="135"/>
      <c r="G148" s="135"/>
      <c r="H148" s="135"/>
      <c r="I148" s="135"/>
      <c r="J148" s="135"/>
      <c r="K148" s="135"/>
      <c r="L148" s="135"/>
      <c r="M148" s="135"/>
      <c r="N148" s="135"/>
      <c r="O148" s="135"/>
      <c r="P148" s="135"/>
      <c r="Q148" s="135"/>
      <c r="R148" s="135"/>
      <c r="S148" s="135"/>
      <c r="T148" s="135"/>
      <c r="U148" s="136"/>
      <c r="W148" s="35" t="str">
        <f>"-- "&amp;C148</f>
        <v>-- セレクト_患者データから指定条件のものを、セレクト_バイタルテーブルに格納する。</v>
      </c>
    </row>
    <row r="150" spans="2:23" ht="18.75" customHeight="1">
      <c r="C150" s="137" t="s">
        <v>4107</v>
      </c>
      <c r="D150" s="138"/>
      <c r="E150" s="143" t="str">
        <f>エンティティ一覧!$O$2</f>
        <v>milscm_2023_010</v>
      </c>
      <c r="F150" s="36"/>
      <c r="G150" s="98"/>
      <c r="H150" s="98"/>
      <c r="I150" s="98"/>
      <c r="J150" s="98"/>
      <c r="K150" s="98"/>
      <c r="L150" s="98"/>
      <c r="M150" s="98"/>
      <c r="N150" s="98"/>
      <c r="O150" s="98"/>
      <c r="R150" s="137" t="s">
        <v>4148</v>
      </c>
      <c r="S150" s="138"/>
      <c r="T150" s="143" t="str">
        <f>エンティティ一覧!$O$2</f>
        <v>milscm_2023_010</v>
      </c>
    </row>
    <row r="151" spans="2:23" ht="18.75" customHeight="1">
      <c r="C151" s="139"/>
      <c r="D151" s="140"/>
      <c r="E151" s="144"/>
      <c r="F151" s="38"/>
      <c r="G151" s="38"/>
      <c r="H151" s="37"/>
      <c r="I151" s="37"/>
      <c r="J151" s="37"/>
      <c r="K151" s="37"/>
      <c r="L151" s="37"/>
      <c r="M151" s="37"/>
      <c r="N151" s="37"/>
      <c r="O151" s="37"/>
      <c r="P151" s="37"/>
      <c r="Q151" s="37"/>
      <c r="R151" s="139"/>
      <c r="S151" s="140"/>
      <c r="T151" s="144"/>
    </row>
    <row r="152" spans="2:23" ht="18.75" customHeight="1">
      <c r="C152" s="99"/>
      <c r="D152" s="99"/>
      <c r="E152" s="99"/>
      <c r="F152" s="98"/>
      <c r="G152" s="41"/>
      <c r="H152" s="98"/>
      <c r="I152" s="98"/>
      <c r="J152" s="98"/>
      <c r="K152" s="98"/>
      <c r="L152" s="98"/>
      <c r="M152" s="98"/>
      <c r="N152" s="98"/>
      <c r="O152" s="98"/>
      <c r="P152" s="98"/>
      <c r="Q152" s="98"/>
      <c r="R152" s="99"/>
      <c r="S152" s="99"/>
      <c r="T152" s="99"/>
    </row>
    <row r="153" spans="2:23" ht="18.75" customHeight="1">
      <c r="C153" s="137" t="s">
        <v>4114</v>
      </c>
      <c r="D153" s="138"/>
      <c r="E153" s="143" t="str">
        <f>エンティティ一覧!$O$2</f>
        <v>milscm_2023_010</v>
      </c>
      <c r="F153" s="36"/>
      <c r="G153" s="41"/>
      <c r="H153" s="98"/>
      <c r="I153" s="98"/>
      <c r="J153" s="98"/>
      <c r="K153" s="98"/>
      <c r="L153" s="98"/>
      <c r="M153" s="98"/>
      <c r="N153" s="98"/>
      <c r="O153" s="98"/>
      <c r="P153" s="98"/>
      <c r="Q153" s="98"/>
      <c r="R153" s="99"/>
      <c r="S153" s="99"/>
      <c r="T153" s="99"/>
    </row>
    <row r="154" spans="2:23" ht="18.75" customHeight="1">
      <c r="C154" s="139"/>
      <c r="D154" s="140"/>
      <c r="E154" s="144"/>
      <c r="F154" s="98"/>
      <c r="G154" s="98"/>
      <c r="H154" s="98"/>
      <c r="I154" s="98"/>
      <c r="J154" s="98"/>
      <c r="K154" s="98"/>
      <c r="L154" s="98"/>
      <c r="M154" s="98"/>
      <c r="N154" s="98"/>
      <c r="O154" s="98"/>
      <c r="P154" s="98"/>
      <c r="Q154" s="98"/>
      <c r="R154" s="99"/>
      <c r="S154" s="99"/>
      <c r="T154" s="99"/>
    </row>
    <row r="155" spans="2:23" ht="18.75" customHeight="1">
      <c r="C155" s="99"/>
      <c r="D155" s="99"/>
      <c r="E155" s="99"/>
      <c r="F155" s="98"/>
      <c r="G155" s="98"/>
      <c r="H155" s="98"/>
      <c r="I155" s="98"/>
      <c r="J155" s="98"/>
      <c r="K155" s="98"/>
      <c r="L155" s="98"/>
      <c r="M155" s="98"/>
      <c r="N155" s="98"/>
      <c r="O155" s="98"/>
      <c r="P155" s="98"/>
      <c r="Q155" s="98"/>
      <c r="R155" s="99"/>
      <c r="S155" s="99"/>
      <c r="T155" s="99"/>
    </row>
    <row r="156" spans="2:23" ht="18.75" customHeight="1" thickBot="1">
      <c r="B156" s="42"/>
      <c r="C156" s="42"/>
      <c r="D156" s="42"/>
      <c r="E156" s="42"/>
      <c r="F156" s="42"/>
      <c r="G156" s="42"/>
      <c r="H156" s="42"/>
      <c r="I156" s="42"/>
      <c r="J156" s="42"/>
      <c r="K156" s="42"/>
      <c r="L156" s="42"/>
      <c r="M156" s="42"/>
      <c r="N156" s="42"/>
      <c r="O156" s="42"/>
      <c r="P156" s="42"/>
      <c r="Q156" s="42"/>
      <c r="R156" s="42"/>
      <c r="S156" s="42"/>
      <c r="T156" s="42"/>
      <c r="U156" s="42"/>
    </row>
  </sheetData>
  <mergeCells count="98">
    <mergeCell ref="C133:U133"/>
    <mergeCell ref="C135:D136"/>
    <mergeCell ref="E135:E136"/>
    <mergeCell ref="R135:S136"/>
    <mergeCell ref="T135:T136"/>
    <mergeCell ref="C123:D124"/>
    <mergeCell ref="E123:E124"/>
    <mergeCell ref="C126:D127"/>
    <mergeCell ref="E126:E127"/>
    <mergeCell ref="C132:U132"/>
    <mergeCell ref="C118:U118"/>
    <mergeCell ref="C120:D121"/>
    <mergeCell ref="E120:E121"/>
    <mergeCell ref="R120:S121"/>
    <mergeCell ref="T120:T121"/>
    <mergeCell ref="C103:U103"/>
    <mergeCell ref="C104:U104"/>
    <mergeCell ref="C106:D107"/>
    <mergeCell ref="E106:E107"/>
    <mergeCell ref="R106:S107"/>
    <mergeCell ref="T106:T107"/>
    <mergeCell ref="C117:U117"/>
    <mergeCell ref="C109:D110"/>
    <mergeCell ref="E109:E110"/>
    <mergeCell ref="C112:D113"/>
    <mergeCell ref="E112:E113"/>
    <mergeCell ref="T82:T83"/>
    <mergeCell ref="C85:D86"/>
    <mergeCell ref="E85:E86"/>
    <mergeCell ref="C88:D89"/>
    <mergeCell ref="E88:E89"/>
    <mergeCell ref="C4:U4"/>
    <mergeCell ref="C5:U5"/>
    <mergeCell ref="C7:D8"/>
    <mergeCell ref="E7:E8"/>
    <mergeCell ref="R7:S8"/>
    <mergeCell ref="T7:T8"/>
    <mergeCell ref="R46:S47"/>
    <mergeCell ref="C57:U57"/>
    <mergeCell ref="C58:U58"/>
    <mergeCell ref="T60:T61"/>
    <mergeCell ref="C43:U43"/>
    <mergeCell ref="C44:U44"/>
    <mergeCell ref="C46:D47"/>
    <mergeCell ref="E46:E47"/>
    <mergeCell ref="T46:T47"/>
    <mergeCell ref="C49:D50"/>
    <mergeCell ref="E49:E50"/>
    <mergeCell ref="C60:D61"/>
    <mergeCell ref="E60:E61"/>
    <mergeCell ref="R60:S61"/>
    <mergeCell ref="C10:D11"/>
    <mergeCell ref="E10:E11"/>
    <mergeCell ref="C13:D14"/>
    <mergeCell ref="E13:E14"/>
    <mergeCell ref="C24:D25"/>
    <mergeCell ref="E24:E25"/>
    <mergeCell ref="C18:U18"/>
    <mergeCell ref="C19:U19"/>
    <mergeCell ref="C21:D22"/>
    <mergeCell ref="E21:E22"/>
    <mergeCell ref="R21:S22"/>
    <mergeCell ref="T21:T22"/>
    <mergeCell ref="C63:D64"/>
    <mergeCell ref="E63:E64"/>
    <mergeCell ref="C74:D75"/>
    <mergeCell ref="E74:E75"/>
    <mergeCell ref="C147:U147"/>
    <mergeCell ref="C68:U68"/>
    <mergeCell ref="C69:U69"/>
    <mergeCell ref="C71:D72"/>
    <mergeCell ref="E71:E72"/>
    <mergeCell ref="R71:S72"/>
    <mergeCell ref="T71:T72"/>
    <mergeCell ref="C79:U79"/>
    <mergeCell ref="C80:U80"/>
    <mergeCell ref="C82:D83"/>
    <mergeCell ref="E82:E83"/>
    <mergeCell ref="R82:S83"/>
    <mergeCell ref="C153:D154"/>
    <mergeCell ref="E153:E154"/>
    <mergeCell ref="C138:D139"/>
    <mergeCell ref="E138:E139"/>
    <mergeCell ref="C141:D142"/>
    <mergeCell ref="E141:E142"/>
    <mergeCell ref="C148:U148"/>
    <mergeCell ref="C150:D151"/>
    <mergeCell ref="E150:E151"/>
    <mergeCell ref="R150:S151"/>
    <mergeCell ref="T150:T151"/>
    <mergeCell ref="C35:D36"/>
    <mergeCell ref="E35:E36"/>
    <mergeCell ref="C29:U29"/>
    <mergeCell ref="C30:U30"/>
    <mergeCell ref="C32:D33"/>
    <mergeCell ref="E32:E33"/>
    <mergeCell ref="R32:S33"/>
    <mergeCell ref="T32:T33"/>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3:W290"/>
  <sheetViews>
    <sheetView showGridLines="0" zoomScaleNormal="100" workbookViewId="0"/>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1:23" ht="18.75" customHeight="1">
      <c r="A3" s="77"/>
      <c r="B3" s="43" t="s">
        <v>163</v>
      </c>
      <c r="C3" s="51" t="s">
        <v>4351</v>
      </c>
      <c r="D3" s="128"/>
      <c r="W3" s="35" t="str">
        <f>"-- "&amp;B3&amp;" : "&amp;C3</f>
        <v>-- SQL_ID : 61_01</v>
      </c>
    </row>
    <row r="4" spans="1:23" ht="18.75" customHeight="1">
      <c r="B4" s="43" t="s">
        <v>158</v>
      </c>
      <c r="C4" s="145" t="str">
        <f>R7&amp;"登録"</f>
        <v>デリバリ_患者背景登録</v>
      </c>
      <c r="D4" s="146"/>
      <c r="E4" s="146"/>
      <c r="F4" s="146"/>
      <c r="G4" s="146"/>
      <c r="H4" s="146"/>
      <c r="I4" s="146"/>
      <c r="J4" s="146"/>
      <c r="K4" s="146"/>
      <c r="L4" s="146"/>
      <c r="M4" s="146"/>
      <c r="N4" s="146"/>
      <c r="O4" s="146"/>
      <c r="P4" s="146"/>
      <c r="Q4" s="146"/>
      <c r="R4" s="146"/>
      <c r="S4" s="146"/>
      <c r="T4" s="146"/>
      <c r="U4" s="147"/>
      <c r="W4" s="35" t="str">
        <f>"-- "&amp;C4</f>
        <v>-- デリバリ_患者背景登録</v>
      </c>
    </row>
    <row r="5" spans="1:23" ht="18.75" customHeight="1">
      <c r="B5" s="43" t="s">
        <v>159</v>
      </c>
      <c r="C5" s="134" t="str">
        <f>"セレクト_検査データ_患者背景用から指定の検査の値を抽出し、"&amp;R7&amp;"テーブルに格納する。"</f>
        <v>セレクト_検査データ_患者背景用から指定の検査の値を抽出し、デリバリ_患者背景テーブルに格納する。</v>
      </c>
      <c r="D5" s="135"/>
      <c r="E5" s="135"/>
      <c r="F5" s="135"/>
      <c r="G5" s="135"/>
      <c r="H5" s="135"/>
      <c r="I5" s="135"/>
      <c r="J5" s="135"/>
      <c r="K5" s="135"/>
      <c r="L5" s="135"/>
      <c r="M5" s="135"/>
      <c r="N5" s="135"/>
      <c r="O5" s="135"/>
      <c r="P5" s="135"/>
      <c r="Q5" s="135"/>
      <c r="R5" s="135"/>
      <c r="S5" s="135"/>
      <c r="T5" s="135"/>
      <c r="U5" s="136"/>
      <c r="W5" s="35" t="str">
        <f>"-- "&amp;C5</f>
        <v>-- セレクト_検査データ_患者背景用から指定の検査の値を抽出し、デリバリ_患者背景テーブルに格納する。</v>
      </c>
    </row>
    <row r="7" spans="1:23" ht="18.75" customHeight="1">
      <c r="C7" s="137" t="s">
        <v>4120</v>
      </c>
      <c r="D7" s="138"/>
      <c r="E7" s="143" t="str">
        <f>エンティティ一覧!$O$2</f>
        <v>milscm_2023_010</v>
      </c>
      <c r="F7" s="36"/>
      <c r="G7" s="98"/>
      <c r="H7" s="98"/>
      <c r="I7" s="98"/>
      <c r="J7" s="98"/>
      <c r="K7" s="98"/>
      <c r="L7" s="98"/>
      <c r="M7" s="98"/>
      <c r="N7" s="98"/>
      <c r="O7" s="98"/>
      <c r="P7" s="98"/>
      <c r="Q7" s="36"/>
      <c r="R7" s="137" t="s">
        <v>4354</v>
      </c>
      <c r="S7" s="138"/>
      <c r="T7" s="143" t="str">
        <f>エンティティ一覧!$O$2</f>
        <v>milscm_2023_010</v>
      </c>
      <c r="W7" s="35" t="s">
        <v>3669</v>
      </c>
    </row>
    <row r="8" spans="1:23" ht="18.75" customHeight="1">
      <c r="C8" s="139"/>
      <c r="D8" s="140"/>
      <c r="E8" s="144"/>
      <c r="F8" s="37"/>
      <c r="G8" s="37"/>
      <c r="H8" s="37"/>
      <c r="I8" s="37"/>
      <c r="J8" s="37"/>
      <c r="K8" s="37"/>
      <c r="L8" s="37"/>
      <c r="M8" s="37"/>
      <c r="N8" s="37"/>
      <c r="O8" s="37"/>
      <c r="P8" s="37"/>
      <c r="Q8" s="37"/>
      <c r="R8" s="139"/>
      <c r="S8" s="140"/>
      <c r="T8" s="144"/>
    </row>
    <row r="9" spans="1:23" ht="18.75" customHeight="1" thickBot="1">
      <c r="B9" s="42"/>
      <c r="C9" s="42"/>
      <c r="D9" s="42"/>
      <c r="E9" s="42"/>
      <c r="F9" s="42"/>
      <c r="G9" s="42"/>
      <c r="H9" s="42"/>
      <c r="I9" s="42"/>
      <c r="J9" s="42"/>
      <c r="K9" s="42"/>
      <c r="L9" s="42"/>
      <c r="M9" s="42"/>
      <c r="N9" s="42"/>
      <c r="O9" s="42"/>
      <c r="P9" s="42"/>
      <c r="Q9" s="42"/>
      <c r="R9" s="42"/>
      <c r="S9" s="42"/>
      <c r="T9" s="42"/>
      <c r="U9" s="42"/>
    </row>
    <row r="11" spans="1:23" ht="18.75" customHeight="1">
      <c r="B11" s="43" t="s">
        <v>163</v>
      </c>
      <c r="C11" s="115" t="s">
        <v>4352</v>
      </c>
      <c r="D11" s="116"/>
      <c r="W11" s="35" t="str">
        <f>"-- "&amp;B11&amp;" : "&amp;C11</f>
        <v>-- SQL_ID : 61_02</v>
      </c>
    </row>
    <row r="12" spans="1:23" ht="18.75" customHeight="1">
      <c r="B12" s="43" t="s">
        <v>158</v>
      </c>
      <c r="C12" s="145" t="str">
        <f>R15&amp;"登録"</f>
        <v>デリバリ_患者背景_サマリ登録</v>
      </c>
      <c r="D12" s="146"/>
      <c r="E12" s="146"/>
      <c r="F12" s="146"/>
      <c r="G12" s="146"/>
      <c r="H12" s="146"/>
      <c r="I12" s="146"/>
      <c r="J12" s="146"/>
      <c r="K12" s="146"/>
      <c r="L12" s="146"/>
      <c r="M12" s="146"/>
      <c r="N12" s="146"/>
      <c r="O12" s="146"/>
      <c r="P12" s="146"/>
      <c r="Q12" s="146"/>
      <c r="R12" s="146"/>
      <c r="S12" s="146"/>
      <c r="T12" s="146"/>
      <c r="U12" s="147"/>
      <c r="W12" s="35" t="str">
        <f>"-- "&amp;C12</f>
        <v>-- デリバリ_患者背景_サマリ登録</v>
      </c>
    </row>
    <row r="13" spans="1:23" ht="18.75" customHeight="1">
      <c r="B13" s="43" t="s">
        <v>159</v>
      </c>
      <c r="C13" s="134" t="str">
        <f>"各テーブルの集計結果をまとめ、"&amp;R15&amp;"テーブルに格納する。"</f>
        <v>各テーブルの集計結果をまとめ、デリバリ_患者背景_サマリテーブルに格納する。</v>
      </c>
      <c r="D13" s="135"/>
      <c r="E13" s="135"/>
      <c r="F13" s="135"/>
      <c r="G13" s="135"/>
      <c r="H13" s="135"/>
      <c r="I13" s="135"/>
      <c r="J13" s="135"/>
      <c r="K13" s="135"/>
      <c r="L13" s="135"/>
      <c r="M13" s="135"/>
      <c r="N13" s="135"/>
      <c r="O13" s="135"/>
      <c r="P13" s="135"/>
      <c r="Q13" s="135"/>
      <c r="R13" s="135"/>
      <c r="S13" s="135"/>
      <c r="T13" s="135"/>
      <c r="U13" s="136"/>
      <c r="W13" s="35" t="str">
        <f>"-- "&amp;C13</f>
        <v>-- 各テーブルの集計結果をまとめ、デリバリ_患者背景_サマリテーブルに格納する。</v>
      </c>
    </row>
    <row r="15" spans="1:23" ht="18.75" customHeight="1">
      <c r="C15" s="137" t="s">
        <v>4114</v>
      </c>
      <c r="D15" s="138"/>
      <c r="E15" s="143" t="str">
        <f>エンティティ一覧!$O$2</f>
        <v>milscm_2023_010</v>
      </c>
      <c r="F15" s="36"/>
      <c r="G15" s="36"/>
      <c r="H15" s="36"/>
      <c r="I15" s="36"/>
      <c r="J15" s="36"/>
      <c r="K15" s="36"/>
      <c r="L15" s="36"/>
      <c r="M15" s="36"/>
      <c r="N15" s="36"/>
      <c r="O15" s="36"/>
      <c r="R15" s="137" t="s">
        <v>4381</v>
      </c>
      <c r="S15" s="138"/>
      <c r="T15" s="143" t="str">
        <f>エンティティ一覧!$O$2</f>
        <v>milscm_2023_010</v>
      </c>
    </row>
    <row r="16" spans="1:23" ht="18.75" customHeight="1">
      <c r="C16" s="139"/>
      <c r="D16" s="140"/>
      <c r="E16" s="144"/>
      <c r="F16" s="100"/>
      <c r="G16" s="37"/>
      <c r="H16" s="101"/>
      <c r="I16" s="101"/>
      <c r="J16" s="101"/>
      <c r="K16" s="37"/>
      <c r="L16" s="101"/>
      <c r="M16" s="37"/>
      <c r="N16" s="37"/>
      <c r="O16" s="37"/>
      <c r="P16" s="37"/>
      <c r="Q16" s="37"/>
      <c r="R16" s="139"/>
      <c r="S16" s="140"/>
      <c r="T16" s="144"/>
    </row>
    <row r="17" spans="2:21" ht="18.75" customHeight="1">
      <c r="F17" s="102"/>
      <c r="G17" s="98"/>
      <c r="H17" s="102"/>
      <c r="I17" s="102"/>
      <c r="J17" s="102"/>
      <c r="K17" s="98"/>
      <c r="L17" s="102"/>
    </row>
    <row r="18" spans="2:21" ht="18.75" customHeight="1">
      <c r="C18" s="137" t="s">
        <v>4354</v>
      </c>
      <c r="D18" s="138"/>
      <c r="E18" s="143" t="str">
        <f>エンティティ一覧!$O$2</f>
        <v>milscm_2023_010</v>
      </c>
      <c r="F18" s="103"/>
      <c r="G18" s="98"/>
      <c r="H18" s="102"/>
      <c r="I18" s="102"/>
      <c r="J18" s="102"/>
      <c r="K18" s="98"/>
      <c r="L18" s="102"/>
    </row>
    <row r="19" spans="2:21" ht="18.75" customHeight="1">
      <c r="C19" s="139"/>
      <c r="D19" s="140"/>
      <c r="E19" s="144"/>
      <c r="G19" s="98"/>
      <c r="H19" s="102"/>
      <c r="I19" s="102"/>
      <c r="J19" s="102"/>
      <c r="K19" s="98"/>
      <c r="L19" s="102"/>
    </row>
    <row r="20" spans="2:21" ht="18.75" customHeight="1">
      <c r="F20" s="98"/>
      <c r="G20" s="98"/>
      <c r="H20" s="102"/>
      <c r="I20" s="102"/>
      <c r="J20" s="102"/>
      <c r="K20" s="98"/>
      <c r="L20" s="102"/>
    </row>
    <row r="21" spans="2:21" ht="18.75" customHeight="1">
      <c r="C21" s="137" t="s">
        <v>4127</v>
      </c>
      <c r="D21" s="138"/>
      <c r="E21" s="143" t="str">
        <f>エンティティ一覧!$O$2</f>
        <v>milscm_2023_010</v>
      </c>
      <c r="F21" s="36"/>
      <c r="G21" s="36"/>
      <c r="H21" s="103"/>
      <c r="I21" s="102"/>
      <c r="J21" s="102"/>
      <c r="K21" s="98"/>
      <c r="L21" s="102"/>
    </row>
    <row r="22" spans="2:21" ht="18.75" customHeight="1">
      <c r="C22" s="139"/>
      <c r="D22" s="140"/>
      <c r="E22" s="144"/>
      <c r="G22" s="98"/>
      <c r="H22" s="98"/>
      <c r="I22" s="102"/>
      <c r="J22" s="102"/>
      <c r="K22" s="98"/>
      <c r="L22" s="102"/>
    </row>
    <row r="23" spans="2:21" ht="18.75" customHeight="1">
      <c r="F23" s="98"/>
      <c r="G23" s="98"/>
      <c r="H23" s="98"/>
      <c r="I23" s="102"/>
      <c r="J23" s="102"/>
      <c r="K23" s="98"/>
      <c r="L23" s="102"/>
    </row>
    <row r="24" spans="2:21" ht="18.75" customHeight="1">
      <c r="C24" s="137" t="s">
        <v>4128</v>
      </c>
      <c r="D24" s="138"/>
      <c r="E24" s="143" t="str">
        <f>エンティティ一覧!$O$2</f>
        <v>milscm_2023_010</v>
      </c>
      <c r="F24" s="36"/>
      <c r="G24" s="36"/>
      <c r="H24" s="36"/>
      <c r="I24" s="103"/>
      <c r="J24" s="102"/>
      <c r="K24" s="98"/>
      <c r="L24" s="102"/>
    </row>
    <row r="25" spans="2:21" ht="18.75" customHeight="1">
      <c r="C25" s="139"/>
      <c r="D25" s="140"/>
      <c r="E25" s="144"/>
      <c r="G25" s="98"/>
      <c r="H25" s="98"/>
      <c r="I25" s="98"/>
      <c r="J25" s="102"/>
      <c r="K25" s="98"/>
      <c r="L25" s="102"/>
    </row>
    <row r="26" spans="2:21" ht="18.75" customHeight="1">
      <c r="F26" s="98"/>
      <c r="G26" s="98"/>
      <c r="H26" s="98"/>
      <c r="I26" s="98"/>
      <c r="J26" s="102"/>
      <c r="K26" s="98"/>
      <c r="L26" s="102"/>
    </row>
    <row r="27" spans="2:21" ht="18.75" customHeight="1">
      <c r="C27" s="137" t="s">
        <v>4130</v>
      </c>
      <c r="D27" s="138"/>
      <c r="E27" s="143" t="str">
        <f>エンティティ一覧!$O$2</f>
        <v>milscm_2023_010</v>
      </c>
      <c r="F27" s="36"/>
      <c r="G27" s="36"/>
      <c r="H27" s="36"/>
      <c r="I27" s="36"/>
      <c r="J27" s="103"/>
      <c r="K27" s="98"/>
      <c r="L27" s="102"/>
    </row>
    <row r="28" spans="2:21" ht="18.75" customHeight="1">
      <c r="C28" s="139"/>
      <c r="D28" s="140"/>
      <c r="E28" s="144"/>
      <c r="G28" s="98"/>
      <c r="H28" s="98"/>
      <c r="I28" s="98"/>
      <c r="J28" s="98"/>
      <c r="K28" s="98"/>
      <c r="L28" s="102"/>
    </row>
    <row r="29" spans="2:21" ht="18.75" customHeight="1">
      <c r="F29" s="98"/>
      <c r="G29" s="98"/>
      <c r="H29" s="98"/>
      <c r="I29" s="98"/>
      <c r="J29" s="98"/>
      <c r="K29" s="98"/>
      <c r="L29" s="102"/>
    </row>
    <row r="30" spans="2:21" ht="18.75" customHeight="1">
      <c r="C30" s="137" t="s">
        <v>4124</v>
      </c>
      <c r="D30" s="138"/>
      <c r="E30" s="143" t="str">
        <f>エンティティ一覧!$O$2</f>
        <v>milscm_2023_010</v>
      </c>
      <c r="F30" s="36"/>
      <c r="G30" s="36"/>
      <c r="H30" s="36"/>
      <c r="I30" s="36"/>
      <c r="J30" s="36"/>
      <c r="K30" s="36"/>
      <c r="L30" s="103"/>
    </row>
    <row r="31" spans="2:21" ht="18.75" customHeight="1">
      <c r="C31" s="139"/>
      <c r="D31" s="140"/>
      <c r="E31" s="144"/>
    </row>
    <row r="32" spans="2:21" ht="18.75" customHeight="1" thickBot="1">
      <c r="B32" s="42"/>
      <c r="C32" s="42"/>
      <c r="D32" s="42"/>
      <c r="E32" s="42"/>
      <c r="F32" s="42"/>
      <c r="G32" s="42"/>
      <c r="H32" s="42"/>
      <c r="I32" s="42"/>
      <c r="J32" s="42"/>
      <c r="K32" s="42"/>
      <c r="L32" s="42"/>
      <c r="M32" s="42"/>
      <c r="N32" s="42"/>
      <c r="O32" s="42"/>
      <c r="P32" s="42"/>
      <c r="Q32" s="42"/>
      <c r="R32" s="42"/>
      <c r="S32" s="42"/>
      <c r="T32" s="42"/>
      <c r="U32" s="42"/>
    </row>
    <row r="34" spans="2:23" ht="18.75" customHeight="1">
      <c r="B34" s="43" t="s">
        <v>163</v>
      </c>
      <c r="C34" s="115" t="s">
        <v>4424</v>
      </c>
      <c r="D34" s="116"/>
      <c r="W34" s="35" t="str">
        <f>"-- "&amp;B34&amp;" : "&amp;C34</f>
        <v>-- SQL_ID : 61_03</v>
      </c>
    </row>
    <row r="35" spans="2:23" ht="18.75" customHeight="1">
      <c r="B35" s="43" t="s">
        <v>158</v>
      </c>
      <c r="C35" s="145" t="str">
        <f>R38&amp;"登録"</f>
        <v>デリバリ_カリウム平均推移_日別登録</v>
      </c>
      <c r="D35" s="146"/>
      <c r="E35" s="146"/>
      <c r="F35" s="146"/>
      <c r="G35" s="146"/>
      <c r="H35" s="146"/>
      <c r="I35" s="146"/>
      <c r="J35" s="146"/>
      <c r="K35" s="146"/>
      <c r="L35" s="146"/>
      <c r="M35" s="146"/>
      <c r="N35" s="146"/>
      <c r="O35" s="146"/>
      <c r="P35" s="146"/>
      <c r="Q35" s="146"/>
      <c r="R35" s="146"/>
      <c r="S35" s="146"/>
      <c r="T35" s="146"/>
      <c r="U35" s="147"/>
      <c r="W35" s="35" t="str">
        <f>"-- "&amp;C35</f>
        <v>-- デリバリ_カリウム平均推移_日別登録</v>
      </c>
    </row>
    <row r="36" spans="2:23" ht="18.75" customHeight="1">
      <c r="B36" s="43" t="s">
        <v>159</v>
      </c>
      <c r="C36" s="134" t="str">
        <f>"カリウムの平均推移をまとめ、"&amp;R38&amp;"テーブルに格納する。"</f>
        <v>カリウムの平均推移をまとめ、デリバリ_カリウム平均推移_日別テーブルに格納する。</v>
      </c>
      <c r="D36" s="135"/>
      <c r="E36" s="135"/>
      <c r="F36" s="135"/>
      <c r="G36" s="135"/>
      <c r="H36" s="135"/>
      <c r="I36" s="135"/>
      <c r="J36" s="135"/>
      <c r="K36" s="135"/>
      <c r="L36" s="135"/>
      <c r="M36" s="135"/>
      <c r="N36" s="135"/>
      <c r="O36" s="135"/>
      <c r="P36" s="135"/>
      <c r="Q36" s="135"/>
      <c r="R36" s="135"/>
      <c r="S36" s="135"/>
      <c r="T36" s="135"/>
      <c r="U36" s="136"/>
      <c r="W36" s="35" t="str">
        <f>"-- "&amp;C36</f>
        <v>-- カリウムの平均推移をまとめ、デリバリ_カリウム平均推移_日別テーブルに格納する。</v>
      </c>
    </row>
    <row r="38" spans="2:23" ht="18.75" customHeight="1">
      <c r="C38" s="137" t="s">
        <v>4423</v>
      </c>
      <c r="D38" s="138"/>
      <c r="E38" s="143" t="str">
        <f>エンティティ一覧!$O$2</f>
        <v>milscm_2023_010</v>
      </c>
      <c r="F38" s="36"/>
      <c r="G38" s="98"/>
      <c r="H38" s="98"/>
      <c r="I38" s="98"/>
      <c r="J38" s="98"/>
      <c r="K38" s="98"/>
      <c r="L38" s="98"/>
      <c r="M38" s="98"/>
      <c r="N38" s="98"/>
      <c r="O38" s="98"/>
      <c r="R38" s="137" t="s">
        <v>4412</v>
      </c>
      <c r="S38" s="138"/>
      <c r="T38" s="143" t="str">
        <f>エンティティ一覧!$O$2</f>
        <v>milscm_2023_010</v>
      </c>
    </row>
    <row r="39" spans="2:23" ht="18.75" customHeight="1">
      <c r="C39" s="139"/>
      <c r="D39" s="140"/>
      <c r="E39" s="144"/>
      <c r="F39" s="38"/>
      <c r="G39" s="37"/>
      <c r="H39" s="37"/>
      <c r="I39" s="37"/>
      <c r="J39" s="38"/>
      <c r="K39" s="37"/>
      <c r="L39" s="101"/>
      <c r="M39" s="37"/>
      <c r="N39" s="37"/>
      <c r="O39" s="37"/>
      <c r="P39" s="37"/>
      <c r="Q39" s="37"/>
      <c r="R39" s="139"/>
      <c r="S39" s="140"/>
      <c r="T39" s="144"/>
    </row>
    <row r="40" spans="2:23" ht="18.75" customHeight="1">
      <c r="F40" s="98"/>
      <c r="G40" s="98"/>
      <c r="H40" s="98"/>
      <c r="I40" s="98"/>
      <c r="J40" s="41"/>
      <c r="K40" s="98"/>
      <c r="L40" s="102"/>
      <c r="M40" s="98"/>
      <c r="N40" s="98"/>
      <c r="O40" s="98"/>
      <c r="P40" s="98"/>
    </row>
    <row r="41" spans="2:23" ht="18.75" customHeight="1">
      <c r="C41" s="137" t="s">
        <v>4353</v>
      </c>
      <c r="D41" s="138"/>
      <c r="E41" s="143" t="str">
        <f>エンティティ一覧!$O$2</f>
        <v>milscm_2023_010</v>
      </c>
      <c r="F41" s="36"/>
      <c r="G41" s="36"/>
      <c r="H41" s="36"/>
      <c r="I41" s="36"/>
      <c r="J41" s="41"/>
      <c r="K41" s="98"/>
      <c r="L41" s="102"/>
      <c r="M41" s="98"/>
      <c r="N41" s="98"/>
      <c r="O41" s="98"/>
      <c r="P41" s="98"/>
    </row>
    <row r="42" spans="2:23" ht="18.75" customHeight="1">
      <c r="C42" s="139"/>
      <c r="D42" s="140"/>
      <c r="E42" s="144"/>
      <c r="G42" s="98"/>
      <c r="H42" s="98"/>
      <c r="I42" s="98"/>
      <c r="J42" s="98"/>
      <c r="K42" s="98"/>
      <c r="L42" s="102"/>
      <c r="M42" s="98"/>
      <c r="N42" s="98"/>
      <c r="O42" s="98"/>
      <c r="P42" s="98"/>
    </row>
    <row r="43" spans="2:23" ht="18.75" customHeight="1">
      <c r="F43" s="98"/>
      <c r="G43" s="98"/>
      <c r="H43" s="98"/>
      <c r="I43" s="98"/>
      <c r="J43" s="98"/>
      <c r="K43" s="98"/>
      <c r="L43" s="102"/>
      <c r="M43" s="98"/>
      <c r="N43" s="98"/>
      <c r="O43" s="98"/>
      <c r="P43" s="98"/>
    </row>
    <row r="44" spans="2:23" ht="18.75" customHeight="1">
      <c r="C44" s="137" t="s">
        <v>4114</v>
      </c>
      <c r="D44" s="138"/>
      <c r="E44" s="143" t="str">
        <f>エンティティ一覧!$O$2</f>
        <v>milscm_2023_010</v>
      </c>
      <c r="F44" s="36"/>
      <c r="G44" s="36"/>
      <c r="H44" s="36"/>
      <c r="I44" s="36"/>
      <c r="J44" s="36"/>
      <c r="K44" s="36"/>
      <c r="L44" s="103"/>
      <c r="M44" s="98"/>
      <c r="N44" s="98"/>
      <c r="O44" s="98"/>
      <c r="P44" s="98"/>
    </row>
    <row r="45" spans="2:23" ht="18.75" customHeight="1">
      <c r="C45" s="139"/>
      <c r="D45" s="140"/>
      <c r="E45" s="144"/>
      <c r="G45" s="98"/>
      <c r="H45" s="98"/>
      <c r="I45" s="98"/>
      <c r="J45" s="98"/>
      <c r="K45" s="98"/>
      <c r="L45" s="98"/>
      <c r="M45" s="98"/>
    </row>
    <row r="46" spans="2:23" ht="18.75" customHeight="1" thickBot="1">
      <c r="B46" s="42"/>
      <c r="C46" s="42"/>
      <c r="D46" s="42"/>
      <c r="E46" s="42"/>
      <c r="F46" s="42"/>
      <c r="G46" s="42"/>
      <c r="H46" s="42"/>
      <c r="I46" s="42"/>
      <c r="J46" s="42"/>
      <c r="K46" s="42"/>
      <c r="L46" s="42"/>
      <c r="M46" s="42"/>
      <c r="N46" s="42"/>
      <c r="O46" s="42"/>
      <c r="P46" s="42"/>
      <c r="Q46" s="42"/>
      <c r="R46" s="42"/>
      <c r="S46" s="42"/>
      <c r="T46" s="42"/>
      <c r="U46" s="42"/>
    </row>
    <row r="48" spans="2:23" ht="18.75" customHeight="1">
      <c r="B48" s="43" t="s">
        <v>163</v>
      </c>
      <c r="C48" s="115" t="s">
        <v>4426</v>
      </c>
      <c r="D48" s="116"/>
      <c r="W48" s="35" t="str">
        <f>"-- "&amp;B48&amp;" : "&amp;C48</f>
        <v>-- SQL_ID : 61_04</v>
      </c>
    </row>
    <row r="49" spans="2:23" ht="18.75" customHeight="1">
      <c r="B49" s="43" t="s">
        <v>158</v>
      </c>
      <c r="C49" s="145" t="str">
        <f>R52&amp;"登録"</f>
        <v>デリバリ_カリウム平均推移_日別_lb30以上登録</v>
      </c>
      <c r="D49" s="146"/>
      <c r="E49" s="146"/>
      <c r="F49" s="146"/>
      <c r="G49" s="146"/>
      <c r="H49" s="146"/>
      <c r="I49" s="146"/>
      <c r="J49" s="146"/>
      <c r="K49" s="146"/>
      <c r="L49" s="146"/>
      <c r="M49" s="146"/>
      <c r="N49" s="146"/>
      <c r="O49" s="146"/>
      <c r="P49" s="146"/>
      <c r="Q49" s="146"/>
      <c r="R49" s="146"/>
      <c r="S49" s="146"/>
      <c r="T49" s="146"/>
      <c r="U49" s="147"/>
      <c r="W49" s="35" t="str">
        <f>"-- "&amp;C49</f>
        <v>-- デリバリ_カリウム平均推移_日別_lb30以上登録</v>
      </c>
    </row>
    <row r="50" spans="2:23" ht="18.75" customHeight="1">
      <c r="B50" s="43" t="s">
        <v>159</v>
      </c>
      <c r="C50" s="134" t="str">
        <f>"カリウムの平均推移をまとめ、"&amp;R52&amp;"テーブルに格納する。"</f>
        <v>カリウムの平均推移をまとめ、デリバリ_カリウム平均推移_日別_lb30以上テーブルに格納する。</v>
      </c>
      <c r="D50" s="135"/>
      <c r="E50" s="135"/>
      <c r="F50" s="135"/>
      <c r="G50" s="135"/>
      <c r="H50" s="135"/>
      <c r="I50" s="135"/>
      <c r="J50" s="135"/>
      <c r="K50" s="135"/>
      <c r="L50" s="135"/>
      <c r="M50" s="135"/>
      <c r="N50" s="135"/>
      <c r="O50" s="135"/>
      <c r="P50" s="135"/>
      <c r="Q50" s="135"/>
      <c r="R50" s="135"/>
      <c r="S50" s="135"/>
      <c r="T50" s="135"/>
      <c r="U50" s="136"/>
      <c r="W50" s="35" t="str">
        <f>"-- "&amp;C50</f>
        <v>-- カリウムの平均推移をまとめ、デリバリ_カリウム平均推移_日別_lb30以上テーブルに格納する。</v>
      </c>
    </row>
    <row r="52" spans="2:23" ht="18.75" customHeight="1">
      <c r="C52" s="137" t="s">
        <v>4423</v>
      </c>
      <c r="D52" s="138"/>
      <c r="E52" s="143" t="str">
        <f>エンティティ一覧!$O$2</f>
        <v>milscm_2023_010</v>
      </c>
      <c r="F52" s="36"/>
      <c r="G52" s="98"/>
      <c r="H52" s="98"/>
      <c r="I52" s="98"/>
      <c r="J52" s="98"/>
      <c r="K52" s="98"/>
      <c r="L52" s="98"/>
      <c r="M52" s="98"/>
      <c r="N52" s="98"/>
      <c r="O52" s="98"/>
      <c r="R52" s="137" t="s">
        <v>4425</v>
      </c>
      <c r="S52" s="138"/>
      <c r="T52" s="143" t="str">
        <f>エンティティ一覧!$O$2</f>
        <v>milscm_2023_010</v>
      </c>
    </row>
    <row r="53" spans="2:23" ht="18.75" customHeight="1">
      <c r="C53" s="139"/>
      <c r="D53" s="140"/>
      <c r="E53" s="144"/>
      <c r="F53" s="38"/>
      <c r="G53" s="37"/>
      <c r="H53" s="37"/>
      <c r="I53" s="37"/>
      <c r="J53" s="38"/>
      <c r="K53" s="37"/>
      <c r="L53" s="101"/>
      <c r="M53" s="37"/>
      <c r="N53" s="37"/>
      <c r="O53" s="37"/>
      <c r="P53" s="37"/>
      <c r="Q53" s="37"/>
      <c r="R53" s="139"/>
      <c r="S53" s="140"/>
      <c r="T53" s="144"/>
    </row>
    <row r="54" spans="2:23" ht="18.75" customHeight="1">
      <c r="F54" s="98"/>
      <c r="G54" s="98"/>
      <c r="H54" s="98"/>
      <c r="I54" s="98"/>
      <c r="J54" s="41"/>
      <c r="K54" s="98"/>
      <c r="L54" s="102"/>
      <c r="M54" s="98"/>
      <c r="N54" s="98"/>
      <c r="O54" s="98"/>
      <c r="P54" s="98"/>
    </row>
    <row r="55" spans="2:23" ht="18.75" customHeight="1">
      <c r="C55" s="137" t="s">
        <v>4353</v>
      </c>
      <c r="D55" s="138"/>
      <c r="E55" s="143" t="str">
        <f>エンティティ一覧!$O$2</f>
        <v>milscm_2023_010</v>
      </c>
      <c r="F55" s="36"/>
      <c r="G55" s="36"/>
      <c r="H55" s="36"/>
      <c r="I55" s="36"/>
      <c r="J55" s="41"/>
      <c r="K55" s="98"/>
      <c r="L55" s="102"/>
      <c r="M55" s="98"/>
      <c r="N55" s="98"/>
      <c r="O55" s="98"/>
      <c r="P55" s="98"/>
    </row>
    <row r="56" spans="2:23" ht="18.75" customHeight="1">
      <c r="C56" s="139"/>
      <c r="D56" s="140"/>
      <c r="E56" s="144"/>
      <c r="G56" s="98"/>
      <c r="H56" s="98"/>
      <c r="I56" s="98"/>
      <c r="J56" s="98"/>
      <c r="K56" s="98"/>
      <c r="L56" s="102"/>
      <c r="M56" s="98"/>
      <c r="N56" s="98"/>
      <c r="O56" s="98"/>
      <c r="P56" s="98"/>
    </row>
    <row r="57" spans="2:23" ht="18.75" customHeight="1">
      <c r="F57" s="98"/>
      <c r="G57" s="98"/>
      <c r="H57" s="98"/>
      <c r="I57" s="98"/>
      <c r="J57" s="98"/>
      <c r="K57" s="98"/>
      <c r="L57" s="102"/>
      <c r="M57" s="98"/>
      <c r="N57" s="98"/>
      <c r="O57" s="98"/>
      <c r="P57" s="98"/>
    </row>
    <row r="58" spans="2:23" ht="18.75" customHeight="1">
      <c r="C58" s="137" t="s">
        <v>4114</v>
      </c>
      <c r="D58" s="138"/>
      <c r="E58" s="143" t="str">
        <f>エンティティ一覧!$O$2</f>
        <v>milscm_2023_010</v>
      </c>
      <c r="F58" s="36"/>
      <c r="G58" s="36"/>
      <c r="H58" s="36"/>
      <c r="I58" s="36"/>
      <c r="J58" s="36"/>
      <c r="K58" s="36"/>
      <c r="L58" s="103"/>
      <c r="M58" s="98"/>
      <c r="N58" s="98"/>
      <c r="O58" s="98"/>
      <c r="P58" s="98"/>
    </row>
    <row r="59" spans="2:23" ht="18.75" customHeight="1">
      <c r="C59" s="139"/>
      <c r="D59" s="140"/>
      <c r="E59" s="144"/>
      <c r="G59" s="98"/>
      <c r="H59" s="98"/>
      <c r="I59" s="98"/>
      <c r="J59" s="98"/>
      <c r="K59" s="98"/>
      <c r="L59" s="98"/>
      <c r="M59" s="98"/>
    </row>
    <row r="60" spans="2:23" ht="18.75" customHeight="1" thickBot="1">
      <c r="B60" s="42"/>
      <c r="C60" s="42"/>
      <c r="D60" s="42"/>
      <c r="E60" s="42"/>
      <c r="F60" s="42"/>
      <c r="G60" s="42"/>
      <c r="H60" s="42"/>
      <c r="I60" s="42"/>
      <c r="J60" s="42"/>
      <c r="K60" s="42"/>
      <c r="L60" s="42"/>
      <c r="M60" s="42"/>
      <c r="N60" s="42"/>
      <c r="O60" s="42"/>
      <c r="P60" s="42"/>
      <c r="Q60" s="42"/>
      <c r="R60" s="42"/>
      <c r="S60" s="42"/>
      <c r="T60" s="42"/>
      <c r="U60" s="42"/>
    </row>
    <row r="62" spans="2:23" ht="18.75" customHeight="1">
      <c r="B62" s="43" t="s">
        <v>163</v>
      </c>
      <c r="C62" s="115" t="s">
        <v>4427</v>
      </c>
      <c r="D62" s="116"/>
      <c r="W62" s="35" t="str">
        <f>"-- "&amp;B62&amp;" : "&amp;C62</f>
        <v>-- SQL_ID : 61_05</v>
      </c>
    </row>
    <row r="63" spans="2:23" ht="18.75" customHeight="1">
      <c r="B63" s="43" t="s">
        <v>158</v>
      </c>
      <c r="C63" s="145" t="str">
        <f>R66&amp;"登録"</f>
        <v>デリバリ_カリウム平均推移_週別登録</v>
      </c>
      <c r="D63" s="146"/>
      <c r="E63" s="146"/>
      <c r="F63" s="146"/>
      <c r="G63" s="146"/>
      <c r="H63" s="146"/>
      <c r="I63" s="146"/>
      <c r="J63" s="146"/>
      <c r="K63" s="146"/>
      <c r="L63" s="146"/>
      <c r="M63" s="146"/>
      <c r="N63" s="146"/>
      <c r="O63" s="146"/>
      <c r="P63" s="146"/>
      <c r="Q63" s="146"/>
      <c r="R63" s="146"/>
      <c r="S63" s="146"/>
      <c r="T63" s="146"/>
      <c r="U63" s="147"/>
      <c r="W63" s="35" t="str">
        <f>"-- "&amp;C63</f>
        <v>-- デリバリ_カリウム平均推移_週別登録</v>
      </c>
    </row>
    <row r="64" spans="2:23" ht="18.75" customHeight="1">
      <c r="B64" s="43" t="s">
        <v>159</v>
      </c>
      <c r="C64" s="134" t="str">
        <f>"カリウムの平均推移をまとめ、"&amp;R66&amp;"テーブルに格納する。"</f>
        <v>カリウムの平均推移をまとめ、デリバリ_カリウム平均推移_週別テーブルに格納する。</v>
      </c>
      <c r="D64" s="135"/>
      <c r="E64" s="135"/>
      <c r="F64" s="135"/>
      <c r="G64" s="135"/>
      <c r="H64" s="135"/>
      <c r="I64" s="135"/>
      <c r="J64" s="135"/>
      <c r="K64" s="135"/>
      <c r="L64" s="135"/>
      <c r="M64" s="135"/>
      <c r="N64" s="135"/>
      <c r="O64" s="135"/>
      <c r="P64" s="135"/>
      <c r="Q64" s="135"/>
      <c r="R64" s="135"/>
      <c r="S64" s="135"/>
      <c r="T64" s="135"/>
      <c r="U64" s="136"/>
      <c r="W64" s="35" t="str">
        <f>"-- "&amp;C64</f>
        <v>-- カリウムの平均推移をまとめ、デリバリ_カリウム平均推移_週別テーブルに格納する。</v>
      </c>
    </row>
    <row r="66" spans="2:23" ht="18.75" customHeight="1">
      <c r="C66" s="137" t="s">
        <v>4423</v>
      </c>
      <c r="D66" s="138"/>
      <c r="E66" s="143" t="str">
        <f>エンティティ一覧!$O$2</f>
        <v>milscm_2023_010</v>
      </c>
      <c r="F66" s="36"/>
      <c r="G66" s="98"/>
      <c r="H66" s="98"/>
      <c r="I66" s="98"/>
      <c r="J66" s="98"/>
      <c r="K66" s="98"/>
      <c r="L66" s="98"/>
      <c r="M66" s="98"/>
      <c r="N66" s="98"/>
      <c r="O66" s="98"/>
      <c r="R66" s="137" t="s">
        <v>4429</v>
      </c>
      <c r="S66" s="138"/>
      <c r="T66" s="143" t="str">
        <f>エンティティ一覧!$O$2</f>
        <v>milscm_2023_010</v>
      </c>
    </row>
    <row r="67" spans="2:23" ht="18.75" customHeight="1">
      <c r="C67" s="139"/>
      <c r="D67" s="140"/>
      <c r="E67" s="144"/>
      <c r="F67" s="38"/>
      <c r="G67" s="37"/>
      <c r="H67" s="37"/>
      <c r="I67" s="37"/>
      <c r="J67" s="38"/>
      <c r="K67" s="37"/>
      <c r="L67" s="101"/>
      <c r="M67" s="37"/>
      <c r="N67" s="37"/>
      <c r="O67" s="37"/>
      <c r="P67" s="37"/>
      <c r="Q67" s="37"/>
      <c r="R67" s="139"/>
      <c r="S67" s="140"/>
      <c r="T67" s="144"/>
    </row>
    <row r="68" spans="2:23" ht="18.75" customHeight="1">
      <c r="F68" s="98"/>
      <c r="G68" s="98"/>
      <c r="H68" s="98"/>
      <c r="I68" s="98"/>
      <c r="J68" s="41"/>
      <c r="K68" s="98"/>
      <c r="L68" s="102"/>
      <c r="M68" s="98"/>
      <c r="N68" s="98"/>
      <c r="O68" s="98"/>
      <c r="P68" s="98"/>
    </row>
    <row r="69" spans="2:23" ht="18.75" customHeight="1">
      <c r="C69" s="137" t="s">
        <v>4353</v>
      </c>
      <c r="D69" s="138"/>
      <c r="E69" s="143" t="str">
        <f>エンティティ一覧!$O$2</f>
        <v>milscm_2023_010</v>
      </c>
      <c r="F69" s="36"/>
      <c r="G69" s="36"/>
      <c r="H69" s="36"/>
      <c r="I69" s="36"/>
      <c r="J69" s="41"/>
      <c r="K69" s="98"/>
      <c r="L69" s="102"/>
      <c r="M69" s="98"/>
      <c r="N69" s="98"/>
      <c r="O69" s="98"/>
      <c r="P69" s="98"/>
    </row>
    <row r="70" spans="2:23" ht="18.75" customHeight="1">
      <c r="C70" s="139"/>
      <c r="D70" s="140"/>
      <c r="E70" s="144"/>
      <c r="G70" s="98"/>
      <c r="H70" s="98"/>
      <c r="I70" s="98"/>
      <c r="J70" s="98"/>
      <c r="K70" s="98"/>
      <c r="L70" s="102"/>
      <c r="M70" s="98"/>
      <c r="N70" s="98"/>
      <c r="O70" s="98"/>
      <c r="P70" s="98"/>
    </row>
    <row r="71" spans="2:23" ht="18.75" customHeight="1">
      <c r="F71" s="98"/>
      <c r="G71" s="98"/>
      <c r="H71" s="98"/>
      <c r="I71" s="98"/>
      <c r="J71" s="98"/>
      <c r="K71" s="98"/>
      <c r="L71" s="102"/>
      <c r="M71" s="98"/>
      <c r="N71" s="98"/>
      <c r="O71" s="98"/>
      <c r="P71" s="98"/>
    </row>
    <row r="72" spans="2:23" ht="18.75" customHeight="1">
      <c r="C72" s="137" t="s">
        <v>4114</v>
      </c>
      <c r="D72" s="138"/>
      <c r="E72" s="143" t="str">
        <f>エンティティ一覧!$O$2</f>
        <v>milscm_2023_010</v>
      </c>
      <c r="F72" s="36"/>
      <c r="G72" s="36"/>
      <c r="H72" s="36"/>
      <c r="I72" s="36"/>
      <c r="J72" s="36"/>
      <c r="K72" s="36"/>
      <c r="L72" s="103"/>
      <c r="M72" s="98"/>
      <c r="N72" s="98"/>
      <c r="O72" s="98"/>
      <c r="P72" s="98"/>
    </row>
    <row r="73" spans="2:23" ht="18.75" customHeight="1">
      <c r="C73" s="139"/>
      <c r="D73" s="140"/>
      <c r="E73" s="144"/>
      <c r="G73" s="98"/>
      <c r="H73" s="98"/>
      <c r="I73" s="98"/>
      <c r="J73" s="98"/>
      <c r="K73" s="98"/>
      <c r="L73" s="98"/>
      <c r="M73" s="98"/>
    </row>
    <row r="74" spans="2:23" ht="18.75" customHeight="1" thickBot="1">
      <c r="B74" s="42"/>
      <c r="C74" s="42"/>
      <c r="D74" s="42"/>
      <c r="E74" s="42"/>
      <c r="F74" s="42"/>
      <c r="G74" s="42"/>
      <c r="H74" s="42"/>
      <c r="I74" s="42"/>
      <c r="J74" s="42"/>
      <c r="K74" s="42"/>
      <c r="L74" s="42"/>
      <c r="M74" s="42"/>
      <c r="N74" s="42"/>
      <c r="O74" s="42"/>
      <c r="P74" s="42"/>
      <c r="Q74" s="42"/>
      <c r="R74" s="42"/>
      <c r="S74" s="42"/>
      <c r="T74" s="42"/>
      <c r="U74" s="42"/>
    </row>
    <row r="76" spans="2:23" ht="18.75" customHeight="1">
      <c r="B76" s="43" t="s">
        <v>163</v>
      </c>
      <c r="C76" s="115" t="s">
        <v>4433</v>
      </c>
      <c r="D76" s="116"/>
      <c r="W76" s="35" t="str">
        <f>"-- "&amp;B76&amp;" : "&amp;C76</f>
        <v>-- SQL_ID : 61_06</v>
      </c>
    </row>
    <row r="77" spans="2:23" ht="18.75" customHeight="1">
      <c r="B77" s="43" t="s">
        <v>158</v>
      </c>
      <c r="C77" s="145" t="str">
        <f>R80&amp;"登録"</f>
        <v>デリバリ_カリウム平均推移_週別_lb30以上登録</v>
      </c>
      <c r="D77" s="146"/>
      <c r="E77" s="146"/>
      <c r="F77" s="146"/>
      <c r="G77" s="146"/>
      <c r="H77" s="146"/>
      <c r="I77" s="146"/>
      <c r="J77" s="146"/>
      <c r="K77" s="146"/>
      <c r="L77" s="146"/>
      <c r="M77" s="146"/>
      <c r="N77" s="146"/>
      <c r="O77" s="146"/>
      <c r="P77" s="146"/>
      <c r="Q77" s="146"/>
      <c r="R77" s="146"/>
      <c r="S77" s="146"/>
      <c r="T77" s="146"/>
      <c r="U77" s="147"/>
      <c r="W77" s="35" t="str">
        <f>"-- "&amp;C77</f>
        <v>-- デリバリ_カリウム平均推移_週別_lb30以上登録</v>
      </c>
    </row>
    <row r="78" spans="2:23" ht="18.75" customHeight="1">
      <c r="B78" s="43" t="s">
        <v>159</v>
      </c>
      <c r="C78" s="134" t="str">
        <f>"カリウムの平均推移をまとめ、"&amp;R80&amp;"テーブルに格納する。"</f>
        <v>カリウムの平均推移をまとめ、デリバリ_カリウム平均推移_週別_lb30以上テーブルに格納する。</v>
      </c>
      <c r="D78" s="135"/>
      <c r="E78" s="135"/>
      <c r="F78" s="135"/>
      <c r="G78" s="135"/>
      <c r="H78" s="135"/>
      <c r="I78" s="135"/>
      <c r="J78" s="135"/>
      <c r="K78" s="135"/>
      <c r="L78" s="135"/>
      <c r="M78" s="135"/>
      <c r="N78" s="135"/>
      <c r="O78" s="135"/>
      <c r="P78" s="135"/>
      <c r="Q78" s="135"/>
      <c r="R78" s="135"/>
      <c r="S78" s="135"/>
      <c r="T78" s="135"/>
      <c r="U78" s="136"/>
      <c r="W78" s="35" t="str">
        <f>"-- "&amp;C78</f>
        <v>-- カリウムの平均推移をまとめ、デリバリ_カリウム平均推移_週別_lb30以上テーブルに格納する。</v>
      </c>
    </row>
    <row r="80" spans="2:23" ht="18.75" customHeight="1">
      <c r="C80" s="137" t="s">
        <v>4423</v>
      </c>
      <c r="D80" s="138"/>
      <c r="E80" s="143" t="str">
        <f>エンティティ一覧!$O$2</f>
        <v>milscm_2023_010</v>
      </c>
      <c r="F80" s="36"/>
      <c r="G80" s="98"/>
      <c r="H80" s="98"/>
      <c r="I80" s="98"/>
      <c r="J80" s="98"/>
      <c r="K80" s="98"/>
      <c r="L80" s="98"/>
      <c r="M80" s="98"/>
      <c r="N80" s="98"/>
      <c r="O80" s="98"/>
      <c r="R80" s="137" t="s">
        <v>4431</v>
      </c>
      <c r="S80" s="138"/>
      <c r="T80" s="143" t="str">
        <f>エンティティ一覧!$O$2</f>
        <v>milscm_2023_010</v>
      </c>
    </row>
    <row r="81" spans="2:23" ht="18.75" customHeight="1">
      <c r="C81" s="139"/>
      <c r="D81" s="140"/>
      <c r="E81" s="144"/>
      <c r="F81" s="38"/>
      <c r="G81" s="37"/>
      <c r="H81" s="37"/>
      <c r="I81" s="37"/>
      <c r="J81" s="38"/>
      <c r="K81" s="37"/>
      <c r="L81" s="101"/>
      <c r="M81" s="37"/>
      <c r="N81" s="37"/>
      <c r="O81" s="37"/>
      <c r="P81" s="37"/>
      <c r="Q81" s="37"/>
      <c r="R81" s="139"/>
      <c r="S81" s="140"/>
      <c r="T81" s="144"/>
    </row>
    <row r="82" spans="2:23" ht="18.75" customHeight="1">
      <c r="F82" s="98"/>
      <c r="G82" s="98"/>
      <c r="H82" s="98"/>
      <c r="I82" s="98"/>
      <c r="J82" s="41"/>
      <c r="K82" s="98"/>
      <c r="L82" s="102"/>
      <c r="M82" s="98"/>
      <c r="N82" s="98"/>
      <c r="O82" s="98"/>
      <c r="P82" s="98"/>
    </row>
    <row r="83" spans="2:23" ht="18.75" customHeight="1">
      <c r="C83" s="137" t="s">
        <v>4353</v>
      </c>
      <c r="D83" s="138"/>
      <c r="E83" s="143" t="str">
        <f>エンティティ一覧!$O$2</f>
        <v>milscm_2023_010</v>
      </c>
      <c r="F83" s="36"/>
      <c r="G83" s="36"/>
      <c r="H83" s="36"/>
      <c r="I83" s="36"/>
      <c r="J83" s="41"/>
      <c r="K83" s="98"/>
      <c r="L83" s="102"/>
      <c r="M83" s="98"/>
      <c r="N83" s="98"/>
      <c r="O83" s="98"/>
      <c r="P83" s="98"/>
    </row>
    <row r="84" spans="2:23" ht="18.75" customHeight="1">
      <c r="C84" s="139"/>
      <c r="D84" s="140"/>
      <c r="E84" s="144"/>
      <c r="G84" s="98"/>
      <c r="H84" s="98"/>
      <c r="I84" s="98"/>
      <c r="J84" s="98"/>
      <c r="K84" s="98"/>
      <c r="L84" s="102"/>
      <c r="M84" s="98"/>
      <c r="N84" s="98"/>
      <c r="O84" s="98"/>
      <c r="P84" s="98"/>
    </row>
    <row r="85" spans="2:23" ht="18.75" customHeight="1">
      <c r="F85" s="98"/>
      <c r="G85" s="98"/>
      <c r="H85" s="98"/>
      <c r="I85" s="98"/>
      <c r="J85" s="98"/>
      <c r="K85" s="98"/>
      <c r="L85" s="102"/>
      <c r="M85" s="98"/>
      <c r="N85" s="98"/>
      <c r="O85" s="98"/>
      <c r="P85" s="98"/>
    </row>
    <row r="86" spans="2:23" ht="18.75" customHeight="1">
      <c r="C86" s="137" t="s">
        <v>4114</v>
      </c>
      <c r="D86" s="138"/>
      <c r="E86" s="143" t="str">
        <f>エンティティ一覧!$O$2</f>
        <v>milscm_2023_010</v>
      </c>
      <c r="F86" s="36"/>
      <c r="G86" s="36"/>
      <c r="H86" s="36"/>
      <c r="I86" s="36"/>
      <c r="J86" s="36"/>
      <c r="K86" s="36"/>
      <c r="L86" s="103"/>
      <c r="M86" s="98"/>
      <c r="N86" s="98"/>
      <c r="O86" s="98"/>
      <c r="P86" s="98"/>
    </row>
    <row r="87" spans="2:23" ht="18.75" customHeight="1">
      <c r="C87" s="139"/>
      <c r="D87" s="140"/>
      <c r="E87" s="144"/>
      <c r="G87" s="98"/>
      <c r="H87" s="98"/>
      <c r="I87" s="98"/>
      <c r="J87" s="98"/>
      <c r="K87" s="98"/>
      <c r="L87" s="98"/>
      <c r="M87" s="98"/>
    </row>
    <row r="88" spans="2:23" ht="18.75" customHeight="1" thickBot="1">
      <c r="B88" s="42"/>
      <c r="C88" s="42"/>
      <c r="D88" s="42"/>
      <c r="E88" s="42"/>
      <c r="F88" s="42"/>
      <c r="G88" s="42"/>
      <c r="H88" s="42"/>
      <c r="I88" s="42"/>
      <c r="J88" s="42"/>
      <c r="K88" s="42"/>
      <c r="L88" s="42"/>
      <c r="M88" s="42"/>
      <c r="N88" s="42"/>
      <c r="O88" s="42"/>
      <c r="P88" s="42"/>
      <c r="Q88" s="42"/>
      <c r="R88" s="42"/>
      <c r="S88" s="42"/>
      <c r="T88" s="42"/>
      <c r="U88" s="42"/>
    </row>
    <row r="90" spans="2:23" ht="18.75" customHeight="1">
      <c r="B90" s="43" t="s">
        <v>163</v>
      </c>
      <c r="C90" s="115" t="s">
        <v>4437</v>
      </c>
      <c r="D90" s="116"/>
      <c r="W90" s="35" t="str">
        <f>"-- "&amp;B90&amp;" : "&amp;C90</f>
        <v>-- SQL_ID : 61_07</v>
      </c>
    </row>
    <row r="91" spans="2:23" ht="18.75" customHeight="1">
      <c r="B91" s="43" t="s">
        <v>158</v>
      </c>
      <c r="C91" s="145" t="str">
        <f>R94&amp;"登録"</f>
        <v>デリバリ_カリウム平均推移_月別登録</v>
      </c>
      <c r="D91" s="146"/>
      <c r="E91" s="146"/>
      <c r="F91" s="146"/>
      <c r="G91" s="146"/>
      <c r="H91" s="146"/>
      <c r="I91" s="146"/>
      <c r="J91" s="146"/>
      <c r="K91" s="146"/>
      <c r="L91" s="146"/>
      <c r="M91" s="146"/>
      <c r="N91" s="146"/>
      <c r="O91" s="146"/>
      <c r="P91" s="146"/>
      <c r="Q91" s="146"/>
      <c r="R91" s="146"/>
      <c r="S91" s="146"/>
      <c r="T91" s="146"/>
      <c r="U91" s="147"/>
      <c r="W91" s="35" t="str">
        <f>"-- "&amp;C91</f>
        <v>-- デリバリ_カリウム平均推移_月別登録</v>
      </c>
    </row>
    <row r="92" spans="2:23" ht="18.75" customHeight="1">
      <c r="B92" s="43" t="s">
        <v>159</v>
      </c>
      <c r="C92" s="134" t="str">
        <f>"カリウムの平均推移をまとめ、"&amp;R94&amp;"テーブルに格納する。"</f>
        <v>カリウムの平均推移をまとめ、デリバリ_カリウム平均推移_月別テーブルに格納する。</v>
      </c>
      <c r="D92" s="135"/>
      <c r="E92" s="135"/>
      <c r="F92" s="135"/>
      <c r="G92" s="135"/>
      <c r="H92" s="135"/>
      <c r="I92" s="135"/>
      <c r="J92" s="135"/>
      <c r="K92" s="135"/>
      <c r="L92" s="135"/>
      <c r="M92" s="135"/>
      <c r="N92" s="135"/>
      <c r="O92" s="135"/>
      <c r="P92" s="135"/>
      <c r="Q92" s="135"/>
      <c r="R92" s="135"/>
      <c r="S92" s="135"/>
      <c r="T92" s="135"/>
      <c r="U92" s="136"/>
      <c r="W92" s="35" t="str">
        <f>"-- "&amp;C92</f>
        <v>-- カリウムの平均推移をまとめ、デリバリ_カリウム平均推移_月別テーブルに格納する。</v>
      </c>
    </row>
    <row r="94" spans="2:23" ht="18.75" customHeight="1">
      <c r="C94" s="137" t="s">
        <v>4423</v>
      </c>
      <c r="D94" s="138"/>
      <c r="E94" s="143" t="str">
        <f>エンティティ一覧!$O$2</f>
        <v>milscm_2023_010</v>
      </c>
      <c r="F94" s="36"/>
      <c r="G94" s="98"/>
      <c r="H94" s="98"/>
      <c r="I94" s="98"/>
      <c r="J94" s="98"/>
      <c r="K94" s="98"/>
      <c r="L94" s="98"/>
      <c r="M94" s="98"/>
      <c r="N94" s="98"/>
      <c r="O94" s="98"/>
      <c r="R94" s="137" t="s">
        <v>4434</v>
      </c>
      <c r="S94" s="138"/>
      <c r="T94" s="143" t="str">
        <f>エンティティ一覧!$O$2</f>
        <v>milscm_2023_010</v>
      </c>
    </row>
    <row r="95" spans="2:23" ht="18.75" customHeight="1">
      <c r="C95" s="139"/>
      <c r="D95" s="140"/>
      <c r="E95" s="144"/>
      <c r="F95" s="38"/>
      <c r="G95" s="37"/>
      <c r="H95" s="37"/>
      <c r="I95" s="37"/>
      <c r="J95" s="38"/>
      <c r="K95" s="37"/>
      <c r="L95" s="101"/>
      <c r="M95" s="37"/>
      <c r="N95" s="37"/>
      <c r="O95" s="37"/>
      <c r="P95" s="37"/>
      <c r="Q95" s="37"/>
      <c r="R95" s="139"/>
      <c r="S95" s="140"/>
      <c r="T95" s="144"/>
    </row>
    <row r="96" spans="2:23" ht="18.75" customHeight="1">
      <c r="F96" s="98"/>
      <c r="G96" s="98"/>
      <c r="H96" s="98"/>
      <c r="I96" s="98"/>
      <c r="J96" s="41"/>
      <c r="K96" s="98"/>
      <c r="L96" s="102"/>
      <c r="M96" s="98"/>
      <c r="N96" s="98"/>
      <c r="O96" s="98"/>
      <c r="P96" s="98"/>
    </row>
    <row r="97" spans="2:23" ht="18.75" customHeight="1">
      <c r="C97" s="137" t="s">
        <v>4353</v>
      </c>
      <c r="D97" s="138"/>
      <c r="E97" s="143" t="str">
        <f>エンティティ一覧!$O$2</f>
        <v>milscm_2023_010</v>
      </c>
      <c r="F97" s="36"/>
      <c r="G97" s="36"/>
      <c r="H97" s="36"/>
      <c r="I97" s="36"/>
      <c r="J97" s="41"/>
      <c r="K97" s="98"/>
      <c r="L97" s="102"/>
      <c r="M97" s="98"/>
      <c r="N97" s="98"/>
      <c r="O97" s="98"/>
      <c r="P97" s="98"/>
    </row>
    <row r="98" spans="2:23" ht="18.75" customHeight="1">
      <c r="C98" s="139"/>
      <c r="D98" s="140"/>
      <c r="E98" s="144"/>
      <c r="G98" s="98"/>
      <c r="H98" s="98"/>
      <c r="I98" s="98"/>
      <c r="J98" s="98"/>
      <c r="K98" s="98"/>
      <c r="L98" s="102"/>
      <c r="M98" s="98"/>
      <c r="N98" s="98"/>
      <c r="O98" s="98"/>
      <c r="P98" s="98"/>
    </row>
    <row r="99" spans="2:23" ht="18.75" customHeight="1">
      <c r="F99" s="98"/>
      <c r="G99" s="98"/>
      <c r="H99" s="98"/>
      <c r="I99" s="98"/>
      <c r="J99" s="98"/>
      <c r="K99" s="98"/>
      <c r="L99" s="102"/>
      <c r="M99" s="98"/>
      <c r="N99" s="98"/>
      <c r="O99" s="98"/>
      <c r="P99" s="98"/>
    </row>
    <row r="100" spans="2:23" ht="18.75" customHeight="1">
      <c r="C100" s="137" t="s">
        <v>4114</v>
      </c>
      <c r="D100" s="138"/>
      <c r="E100" s="143" t="str">
        <f>エンティティ一覧!$O$2</f>
        <v>milscm_2023_010</v>
      </c>
      <c r="F100" s="36"/>
      <c r="G100" s="36"/>
      <c r="H100" s="36"/>
      <c r="I100" s="36"/>
      <c r="J100" s="36"/>
      <c r="K100" s="36"/>
      <c r="L100" s="103"/>
      <c r="M100" s="98"/>
      <c r="N100" s="98"/>
      <c r="O100" s="98"/>
      <c r="P100" s="98"/>
    </row>
    <row r="101" spans="2:23" ht="18.75" customHeight="1">
      <c r="C101" s="139"/>
      <c r="D101" s="140"/>
      <c r="E101" s="144"/>
      <c r="G101" s="98"/>
      <c r="H101" s="98"/>
      <c r="I101" s="98"/>
      <c r="J101" s="98"/>
      <c r="K101" s="98"/>
      <c r="L101" s="98"/>
      <c r="M101" s="98"/>
    </row>
    <row r="102" spans="2:23" ht="18.75" customHeight="1" thickBot="1">
      <c r="B102" s="42"/>
      <c r="C102" s="42"/>
      <c r="D102" s="42"/>
      <c r="E102" s="42"/>
      <c r="F102" s="42"/>
      <c r="G102" s="42"/>
      <c r="H102" s="42"/>
      <c r="I102" s="42"/>
      <c r="J102" s="42"/>
      <c r="K102" s="42"/>
      <c r="L102" s="42"/>
      <c r="M102" s="42"/>
      <c r="N102" s="42"/>
      <c r="O102" s="42"/>
      <c r="P102" s="42"/>
      <c r="Q102" s="42"/>
      <c r="R102" s="42"/>
      <c r="S102" s="42"/>
      <c r="T102" s="42"/>
      <c r="U102" s="42"/>
    </row>
    <row r="104" spans="2:23" ht="18.75" customHeight="1">
      <c r="B104" s="43" t="s">
        <v>163</v>
      </c>
      <c r="C104" s="115" t="s">
        <v>4440</v>
      </c>
      <c r="D104" s="116"/>
      <c r="W104" s="35" t="str">
        <f>"-- "&amp;B104&amp;" : "&amp;C104</f>
        <v>-- SQL_ID : 61_08</v>
      </c>
    </row>
    <row r="105" spans="2:23" ht="18.75" customHeight="1">
      <c r="B105" s="43" t="s">
        <v>158</v>
      </c>
      <c r="C105" s="145" t="str">
        <f>R108&amp;"登録"</f>
        <v>デリバリ_カリウム平均推移_月別_lb30以上登録</v>
      </c>
      <c r="D105" s="146"/>
      <c r="E105" s="146"/>
      <c r="F105" s="146"/>
      <c r="G105" s="146"/>
      <c r="H105" s="146"/>
      <c r="I105" s="146"/>
      <c r="J105" s="146"/>
      <c r="K105" s="146"/>
      <c r="L105" s="146"/>
      <c r="M105" s="146"/>
      <c r="N105" s="146"/>
      <c r="O105" s="146"/>
      <c r="P105" s="146"/>
      <c r="Q105" s="146"/>
      <c r="R105" s="146"/>
      <c r="S105" s="146"/>
      <c r="T105" s="146"/>
      <c r="U105" s="147"/>
      <c r="W105" s="35" t="str">
        <f>"-- "&amp;C105</f>
        <v>-- デリバリ_カリウム平均推移_月別_lb30以上登録</v>
      </c>
    </row>
    <row r="106" spans="2:23" ht="18.75" customHeight="1">
      <c r="B106" s="43" t="s">
        <v>159</v>
      </c>
      <c r="C106" s="134" t="str">
        <f>"カリウムの平均推移をまとめ、"&amp;R108&amp;"テーブルに格納する。"</f>
        <v>カリウムの平均推移をまとめ、デリバリ_カリウム平均推移_月別_lb30以上テーブルに格納する。</v>
      </c>
      <c r="D106" s="135"/>
      <c r="E106" s="135"/>
      <c r="F106" s="135"/>
      <c r="G106" s="135"/>
      <c r="H106" s="135"/>
      <c r="I106" s="135"/>
      <c r="J106" s="135"/>
      <c r="K106" s="135"/>
      <c r="L106" s="135"/>
      <c r="M106" s="135"/>
      <c r="N106" s="135"/>
      <c r="O106" s="135"/>
      <c r="P106" s="135"/>
      <c r="Q106" s="135"/>
      <c r="R106" s="135"/>
      <c r="S106" s="135"/>
      <c r="T106" s="135"/>
      <c r="U106" s="136"/>
      <c r="W106" s="35" t="str">
        <f>"-- "&amp;C106</f>
        <v>-- カリウムの平均推移をまとめ、デリバリ_カリウム平均推移_月別_lb30以上テーブルに格納する。</v>
      </c>
    </row>
    <row r="108" spans="2:23" ht="18.75" customHeight="1">
      <c r="C108" s="137" t="s">
        <v>4423</v>
      </c>
      <c r="D108" s="138"/>
      <c r="E108" s="143" t="str">
        <f>エンティティ一覧!$O$2</f>
        <v>milscm_2023_010</v>
      </c>
      <c r="F108" s="36"/>
      <c r="G108" s="98"/>
      <c r="H108" s="98"/>
      <c r="I108" s="98"/>
      <c r="J108" s="98"/>
      <c r="K108" s="98"/>
      <c r="L108" s="98"/>
      <c r="M108" s="98"/>
      <c r="N108" s="98"/>
      <c r="O108" s="98"/>
      <c r="R108" s="137" t="s">
        <v>4438</v>
      </c>
      <c r="S108" s="138"/>
      <c r="T108" s="143" t="str">
        <f>エンティティ一覧!$O$2</f>
        <v>milscm_2023_010</v>
      </c>
    </row>
    <row r="109" spans="2:23" ht="18.75" customHeight="1">
      <c r="C109" s="139"/>
      <c r="D109" s="140"/>
      <c r="E109" s="144"/>
      <c r="F109" s="38"/>
      <c r="G109" s="37"/>
      <c r="H109" s="37"/>
      <c r="I109" s="37"/>
      <c r="J109" s="38"/>
      <c r="K109" s="37"/>
      <c r="L109" s="101"/>
      <c r="M109" s="37"/>
      <c r="N109" s="37"/>
      <c r="O109" s="37"/>
      <c r="P109" s="37"/>
      <c r="Q109" s="37"/>
      <c r="R109" s="139"/>
      <c r="S109" s="140"/>
      <c r="T109" s="144"/>
    </row>
    <row r="110" spans="2:23" ht="18.75" customHeight="1">
      <c r="F110" s="98"/>
      <c r="G110" s="98"/>
      <c r="H110" s="98"/>
      <c r="I110" s="98"/>
      <c r="J110" s="41"/>
      <c r="K110" s="98"/>
      <c r="L110" s="102"/>
      <c r="M110" s="98"/>
      <c r="N110" s="98"/>
      <c r="O110" s="98"/>
      <c r="P110" s="98"/>
    </row>
    <row r="111" spans="2:23" ht="18.75" customHeight="1">
      <c r="C111" s="137" t="s">
        <v>4353</v>
      </c>
      <c r="D111" s="138"/>
      <c r="E111" s="143" t="str">
        <f>エンティティ一覧!$O$2</f>
        <v>milscm_2023_010</v>
      </c>
      <c r="F111" s="36"/>
      <c r="G111" s="36"/>
      <c r="H111" s="36"/>
      <c r="I111" s="36"/>
      <c r="J111" s="41"/>
      <c r="K111" s="98"/>
      <c r="L111" s="102"/>
      <c r="M111" s="98"/>
      <c r="N111" s="98"/>
      <c r="O111" s="98"/>
      <c r="P111" s="98"/>
    </row>
    <row r="112" spans="2:23" ht="18.75" customHeight="1">
      <c r="C112" s="139"/>
      <c r="D112" s="140"/>
      <c r="E112" s="144"/>
      <c r="G112" s="98"/>
      <c r="H112" s="98"/>
      <c r="I112" s="98"/>
      <c r="J112" s="98"/>
      <c r="K112" s="98"/>
      <c r="L112" s="102"/>
      <c r="M112" s="98"/>
      <c r="N112" s="98"/>
      <c r="O112" s="98"/>
      <c r="P112" s="98"/>
    </row>
    <row r="113" spans="2:23" ht="18.75" customHeight="1">
      <c r="F113" s="98"/>
      <c r="G113" s="98"/>
      <c r="H113" s="98"/>
      <c r="I113" s="98"/>
      <c r="J113" s="98"/>
      <c r="K113" s="98"/>
      <c r="L113" s="102"/>
      <c r="M113" s="98"/>
      <c r="N113" s="98"/>
      <c r="O113" s="98"/>
      <c r="P113" s="98"/>
    </row>
    <row r="114" spans="2:23" ht="18.75" customHeight="1">
      <c r="C114" s="137" t="s">
        <v>4114</v>
      </c>
      <c r="D114" s="138"/>
      <c r="E114" s="143" t="str">
        <f>エンティティ一覧!$O$2</f>
        <v>milscm_2023_010</v>
      </c>
      <c r="F114" s="36"/>
      <c r="G114" s="36"/>
      <c r="H114" s="36"/>
      <c r="I114" s="36"/>
      <c r="J114" s="36"/>
      <c r="K114" s="36"/>
      <c r="L114" s="103"/>
      <c r="M114" s="98"/>
      <c r="N114" s="98"/>
      <c r="O114" s="98"/>
      <c r="P114" s="98"/>
    </row>
    <row r="115" spans="2:23" ht="18.75" customHeight="1">
      <c r="C115" s="139"/>
      <c r="D115" s="140"/>
      <c r="E115" s="144"/>
      <c r="G115" s="98"/>
      <c r="H115" s="98"/>
      <c r="I115" s="98"/>
      <c r="J115" s="98"/>
      <c r="K115" s="98"/>
      <c r="L115" s="98"/>
      <c r="M115" s="98"/>
    </row>
    <row r="116" spans="2:23" ht="18.75" customHeight="1" thickBot="1">
      <c r="B116" s="42"/>
      <c r="C116" s="42"/>
      <c r="D116" s="42"/>
      <c r="E116" s="42"/>
      <c r="F116" s="42"/>
      <c r="G116" s="42"/>
      <c r="H116" s="42"/>
      <c r="I116" s="42"/>
      <c r="J116" s="42"/>
      <c r="K116" s="42"/>
      <c r="L116" s="42"/>
      <c r="M116" s="42"/>
      <c r="N116" s="42"/>
      <c r="O116" s="42"/>
      <c r="P116" s="42"/>
      <c r="Q116" s="42"/>
      <c r="R116" s="42"/>
      <c r="S116" s="42"/>
      <c r="T116" s="42"/>
      <c r="U116" s="42"/>
    </row>
    <row r="118" spans="2:23" ht="18.75" customHeight="1">
      <c r="B118" s="43" t="s">
        <v>163</v>
      </c>
      <c r="C118" s="115" t="s">
        <v>4443</v>
      </c>
      <c r="D118" s="116"/>
      <c r="W118" s="35" t="str">
        <f>"-- "&amp;B118&amp;" : "&amp;C118</f>
        <v>-- SQL_ID : 61_09</v>
      </c>
    </row>
    <row r="119" spans="2:23" ht="18.75" customHeight="1">
      <c r="B119" s="43" t="s">
        <v>158</v>
      </c>
      <c r="C119" s="145" t="str">
        <f>R122&amp;"登録"</f>
        <v>デリバリ_カリウム平均推移_日別_全患者登録</v>
      </c>
      <c r="D119" s="146"/>
      <c r="E119" s="146"/>
      <c r="F119" s="146"/>
      <c r="G119" s="146"/>
      <c r="H119" s="146"/>
      <c r="I119" s="146"/>
      <c r="J119" s="146"/>
      <c r="K119" s="146"/>
      <c r="L119" s="146"/>
      <c r="M119" s="146"/>
      <c r="N119" s="146"/>
      <c r="O119" s="146"/>
      <c r="P119" s="146"/>
      <c r="Q119" s="146"/>
      <c r="R119" s="146"/>
      <c r="S119" s="146"/>
      <c r="T119" s="146"/>
      <c r="U119" s="147"/>
      <c r="W119" s="35" t="str">
        <f>"-- "&amp;C119</f>
        <v>-- デリバリ_カリウム平均推移_日別_全患者登録</v>
      </c>
    </row>
    <row r="120" spans="2:23" ht="18.75" customHeight="1">
      <c r="B120" s="43" t="s">
        <v>159</v>
      </c>
      <c r="C120" s="134" t="str">
        <f>"カリウムの平均推移をまとめ、"&amp;R122&amp;"テーブルに格納する。"</f>
        <v>カリウムの平均推移をまとめ、デリバリ_カリウム平均推移_日別_全患者テーブルに格納する。</v>
      </c>
      <c r="D120" s="135"/>
      <c r="E120" s="135"/>
      <c r="F120" s="135"/>
      <c r="G120" s="135"/>
      <c r="H120" s="135"/>
      <c r="I120" s="135"/>
      <c r="J120" s="135"/>
      <c r="K120" s="135"/>
      <c r="L120" s="135"/>
      <c r="M120" s="135"/>
      <c r="N120" s="135"/>
      <c r="O120" s="135"/>
      <c r="P120" s="135"/>
      <c r="Q120" s="135"/>
      <c r="R120" s="135"/>
      <c r="S120" s="135"/>
      <c r="T120" s="135"/>
      <c r="U120" s="136"/>
      <c r="W120" s="35" t="str">
        <f>"-- "&amp;C120</f>
        <v>-- カリウムの平均推移をまとめ、デリバリ_カリウム平均推移_日別_全患者テーブルに格納する。</v>
      </c>
    </row>
    <row r="122" spans="2:23" ht="18.75" customHeight="1">
      <c r="C122" s="137" t="s">
        <v>4423</v>
      </c>
      <c r="D122" s="138"/>
      <c r="E122" s="143" t="str">
        <f>エンティティ一覧!$O$2</f>
        <v>milscm_2023_010</v>
      </c>
      <c r="F122" s="36"/>
      <c r="G122" s="98"/>
      <c r="H122" s="98"/>
      <c r="I122" s="98"/>
      <c r="J122" s="98"/>
      <c r="K122" s="98"/>
      <c r="L122" s="98"/>
      <c r="M122" s="98"/>
      <c r="N122" s="98"/>
      <c r="O122" s="98"/>
      <c r="R122" s="137" t="s">
        <v>4444</v>
      </c>
      <c r="S122" s="138"/>
      <c r="T122" s="143" t="str">
        <f>エンティティ一覧!$O$2</f>
        <v>milscm_2023_010</v>
      </c>
    </row>
    <row r="123" spans="2:23" ht="18.75" customHeight="1">
      <c r="C123" s="139"/>
      <c r="D123" s="140"/>
      <c r="E123" s="144"/>
      <c r="F123" s="38"/>
      <c r="G123" s="37"/>
      <c r="H123" s="37"/>
      <c r="I123" s="37"/>
      <c r="J123" s="38"/>
      <c r="K123" s="37"/>
      <c r="L123" s="101"/>
      <c r="M123" s="37"/>
      <c r="N123" s="37"/>
      <c r="O123" s="37"/>
      <c r="P123" s="37"/>
      <c r="Q123" s="37"/>
      <c r="R123" s="139"/>
      <c r="S123" s="140"/>
      <c r="T123" s="144"/>
    </row>
    <row r="124" spans="2:23" ht="18.75" customHeight="1">
      <c r="F124" s="98"/>
      <c r="G124" s="98"/>
      <c r="H124" s="98"/>
      <c r="I124" s="98"/>
      <c r="J124" s="41"/>
      <c r="K124" s="98"/>
      <c r="L124" s="102"/>
      <c r="M124" s="98"/>
      <c r="N124" s="98"/>
      <c r="O124" s="98"/>
      <c r="P124" s="98"/>
    </row>
    <row r="125" spans="2:23" ht="18.75" customHeight="1">
      <c r="C125" s="137" t="s">
        <v>4353</v>
      </c>
      <c r="D125" s="138"/>
      <c r="E125" s="143" t="str">
        <f>エンティティ一覧!$O$2</f>
        <v>milscm_2023_010</v>
      </c>
      <c r="F125" s="36"/>
      <c r="G125" s="36"/>
      <c r="H125" s="36"/>
      <c r="I125" s="36"/>
      <c r="J125" s="41"/>
      <c r="K125" s="98"/>
      <c r="L125" s="102"/>
      <c r="M125" s="98"/>
      <c r="N125" s="98"/>
      <c r="O125" s="98"/>
      <c r="P125" s="98"/>
    </row>
    <row r="126" spans="2:23" ht="18.75" customHeight="1">
      <c r="C126" s="139"/>
      <c r="D126" s="140"/>
      <c r="E126" s="144"/>
      <c r="G126" s="98"/>
      <c r="H126" s="98"/>
      <c r="I126" s="98"/>
      <c r="J126" s="98"/>
      <c r="K126" s="98"/>
      <c r="L126" s="102"/>
      <c r="M126" s="98"/>
      <c r="N126" s="98"/>
      <c r="O126" s="98"/>
      <c r="P126" s="98"/>
    </row>
    <row r="127" spans="2:23" ht="18.75" customHeight="1">
      <c r="F127" s="98"/>
      <c r="G127" s="98"/>
      <c r="H127" s="98"/>
      <c r="I127" s="98"/>
      <c r="J127" s="98"/>
      <c r="K127" s="98"/>
      <c r="L127" s="102"/>
      <c r="M127" s="98"/>
      <c r="N127" s="98"/>
      <c r="O127" s="98"/>
      <c r="P127" s="98"/>
    </row>
    <row r="128" spans="2:23" ht="18.75" customHeight="1">
      <c r="C128" s="137" t="s">
        <v>4114</v>
      </c>
      <c r="D128" s="138"/>
      <c r="E128" s="143" t="str">
        <f>エンティティ一覧!$O$2</f>
        <v>milscm_2023_010</v>
      </c>
      <c r="F128" s="36"/>
      <c r="G128" s="36"/>
      <c r="H128" s="36"/>
      <c r="I128" s="36"/>
      <c r="J128" s="36"/>
      <c r="K128" s="36"/>
      <c r="L128" s="103"/>
      <c r="M128" s="98"/>
      <c r="N128" s="98"/>
      <c r="O128" s="98"/>
      <c r="P128" s="98"/>
    </row>
    <row r="129" spans="2:23" ht="18.75" customHeight="1">
      <c r="C129" s="139"/>
      <c r="D129" s="140"/>
      <c r="E129" s="144"/>
      <c r="G129" s="98"/>
      <c r="H129" s="98"/>
      <c r="I129" s="98"/>
      <c r="J129" s="98"/>
      <c r="K129" s="98"/>
      <c r="L129" s="98"/>
      <c r="M129" s="98"/>
    </row>
    <row r="130" spans="2:23" ht="18.75" customHeight="1" thickBot="1">
      <c r="B130" s="42"/>
      <c r="C130" s="42"/>
      <c r="D130" s="42"/>
      <c r="E130" s="42"/>
      <c r="F130" s="42"/>
      <c r="G130" s="42"/>
      <c r="H130" s="42"/>
      <c r="I130" s="42"/>
      <c r="J130" s="42"/>
      <c r="K130" s="42"/>
      <c r="L130" s="42"/>
      <c r="M130" s="42"/>
      <c r="N130" s="42"/>
      <c r="O130" s="42"/>
      <c r="P130" s="42"/>
      <c r="Q130" s="42"/>
      <c r="R130" s="42"/>
      <c r="S130" s="42"/>
      <c r="T130" s="42"/>
      <c r="U130" s="42"/>
    </row>
    <row r="132" spans="2:23" ht="18.75" customHeight="1">
      <c r="B132" s="43" t="s">
        <v>163</v>
      </c>
      <c r="C132" s="115" t="s">
        <v>4448</v>
      </c>
      <c r="D132" s="116"/>
      <c r="W132" s="35" t="str">
        <f>"-- "&amp;B132&amp;" : "&amp;C132</f>
        <v>-- SQL_ID : 61_10</v>
      </c>
    </row>
    <row r="133" spans="2:23" ht="18.75" customHeight="1">
      <c r="B133" s="43" t="s">
        <v>158</v>
      </c>
      <c r="C133" s="145" t="str">
        <f>R136&amp;"登録"</f>
        <v>デリバリ_カリウム平均推移_日別_全患者_lb30以上登録</v>
      </c>
      <c r="D133" s="146"/>
      <c r="E133" s="146"/>
      <c r="F133" s="146"/>
      <c r="G133" s="146"/>
      <c r="H133" s="146"/>
      <c r="I133" s="146"/>
      <c r="J133" s="146"/>
      <c r="K133" s="146"/>
      <c r="L133" s="146"/>
      <c r="M133" s="146"/>
      <c r="N133" s="146"/>
      <c r="O133" s="146"/>
      <c r="P133" s="146"/>
      <c r="Q133" s="146"/>
      <c r="R133" s="146"/>
      <c r="S133" s="146"/>
      <c r="T133" s="146"/>
      <c r="U133" s="147"/>
      <c r="W133" s="35" t="str">
        <f>"-- "&amp;C133</f>
        <v>-- デリバリ_カリウム平均推移_日別_全患者_lb30以上登録</v>
      </c>
    </row>
    <row r="134" spans="2:23" ht="18.75" customHeight="1">
      <c r="B134" s="43" t="s">
        <v>159</v>
      </c>
      <c r="C134" s="134" t="str">
        <f>"カリウムの平均推移をまとめ、"&amp;R136&amp;"テーブルに格納する。"</f>
        <v>カリウムの平均推移をまとめ、デリバリ_カリウム平均推移_日別_全患者_lb30以上テーブルに格納する。</v>
      </c>
      <c r="D134" s="135"/>
      <c r="E134" s="135"/>
      <c r="F134" s="135"/>
      <c r="G134" s="135"/>
      <c r="H134" s="135"/>
      <c r="I134" s="135"/>
      <c r="J134" s="135"/>
      <c r="K134" s="135"/>
      <c r="L134" s="135"/>
      <c r="M134" s="135"/>
      <c r="N134" s="135"/>
      <c r="O134" s="135"/>
      <c r="P134" s="135"/>
      <c r="Q134" s="135"/>
      <c r="R134" s="135"/>
      <c r="S134" s="135"/>
      <c r="T134" s="135"/>
      <c r="U134" s="136"/>
      <c r="W134" s="35" t="str">
        <f>"-- "&amp;C134</f>
        <v>-- カリウムの平均推移をまとめ、デリバリ_カリウム平均推移_日別_全患者_lb30以上テーブルに格納する。</v>
      </c>
    </row>
    <row r="136" spans="2:23" ht="18.75" customHeight="1">
      <c r="C136" s="137" t="s">
        <v>4423</v>
      </c>
      <c r="D136" s="138"/>
      <c r="E136" s="143" t="str">
        <f>エンティティ一覧!$O$2</f>
        <v>milscm_2023_010</v>
      </c>
      <c r="F136" s="36"/>
      <c r="G136" s="98"/>
      <c r="H136" s="98"/>
      <c r="I136" s="98"/>
      <c r="J136" s="98"/>
      <c r="K136" s="98"/>
      <c r="L136" s="98"/>
      <c r="M136" s="98"/>
      <c r="N136" s="98"/>
      <c r="O136" s="98"/>
      <c r="R136" s="137" t="s">
        <v>4449</v>
      </c>
      <c r="S136" s="138"/>
      <c r="T136" s="143" t="str">
        <f>エンティティ一覧!$O$2</f>
        <v>milscm_2023_010</v>
      </c>
    </row>
    <row r="137" spans="2:23" ht="18.75" customHeight="1">
      <c r="C137" s="139"/>
      <c r="D137" s="140"/>
      <c r="E137" s="144"/>
      <c r="F137" s="38"/>
      <c r="G137" s="37"/>
      <c r="H137" s="37"/>
      <c r="I137" s="37"/>
      <c r="J137" s="38"/>
      <c r="K137" s="37"/>
      <c r="L137" s="101"/>
      <c r="M137" s="37"/>
      <c r="N137" s="37"/>
      <c r="O137" s="37"/>
      <c r="P137" s="37"/>
      <c r="Q137" s="37"/>
      <c r="R137" s="139"/>
      <c r="S137" s="140"/>
      <c r="T137" s="144"/>
    </row>
    <row r="138" spans="2:23" ht="18.75" customHeight="1">
      <c r="F138" s="98"/>
      <c r="G138" s="98"/>
      <c r="H138" s="98"/>
      <c r="I138" s="98"/>
      <c r="J138" s="41"/>
      <c r="K138" s="98"/>
      <c r="L138" s="102"/>
      <c r="M138" s="98"/>
      <c r="N138" s="98"/>
      <c r="O138" s="98"/>
      <c r="P138" s="98"/>
    </row>
    <row r="139" spans="2:23" ht="18.75" customHeight="1">
      <c r="C139" s="137" t="s">
        <v>4353</v>
      </c>
      <c r="D139" s="138"/>
      <c r="E139" s="143" t="str">
        <f>エンティティ一覧!$O$2</f>
        <v>milscm_2023_010</v>
      </c>
      <c r="F139" s="36"/>
      <c r="G139" s="36"/>
      <c r="H139" s="36"/>
      <c r="I139" s="36"/>
      <c r="J139" s="41"/>
      <c r="K139" s="98"/>
      <c r="L139" s="102"/>
      <c r="M139" s="98"/>
      <c r="N139" s="98"/>
      <c r="O139" s="98"/>
      <c r="P139" s="98"/>
    </row>
    <row r="140" spans="2:23" ht="18.75" customHeight="1">
      <c r="C140" s="139"/>
      <c r="D140" s="140"/>
      <c r="E140" s="144"/>
      <c r="G140" s="98"/>
      <c r="H140" s="98"/>
      <c r="I140" s="98"/>
      <c r="J140" s="98"/>
      <c r="K140" s="98"/>
      <c r="L140" s="102"/>
      <c r="M140" s="98"/>
      <c r="N140" s="98"/>
      <c r="O140" s="98"/>
      <c r="P140" s="98"/>
    </row>
    <row r="141" spans="2:23" ht="18.75" customHeight="1">
      <c r="F141" s="98"/>
      <c r="G141" s="98"/>
      <c r="H141" s="98"/>
      <c r="I141" s="98"/>
      <c r="J141" s="98"/>
      <c r="K141" s="98"/>
      <c r="L141" s="102"/>
      <c r="M141" s="98"/>
      <c r="N141" s="98"/>
      <c r="O141" s="98"/>
      <c r="P141" s="98"/>
    </row>
    <row r="142" spans="2:23" ht="18.75" customHeight="1">
      <c r="C142" s="137" t="s">
        <v>4114</v>
      </c>
      <c r="D142" s="138"/>
      <c r="E142" s="143" t="str">
        <f>エンティティ一覧!$O$2</f>
        <v>milscm_2023_010</v>
      </c>
      <c r="F142" s="36"/>
      <c r="G142" s="36"/>
      <c r="H142" s="36"/>
      <c r="I142" s="36"/>
      <c r="J142" s="36"/>
      <c r="K142" s="36"/>
      <c r="L142" s="103"/>
      <c r="M142" s="98"/>
      <c r="N142" s="98"/>
      <c r="O142" s="98"/>
      <c r="P142" s="98"/>
    </row>
    <row r="143" spans="2:23" ht="18.75" customHeight="1">
      <c r="C143" s="139"/>
      <c r="D143" s="140"/>
      <c r="E143" s="144"/>
      <c r="G143" s="98"/>
      <c r="H143" s="98"/>
      <c r="I143" s="98"/>
      <c r="J143" s="98"/>
      <c r="K143" s="98"/>
      <c r="L143" s="98"/>
      <c r="M143" s="98"/>
    </row>
    <row r="144" spans="2:23" ht="18.75" customHeight="1" thickBot="1">
      <c r="B144" s="42"/>
      <c r="C144" s="42"/>
      <c r="D144" s="42"/>
      <c r="E144" s="42"/>
      <c r="F144" s="42"/>
      <c r="G144" s="42"/>
      <c r="H144" s="42"/>
      <c r="I144" s="42"/>
      <c r="J144" s="42"/>
      <c r="K144" s="42"/>
      <c r="L144" s="42"/>
      <c r="M144" s="42"/>
      <c r="N144" s="42"/>
      <c r="O144" s="42"/>
      <c r="P144" s="42"/>
      <c r="Q144" s="42"/>
      <c r="R144" s="42"/>
      <c r="S144" s="42"/>
      <c r="T144" s="42"/>
      <c r="U144" s="42"/>
    </row>
    <row r="146" spans="2:23" ht="18.75" customHeight="1">
      <c r="B146" s="43" t="s">
        <v>163</v>
      </c>
      <c r="C146" s="115" t="s">
        <v>4454</v>
      </c>
      <c r="D146" s="116"/>
      <c r="W146" s="35" t="str">
        <f>"-- "&amp;B146&amp;" : "&amp;C146</f>
        <v>-- SQL_ID : 61_11</v>
      </c>
    </row>
    <row r="147" spans="2:23" ht="18.75" customHeight="1">
      <c r="B147" s="43" t="s">
        <v>158</v>
      </c>
      <c r="C147" s="145" t="str">
        <f>R150&amp;"登録"</f>
        <v>デリバリ_カリウム平均推移_週別_全患者登録</v>
      </c>
      <c r="D147" s="146"/>
      <c r="E147" s="146"/>
      <c r="F147" s="146"/>
      <c r="G147" s="146"/>
      <c r="H147" s="146"/>
      <c r="I147" s="146"/>
      <c r="J147" s="146"/>
      <c r="K147" s="146"/>
      <c r="L147" s="146"/>
      <c r="M147" s="146"/>
      <c r="N147" s="146"/>
      <c r="O147" s="146"/>
      <c r="P147" s="146"/>
      <c r="Q147" s="146"/>
      <c r="R147" s="146"/>
      <c r="S147" s="146"/>
      <c r="T147" s="146"/>
      <c r="U147" s="147"/>
      <c r="W147" s="35" t="str">
        <f>"-- "&amp;C147</f>
        <v>-- デリバリ_カリウム平均推移_週別_全患者登録</v>
      </c>
    </row>
    <row r="148" spans="2:23" ht="18.75" customHeight="1">
      <c r="B148" s="43" t="s">
        <v>159</v>
      </c>
      <c r="C148" s="134" t="str">
        <f>"カリウムの平均推移をまとめ、"&amp;R150&amp;"テーブルに格納する。"</f>
        <v>カリウムの平均推移をまとめ、デリバリ_カリウム平均推移_週別_全患者テーブルに格納する。</v>
      </c>
      <c r="D148" s="135"/>
      <c r="E148" s="135"/>
      <c r="F148" s="135"/>
      <c r="G148" s="135"/>
      <c r="H148" s="135"/>
      <c r="I148" s="135"/>
      <c r="J148" s="135"/>
      <c r="K148" s="135"/>
      <c r="L148" s="135"/>
      <c r="M148" s="135"/>
      <c r="N148" s="135"/>
      <c r="O148" s="135"/>
      <c r="P148" s="135"/>
      <c r="Q148" s="135"/>
      <c r="R148" s="135"/>
      <c r="S148" s="135"/>
      <c r="T148" s="135"/>
      <c r="U148" s="136"/>
      <c r="W148" s="35" t="str">
        <f>"-- "&amp;C148</f>
        <v>-- カリウムの平均推移をまとめ、デリバリ_カリウム平均推移_週別_全患者テーブルに格納する。</v>
      </c>
    </row>
    <row r="150" spans="2:23" ht="18.75" customHeight="1">
      <c r="C150" s="137" t="s">
        <v>4423</v>
      </c>
      <c r="D150" s="138"/>
      <c r="E150" s="143" t="str">
        <f>エンティティ一覧!$O$2</f>
        <v>milscm_2023_010</v>
      </c>
      <c r="F150" s="36"/>
      <c r="G150" s="98"/>
      <c r="H150" s="98"/>
      <c r="I150" s="98"/>
      <c r="J150" s="98"/>
      <c r="K150" s="98"/>
      <c r="L150" s="98"/>
      <c r="M150" s="98"/>
      <c r="N150" s="98"/>
      <c r="O150" s="98"/>
      <c r="R150" s="137" t="s">
        <v>4450</v>
      </c>
      <c r="S150" s="138"/>
      <c r="T150" s="143" t="str">
        <f>エンティティ一覧!$O$2</f>
        <v>milscm_2023_010</v>
      </c>
    </row>
    <row r="151" spans="2:23" ht="18.75" customHeight="1">
      <c r="C151" s="139"/>
      <c r="D151" s="140"/>
      <c r="E151" s="144"/>
      <c r="F151" s="38"/>
      <c r="G151" s="37"/>
      <c r="H151" s="37"/>
      <c r="I151" s="37"/>
      <c r="J151" s="38"/>
      <c r="K151" s="37"/>
      <c r="L151" s="101"/>
      <c r="M151" s="37"/>
      <c r="N151" s="37"/>
      <c r="O151" s="37"/>
      <c r="P151" s="37"/>
      <c r="Q151" s="37"/>
      <c r="R151" s="139"/>
      <c r="S151" s="140"/>
      <c r="T151" s="144"/>
    </row>
    <row r="152" spans="2:23" ht="18.75" customHeight="1">
      <c r="F152" s="98"/>
      <c r="G152" s="98"/>
      <c r="H152" s="98"/>
      <c r="I152" s="98"/>
      <c r="J152" s="41"/>
      <c r="K152" s="98"/>
      <c r="L152" s="102"/>
      <c r="M152" s="98"/>
      <c r="N152" s="98"/>
      <c r="O152" s="98"/>
      <c r="P152" s="98"/>
    </row>
    <row r="153" spans="2:23" ht="18.75" customHeight="1">
      <c r="C153" s="137" t="s">
        <v>4353</v>
      </c>
      <c r="D153" s="138"/>
      <c r="E153" s="143" t="str">
        <f>エンティティ一覧!$O$2</f>
        <v>milscm_2023_010</v>
      </c>
      <c r="F153" s="36"/>
      <c r="G153" s="36"/>
      <c r="H153" s="36"/>
      <c r="I153" s="36"/>
      <c r="J153" s="41"/>
      <c r="K153" s="98"/>
      <c r="L153" s="102"/>
      <c r="M153" s="98"/>
      <c r="N153" s="98"/>
      <c r="O153" s="98"/>
      <c r="P153" s="98"/>
    </row>
    <row r="154" spans="2:23" ht="18.75" customHeight="1">
      <c r="C154" s="139"/>
      <c r="D154" s="140"/>
      <c r="E154" s="144"/>
      <c r="G154" s="98"/>
      <c r="H154" s="98"/>
      <c r="I154" s="98"/>
      <c r="J154" s="98"/>
      <c r="K154" s="98"/>
      <c r="L154" s="102"/>
      <c r="M154" s="98"/>
      <c r="N154" s="98"/>
      <c r="O154" s="98"/>
      <c r="P154" s="98"/>
    </row>
    <row r="155" spans="2:23" ht="18.75" customHeight="1">
      <c r="F155" s="98"/>
      <c r="G155" s="98"/>
      <c r="H155" s="98"/>
      <c r="I155" s="98"/>
      <c r="J155" s="98"/>
      <c r="K155" s="98"/>
      <c r="L155" s="102"/>
      <c r="M155" s="98"/>
      <c r="N155" s="98"/>
      <c r="O155" s="98"/>
      <c r="P155" s="98"/>
    </row>
    <row r="156" spans="2:23" ht="18.75" customHeight="1">
      <c r="C156" s="137" t="s">
        <v>4114</v>
      </c>
      <c r="D156" s="138"/>
      <c r="E156" s="143" t="str">
        <f>エンティティ一覧!$O$2</f>
        <v>milscm_2023_010</v>
      </c>
      <c r="F156" s="36"/>
      <c r="G156" s="36"/>
      <c r="H156" s="36"/>
      <c r="I156" s="36"/>
      <c r="J156" s="36"/>
      <c r="K156" s="36"/>
      <c r="L156" s="103"/>
      <c r="M156" s="98"/>
      <c r="N156" s="98"/>
      <c r="O156" s="98"/>
      <c r="P156" s="98"/>
    </row>
    <row r="157" spans="2:23" ht="18.75" customHeight="1">
      <c r="C157" s="139"/>
      <c r="D157" s="140"/>
      <c r="E157" s="144"/>
      <c r="G157" s="98"/>
      <c r="H157" s="98"/>
      <c r="I157" s="98"/>
      <c r="J157" s="98"/>
      <c r="K157" s="98"/>
      <c r="L157" s="98"/>
      <c r="M157" s="98"/>
    </row>
    <row r="158" spans="2:23" ht="18.75" customHeight="1" thickBot="1">
      <c r="B158" s="42"/>
      <c r="C158" s="42"/>
      <c r="D158" s="42"/>
      <c r="E158" s="42"/>
      <c r="F158" s="42"/>
      <c r="G158" s="42"/>
      <c r="H158" s="42"/>
      <c r="I158" s="42"/>
      <c r="J158" s="42"/>
      <c r="K158" s="42"/>
      <c r="L158" s="42"/>
      <c r="M158" s="42"/>
      <c r="N158" s="42"/>
      <c r="O158" s="42"/>
      <c r="P158" s="42"/>
      <c r="Q158" s="42"/>
      <c r="R158" s="42"/>
      <c r="S158" s="42"/>
      <c r="T158" s="42"/>
      <c r="U158" s="42"/>
    </row>
    <row r="160" spans="2:23" ht="18.75" customHeight="1">
      <c r="B160" s="43" t="s">
        <v>163</v>
      </c>
      <c r="C160" s="115" t="s">
        <v>4455</v>
      </c>
      <c r="D160" s="116"/>
      <c r="W160" s="35" t="str">
        <f>"-- "&amp;B160&amp;" : "&amp;C160</f>
        <v>-- SQL_ID : 61_12</v>
      </c>
    </row>
    <row r="161" spans="2:23" ht="18.75" customHeight="1">
      <c r="B161" s="43" t="s">
        <v>158</v>
      </c>
      <c r="C161" s="145" t="str">
        <f>R164&amp;"登録"</f>
        <v>デリバリ_カリウム平均推移_週別_全患者_lb30以上登録</v>
      </c>
      <c r="D161" s="146"/>
      <c r="E161" s="146"/>
      <c r="F161" s="146"/>
      <c r="G161" s="146"/>
      <c r="H161" s="146"/>
      <c r="I161" s="146"/>
      <c r="J161" s="146"/>
      <c r="K161" s="146"/>
      <c r="L161" s="146"/>
      <c r="M161" s="146"/>
      <c r="N161" s="146"/>
      <c r="O161" s="146"/>
      <c r="P161" s="146"/>
      <c r="Q161" s="146"/>
      <c r="R161" s="146"/>
      <c r="S161" s="146"/>
      <c r="T161" s="146"/>
      <c r="U161" s="147"/>
      <c r="W161" s="35" t="str">
        <f>"-- "&amp;C161</f>
        <v>-- デリバリ_カリウム平均推移_週別_全患者_lb30以上登録</v>
      </c>
    </row>
    <row r="162" spans="2:23" ht="18.75" customHeight="1">
      <c r="B162" s="43" t="s">
        <v>159</v>
      </c>
      <c r="C162" s="134" t="str">
        <f>"カリウムの平均推移をまとめ、"&amp;R164&amp;"テーブルに格納する。"</f>
        <v>カリウムの平均推移をまとめ、デリバリ_カリウム平均推移_週別_全患者_lb30以上テーブルに格納する。</v>
      </c>
      <c r="D162" s="135"/>
      <c r="E162" s="135"/>
      <c r="F162" s="135"/>
      <c r="G162" s="135"/>
      <c r="H162" s="135"/>
      <c r="I162" s="135"/>
      <c r="J162" s="135"/>
      <c r="K162" s="135"/>
      <c r="L162" s="135"/>
      <c r="M162" s="135"/>
      <c r="N162" s="135"/>
      <c r="O162" s="135"/>
      <c r="P162" s="135"/>
      <c r="Q162" s="135"/>
      <c r="R162" s="135"/>
      <c r="S162" s="135"/>
      <c r="T162" s="135"/>
      <c r="U162" s="136"/>
      <c r="W162" s="35" t="str">
        <f>"-- "&amp;C162</f>
        <v>-- カリウムの平均推移をまとめ、デリバリ_カリウム平均推移_週別_全患者_lb30以上テーブルに格納する。</v>
      </c>
    </row>
    <row r="164" spans="2:23" ht="18.75" customHeight="1">
      <c r="C164" s="137" t="s">
        <v>4423</v>
      </c>
      <c r="D164" s="138"/>
      <c r="E164" s="143" t="str">
        <f>エンティティ一覧!$O$2</f>
        <v>milscm_2023_010</v>
      </c>
      <c r="F164" s="36"/>
      <c r="G164" s="98"/>
      <c r="H164" s="98"/>
      <c r="I164" s="98"/>
      <c r="J164" s="98"/>
      <c r="K164" s="98"/>
      <c r="L164" s="98"/>
      <c r="M164" s="98"/>
      <c r="N164" s="98"/>
      <c r="O164" s="98"/>
      <c r="R164" s="137" t="s">
        <v>4452</v>
      </c>
      <c r="S164" s="138"/>
      <c r="T164" s="143" t="str">
        <f>エンティティ一覧!$O$2</f>
        <v>milscm_2023_010</v>
      </c>
    </row>
    <row r="165" spans="2:23" ht="18.75" customHeight="1">
      <c r="C165" s="139"/>
      <c r="D165" s="140"/>
      <c r="E165" s="144"/>
      <c r="F165" s="38"/>
      <c r="G165" s="37"/>
      <c r="H165" s="37"/>
      <c r="I165" s="37"/>
      <c r="J165" s="38"/>
      <c r="K165" s="37"/>
      <c r="L165" s="101"/>
      <c r="M165" s="37"/>
      <c r="N165" s="37"/>
      <c r="O165" s="37"/>
      <c r="P165" s="37"/>
      <c r="Q165" s="37"/>
      <c r="R165" s="139"/>
      <c r="S165" s="140"/>
      <c r="T165" s="144"/>
    </row>
    <row r="166" spans="2:23" ht="18.75" customHeight="1">
      <c r="F166" s="98"/>
      <c r="G166" s="98"/>
      <c r="H166" s="98"/>
      <c r="I166" s="98"/>
      <c r="J166" s="41"/>
      <c r="K166" s="98"/>
      <c r="L166" s="102"/>
      <c r="M166" s="98"/>
      <c r="N166" s="98"/>
      <c r="O166" s="98"/>
      <c r="P166" s="98"/>
    </row>
    <row r="167" spans="2:23" ht="18.75" customHeight="1">
      <c r="C167" s="137" t="s">
        <v>4353</v>
      </c>
      <c r="D167" s="138"/>
      <c r="E167" s="143" t="str">
        <f>エンティティ一覧!$O$2</f>
        <v>milscm_2023_010</v>
      </c>
      <c r="F167" s="36"/>
      <c r="G167" s="36"/>
      <c r="H167" s="36"/>
      <c r="I167" s="36"/>
      <c r="J167" s="41"/>
      <c r="K167" s="98"/>
      <c r="L167" s="102"/>
      <c r="M167" s="98"/>
      <c r="N167" s="98"/>
      <c r="O167" s="98"/>
      <c r="P167" s="98"/>
    </row>
    <row r="168" spans="2:23" ht="18.75" customHeight="1">
      <c r="C168" s="139"/>
      <c r="D168" s="140"/>
      <c r="E168" s="144"/>
      <c r="G168" s="98"/>
      <c r="H168" s="98"/>
      <c r="I168" s="98"/>
      <c r="J168" s="98"/>
      <c r="K168" s="98"/>
      <c r="L168" s="102"/>
      <c r="M168" s="98"/>
      <c r="N168" s="98"/>
      <c r="O168" s="98"/>
      <c r="P168" s="98"/>
    </row>
    <row r="169" spans="2:23" ht="18.75" customHeight="1">
      <c r="F169" s="98"/>
      <c r="G169" s="98"/>
      <c r="H169" s="98"/>
      <c r="I169" s="98"/>
      <c r="J169" s="98"/>
      <c r="K169" s="98"/>
      <c r="L169" s="102"/>
      <c r="M169" s="98"/>
      <c r="N169" s="98"/>
      <c r="O169" s="98"/>
      <c r="P169" s="98"/>
    </row>
    <row r="170" spans="2:23" ht="18.75" customHeight="1">
      <c r="C170" s="137" t="s">
        <v>4114</v>
      </c>
      <c r="D170" s="138"/>
      <c r="E170" s="143" t="str">
        <f>エンティティ一覧!$O$2</f>
        <v>milscm_2023_010</v>
      </c>
      <c r="F170" s="36"/>
      <c r="G170" s="36"/>
      <c r="H170" s="36"/>
      <c r="I170" s="36"/>
      <c r="J170" s="36"/>
      <c r="K170" s="36"/>
      <c r="L170" s="103"/>
      <c r="M170" s="98"/>
      <c r="N170" s="98"/>
      <c r="O170" s="98"/>
      <c r="P170" s="98"/>
    </row>
    <row r="171" spans="2:23" ht="18.75" customHeight="1">
      <c r="C171" s="139"/>
      <c r="D171" s="140"/>
      <c r="E171" s="144"/>
      <c r="G171" s="98"/>
      <c r="H171" s="98"/>
      <c r="I171" s="98"/>
      <c r="J171" s="98"/>
      <c r="K171" s="98"/>
      <c r="L171" s="98"/>
      <c r="M171" s="98"/>
    </row>
    <row r="172" spans="2:23" ht="18.75" customHeight="1" thickBot="1">
      <c r="B172" s="42"/>
      <c r="C172" s="42"/>
      <c r="D172" s="42"/>
      <c r="E172" s="42"/>
      <c r="F172" s="42"/>
      <c r="G172" s="42"/>
      <c r="H172" s="42"/>
      <c r="I172" s="42"/>
      <c r="J172" s="42"/>
      <c r="K172" s="42"/>
      <c r="L172" s="42"/>
      <c r="M172" s="42"/>
      <c r="N172" s="42"/>
      <c r="O172" s="42"/>
      <c r="P172" s="42"/>
      <c r="Q172" s="42"/>
      <c r="R172" s="42"/>
      <c r="S172" s="42"/>
      <c r="T172" s="42"/>
      <c r="U172" s="42"/>
    </row>
    <row r="174" spans="2:23" ht="18.75" customHeight="1">
      <c r="B174" s="43" t="s">
        <v>163</v>
      </c>
      <c r="C174" s="115" t="s">
        <v>4460</v>
      </c>
      <c r="D174" s="116"/>
      <c r="W174" s="35" t="str">
        <f>"-- "&amp;B174&amp;" : "&amp;C174</f>
        <v>-- SQL_ID : 61_13</v>
      </c>
    </row>
    <row r="175" spans="2:23" ht="18.75" customHeight="1">
      <c r="B175" s="43" t="s">
        <v>158</v>
      </c>
      <c r="C175" s="145" t="str">
        <f>R178&amp;"登録"</f>
        <v>デリバリ_カリウム平均推移_月別_全患者登録</v>
      </c>
      <c r="D175" s="146"/>
      <c r="E175" s="146"/>
      <c r="F175" s="146"/>
      <c r="G175" s="146"/>
      <c r="H175" s="146"/>
      <c r="I175" s="146"/>
      <c r="J175" s="146"/>
      <c r="K175" s="146"/>
      <c r="L175" s="146"/>
      <c r="M175" s="146"/>
      <c r="N175" s="146"/>
      <c r="O175" s="146"/>
      <c r="P175" s="146"/>
      <c r="Q175" s="146"/>
      <c r="R175" s="146"/>
      <c r="S175" s="146"/>
      <c r="T175" s="146"/>
      <c r="U175" s="147"/>
      <c r="W175" s="35" t="str">
        <f>"-- "&amp;C175</f>
        <v>-- デリバリ_カリウム平均推移_月別_全患者登録</v>
      </c>
    </row>
    <row r="176" spans="2:23" ht="18.75" customHeight="1">
      <c r="B176" s="43" t="s">
        <v>159</v>
      </c>
      <c r="C176" s="134" t="str">
        <f>"カリウムの平均推移をまとめ、"&amp;R178&amp;"テーブルに格納する。"</f>
        <v>カリウムの平均推移をまとめ、デリバリ_カリウム平均推移_月別_全患者テーブルに格納する。</v>
      </c>
      <c r="D176" s="135"/>
      <c r="E176" s="135"/>
      <c r="F176" s="135"/>
      <c r="G176" s="135"/>
      <c r="H176" s="135"/>
      <c r="I176" s="135"/>
      <c r="J176" s="135"/>
      <c r="K176" s="135"/>
      <c r="L176" s="135"/>
      <c r="M176" s="135"/>
      <c r="N176" s="135"/>
      <c r="O176" s="135"/>
      <c r="P176" s="135"/>
      <c r="Q176" s="135"/>
      <c r="R176" s="135"/>
      <c r="S176" s="135"/>
      <c r="T176" s="135"/>
      <c r="U176" s="136"/>
      <c r="W176" s="35" t="str">
        <f>"-- "&amp;C176</f>
        <v>-- カリウムの平均推移をまとめ、デリバリ_カリウム平均推移_月別_全患者テーブルに格納する。</v>
      </c>
    </row>
    <row r="178" spans="2:23" ht="18.75" customHeight="1">
      <c r="C178" s="137" t="s">
        <v>4423</v>
      </c>
      <c r="D178" s="138"/>
      <c r="E178" s="143" t="str">
        <f>エンティティ一覧!$O$2</f>
        <v>milscm_2023_010</v>
      </c>
      <c r="F178" s="36"/>
      <c r="G178" s="98"/>
      <c r="H178" s="98"/>
      <c r="I178" s="98"/>
      <c r="J178" s="98"/>
      <c r="K178" s="98"/>
      <c r="L178" s="98"/>
      <c r="M178" s="98"/>
      <c r="N178" s="98"/>
      <c r="O178" s="98"/>
      <c r="R178" s="137" t="s">
        <v>4456</v>
      </c>
      <c r="S178" s="138"/>
      <c r="T178" s="143" t="str">
        <f>エンティティ一覧!$O$2</f>
        <v>milscm_2023_010</v>
      </c>
    </row>
    <row r="179" spans="2:23" ht="18.75" customHeight="1">
      <c r="C179" s="139"/>
      <c r="D179" s="140"/>
      <c r="E179" s="144"/>
      <c r="F179" s="38"/>
      <c r="G179" s="37"/>
      <c r="H179" s="37"/>
      <c r="I179" s="37"/>
      <c r="J179" s="38"/>
      <c r="K179" s="37"/>
      <c r="L179" s="101"/>
      <c r="M179" s="37"/>
      <c r="N179" s="37"/>
      <c r="O179" s="37"/>
      <c r="P179" s="37"/>
      <c r="Q179" s="37"/>
      <c r="R179" s="139"/>
      <c r="S179" s="140"/>
      <c r="T179" s="144"/>
    </row>
    <row r="180" spans="2:23" ht="18.75" customHeight="1">
      <c r="F180" s="98"/>
      <c r="G180" s="98"/>
      <c r="H180" s="98"/>
      <c r="I180" s="98"/>
      <c r="J180" s="41"/>
      <c r="K180" s="98"/>
      <c r="L180" s="102"/>
      <c r="M180" s="98"/>
      <c r="N180" s="98"/>
      <c r="O180" s="98"/>
      <c r="P180" s="98"/>
    </row>
    <row r="181" spans="2:23" ht="18.75" customHeight="1">
      <c r="C181" s="137" t="s">
        <v>4353</v>
      </c>
      <c r="D181" s="138"/>
      <c r="E181" s="143" t="str">
        <f>エンティティ一覧!$O$2</f>
        <v>milscm_2023_010</v>
      </c>
      <c r="F181" s="36"/>
      <c r="G181" s="36"/>
      <c r="H181" s="36"/>
      <c r="I181" s="36"/>
      <c r="J181" s="41"/>
      <c r="K181" s="98"/>
      <c r="L181" s="102"/>
      <c r="M181" s="98"/>
      <c r="N181" s="98"/>
      <c r="O181" s="98"/>
      <c r="P181" s="98"/>
    </row>
    <row r="182" spans="2:23" ht="18.75" customHeight="1">
      <c r="C182" s="139"/>
      <c r="D182" s="140"/>
      <c r="E182" s="144"/>
      <c r="G182" s="98"/>
      <c r="H182" s="98"/>
      <c r="I182" s="98"/>
      <c r="J182" s="98"/>
      <c r="K182" s="98"/>
      <c r="L182" s="102"/>
      <c r="M182" s="98"/>
      <c r="N182" s="98"/>
      <c r="O182" s="98"/>
      <c r="P182" s="98"/>
    </row>
    <row r="183" spans="2:23" ht="18.75" customHeight="1">
      <c r="F183" s="98"/>
      <c r="G183" s="98"/>
      <c r="H183" s="98"/>
      <c r="I183" s="98"/>
      <c r="J183" s="98"/>
      <c r="K183" s="98"/>
      <c r="L183" s="102"/>
      <c r="M183" s="98"/>
      <c r="N183" s="98"/>
      <c r="O183" s="98"/>
      <c r="P183" s="98"/>
    </row>
    <row r="184" spans="2:23" ht="18.75" customHeight="1">
      <c r="C184" s="137" t="s">
        <v>4114</v>
      </c>
      <c r="D184" s="138"/>
      <c r="E184" s="143" t="str">
        <f>エンティティ一覧!$O$2</f>
        <v>milscm_2023_010</v>
      </c>
      <c r="F184" s="36"/>
      <c r="G184" s="36"/>
      <c r="H184" s="36"/>
      <c r="I184" s="36"/>
      <c r="J184" s="36"/>
      <c r="K184" s="36"/>
      <c r="L184" s="103"/>
      <c r="M184" s="98"/>
      <c r="N184" s="98"/>
      <c r="O184" s="98"/>
      <c r="P184" s="98"/>
    </row>
    <row r="185" spans="2:23" ht="18.75" customHeight="1">
      <c r="C185" s="139"/>
      <c r="D185" s="140"/>
      <c r="E185" s="144"/>
      <c r="G185" s="98"/>
      <c r="H185" s="98"/>
      <c r="I185" s="98"/>
      <c r="J185" s="98"/>
      <c r="K185" s="98"/>
      <c r="L185" s="98"/>
      <c r="M185" s="98"/>
    </row>
    <row r="186" spans="2:23" ht="18.75" customHeight="1" thickBot="1">
      <c r="B186" s="42"/>
      <c r="C186" s="42"/>
      <c r="D186" s="42"/>
      <c r="E186" s="42"/>
      <c r="F186" s="42"/>
      <c r="G186" s="42"/>
      <c r="H186" s="42"/>
      <c r="I186" s="42"/>
      <c r="J186" s="42"/>
      <c r="K186" s="42"/>
      <c r="L186" s="42"/>
      <c r="M186" s="42"/>
      <c r="N186" s="42"/>
      <c r="O186" s="42"/>
      <c r="P186" s="42"/>
      <c r="Q186" s="42"/>
      <c r="R186" s="42"/>
      <c r="S186" s="42"/>
      <c r="T186" s="42"/>
      <c r="U186" s="42"/>
    </row>
    <row r="188" spans="2:23" ht="18.75" customHeight="1">
      <c r="B188" s="43" t="s">
        <v>163</v>
      </c>
      <c r="C188" s="115" t="s">
        <v>4461</v>
      </c>
      <c r="D188" s="116"/>
      <c r="W188" s="35" t="str">
        <f>"-- "&amp;B188&amp;" : "&amp;C188</f>
        <v>-- SQL_ID : 61_14</v>
      </c>
    </row>
    <row r="189" spans="2:23" ht="18.75" customHeight="1">
      <c r="B189" s="43" t="s">
        <v>158</v>
      </c>
      <c r="C189" s="145" t="str">
        <f>R192&amp;"登録"</f>
        <v>デリバリ_カリウム平均推移_月別_全患者_lb30以上登録</v>
      </c>
      <c r="D189" s="146"/>
      <c r="E189" s="146"/>
      <c r="F189" s="146"/>
      <c r="G189" s="146"/>
      <c r="H189" s="146"/>
      <c r="I189" s="146"/>
      <c r="J189" s="146"/>
      <c r="K189" s="146"/>
      <c r="L189" s="146"/>
      <c r="M189" s="146"/>
      <c r="N189" s="146"/>
      <c r="O189" s="146"/>
      <c r="P189" s="146"/>
      <c r="Q189" s="146"/>
      <c r="R189" s="146"/>
      <c r="S189" s="146"/>
      <c r="T189" s="146"/>
      <c r="U189" s="147"/>
      <c r="W189" s="35" t="str">
        <f>"-- "&amp;C189</f>
        <v>-- デリバリ_カリウム平均推移_月別_全患者_lb30以上登録</v>
      </c>
    </row>
    <row r="190" spans="2:23" ht="18.75" customHeight="1">
      <c r="B190" s="43" t="s">
        <v>159</v>
      </c>
      <c r="C190" s="134" t="str">
        <f>"カリウムの平均推移をまとめ、"&amp;R192&amp;"テーブルに格納する。"</f>
        <v>カリウムの平均推移をまとめ、デリバリ_カリウム平均推移_月別_全患者_lb30以上テーブルに格納する。</v>
      </c>
      <c r="D190" s="135"/>
      <c r="E190" s="135"/>
      <c r="F190" s="135"/>
      <c r="G190" s="135"/>
      <c r="H190" s="135"/>
      <c r="I190" s="135"/>
      <c r="J190" s="135"/>
      <c r="K190" s="135"/>
      <c r="L190" s="135"/>
      <c r="M190" s="135"/>
      <c r="N190" s="135"/>
      <c r="O190" s="135"/>
      <c r="P190" s="135"/>
      <c r="Q190" s="135"/>
      <c r="R190" s="135"/>
      <c r="S190" s="135"/>
      <c r="T190" s="135"/>
      <c r="U190" s="136"/>
      <c r="W190" s="35" t="str">
        <f>"-- "&amp;C190</f>
        <v>-- カリウムの平均推移をまとめ、デリバリ_カリウム平均推移_月別_全患者_lb30以上テーブルに格納する。</v>
      </c>
    </row>
    <row r="192" spans="2:23" ht="18.75" customHeight="1">
      <c r="C192" s="137" t="s">
        <v>4423</v>
      </c>
      <c r="D192" s="138"/>
      <c r="E192" s="143" t="str">
        <f>エンティティ一覧!$O$2</f>
        <v>milscm_2023_010</v>
      </c>
      <c r="F192" s="36"/>
      <c r="G192" s="98"/>
      <c r="H192" s="98"/>
      <c r="I192" s="98"/>
      <c r="J192" s="98"/>
      <c r="K192" s="98"/>
      <c r="L192" s="98"/>
      <c r="M192" s="98"/>
      <c r="N192" s="98"/>
      <c r="O192" s="98"/>
      <c r="R192" s="137" t="s">
        <v>4458</v>
      </c>
      <c r="S192" s="138"/>
      <c r="T192" s="143" t="str">
        <f>エンティティ一覧!$O$2</f>
        <v>milscm_2023_010</v>
      </c>
    </row>
    <row r="193" spans="2:23" ht="18.75" customHeight="1">
      <c r="C193" s="139"/>
      <c r="D193" s="140"/>
      <c r="E193" s="144"/>
      <c r="F193" s="38"/>
      <c r="G193" s="37"/>
      <c r="H193" s="37"/>
      <c r="I193" s="37"/>
      <c r="J193" s="38"/>
      <c r="K193" s="37"/>
      <c r="L193" s="101"/>
      <c r="M193" s="37"/>
      <c r="N193" s="37"/>
      <c r="O193" s="37"/>
      <c r="P193" s="37"/>
      <c r="Q193" s="37"/>
      <c r="R193" s="139"/>
      <c r="S193" s="140"/>
      <c r="T193" s="144"/>
    </row>
    <row r="194" spans="2:23" ht="18.75" customHeight="1">
      <c r="F194" s="98"/>
      <c r="G194" s="98"/>
      <c r="H194" s="98"/>
      <c r="I194" s="98"/>
      <c r="J194" s="41"/>
      <c r="K194" s="98"/>
      <c r="L194" s="102"/>
      <c r="M194" s="98"/>
      <c r="N194" s="98"/>
      <c r="O194" s="98"/>
      <c r="P194" s="98"/>
    </row>
    <row r="195" spans="2:23" ht="18.75" customHeight="1">
      <c r="C195" s="137" t="s">
        <v>4353</v>
      </c>
      <c r="D195" s="138"/>
      <c r="E195" s="143" t="str">
        <f>エンティティ一覧!$O$2</f>
        <v>milscm_2023_010</v>
      </c>
      <c r="F195" s="36"/>
      <c r="G195" s="36"/>
      <c r="H195" s="36"/>
      <c r="I195" s="36"/>
      <c r="J195" s="41"/>
      <c r="K195" s="98"/>
      <c r="L195" s="102"/>
      <c r="M195" s="98"/>
      <c r="N195" s="98"/>
      <c r="O195" s="98"/>
      <c r="P195" s="98"/>
    </row>
    <row r="196" spans="2:23" ht="18.75" customHeight="1">
      <c r="C196" s="139"/>
      <c r="D196" s="140"/>
      <c r="E196" s="144"/>
      <c r="G196" s="98"/>
      <c r="H196" s="98"/>
      <c r="I196" s="98"/>
      <c r="J196" s="98"/>
      <c r="K196" s="98"/>
      <c r="L196" s="102"/>
      <c r="M196" s="98"/>
      <c r="N196" s="98"/>
      <c r="O196" s="98"/>
      <c r="P196" s="98"/>
    </row>
    <row r="197" spans="2:23" ht="18.75" customHeight="1">
      <c r="F197" s="98"/>
      <c r="G197" s="98"/>
      <c r="H197" s="98"/>
      <c r="I197" s="98"/>
      <c r="J197" s="98"/>
      <c r="K197" s="98"/>
      <c r="L197" s="102"/>
      <c r="M197" s="98"/>
      <c r="N197" s="98"/>
      <c r="O197" s="98"/>
      <c r="P197" s="98"/>
    </row>
    <row r="198" spans="2:23" ht="18.75" customHeight="1">
      <c r="C198" s="137" t="s">
        <v>4114</v>
      </c>
      <c r="D198" s="138"/>
      <c r="E198" s="143" t="str">
        <f>エンティティ一覧!$O$2</f>
        <v>milscm_2023_010</v>
      </c>
      <c r="F198" s="36"/>
      <c r="G198" s="36"/>
      <c r="H198" s="36"/>
      <c r="I198" s="36"/>
      <c r="J198" s="36"/>
      <c r="K198" s="36"/>
      <c r="L198" s="103"/>
      <c r="M198" s="98"/>
      <c r="N198" s="98"/>
      <c r="O198" s="98"/>
      <c r="P198" s="98"/>
    </row>
    <row r="199" spans="2:23" ht="18.75" customHeight="1">
      <c r="C199" s="139"/>
      <c r="D199" s="140"/>
      <c r="E199" s="144"/>
      <c r="G199" s="98"/>
      <c r="H199" s="98"/>
      <c r="I199" s="98"/>
      <c r="J199" s="98"/>
      <c r="K199" s="98"/>
      <c r="L199" s="98"/>
      <c r="M199" s="98"/>
    </row>
    <row r="200" spans="2:23" ht="18.75" customHeight="1" thickBot="1">
      <c r="B200" s="42"/>
      <c r="C200" s="42"/>
      <c r="D200" s="42"/>
      <c r="E200" s="42"/>
      <c r="F200" s="42"/>
      <c r="G200" s="42"/>
      <c r="H200" s="42"/>
      <c r="I200" s="42"/>
      <c r="J200" s="42"/>
      <c r="K200" s="42"/>
      <c r="L200" s="42"/>
      <c r="M200" s="42"/>
      <c r="N200" s="42"/>
      <c r="O200" s="42"/>
      <c r="P200" s="42"/>
      <c r="Q200" s="42"/>
      <c r="R200" s="42"/>
      <c r="S200" s="42"/>
      <c r="T200" s="42"/>
      <c r="U200" s="42"/>
    </row>
    <row r="202" spans="2:23" ht="18.75" customHeight="1">
      <c r="B202" s="43" t="s">
        <v>163</v>
      </c>
      <c r="C202" s="115" t="s">
        <v>4464</v>
      </c>
      <c r="D202" s="116"/>
      <c r="W202" s="35" t="str">
        <f>"-- "&amp;B202&amp;" : "&amp;C202</f>
        <v>-- SQL_ID : 61_15</v>
      </c>
    </row>
    <row r="203" spans="2:23" ht="18.75" customHeight="1">
      <c r="B203" s="43" t="s">
        <v>158</v>
      </c>
      <c r="C203" s="145" t="str">
        <f>R206&amp;"登録"</f>
        <v>デリバリ_カリウム平均推移_週別_処方期間別登録</v>
      </c>
      <c r="D203" s="146"/>
      <c r="E203" s="146"/>
      <c r="F203" s="146"/>
      <c r="G203" s="146"/>
      <c r="H203" s="146"/>
      <c r="I203" s="146"/>
      <c r="J203" s="146"/>
      <c r="K203" s="146"/>
      <c r="L203" s="146"/>
      <c r="M203" s="146"/>
      <c r="N203" s="146"/>
      <c r="O203" s="146"/>
      <c r="P203" s="146"/>
      <c r="Q203" s="146"/>
      <c r="R203" s="146"/>
      <c r="S203" s="146"/>
      <c r="T203" s="146"/>
      <c r="U203" s="147"/>
      <c r="W203" s="35" t="str">
        <f>"-- "&amp;C203</f>
        <v>-- デリバリ_カリウム平均推移_週別_処方期間別登録</v>
      </c>
    </row>
    <row r="204" spans="2:23" ht="18.75" customHeight="1">
      <c r="B204" s="43" t="s">
        <v>159</v>
      </c>
      <c r="C204" s="134" t="str">
        <f>"カリウムの平均推移をまとめ、"&amp;R206&amp;"テーブルに格納する。"</f>
        <v>カリウムの平均推移をまとめ、デリバリ_カリウム平均推移_週別_処方期間別テーブルに格納する。</v>
      </c>
      <c r="D204" s="135"/>
      <c r="E204" s="135"/>
      <c r="F204" s="135"/>
      <c r="G204" s="135"/>
      <c r="H204" s="135"/>
      <c r="I204" s="135"/>
      <c r="J204" s="135"/>
      <c r="K204" s="135"/>
      <c r="L204" s="135"/>
      <c r="M204" s="135"/>
      <c r="N204" s="135"/>
      <c r="O204" s="135"/>
      <c r="P204" s="135"/>
      <c r="Q204" s="135"/>
      <c r="R204" s="135"/>
      <c r="S204" s="135"/>
      <c r="T204" s="135"/>
      <c r="U204" s="136"/>
      <c r="W204" s="35" t="str">
        <f>"-- "&amp;C204</f>
        <v>-- カリウムの平均推移をまとめ、デリバリ_カリウム平均推移_週別_処方期間別テーブルに格納する。</v>
      </c>
    </row>
    <row r="206" spans="2:23" ht="18.75" customHeight="1">
      <c r="C206" s="137" t="s">
        <v>4423</v>
      </c>
      <c r="D206" s="138"/>
      <c r="E206" s="143" t="str">
        <f>エンティティ一覧!$O$2</f>
        <v>milscm_2023_010</v>
      </c>
      <c r="F206" s="36"/>
      <c r="G206" s="98"/>
      <c r="H206" s="98"/>
      <c r="I206" s="98"/>
      <c r="J206" s="98"/>
      <c r="K206" s="98"/>
      <c r="L206" s="98"/>
      <c r="M206" s="98"/>
      <c r="N206" s="98"/>
      <c r="O206" s="98"/>
      <c r="R206" s="137" t="s">
        <v>4462</v>
      </c>
      <c r="S206" s="138"/>
      <c r="T206" s="143" t="str">
        <f>エンティティ一覧!$O$2</f>
        <v>milscm_2023_010</v>
      </c>
    </row>
    <row r="207" spans="2:23" ht="18.75" customHeight="1">
      <c r="C207" s="139"/>
      <c r="D207" s="140"/>
      <c r="E207" s="144"/>
      <c r="F207" s="38"/>
      <c r="G207" s="37"/>
      <c r="H207" s="37"/>
      <c r="I207" s="37"/>
      <c r="J207" s="38"/>
      <c r="K207" s="37"/>
      <c r="L207" s="101"/>
      <c r="M207" s="37"/>
      <c r="N207" s="37"/>
      <c r="O207" s="37"/>
      <c r="P207" s="37"/>
      <c r="Q207" s="37"/>
      <c r="R207" s="139"/>
      <c r="S207" s="140"/>
      <c r="T207" s="144"/>
    </row>
    <row r="208" spans="2:23" ht="18.75" customHeight="1">
      <c r="F208" s="98"/>
      <c r="G208" s="98"/>
      <c r="H208" s="98"/>
      <c r="I208" s="98"/>
      <c r="J208" s="41"/>
      <c r="K208" s="98"/>
      <c r="L208" s="102"/>
      <c r="M208" s="98"/>
      <c r="N208" s="98"/>
      <c r="O208" s="98"/>
      <c r="P208" s="98"/>
    </row>
    <row r="209" spans="2:23" ht="18.75" customHeight="1">
      <c r="C209" s="137" t="s">
        <v>4353</v>
      </c>
      <c r="D209" s="138"/>
      <c r="E209" s="143" t="str">
        <f>エンティティ一覧!$O$2</f>
        <v>milscm_2023_010</v>
      </c>
      <c r="F209" s="36"/>
      <c r="G209" s="36"/>
      <c r="H209" s="36"/>
      <c r="I209" s="36"/>
      <c r="J209" s="41"/>
      <c r="K209" s="98"/>
      <c r="L209" s="102"/>
      <c r="M209" s="98"/>
      <c r="N209" s="98"/>
      <c r="O209" s="98"/>
      <c r="P209" s="98"/>
    </row>
    <row r="210" spans="2:23" ht="18.75" customHeight="1">
      <c r="C210" s="139"/>
      <c r="D210" s="140"/>
      <c r="E210" s="144"/>
      <c r="G210" s="98"/>
      <c r="H210" s="98"/>
      <c r="I210" s="98"/>
      <c r="J210" s="98"/>
      <c r="K210" s="98"/>
      <c r="L210" s="102"/>
      <c r="M210" s="98"/>
      <c r="N210" s="98"/>
      <c r="O210" s="98"/>
      <c r="P210" s="98"/>
    </row>
    <row r="211" spans="2:23" ht="18.75" customHeight="1">
      <c r="F211" s="98"/>
      <c r="G211" s="98"/>
      <c r="H211" s="98"/>
      <c r="I211" s="98"/>
      <c r="J211" s="98"/>
      <c r="K211" s="98"/>
      <c r="L211" s="102"/>
      <c r="M211" s="98"/>
      <c r="N211" s="98"/>
      <c r="O211" s="98"/>
      <c r="P211" s="98"/>
    </row>
    <row r="212" spans="2:23" ht="18.75" customHeight="1">
      <c r="C212" s="137" t="s">
        <v>4114</v>
      </c>
      <c r="D212" s="138"/>
      <c r="E212" s="143" t="str">
        <f>エンティティ一覧!$O$2</f>
        <v>milscm_2023_010</v>
      </c>
      <c r="F212" s="36"/>
      <c r="G212" s="36"/>
      <c r="H212" s="36"/>
      <c r="I212" s="36"/>
      <c r="J212" s="36"/>
      <c r="K212" s="36"/>
      <c r="L212" s="103"/>
      <c r="M212" s="98"/>
      <c r="N212" s="98"/>
      <c r="O212" s="98"/>
      <c r="P212" s="98"/>
    </row>
    <row r="213" spans="2:23" ht="18.75" customHeight="1">
      <c r="C213" s="139"/>
      <c r="D213" s="140"/>
      <c r="E213" s="144"/>
      <c r="G213" s="98"/>
      <c r="H213" s="98"/>
      <c r="I213" s="98"/>
      <c r="J213" s="98"/>
      <c r="K213" s="98"/>
      <c r="L213" s="98"/>
      <c r="M213" s="98"/>
    </row>
    <row r="214" spans="2:23" ht="18.75" customHeight="1" thickBot="1">
      <c r="B214" s="42"/>
      <c r="C214" s="42"/>
      <c r="D214" s="42"/>
      <c r="E214" s="42"/>
      <c r="F214" s="42"/>
      <c r="G214" s="42"/>
      <c r="H214" s="42"/>
      <c r="I214" s="42"/>
      <c r="J214" s="42"/>
      <c r="K214" s="42"/>
      <c r="L214" s="42"/>
      <c r="M214" s="42"/>
      <c r="N214" s="42"/>
      <c r="O214" s="42"/>
      <c r="P214" s="42"/>
      <c r="Q214" s="42"/>
      <c r="R214" s="42"/>
      <c r="S214" s="42"/>
      <c r="T214" s="42"/>
      <c r="U214" s="42"/>
    </row>
    <row r="216" spans="2:23" ht="18.75" customHeight="1">
      <c r="B216" s="43" t="s">
        <v>163</v>
      </c>
      <c r="C216" s="115" t="s">
        <v>4467</v>
      </c>
      <c r="D216" s="116"/>
      <c r="W216" s="35" t="str">
        <f>"-- "&amp;B216&amp;" : "&amp;C216</f>
        <v>-- SQL_ID : 61_16</v>
      </c>
    </row>
    <row r="217" spans="2:23" ht="18.75" customHeight="1">
      <c r="B217" s="43" t="s">
        <v>158</v>
      </c>
      <c r="C217" s="145" t="str">
        <f>R220&amp;"登録"</f>
        <v>デリバリ_カリウム平均推移_週別_処方期間別_lbなし登録</v>
      </c>
      <c r="D217" s="146"/>
      <c r="E217" s="146"/>
      <c r="F217" s="146"/>
      <c r="G217" s="146"/>
      <c r="H217" s="146"/>
      <c r="I217" s="146"/>
      <c r="J217" s="146"/>
      <c r="K217" s="146"/>
      <c r="L217" s="146"/>
      <c r="M217" s="146"/>
      <c r="N217" s="146"/>
      <c r="O217" s="146"/>
      <c r="P217" s="146"/>
      <c r="Q217" s="146"/>
      <c r="R217" s="146"/>
      <c r="S217" s="146"/>
      <c r="T217" s="146"/>
      <c r="U217" s="147"/>
      <c r="W217" s="35" t="str">
        <f>"-- "&amp;C217</f>
        <v>-- デリバリ_カリウム平均推移_週別_処方期間別_lbなし登録</v>
      </c>
    </row>
    <row r="218" spans="2:23" ht="18.75" customHeight="1">
      <c r="B218" s="43" t="s">
        <v>159</v>
      </c>
      <c r="C218" s="134" t="str">
        <f>"カリウムの平均推移をまとめ、"&amp;R220&amp;"テーブルに格納する。"</f>
        <v>カリウムの平均推移をまとめ、デリバリ_カリウム平均推移_週別_処方期間別_lbなしテーブルに格納する。</v>
      </c>
      <c r="D218" s="135"/>
      <c r="E218" s="135"/>
      <c r="F218" s="135"/>
      <c r="G218" s="135"/>
      <c r="H218" s="135"/>
      <c r="I218" s="135"/>
      <c r="J218" s="135"/>
      <c r="K218" s="135"/>
      <c r="L218" s="135"/>
      <c r="M218" s="135"/>
      <c r="N218" s="135"/>
      <c r="O218" s="135"/>
      <c r="P218" s="135"/>
      <c r="Q218" s="135"/>
      <c r="R218" s="135"/>
      <c r="S218" s="135"/>
      <c r="T218" s="135"/>
      <c r="U218" s="136"/>
      <c r="W218" s="35" t="str">
        <f>"-- "&amp;C218</f>
        <v>-- カリウムの平均推移をまとめ、デリバリ_カリウム平均推移_週別_処方期間別_lbなしテーブルに格納する。</v>
      </c>
    </row>
    <row r="220" spans="2:23" ht="18.75" customHeight="1">
      <c r="C220" s="137" t="s">
        <v>4423</v>
      </c>
      <c r="D220" s="138"/>
      <c r="E220" s="143" t="str">
        <f>エンティティ一覧!$O$2</f>
        <v>milscm_2023_010</v>
      </c>
      <c r="F220" s="36"/>
      <c r="G220" s="98"/>
      <c r="H220" s="98"/>
      <c r="I220" s="98"/>
      <c r="J220" s="98"/>
      <c r="K220" s="98"/>
      <c r="L220" s="98"/>
      <c r="M220" s="98"/>
      <c r="N220" s="98"/>
      <c r="O220" s="98"/>
      <c r="R220" s="137" t="s">
        <v>4468</v>
      </c>
      <c r="S220" s="138"/>
      <c r="T220" s="143" t="str">
        <f>エンティティ一覧!$O$2</f>
        <v>milscm_2023_010</v>
      </c>
    </row>
    <row r="221" spans="2:23" ht="18.75" customHeight="1">
      <c r="C221" s="139"/>
      <c r="D221" s="140"/>
      <c r="E221" s="144"/>
      <c r="F221" s="38"/>
      <c r="G221" s="37"/>
      <c r="H221" s="37"/>
      <c r="I221" s="37"/>
      <c r="J221" s="38"/>
      <c r="K221" s="37"/>
      <c r="L221" s="101"/>
      <c r="M221" s="101"/>
      <c r="N221" s="37"/>
      <c r="O221" s="37"/>
      <c r="P221" s="37"/>
      <c r="Q221" s="37"/>
      <c r="R221" s="139"/>
      <c r="S221" s="140"/>
      <c r="T221" s="144"/>
    </row>
    <row r="222" spans="2:23" ht="18.75" customHeight="1">
      <c r="F222" s="98"/>
      <c r="G222" s="98"/>
      <c r="H222" s="98"/>
      <c r="I222" s="98"/>
      <c r="J222" s="41"/>
      <c r="K222" s="98"/>
      <c r="L222" s="102"/>
      <c r="M222" s="102"/>
      <c r="N222" s="98"/>
      <c r="O222" s="98"/>
      <c r="P222" s="98"/>
    </row>
    <row r="223" spans="2:23" ht="18.75" customHeight="1">
      <c r="C223" s="137" t="s">
        <v>4353</v>
      </c>
      <c r="D223" s="138"/>
      <c r="E223" s="143" t="str">
        <f>エンティティ一覧!$O$2</f>
        <v>milscm_2023_010</v>
      </c>
      <c r="F223" s="36"/>
      <c r="G223" s="36"/>
      <c r="H223" s="36"/>
      <c r="I223" s="36"/>
      <c r="J223" s="41"/>
      <c r="K223" s="98"/>
      <c r="L223" s="102"/>
      <c r="M223" s="102"/>
      <c r="N223" s="98"/>
      <c r="O223" s="98"/>
      <c r="P223" s="98"/>
    </row>
    <row r="224" spans="2:23" ht="18.75" customHeight="1">
      <c r="C224" s="139"/>
      <c r="D224" s="140"/>
      <c r="E224" s="144"/>
      <c r="G224" s="98"/>
      <c r="H224" s="98"/>
      <c r="I224" s="98"/>
      <c r="J224" s="98"/>
      <c r="K224" s="98"/>
      <c r="L224" s="102"/>
      <c r="M224" s="102"/>
      <c r="N224" s="98"/>
      <c r="O224" s="98"/>
      <c r="P224" s="98"/>
    </row>
    <row r="225" spans="2:23" ht="18.75" customHeight="1">
      <c r="F225" s="98"/>
      <c r="G225" s="98"/>
      <c r="H225" s="98"/>
      <c r="I225" s="98"/>
      <c r="J225" s="98"/>
      <c r="K225" s="98"/>
      <c r="L225" s="102"/>
      <c r="M225" s="102"/>
      <c r="N225" s="98"/>
      <c r="O225" s="98"/>
      <c r="P225" s="98"/>
    </row>
    <row r="226" spans="2:23" ht="18.75" customHeight="1">
      <c r="C226" s="137" t="s">
        <v>4114</v>
      </c>
      <c r="D226" s="138"/>
      <c r="E226" s="143" t="str">
        <f>エンティティ一覧!$O$2</f>
        <v>milscm_2023_010</v>
      </c>
      <c r="F226" s="36"/>
      <c r="G226" s="36"/>
      <c r="H226" s="36"/>
      <c r="I226" s="36"/>
      <c r="J226" s="36"/>
      <c r="K226" s="36"/>
      <c r="L226" s="103"/>
      <c r="M226" s="102"/>
      <c r="N226" s="98"/>
      <c r="O226" s="98"/>
      <c r="P226" s="98"/>
    </row>
    <row r="227" spans="2:23" ht="18.75" customHeight="1">
      <c r="C227" s="139"/>
      <c r="D227" s="140"/>
      <c r="E227" s="144"/>
      <c r="G227" s="98"/>
      <c r="H227" s="98"/>
      <c r="I227" s="98"/>
      <c r="J227" s="98"/>
      <c r="K227" s="98"/>
      <c r="L227" s="98"/>
      <c r="M227" s="102"/>
    </row>
    <row r="228" spans="2:23" ht="18.75" customHeight="1">
      <c r="F228" s="98"/>
      <c r="G228" s="98"/>
      <c r="H228" s="98"/>
      <c r="I228" s="98"/>
      <c r="J228" s="98"/>
      <c r="K228" s="98"/>
      <c r="L228" s="98"/>
      <c r="M228" s="102"/>
      <c r="N228" s="98"/>
      <c r="O228" s="98"/>
      <c r="P228" s="98"/>
    </row>
    <row r="229" spans="2:23" ht="18.75" customHeight="1">
      <c r="C229" s="137" t="s">
        <v>4114</v>
      </c>
      <c r="D229" s="138"/>
      <c r="E229" s="143" t="str">
        <f>エンティティ一覧!$O$2</f>
        <v>milscm_2023_010</v>
      </c>
      <c r="F229" s="36"/>
      <c r="G229" s="36"/>
      <c r="H229" s="36"/>
      <c r="I229" s="36"/>
      <c r="J229" s="36"/>
      <c r="K229" s="36"/>
      <c r="L229" s="36"/>
      <c r="M229" s="103"/>
      <c r="N229" s="98"/>
      <c r="O229" s="98"/>
      <c r="P229" s="98"/>
    </row>
    <row r="230" spans="2:23" ht="18.75" customHeight="1">
      <c r="C230" s="139"/>
      <c r="D230" s="140"/>
      <c r="E230" s="144"/>
      <c r="G230" s="98"/>
      <c r="H230" s="98"/>
      <c r="I230" s="98"/>
      <c r="J230" s="98"/>
      <c r="K230" s="98"/>
      <c r="L230" s="98"/>
      <c r="M230" s="98"/>
    </row>
    <row r="231" spans="2:23" ht="18.75" customHeight="1" thickBot="1">
      <c r="B231" s="42"/>
      <c r="C231" s="42"/>
      <c r="D231" s="42"/>
      <c r="E231" s="42"/>
      <c r="F231" s="42"/>
      <c r="G231" s="42"/>
      <c r="H231" s="42"/>
      <c r="I231" s="42"/>
      <c r="J231" s="42"/>
      <c r="K231" s="42"/>
      <c r="L231" s="42"/>
      <c r="M231" s="42"/>
      <c r="N231" s="42"/>
      <c r="O231" s="42"/>
      <c r="P231" s="42"/>
      <c r="Q231" s="42"/>
      <c r="R231" s="42"/>
      <c r="S231" s="42"/>
      <c r="T231" s="42"/>
      <c r="U231" s="42"/>
    </row>
    <row r="233" spans="2:23" ht="18.75" customHeight="1">
      <c r="B233" s="43" t="s">
        <v>163</v>
      </c>
      <c r="C233" s="115" t="s">
        <v>4472</v>
      </c>
      <c r="D233" s="116"/>
      <c r="W233" s="35" t="str">
        <f>"-- "&amp;B233&amp;" : "&amp;C233</f>
        <v>-- SQL_ID : 61_17</v>
      </c>
    </row>
    <row r="234" spans="2:23" ht="18.75" customHeight="1">
      <c r="B234" s="43" t="s">
        <v>158</v>
      </c>
      <c r="C234" s="145" t="str">
        <f>R237&amp;"登録"</f>
        <v>デリバリ_カリウム平均推移_週別_処方期間別_lbあり登録</v>
      </c>
      <c r="D234" s="146"/>
      <c r="E234" s="146"/>
      <c r="F234" s="146"/>
      <c r="G234" s="146"/>
      <c r="H234" s="146"/>
      <c r="I234" s="146"/>
      <c r="J234" s="146"/>
      <c r="K234" s="146"/>
      <c r="L234" s="146"/>
      <c r="M234" s="146"/>
      <c r="N234" s="146"/>
      <c r="O234" s="146"/>
      <c r="P234" s="146"/>
      <c r="Q234" s="146"/>
      <c r="R234" s="146"/>
      <c r="S234" s="146"/>
      <c r="T234" s="146"/>
      <c r="U234" s="147"/>
      <c r="W234" s="35" t="str">
        <f>"-- "&amp;C234</f>
        <v>-- デリバリ_カリウム平均推移_週別_処方期間別_lbあり登録</v>
      </c>
    </row>
    <row r="235" spans="2:23" ht="18.75" customHeight="1">
      <c r="B235" s="43" t="s">
        <v>159</v>
      </c>
      <c r="C235" s="134" t="str">
        <f>"カリウムの平均推移をまとめ、"&amp;R237&amp;"テーブルに格納する。"</f>
        <v>カリウムの平均推移をまとめ、デリバリ_カリウム平均推移_週別_処方期間別_lbありテーブルに格納する。</v>
      </c>
      <c r="D235" s="135"/>
      <c r="E235" s="135"/>
      <c r="F235" s="135"/>
      <c r="G235" s="135"/>
      <c r="H235" s="135"/>
      <c r="I235" s="135"/>
      <c r="J235" s="135"/>
      <c r="K235" s="135"/>
      <c r="L235" s="135"/>
      <c r="M235" s="135"/>
      <c r="N235" s="135"/>
      <c r="O235" s="135"/>
      <c r="P235" s="135"/>
      <c r="Q235" s="135"/>
      <c r="R235" s="135"/>
      <c r="S235" s="135"/>
      <c r="T235" s="135"/>
      <c r="U235" s="136"/>
      <c r="W235" s="35" t="str">
        <f>"-- "&amp;C235</f>
        <v>-- カリウムの平均推移をまとめ、デリバリ_カリウム平均推移_週別_処方期間別_lbありテーブルに格納する。</v>
      </c>
    </row>
    <row r="237" spans="2:23" ht="18.75" customHeight="1">
      <c r="C237" s="137" t="s">
        <v>4423</v>
      </c>
      <c r="D237" s="138"/>
      <c r="E237" s="143" t="str">
        <f>エンティティ一覧!$O$2</f>
        <v>milscm_2023_010</v>
      </c>
      <c r="F237" s="36"/>
      <c r="G237" s="98"/>
      <c r="H237" s="98"/>
      <c r="I237" s="98"/>
      <c r="J237" s="98"/>
      <c r="K237" s="98"/>
      <c r="L237" s="98"/>
      <c r="M237" s="98"/>
      <c r="N237" s="98"/>
      <c r="O237" s="98"/>
      <c r="R237" s="137" t="s">
        <v>4473</v>
      </c>
      <c r="S237" s="138"/>
      <c r="T237" s="143" t="str">
        <f>エンティティ一覧!$O$2</f>
        <v>milscm_2023_010</v>
      </c>
    </row>
    <row r="238" spans="2:23" ht="18.75" customHeight="1">
      <c r="C238" s="139"/>
      <c r="D238" s="140"/>
      <c r="E238" s="144"/>
      <c r="F238" s="38"/>
      <c r="G238" s="37"/>
      <c r="H238" s="37"/>
      <c r="I238" s="37"/>
      <c r="J238" s="38"/>
      <c r="K238" s="37"/>
      <c r="L238" s="101"/>
      <c r="M238" s="101"/>
      <c r="N238" s="37"/>
      <c r="O238" s="37"/>
      <c r="P238" s="37"/>
      <c r="Q238" s="37"/>
      <c r="R238" s="139"/>
      <c r="S238" s="140"/>
      <c r="T238" s="144"/>
    </row>
    <row r="239" spans="2:23" ht="18.75" customHeight="1">
      <c r="F239" s="98"/>
      <c r="G239" s="98"/>
      <c r="H239" s="98"/>
      <c r="I239" s="98"/>
      <c r="J239" s="41"/>
      <c r="K239" s="98"/>
      <c r="L239" s="102"/>
      <c r="M239" s="102"/>
      <c r="N239" s="98"/>
      <c r="O239" s="98"/>
      <c r="P239" s="98"/>
    </row>
    <row r="240" spans="2:23" ht="18.75" customHeight="1">
      <c r="C240" s="137" t="s">
        <v>4353</v>
      </c>
      <c r="D240" s="138"/>
      <c r="E240" s="143" t="str">
        <f>エンティティ一覧!$O$2</f>
        <v>milscm_2023_010</v>
      </c>
      <c r="F240" s="36"/>
      <c r="G240" s="36"/>
      <c r="H240" s="36"/>
      <c r="I240" s="36"/>
      <c r="J240" s="41"/>
      <c r="K240" s="98"/>
      <c r="L240" s="102"/>
      <c r="M240" s="102"/>
      <c r="N240" s="98"/>
      <c r="O240" s="98"/>
      <c r="P240" s="98"/>
    </row>
    <row r="241" spans="2:23" ht="18.75" customHeight="1">
      <c r="C241" s="139"/>
      <c r="D241" s="140"/>
      <c r="E241" s="144"/>
      <c r="G241" s="98"/>
      <c r="H241" s="98"/>
      <c r="I241" s="98"/>
      <c r="J241" s="98"/>
      <c r="K241" s="98"/>
      <c r="L241" s="102"/>
      <c r="M241" s="102"/>
      <c r="N241" s="98"/>
      <c r="O241" s="98"/>
      <c r="P241" s="98"/>
    </row>
    <row r="242" spans="2:23" ht="18.75" customHeight="1">
      <c r="F242" s="98"/>
      <c r="G242" s="98"/>
      <c r="H242" s="98"/>
      <c r="I242" s="98"/>
      <c r="J242" s="98"/>
      <c r="K242" s="98"/>
      <c r="L242" s="102"/>
      <c r="M242" s="102"/>
      <c r="N242" s="98"/>
      <c r="O242" s="98"/>
      <c r="P242" s="98"/>
    </row>
    <row r="243" spans="2:23" ht="18.75" customHeight="1">
      <c r="C243" s="137" t="s">
        <v>4114</v>
      </c>
      <c r="D243" s="138"/>
      <c r="E243" s="143" t="str">
        <f>エンティティ一覧!$O$2</f>
        <v>milscm_2023_010</v>
      </c>
      <c r="F243" s="36"/>
      <c r="G243" s="36"/>
      <c r="H243" s="36"/>
      <c r="I243" s="36"/>
      <c r="J243" s="36"/>
      <c r="K243" s="36"/>
      <c r="L243" s="103"/>
      <c r="M243" s="102"/>
      <c r="N243" s="98"/>
      <c r="O243" s="98"/>
      <c r="P243" s="98"/>
    </row>
    <row r="244" spans="2:23" ht="18.75" customHeight="1">
      <c r="C244" s="139"/>
      <c r="D244" s="140"/>
      <c r="E244" s="144"/>
      <c r="G244" s="98"/>
      <c r="H244" s="98"/>
      <c r="I244" s="98"/>
      <c r="J244" s="98"/>
      <c r="K244" s="98"/>
      <c r="L244" s="98"/>
      <c r="M244" s="102"/>
    </row>
    <row r="245" spans="2:23" ht="18.75" customHeight="1">
      <c r="F245" s="98"/>
      <c r="G245" s="98"/>
      <c r="H245" s="98"/>
      <c r="I245" s="98"/>
      <c r="J245" s="98"/>
      <c r="K245" s="98"/>
      <c r="L245" s="98"/>
      <c r="M245" s="102"/>
      <c r="N245" s="98"/>
      <c r="O245" s="98"/>
      <c r="P245" s="98"/>
    </row>
    <row r="246" spans="2:23" ht="18.75" customHeight="1">
      <c r="C246" s="137" t="s">
        <v>4114</v>
      </c>
      <c r="D246" s="138"/>
      <c r="E246" s="143" t="str">
        <f>エンティティ一覧!$O$2</f>
        <v>milscm_2023_010</v>
      </c>
      <c r="F246" s="36"/>
      <c r="G246" s="36"/>
      <c r="H246" s="36"/>
      <c r="I246" s="36"/>
      <c r="J246" s="36"/>
      <c r="K246" s="36"/>
      <c r="L246" s="36"/>
      <c r="M246" s="103"/>
      <c r="N246" s="98"/>
      <c r="O246" s="98"/>
      <c r="P246" s="98"/>
    </row>
    <row r="247" spans="2:23" ht="18.75" customHeight="1">
      <c r="C247" s="139"/>
      <c r="D247" s="140"/>
      <c r="E247" s="144"/>
      <c r="G247" s="98"/>
      <c r="H247" s="98"/>
      <c r="I247" s="98"/>
      <c r="J247" s="98"/>
      <c r="K247" s="98"/>
      <c r="L247" s="98"/>
      <c r="M247" s="98"/>
    </row>
    <row r="248" spans="2:23" ht="18.75" customHeight="1" thickBot="1">
      <c r="B248" s="42"/>
      <c r="C248" s="42"/>
      <c r="D248" s="42"/>
      <c r="E248" s="42"/>
      <c r="F248" s="42"/>
      <c r="G248" s="42"/>
      <c r="H248" s="42"/>
      <c r="I248" s="42"/>
      <c r="J248" s="42"/>
      <c r="K248" s="42"/>
      <c r="L248" s="42"/>
      <c r="M248" s="42"/>
      <c r="N248" s="42"/>
      <c r="O248" s="42"/>
      <c r="P248" s="42"/>
      <c r="Q248" s="42"/>
      <c r="R248" s="42"/>
      <c r="S248" s="42"/>
      <c r="T248" s="42"/>
      <c r="U248" s="42"/>
    </row>
    <row r="250" spans="2:23" ht="18.75" customHeight="1">
      <c r="B250" s="43" t="s">
        <v>163</v>
      </c>
      <c r="C250" s="115" t="s">
        <v>4482</v>
      </c>
      <c r="D250" s="116"/>
      <c r="W250" s="35" t="str">
        <f>"-- "&amp;B250&amp;" : "&amp;C250</f>
        <v>-- SQL_ID : 61_18</v>
      </c>
    </row>
    <row r="251" spans="2:23" ht="18.75" customHeight="1">
      <c r="B251" s="43" t="s">
        <v>158</v>
      </c>
      <c r="C251" s="145" t="str">
        <f>R254&amp;"登録"</f>
        <v>デリバリ_カリウム平均推移_週別_処方期間別_lbなし2登録</v>
      </c>
      <c r="D251" s="146"/>
      <c r="E251" s="146"/>
      <c r="F251" s="146"/>
      <c r="G251" s="146"/>
      <c r="H251" s="146"/>
      <c r="I251" s="146"/>
      <c r="J251" s="146"/>
      <c r="K251" s="146"/>
      <c r="L251" s="146"/>
      <c r="M251" s="146"/>
      <c r="N251" s="146"/>
      <c r="O251" s="146"/>
      <c r="P251" s="146"/>
      <c r="Q251" s="146"/>
      <c r="R251" s="146"/>
      <c r="S251" s="146"/>
      <c r="T251" s="146"/>
      <c r="U251" s="147"/>
      <c r="W251" s="35" t="str">
        <f>"-- "&amp;C251</f>
        <v>-- デリバリ_カリウム平均推移_週別_処方期間別_lbなし2登録</v>
      </c>
    </row>
    <row r="252" spans="2:23" ht="18.75" customHeight="1">
      <c r="B252" s="43" t="s">
        <v>159</v>
      </c>
      <c r="C252" s="134" t="str">
        <f>"カリウムの平均推移をまとめ、"&amp;R254&amp;"テーブルに格納する。"</f>
        <v>カリウムの平均推移をまとめ、デリバリ_カリウム平均推移_週別_処方期間別_lbなし2テーブルに格納する。</v>
      </c>
      <c r="D252" s="135"/>
      <c r="E252" s="135"/>
      <c r="F252" s="135"/>
      <c r="G252" s="135"/>
      <c r="H252" s="135"/>
      <c r="I252" s="135"/>
      <c r="J252" s="135"/>
      <c r="K252" s="135"/>
      <c r="L252" s="135"/>
      <c r="M252" s="135"/>
      <c r="N252" s="135"/>
      <c r="O252" s="135"/>
      <c r="P252" s="135"/>
      <c r="Q252" s="135"/>
      <c r="R252" s="135"/>
      <c r="S252" s="135"/>
      <c r="T252" s="135"/>
      <c r="U252" s="136"/>
      <c r="W252" s="35" t="str">
        <f>"-- "&amp;C252</f>
        <v>-- カリウムの平均推移をまとめ、デリバリ_カリウム平均推移_週別_処方期間別_lbなし2テーブルに格納する。</v>
      </c>
    </row>
    <row r="254" spans="2:23" ht="18.75" customHeight="1">
      <c r="C254" s="137" t="s">
        <v>4122</v>
      </c>
      <c r="D254" s="138"/>
      <c r="E254" s="143" t="str">
        <f>エンティティ一覧!$O$2</f>
        <v>milscm_2023_010</v>
      </c>
      <c r="F254" s="36"/>
      <c r="G254" s="98"/>
      <c r="H254" s="98"/>
      <c r="I254" s="98"/>
      <c r="J254" s="98"/>
      <c r="K254" s="98"/>
      <c r="L254" s="98"/>
      <c r="M254" s="98"/>
      <c r="N254" s="98"/>
      <c r="O254" s="98"/>
      <c r="R254" s="137" t="s">
        <v>4523</v>
      </c>
      <c r="S254" s="138"/>
      <c r="T254" s="143" t="str">
        <f>エンティティ一覧!$O$2</f>
        <v>milscm_2023_010</v>
      </c>
    </row>
    <row r="255" spans="2:23" ht="18.75" customHeight="1">
      <c r="C255" s="139"/>
      <c r="D255" s="140"/>
      <c r="E255" s="144"/>
      <c r="F255" s="38"/>
      <c r="G255" s="37"/>
      <c r="H255" s="37"/>
      <c r="I255" s="37"/>
      <c r="J255" s="38"/>
      <c r="K255" s="37"/>
      <c r="L255" s="101"/>
      <c r="M255" s="101"/>
      <c r="N255" s="37"/>
      <c r="O255" s="37"/>
      <c r="P255" s="37"/>
      <c r="Q255" s="37"/>
      <c r="R255" s="139"/>
      <c r="S255" s="140"/>
      <c r="T255" s="144"/>
    </row>
    <row r="256" spans="2:23" ht="18.75" customHeight="1">
      <c r="F256" s="98"/>
      <c r="G256" s="98"/>
      <c r="H256" s="98"/>
      <c r="I256" s="98"/>
      <c r="J256" s="41"/>
      <c r="K256" s="98"/>
      <c r="L256" s="102"/>
      <c r="M256" s="102"/>
      <c r="N256" s="98"/>
      <c r="O256" s="98"/>
      <c r="P256" s="98"/>
    </row>
    <row r="257" spans="2:23" ht="18.75" customHeight="1">
      <c r="C257" s="137" t="s">
        <v>4353</v>
      </c>
      <c r="D257" s="138"/>
      <c r="E257" s="143" t="str">
        <f>エンティティ一覧!$O$2</f>
        <v>milscm_2023_010</v>
      </c>
      <c r="F257" s="36"/>
      <c r="G257" s="36"/>
      <c r="H257" s="36"/>
      <c r="I257" s="36"/>
      <c r="J257" s="41"/>
      <c r="K257" s="98"/>
      <c r="L257" s="102"/>
      <c r="M257" s="102"/>
      <c r="N257" s="98"/>
      <c r="O257" s="98"/>
      <c r="P257" s="98"/>
    </row>
    <row r="258" spans="2:23" ht="18.75" customHeight="1">
      <c r="C258" s="139"/>
      <c r="D258" s="140"/>
      <c r="E258" s="144"/>
      <c r="G258" s="98"/>
      <c r="H258" s="98"/>
      <c r="I258" s="98"/>
      <c r="J258" s="98"/>
      <c r="K258" s="98"/>
      <c r="L258" s="102"/>
      <c r="M258" s="102"/>
      <c r="N258" s="98"/>
      <c r="O258" s="98"/>
      <c r="P258" s="98"/>
    </row>
    <row r="259" spans="2:23" ht="18.75" customHeight="1">
      <c r="F259" s="98"/>
      <c r="G259" s="98"/>
      <c r="H259" s="98"/>
      <c r="I259" s="98"/>
      <c r="J259" s="98"/>
      <c r="K259" s="98"/>
      <c r="L259" s="102"/>
      <c r="M259" s="102"/>
      <c r="N259" s="98"/>
      <c r="O259" s="98"/>
      <c r="P259" s="98"/>
    </row>
    <row r="260" spans="2:23" ht="18.75" customHeight="1">
      <c r="C260" s="137" t="s">
        <v>4114</v>
      </c>
      <c r="D260" s="138"/>
      <c r="E260" s="143" t="str">
        <f>エンティティ一覧!$O$2</f>
        <v>milscm_2023_010</v>
      </c>
      <c r="F260" s="36"/>
      <c r="G260" s="36"/>
      <c r="H260" s="36"/>
      <c r="I260" s="36"/>
      <c r="J260" s="36"/>
      <c r="K260" s="36"/>
      <c r="L260" s="103"/>
      <c r="M260" s="102"/>
      <c r="N260" s="98"/>
      <c r="O260" s="98"/>
      <c r="P260" s="98"/>
    </row>
    <row r="261" spans="2:23" ht="18.75" customHeight="1">
      <c r="C261" s="139"/>
      <c r="D261" s="140"/>
      <c r="E261" s="144"/>
      <c r="G261" s="98"/>
      <c r="H261" s="98"/>
      <c r="I261" s="98"/>
      <c r="J261" s="98"/>
      <c r="K261" s="98"/>
      <c r="L261" s="98"/>
      <c r="M261" s="102"/>
    </row>
    <row r="262" spans="2:23" ht="18.75" customHeight="1">
      <c r="F262" s="98"/>
      <c r="G262" s="98"/>
      <c r="H262" s="98"/>
      <c r="I262" s="98"/>
      <c r="J262" s="98"/>
      <c r="K262" s="98"/>
      <c r="L262" s="98"/>
      <c r="M262" s="102"/>
      <c r="N262" s="98"/>
      <c r="O262" s="98"/>
      <c r="P262" s="98"/>
    </row>
    <row r="263" spans="2:23" ht="18.75" customHeight="1">
      <c r="C263" s="137" t="s">
        <v>4114</v>
      </c>
      <c r="D263" s="138"/>
      <c r="E263" s="143" t="str">
        <f>エンティティ一覧!$O$2</f>
        <v>milscm_2023_010</v>
      </c>
      <c r="F263" s="36"/>
      <c r="G263" s="36"/>
      <c r="H263" s="36"/>
      <c r="I263" s="36"/>
      <c r="J263" s="36"/>
      <c r="K263" s="36"/>
      <c r="L263" s="36"/>
      <c r="M263" s="103"/>
      <c r="N263" s="98"/>
      <c r="O263" s="98"/>
      <c r="P263" s="98"/>
    </row>
    <row r="264" spans="2:23" ht="18.75" customHeight="1">
      <c r="C264" s="139"/>
      <c r="D264" s="140"/>
      <c r="E264" s="144"/>
      <c r="G264" s="98"/>
      <c r="H264" s="98"/>
      <c r="I264" s="98"/>
      <c r="J264" s="98"/>
      <c r="K264" s="98"/>
      <c r="L264" s="98"/>
      <c r="M264" s="98"/>
    </row>
    <row r="265" spans="2:23" ht="18.75" customHeight="1" thickBot="1">
      <c r="B265" s="42"/>
      <c r="C265" s="42"/>
      <c r="D265" s="42"/>
      <c r="E265" s="42"/>
      <c r="F265" s="42"/>
      <c r="G265" s="42"/>
      <c r="H265" s="42"/>
      <c r="I265" s="42"/>
      <c r="J265" s="42"/>
      <c r="K265" s="42"/>
      <c r="L265" s="42"/>
      <c r="M265" s="42"/>
      <c r="N265" s="42"/>
      <c r="O265" s="42"/>
      <c r="P265" s="42"/>
      <c r="Q265" s="42"/>
      <c r="R265" s="42"/>
      <c r="S265" s="42"/>
      <c r="T265" s="42"/>
      <c r="U265" s="42"/>
    </row>
    <row r="267" spans="2:23" ht="18.75" customHeight="1">
      <c r="B267" s="43" t="s">
        <v>163</v>
      </c>
      <c r="C267" s="115" t="s">
        <v>4530</v>
      </c>
      <c r="D267" s="116"/>
      <c r="W267" s="35" t="str">
        <f>"-- "&amp;B267&amp;" : "&amp;C267</f>
        <v>-- SQL_ID : 61_19</v>
      </c>
    </row>
    <row r="268" spans="2:23" ht="18.75" customHeight="1">
      <c r="B268" s="43" t="s">
        <v>158</v>
      </c>
      <c r="C268" s="145" t="str">
        <f>R271&amp;"登録"</f>
        <v>デリバリ_カリウム平均推移_週別_処方期間別_lbあり2登録</v>
      </c>
      <c r="D268" s="146"/>
      <c r="E268" s="146"/>
      <c r="F268" s="146"/>
      <c r="G268" s="146"/>
      <c r="H268" s="146"/>
      <c r="I268" s="146"/>
      <c r="J268" s="146"/>
      <c r="K268" s="146"/>
      <c r="L268" s="146"/>
      <c r="M268" s="146"/>
      <c r="N268" s="146"/>
      <c r="O268" s="146"/>
      <c r="P268" s="146"/>
      <c r="Q268" s="146"/>
      <c r="R268" s="146"/>
      <c r="S268" s="146"/>
      <c r="T268" s="146"/>
      <c r="U268" s="147"/>
      <c r="W268" s="35" t="str">
        <f>"-- "&amp;C268</f>
        <v>-- デリバリ_カリウム平均推移_週別_処方期間別_lbあり2登録</v>
      </c>
    </row>
    <row r="269" spans="2:23" ht="18.75" customHeight="1">
      <c r="B269" s="43" t="s">
        <v>159</v>
      </c>
      <c r="C269" s="134" t="str">
        <f>"カリウムの平均推移をまとめ、"&amp;R271&amp;"テーブルに格納する。"</f>
        <v>カリウムの平均推移をまとめ、デリバリ_カリウム平均推移_週別_処方期間別_lbあり2テーブルに格納する。</v>
      </c>
      <c r="D269" s="135"/>
      <c r="E269" s="135"/>
      <c r="F269" s="135"/>
      <c r="G269" s="135"/>
      <c r="H269" s="135"/>
      <c r="I269" s="135"/>
      <c r="J269" s="135"/>
      <c r="K269" s="135"/>
      <c r="L269" s="135"/>
      <c r="M269" s="135"/>
      <c r="N269" s="135"/>
      <c r="O269" s="135"/>
      <c r="P269" s="135"/>
      <c r="Q269" s="135"/>
      <c r="R269" s="135"/>
      <c r="S269" s="135"/>
      <c r="T269" s="135"/>
      <c r="U269" s="136"/>
      <c r="W269" s="35" t="str">
        <f>"-- "&amp;C269</f>
        <v>-- カリウムの平均推移をまとめ、デリバリ_カリウム平均推移_週別_処方期間別_lbあり2テーブルに格納する。</v>
      </c>
    </row>
    <row r="271" spans="2:23" ht="18.75" customHeight="1">
      <c r="C271" s="137" t="s">
        <v>4122</v>
      </c>
      <c r="D271" s="138"/>
      <c r="E271" s="143" t="str">
        <f>エンティティ一覧!$O$2</f>
        <v>milscm_2023_010</v>
      </c>
      <c r="F271" s="36"/>
      <c r="G271" s="98"/>
      <c r="H271" s="98"/>
      <c r="I271" s="98"/>
      <c r="J271" s="98"/>
      <c r="K271" s="98"/>
      <c r="L271" s="98"/>
      <c r="M271" s="98"/>
      <c r="N271" s="98"/>
      <c r="O271" s="98"/>
      <c r="R271" s="137" t="s">
        <v>4524</v>
      </c>
      <c r="S271" s="138"/>
      <c r="T271" s="143" t="str">
        <f>エンティティ一覧!$O$2</f>
        <v>milscm_2023_010</v>
      </c>
    </row>
    <row r="272" spans="2:23" ht="18.75" customHeight="1">
      <c r="C272" s="139"/>
      <c r="D272" s="140"/>
      <c r="E272" s="144"/>
      <c r="F272" s="38"/>
      <c r="G272" s="37"/>
      <c r="H272" s="37"/>
      <c r="I272" s="37"/>
      <c r="J272" s="38"/>
      <c r="K272" s="37"/>
      <c r="L272" s="101"/>
      <c r="M272" s="101"/>
      <c r="N272" s="37"/>
      <c r="O272" s="37"/>
      <c r="P272" s="37"/>
      <c r="Q272" s="37"/>
      <c r="R272" s="139"/>
      <c r="S272" s="140"/>
      <c r="T272" s="144"/>
    </row>
    <row r="273" spans="1:23" ht="18.75" customHeight="1">
      <c r="F273" s="98"/>
      <c r="G273" s="98"/>
      <c r="H273" s="98"/>
      <c r="I273" s="98"/>
      <c r="J273" s="41"/>
      <c r="K273" s="98"/>
      <c r="L273" s="102"/>
      <c r="M273" s="102"/>
      <c r="N273" s="98"/>
      <c r="O273" s="98"/>
      <c r="P273" s="98"/>
    </row>
    <row r="274" spans="1:23" ht="18.75" customHeight="1">
      <c r="C274" s="137" t="s">
        <v>4353</v>
      </c>
      <c r="D274" s="138"/>
      <c r="E274" s="143" t="str">
        <f>エンティティ一覧!$O$2</f>
        <v>milscm_2023_010</v>
      </c>
      <c r="F274" s="36"/>
      <c r="G274" s="36"/>
      <c r="H274" s="36"/>
      <c r="I274" s="36"/>
      <c r="J274" s="41"/>
      <c r="K274" s="98"/>
      <c r="L274" s="102"/>
      <c r="M274" s="102"/>
      <c r="N274" s="98"/>
      <c r="O274" s="98"/>
      <c r="P274" s="98"/>
    </row>
    <row r="275" spans="1:23" ht="18.75" customHeight="1">
      <c r="C275" s="139"/>
      <c r="D275" s="140"/>
      <c r="E275" s="144"/>
      <c r="G275" s="98"/>
      <c r="H275" s="98"/>
      <c r="I275" s="98"/>
      <c r="J275" s="98"/>
      <c r="K275" s="98"/>
      <c r="L275" s="102"/>
      <c r="M275" s="102"/>
      <c r="N275" s="98"/>
      <c r="O275" s="98"/>
      <c r="P275" s="98"/>
    </row>
    <row r="276" spans="1:23" ht="18.75" customHeight="1">
      <c r="F276" s="98"/>
      <c r="G276" s="98"/>
      <c r="H276" s="98"/>
      <c r="I276" s="98"/>
      <c r="J276" s="98"/>
      <c r="K276" s="98"/>
      <c r="L276" s="102"/>
      <c r="M276" s="102"/>
      <c r="N276" s="98"/>
      <c r="O276" s="98"/>
      <c r="P276" s="98"/>
    </row>
    <row r="277" spans="1:23" ht="18.75" customHeight="1">
      <c r="C277" s="137" t="s">
        <v>4114</v>
      </c>
      <c r="D277" s="138"/>
      <c r="E277" s="143" t="str">
        <f>エンティティ一覧!$O$2</f>
        <v>milscm_2023_010</v>
      </c>
      <c r="F277" s="36"/>
      <c r="G277" s="36"/>
      <c r="H277" s="36"/>
      <c r="I277" s="36"/>
      <c r="J277" s="36"/>
      <c r="K277" s="36"/>
      <c r="L277" s="103"/>
      <c r="M277" s="102"/>
      <c r="N277" s="98"/>
      <c r="O277" s="98"/>
      <c r="P277" s="98"/>
    </row>
    <row r="278" spans="1:23" ht="18.75" customHeight="1">
      <c r="C278" s="139"/>
      <c r="D278" s="140"/>
      <c r="E278" s="144"/>
      <c r="G278" s="98"/>
      <c r="H278" s="98"/>
      <c r="I278" s="98"/>
      <c r="J278" s="98"/>
      <c r="K278" s="98"/>
      <c r="L278" s="98"/>
      <c r="M278" s="102"/>
    </row>
    <row r="279" spans="1:23" ht="18.75" customHeight="1">
      <c r="F279" s="98"/>
      <c r="G279" s="98"/>
      <c r="H279" s="98"/>
      <c r="I279" s="98"/>
      <c r="J279" s="98"/>
      <c r="K279" s="98"/>
      <c r="L279" s="98"/>
      <c r="M279" s="102"/>
      <c r="N279" s="98"/>
      <c r="O279" s="98"/>
      <c r="P279" s="98"/>
    </row>
    <row r="280" spans="1:23" ht="18.75" customHeight="1">
      <c r="C280" s="137" t="s">
        <v>4114</v>
      </c>
      <c r="D280" s="138"/>
      <c r="E280" s="143" t="str">
        <f>エンティティ一覧!$O$2</f>
        <v>milscm_2023_010</v>
      </c>
      <c r="F280" s="36"/>
      <c r="G280" s="36"/>
      <c r="H280" s="36"/>
      <c r="I280" s="36"/>
      <c r="J280" s="36"/>
      <c r="K280" s="36"/>
      <c r="L280" s="36"/>
      <c r="M280" s="103"/>
      <c r="N280" s="98"/>
      <c r="O280" s="98"/>
      <c r="P280" s="98"/>
    </row>
    <row r="281" spans="1:23" ht="18.75" customHeight="1">
      <c r="C281" s="139"/>
      <c r="D281" s="140"/>
      <c r="E281" s="144"/>
      <c r="G281" s="98"/>
      <c r="H281" s="98"/>
      <c r="I281" s="98"/>
      <c r="J281" s="98"/>
      <c r="K281" s="98"/>
      <c r="L281" s="98"/>
      <c r="M281" s="98"/>
    </row>
    <row r="282" spans="1:23" ht="18.75" customHeight="1" thickBot="1">
      <c r="B282" s="42"/>
      <c r="C282" s="42"/>
      <c r="D282" s="42"/>
      <c r="E282" s="42"/>
      <c r="F282" s="42"/>
      <c r="G282" s="42"/>
      <c r="H282" s="42"/>
      <c r="I282" s="42"/>
      <c r="J282" s="42"/>
      <c r="K282" s="42"/>
      <c r="L282" s="42"/>
      <c r="M282" s="42"/>
      <c r="N282" s="42"/>
      <c r="O282" s="42"/>
      <c r="P282" s="42"/>
      <c r="Q282" s="42"/>
      <c r="R282" s="42"/>
      <c r="S282" s="42"/>
      <c r="T282" s="42"/>
      <c r="U282" s="42"/>
    </row>
    <row r="284" spans="1:23" ht="18.75" customHeight="1">
      <c r="A284" s="77"/>
      <c r="B284" s="43" t="s">
        <v>163</v>
      </c>
      <c r="C284" s="51" t="s">
        <v>4529</v>
      </c>
      <c r="D284" s="131"/>
      <c r="W284" s="35" t="str">
        <f>"-- "&amp;B284&amp;" : "&amp;C284</f>
        <v>-- SQL_ID : 61_20</v>
      </c>
    </row>
    <row r="285" spans="1:23" ht="18.75" customHeight="1">
      <c r="B285" s="43" t="s">
        <v>158</v>
      </c>
      <c r="C285" s="145" t="str">
        <f>R288&amp;"登録"</f>
        <v>デリバリ_患者_BMI登録</v>
      </c>
      <c r="D285" s="146"/>
      <c r="E285" s="146"/>
      <c r="F285" s="146"/>
      <c r="G285" s="146"/>
      <c r="H285" s="146"/>
      <c r="I285" s="146"/>
      <c r="J285" s="146"/>
      <c r="K285" s="146"/>
      <c r="L285" s="146"/>
      <c r="M285" s="146"/>
      <c r="N285" s="146"/>
      <c r="O285" s="146"/>
      <c r="P285" s="146"/>
      <c r="Q285" s="146"/>
      <c r="R285" s="146"/>
      <c r="S285" s="146"/>
      <c r="T285" s="146"/>
      <c r="U285" s="147"/>
      <c r="W285" s="35" t="str">
        <f>"-- "&amp;C285</f>
        <v>-- デリバリ_患者_BMI登録</v>
      </c>
    </row>
    <row r="286" spans="1:23" ht="18.75" customHeight="1">
      <c r="B286" s="43" t="s">
        <v>159</v>
      </c>
      <c r="C286" s="134" t="str">
        <f>"セレクト_バイタルから身長と体重を抽出しBMIを算出した結果とあわせて、"&amp;R288&amp;"テーブルに格納する。"</f>
        <v>セレクト_バイタルから身長と体重を抽出しBMIを算出した結果とあわせて、デリバリ_患者_BMIテーブルに格納する。</v>
      </c>
      <c r="D286" s="135"/>
      <c r="E286" s="135"/>
      <c r="F286" s="135"/>
      <c r="G286" s="135"/>
      <c r="H286" s="135"/>
      <c r="I286" s="135"/>
      <c r="J286" s="135"/>
      <c r="K286" s="135"/>
      <c r="L286" s="135"/>
      <c r="M286" s="135"/>
      <c r="N286" s="135"/>
      <c r="O286" s="135"/>
      <c r="P286" s="135"/>
      <c r="Q286" s="135"/>
      <c r="R286" s="135"/>
      <c r="S286" s="135"/>
      <c r="T286" s="135"/>
      <c r="U286" s="136"/>
      <c r="W286" s="35" t="str">
        <f>"-- "&amp;C286</f>
        <v>-- セレクト_バイタルから身長と体重を抽出しBMIを算出した結果とあわせて、デリバリ_患者_BMIテーブルに格納する。</v>
      </c>
    </row>
    <row r="288" spans="1:23" ht="18.75" customHeight="1">
      <c r="C288" s="137" t="s">
        <v>4148</v>
      </c>
      <c r="D288" s="138"/>
      <c r="E288" s="143" t="str">
        <f>エンティティ一覧!$O$2</f>
        <v>milscm_2023_010</v>
      </c>
      <c r="F288" s="36"/>
      <c r="G288" s="98"/>
      <c r="H288" s="98"/>
      <c r="I288" s="98"/>
      <c r="J288" s="98"/>
      <c r="K288" s="98"/>
      <c r="L288" s="98"/>
      <c r="M288" s="98"/>
      <c r="N288" s="98"/>
      <c r="O288" s="98"/>
      <c r="P288" s="98"/>
      <c r="Q288" s="36"/>
      <c r="R288" s="137" t="s">
        <v>4475</v>
      </c>
      <c r="S288" s="138"/>
      <c r="T288" s="143" t="str">
        <f>エンティティ一覧!$O$2</f>
        <v>milscm_2023_010</v>
      </c>
      <c r="W288" s="35" t="s">
        <v>3669</v>
      </c>
    </row>
    <row r="289" spans="2:21" ht="18.75" customHeight="1">
      <c r="C289" s="139"/>
      <c r="D289" s="140"/>
      <c r="E289" s="144"/>
      <c r="F289" s="37"/>
      <c r="G289" s="37"/>
      <c r="H289" s="37"/>
      <c r="I289" s="37"/>
      <c r="J289" s="37"/>
      <c r="K289" s="37"/>
      <c r="L289" s="37"/>
      <c r="M289" s="37"/>
      <c r="N289" s="37"/>
      <c r="O289" s="37"/>
      <c r="P289" s="37"/>
      <c r="Q289" s="37"/>
      <c r="R289" s="139"/>
      <c r="S289" s="140"/>
      <c r="T289" s="144"/>
    </row>
    <row r="290" spans="2:21" ht="18.75" customHeight="1" thickBot="1">
      <c r="B290" s="42"/>
      <c r="C290" s="42"/>
      <c r="D290" s="42"/>
      <c r="E290" s="42"/>
      <c r="F290" s="42"/>
      <c r="G290" s="42"/>
      <c r="H290" s="42"/>
      <c r="I290" s="42"/>
      <c r="J290" s="42"/>
      <c r="K290" s="42"/>
      <c r="L290" s="42"/>
      <c r="M290" s="42"/>
      <c r="N290" s="42"/>
      <c r="O290" s="42"/>
      <c r="P290" s="42"/>
      <c r="Q290" s="42"/>
      <c r="R290" s="42"/>
      <c r="S290" s="42"/>
      <c r="T290" s="42"/>
      <c r="U290" s="42"/>
    </row>
  </sheetData>
  <mergeCells count="206">
    <mergeCell ref="C12:U12"/>
    <mergeCell ref="C13:U13"/>
    <mergeCell ref="C4:U4"/>
    <mergeCell ref="C5:U5"/>
    <mergeCell ref="C7:D8"/>
    <mergeCell ref="E7:E8"/>
    <mergeCell ref="R7:S8"/>
    <mergeCell ref="T7:T8"/>
    <mergeCell ref="C24:D25"/>
    <mergeCell ref="E24:E25"/>
    <mergeCell ref="C21:D22"/>
    <mergeCell ref="E21:E22"/>
    <mergeCell ref="C15:D16"/>
    <mergeCell ref="E15:E16"/>
    <mergeCell ref="R15:S16"/>
    <mergeCell ref="T15:T16"/>
    <mergeCell ref="C18:D19"/>
    <mergeCell ref="E18:E19"/>
    <mergeCell ref="C35:U35"/>
    <mergeCell ref="C36:U36"/>
    <mergeCell ref="C38:D39"/>
    <mergeCell ref="E38:E39"/>
    <mergeCell ref="R38:S39"/>
    <mergeCell ref="T38:T39"/>
    <mergeCell ref="C27:D28"/>
    <mergeCell ref="E27:E28"/>
    <mergeCell ref="C30:D31"/>
    <mergeCell ref="E30:E31"/>
    <mergeCell ref="C50:U50"/>
    <mergeCell ref="C52:D53"/>
    <mergeCell ref="E52:E53"/>
    <mergeCell ref="R52:S53"/>
    <mergeCell ref="T52:T53"/>
    <mergeCell ref="C41:D42"/>
    <mergeCell ref="E41:E42"/>
    <mergeCell ref="C44:D45"/>
    <mergeCell ref="E44:E45"/>
    <mergeCell ref="C49:U49"/>
    <mergeCell ref="C64:U64"/>
    <mergeCell ref="C66:D67"/>
    <mergeCell ref="E66:E67"/>
    <mergeCell ref="R66:S67"/>
    <mergeCell ref="T66:T67"/>
    <mergeCell ref="C55:D56"/>
    <mergeCell ref="E55:E56"/>
    <mergeCell ref="C58:D59"/>
    <mergeCell ref="E58:E59"/>
    <mergeCell ref="C63:U63"/>
    <mergeCell ref="C78:U78"/>
    <mergeCell ref="C80:D81"/>
    <mergeCell ref="E80:E81"/>
    <mergeCell ref="R80:S81"/>
    <mergeCell ref="T80:T81"/>
    <mergeCell ref="C69:D70"/>
    <mergeCell ref="E69:E70"/>
    <mergeCell ref="C72:D73"/>
    <mergeCell ref="E72:E73"/>
    <mergeCell ref="C77:U77"/>
    <mergeCell ref="C92:U92"/>
    <mergeCell ref="C94:D95"/>
    <mergeCell ref="E94:E95"/>
    <mergeCell ref="R94:S95"/>
    <mergeCell ref="T94:T95"/>
    <mergeCell ref="C83:D84"/>
    <mergeCell ref="E83:E84"/>
    <mergeCell ref="C86:D87"/>
    <mergeCell ref="E86:E87"/>
    <mergeCell ref="C91:U91"/>
    <mergeCell ref="C106:U106"/>
    <mergeCell ref="C108:D109"/>
    <mergeCell ref="E108:E109"/>
    <mergeCell ref="R108:S109"/>
    <mergeCell ref="T108:T109"/>
    <mergeCell ref="C97:D98"/>
    <mergeCell ref="E97:E98"/>
    <mergeCell ref="C100:D101"/>
    <mergeCell ref="E100:E101"/>
    <mergeCell ref="C105:U105"/>
    <mergeCell ref="C120:U120"/>
    <mergeCell ref="C122:D123"/>
    <mergeCell ref="E122:E123"/>
    <mergeCell ref="R122:S123"/>
    <mergeCell ref="T122:T123"/>
    <mergeCell ref="C111:D112"/>
    <mergeCell ref="E111:E112"/>
    <mergeCell ref="C114:D115"/>
    <mergeCell ref="E114:E115"/>
    <mergeCell ref="C119:U119"/>
    <mergeCell ref="C134:U134"/>
    <mergeCell ref="C136:D137"/>
    <mergeCell ref="E136:E137"/>
    <mergeCell ref="R136:S137"/>
    <mergeCell ref="T136:T137"/>
    <mergeCell ref="C125:D126"/>
    <mergeCell ref="E125:E126"/>
    <mergeCell ref="C128:D129"/>
    <mergeCell ref="E128:E129"/>
    <mergeCell ref="C133:U133"/>
    <mergeCell ref="C148:U148"/>
    <mergeCell ref="C150:D151"/>
    <mergeCell ref="E150:E151"/>
    <mergeCell ref="R150:S151"/>
    <mergeCell ref="T150:T151"/>
    <mergeCell ref="C139:D140"/>
    <mergeCell ref="E139:E140"/>
    <mergeCell ref="C142:D143"/>
    <mergeCell ref="E142:E143"/>
    <mergeCell ref="C147:U147"/>
    <mergeCell ref="C162:U162"/>
    <mergeCell ref="C164:D165"/>
    <mergeCell ref="E164:E165"/>
    <mergeCell ref="R164:S165"/>
    <mergeCell ref="T164:T165"/>
    <mergeCell ref="C153:D154"/>
    <mergeCell ref="E153:E154"/>
    <mergeCell ref="C156:D157"/>
    <mergeCell ref="E156:E157"/>
    <mergeCell ref="C161:U161"/>
    <mergeCell ref="C176:U176"/>
    <mergeCell ref="C178:D179"/>
    <mergeCell ref="E178:E179"/>
    <mergeCell ref="R178:S179"/>
    <mergeCell ref="T178:T179"/>
    <mergeCell ref="C167:D168"/>
    <mergeCell ref="E167:E168"/>
    <mergeCell ref="C170:D171"/>
    <mergeCell ref="E170:E171"/>
    <mergeCell ref="C175:U175"/>
    <mergeCell ref="C190:U190"/>
    <mergeCell ref="C192:D193"/>
    <mergeCell ref="E192:E193"/>
    <mergeCell ref="R192:S193"/>
    <mergeCell ref="T192:T193"/>
    <mergeCell ref="C181:D182"/>
    <mergeCell ref="E181:E182"/>
    <mergeCell ref="C184:D185"/>
    <mergeCell ref="E184:E185"/>
    <mergeCell ref="C189:U189"/>
    <mergeCell ref="C204:U204"/>
    <mergeCell ref="C206:D207"/>
    <mergeCell ref="E206:E207"/>
    <mergeCell ref="R206:S207"/>
    <mergeCell ref="T206:T207"/>
    <mergeCell ref="C195:D196"/>
    <mergeCell ref="E195:E196"/>
    <mergeCell ref="C198:D199"/>
    <mergeCell ref="E198:E199"/>
    <mergeCell ref="C203:U203"/>
    <mergeCell ref="C218:U218"/>
    <mergeCell ref="C220:D221"/>
    <mergeCell ref="E220:E221"/>
    <mergeCell ref="R220:S221"/>
    <mergeCell ref="T220:T221"/>
    <mergeCell ref="C209:D210"/>
    <mergeCell ref="E209:E210"/>
    <mergeCell ref="C212:D213"/>
    <mergeCell ref="E212:E213"/>
    <mergeCell ref="C217:U217"/>
    <mergeCell ref="C234:U234"/>
    <mergeCell ref="C235:U235"/>
    <mergeCell ref="C237:D238"/>
    <mergeCell ref="E237:E238"/>
    <mergeCell ref="R237:S238"/>
    <mergeCell ref="T237:T238"/>
    <mergeCell ref="C223:D224"/>
    <mergeCell ref="E223:E224"/>
    <mergeCell ref="C226:D227"/>
    <mergeCell ref="E226:E227"/>
    <mergeCell ref="C229:D230"/>
    <mergeCell ref="E229:E230"/>
    <mergeCell ref="C285:U285"/>
    <mergeCell ref="C286:U286"/>
    <mergeCell ref="C288:D289"/>
    <mergeCell ref="E288:E289"/>
    <mergeCell ref="R288:S289"/>
    <mergeCell ref="T288:T289"/>
    <mergeCell ref="C240:D241"/>
    <mergeCell ref="E240:E241"/>
    <mergeCell ref="C243:D244"/>
    <mergeCell ref="E243:E244"/>
    <mergeCell ref="C246:D247"/>
    <mergeCell ref="E246:E247"/>
    <mergeCell ref="C251:U251"/>
    <mergeCell ref="C252:U252"/>
    <mergeCell ref="C254:D255"/>
    <mergeCell ref="E254:E255"/>
    <mergeCell ref="R254:S255"/>
    <mergeCell ref="T254:T255"/>
    <mergeCell ref="C257:D258"/>
    <mergeCell ref="E257:E258"/>
    <mergeCell ref="C260:D261"/>
    <mergeCell ref="E260:E261"/>
    <mergeCell ref="C263:D264"/>
    <mergeCell ref="E263:E264"/>
    <mergeCell ref="C280:D281"/>
    <mergeCell ref="E280:E281"/>
    <mergeCell ref="C268:U268"/>
    <mergeCell ref="C269:U269"/>
    <mergeCell ref="C271:D272"/>
    <mergeCell ref="E271:E272"/>
    <mergeCell ref="R271:S272"/>
    <mergeCell ref="T271:T272"/>
    <mergeCell ref="C274:D275"/>
    <mergeCell ref="E274:E275"/>
    <mergeCell ref="C277:D278"/>
    <mergeCell ref="E277:E278"/>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BL259"/>
  <sheetViews>
    <sheetView showGridLines="0" zoomScaleNormal="100" workbookViewId="0">
      <pane xSplit="27" ySplit="5" topLeftCell="AB153" activePane="bottomRight" state="frozenSplit"/>
      <selection pane="topRight" activeCell="AC1" sqref="AC1"/>
      <selection pane="bottomLeft" activeCell="A6" sqref="A6"/>
      <selection pane="bottomRight" activeCell="P153" sqref="P153:AD153"/>
    </sheetView>
  </sheetViews>
  <sheetFormatPr defaultColWidth="2.625" defaultRowHeight="18.75" outlineLevelRow="1"/>
  <cols>
    <col min="1" max="1" width="2.625" style="34" customWidth="1"/>
    <col min="2" max="6" width="2.625" style="64"/>
    <col min="7" max="14" width="2.625" style="32"/>
    <col min="15" max="15" width="15.875" style="32" bestFit="1" customWidth="1"/>
    <col min="16" max="20" width="2.625" style="32"/>
    <col min="21" max="21" width="2.625" style="32" customWidth="1"/>
    <col min="22" max="63" width="2.625" style="32"/>
    <col min="64" max="64" width="2.875" style="32" bestFit="1" customWidth="1"/>
    <col min="65" max="16384" width="2.625" style="32"/>
  </cols>
  <sheetData>
    <row r="1" spans="1:64">
      <c r="B1" s="203" t="s">
        <v>138</v>
      </c>
      <c r="C1" s="204"/>
      <c r="D1" s="204"/>
      <c r="E1" s="204"/>
      <c r="F1" s="204"/>
      <c r="G1" s="204"/>
      <c r="H1" s="204"/>
      <c r="I1" s="204"/>
      <c r="J1" s="204"/>
      <c r="K1" s="204"/>
      <c r="L1" s="204"/>
      <c r="M1" s="204"/>
      <c r="N1" s="205"/>
      <c r="O1" s="209" t="s">
        <v>157</v>
      </c>
      <c r="P1" s="210"/>
      <c r="Q1" s="210"/>
      <c r="R1" s="210"/>
      <c r="S1" s="210"/>
      <c r="T1" s="210"/>
      <c r="U1" s="210"/>
      <c r="V1" s="210"/>
      <c r="W1" s="210"/>
      <c r="X1" s="210"/>
      <c r="Y1" s="210"/>
      <c r="Z1" s="210"/>
      <c r="AA1" s="210"/>
      <c r="AB1" s="210"/>
      <c r="AC1" s="210"/>
      <c r="AD1" s="211"/>
      <c r="AE1" s="209" t="s">
        <v>3284</v>
      </c>
      <c r="AF1" s="210"/>
      <c r="AG1" s="210"/>
      <c r="AH1" s="210"/>
      <c r="AI1" s="210"/>
      <c r="AJ1" s="210"/>
      <c r="AK1" s="210"/>
      <c r="AL1" s="210"/>
      <c r="AM1" s="210"/>
      <c r="AN1" s="210"/>
      <c r="AO1" s="210"/>
      <c r="AP1" s="210"/>
      <c r="AQ1" s="210"/>
      <c r="AR1" s="211"/>
      <c r="AS1" s="209"/>
      <c r="AT1" s="210"/>
      <c r="AU1" s="210"/>
      <c r="AV1" s="210"/>
      <c r="AW1" s="210"/>
      <c r="AX1" s="211"/>
      <c r="AY1" s="209"/>
      <c r="AZ1" s="210"/>
      <c r="BA1" s="210"/>
      <c r="BB1" s="210"/>
      <c r="BC1" s="210"/>
      <c r="BD1" s="211"/>
      <c r="BE1" s="209"/>
      <c r="BF1" s="210"/>
      <c r="BG1" s="210"/>
      <c r="BH1" s="210"/>
      <c r="BI1" s="210"/>
      <c r="BJ1" s="211"/>
    </row>
    <row r="2" spans="1:64">
      <c r="B2" s="206"/>
      <c r="C2" s="207"/>
      <c r="D2" s="207"/>
      <c r="E2" s="207"/>
      <c r="F2" s="207"/>
      <c r="G2" s="207"/>
      <c r="H2" s="207"/>
      <c r="I2" s="207"/>
      <c r="J2" s="207"/>
      <c r="K2" s="207"/>
      <c r="L2" s="207"/>
      <c r="M2" s="207"/>
      <c r="N2" s="208"/>
      <c r="O2" s="212" t="s">
        <v>3787</v>
      </c>
      <c r="P2" s="213"/>
      <c r="Q2" s="213"/>
      <c r="R2" s="213"/>
      <c r="S2" s="213"/>
      <c r="T2" s="213"/>
      <c r="U2" s="213"/>
      <c r="V2" s="213"/>
      <c r="W2" s="213"/>
      <c r="X2" s="213"/>
      <c r="Y2" s="213"/>
      <c r="Z2" s="213"/>
      <c r="AA2" s="213"/>
      <c r="AB2" s="213"/>
      <c r="AC2" s="213"/>
      <c r="AD2" s="214"/>
      <c r="AE2" s="212" t="s">
        <v>3786</v>
      </c>
      <c r="AF2" s="213"/>
      <c r="AG2" s="213"/>
      <c r="AH2" s="213"/>
      <c r="AI2" s="213"/>
      <c r="AJ2" s="213"/>
      <c r="AK2" s="213"/>
      <c r="AL2" s="213"/>
      <c r="AM2" s="213"/>
      <c r="AN2" s="213"/>
      <c r="AO2" s="213"/>
      <c r="AP2" s="213"/>
      <c r="AQ2" s="213"/>
      <c r="AR2" s="214"/>
      <c r="AS2" s="232"/>
      <c r="AT2" s="233"/>
      <c r="AU2" s="233"/>
      <c r="AV2" s="233"/>
      <c r="AW2" s="233"/>
      <c r="AX2" s="234"/>
      <c r="AY2" s="232"/>
      <c r="AZ2" s="233"/>
      <c r="BA2" s="233"/>
      <c r="BB2" s="233"/>
      <c r="BC2" s="233"/>
      <c r="BD2" s="234"/>
      <c r="BE2" s="232"/>
      <c r="BF2" s="233"/>
      <c r="BG2" s="233"/>
      <c r="BH2" s="233"/>
      <c r="BI2" s="233"/>
      <c r="BJ2" s="234"/>
    </row>
    <row r="3" spans="1:64" ht="19.5" thickBot="1">
      <c r="B3" s="33"/>
      <c r="C3" s="33"/>
      <c r="D3" s="33"/>
      <c r="E3" s="33"/>
      <c r="F3" s="33"/>
      <c r="G3" s="33"/>
      <c r="H3" s="33"/>
      <c r="I3" s="33"/>
      <c r="J3" s="33"/>
      <c r="K3" s="33"/>
      <c r="L3" s="33"/>
      <c r="M3" s="33"/>
      <c r="N3" s="33"/>
      <c r="O3" s="33"/>
      <c r="P3" s="33"/>
      <c r="Q3" s="33"/>
      <c r="R3" s="33"/>
      <c r="S3" s="33"/>
      <c r="T3" s="33"/>
      <c r="U3" s="33"/>
      <c r="V3" s="33"/>
      <c r="W3" s="33"/>
      <c r="X3" s="33"/>
      <c r="Y3" s="33"/>
      <c r="Z3" s="33"/>
      <c r="AA3" s="33"/>
      <c r="AB3" s="3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E3" s="33"/>
      <c r="BF3" s="33"/>
      <c r="BG3" s="33"/>
      <c r="BH3" s="33"/>
      <c r="BI3" s="33"/>
      <c r="BJ3" s="33"/>
    </row>
    <row r="4" spans="1:64" ht="21.75" customHeight="1">
      <c r="B4" s="230" t="s">
        <v>165</v>
      </c>
      <c r="C4" s="222"/>
      <c r="D4" s="222"/>
      <c r="E4" s="222"/>
      <c r="F4" s="223"/>
      <c r="G4" s="221" t="s">
        <v>164</v>
      </c>
      <c r="H4" s="222"/>
      <c r="I4" s="222"/>
      <c r="J4" s="222"/>
      <c r="K4" s="222"/>
      <c r="L4" s="222"/>
      <c r="M4" s="222"/>
      <c r="N4" s="223"/>
      <c r="O4" s="221" t="s">
        <v>160</v>
      </c>
      <c r="P4" s="215" t="s">
        <v>139</v>
      </c>
      <c r="Q4" s="216"/>
      <c r="R4" s="216"/>
      <c r="S4" s="216"/>
      <c r="T4" s="216"/>
      <c r="U4" s="216"/>
      <c r="V4" s="216"/>
      <c r="W4" s="216"/>
      <c r="X4" s="216"/>
      <c r="Y4" s="216"/>
      <c r="Z4" s="216"/>
      <c r="AA4" s="216"/>
      <c r="AB4" s="216"/>
      <c r="AC4" s="216"/>
      <c r="AD4" s="217"/>
      <c r="AE4" s="215" t="s">
        <v>136</v>
      </c>
      <c r="AF4" s="216"/>
      <c r="AG4" s="216"/>
      <c r="AH4" s="216"/>
      <c r="AI4" s="216"/>
      <c r="AJ4" s="216"/>
      <c r="AK4" s="216"/>
      <c r="AL4" s="217"/>
      <c r="AM4" s="221" t="s">
        <v>117</v>
      </c>
      <c r="AN4" s="222"/>
      <c r="AO4" s="222"/>
      <c r="AP4" s="222"/>
      <c r="AQ4" s="222"/>
      <c r="AR4" s="222"/>
      <c r="AS4" s="222"/>
      <c r="AT4" s="222"/>
      <c r="AU4" s="222"/>
      <c r="AV4" s="222"/>
      <c r="AW4" s="222"/>
      <c r="AX4" s="222"/>
      <c r="AY4" s="222"/>
      <c r="AZ4" s="222"/>
      <c r="BA4" s="222"/>
      <c r="BB4" s="222"/>
      <c r="BC4" s="222"/>
      <c r="BD4" s="222"/>
      <c r="BE4" s="222"/>
      <c r="BF4" s="222"/>
      <c r="BG4" s="222"/>
      <c r="BH4" s="222"/>
      <c r="BI4" s="222"/>
      <c r="BJ4" s="235"/>
    </row>
    <row r="5" spans="1:64" ht="42" customHeight="1" thickBot="1">
      <c r="B5" s="231"/>
      <c r="C5" s="225"/>
      <c r="D5" s="225"/>
      <c r="E5" s="225"/>
      <c r="F5" s="226"/>
      <c r="G5" s="224"/>
      <c r="H5" s="225"/>
      <c r="I5" s="225"/>
      <c r="J5" s="225"/>
      <c r="K5" s="225"/>
      <c r="L5" s="225"/>
      <c r="M5" s="225"/>
      <c r="N5" s="226"/>
      <c r="O5" s="227"/>
      <c r="P5" s="227"/>
      <c r="Q5" s="228"/>
      <c r="R5" s="228"/>
      <c r="S5" s="228"/>
      <c r="T5" s="228"/>
      <c r="U5" s="228"/>
      <c r="V5" s="228"/>
      <c r="W5" s="228"/>
      <c r="X5" s="228"/>
      <c r="Y5" s="228"/>
      <c r="Z5" s="228"/>
      <c r="AA5" s="228"/>
      <c r="AB5" s="228"/>
      <c r="AC5" s="228"/>
      <c r="AD5" s="229"/>
      <c r="AE5" s="218"/>
      <c r="AF5" s="219"/>
      <c r="AG5" s="219"/>
      <c r="AH5" s="219"/>
      <c r="AI5" s="219"/>
      <c r="AJ5" s="219"/>
      <c r="AK5" s="219"/>
      <c r="AL5" s="220"/>
      <c r="AM5" s="236"/>
      <c r="AN5" s="237"/>
      <c r="AO5" s="237"/>
      <c r="AP5" s="237"/>
      <c r="AQ5" s="237"/>
      <c r="AR5" s="237"/>
      <c r="AS5" s="237"/>
      <c r="AT5" s="237"/>
      <c r="AU5" s="237"/>
      <c r="AV5" s="237"/>
      <c r="AW5" s="237"/>
      <c r="AX5" s="237"/>
      <c r="AY5" s="237"/>
      <c r="AZ5" s="237"/>
      <c r="BA5" s="237"/>
      <c r="BB5" s="237"/>
      <c r="BC5" s="237"/>
      <c r="BD5" s="237"/>
      <c r="BE5" s="237"/>
      <c r="BF5" s="237"/>
      <c r="BG5" s="237"/>
      <c r="BH5" s="237"/>
      <c r="BI5" s="237"/>
      <c r="BJ5" s="238"/>
    </row>
    <row r="6" spans="1:64" ht="37.5" hidden="1" customHeight="1" outlineLevel="1" thickTop="1">
      <c r="A6" s="34" t="str">
        <f>P6</f>
        <v>バックアップ_処方データ_組入れ第一条件</v>
      </c>
      <c r="B6" s="171" t="str">
        <f>TEXT(1,"00")</f>
        <v>01</v>
      </c>
      <c r="C6" s="172"/>
      <c r="D6" s="172"/>
      <c r="E6" s="172"/>
      <c r="F6" s="173"/>
      <c r="G6" s="174" t="s">
        <v>195</v>
      </c>
      <c r="H6" s="175"/>
      <c r="I6" s="175"/>
      <c r="J6" s="175"/>
      <c r="K6" s="175"/>
      <c r="L6" s="175"/>
      <c r="M6" s="175"/>
      <c r="N6" s="176"/>
      <c r="O6" s="79" t="s">
        <v>3672</v>
      </c>
      <c r="P6" s="164" t="s">
        <v>3675</v>
      </c>
      <c r="Q6" s="165"/>
      <c r="R6" s="165"/>
      <c r="S6" s="165"/>
      <c r="T6" s="165"/>
      <c r="U6" s="165"/>
      <c r="V6" s="165"/>
      <c r="W6" s="165"/>
      <c r="X6" s="165"/>
      <c r="Y6" s="165"/>
      <c r="Z6" s="165"/>
      <c r="AA6" s="165"/>
      <c r="AB6" s="165"/>
      <c r="AC6" s="165"/>
      <c r="AD6" s="166"/>
      <c r="AE6" s="167" t="str">
        <f t="shared" ref="AE6" ca="1" si="0">IFERROR(INDIRECT(P6&amp;"!D8"),"")</f>
        <v>azn_202310_backup_shohou_first_criteria</v>
      </c>
      <c r="AF6" s="168"/>
      <c r="AG6" s="168"/>
      <c r="AH6" s="168"/>
      <c r="AI6" s="168"/>
      <c r="AJ6" s="168"/>
      <c r="AK6" s="168"/>
      <c r="AL6" s="169"/>
      <c r="AM6" s="167" t="str">
        <f t="shared" ref="AM6" ca="1" si="1">IFERROR(INDIRECT(P6&amp;"!D9"),"")</f>
        <v>処方データ_組入れ第一条件テーブルから組入れ条件の第一条件で絞り込んだ結果を格納するテーブル</v>
      </c>
      <c r="AN6" s="168"/>
      <c r="AO6" s="168"/>
      <c r="AP6" s="168"/>
      <c r="AQ6" s="168"/>
      <c r="AR6" s="168"/>
      <c r="AS6" s="168"/>
      <c r="AT6" s="168"/>
      <c r="AU6" s="168"/>
      <c r="AV6" s="168"/>
      <c r="AW6" s="168"/>
      <c r="AX6" s="168"/>
      <c r="AY6" s="168"/>
      <c r="AZ6" s="168"/>
      <c r="BA6" s="168"/>
      <c r="BB6" s="168"/>
      <c r="BC6" s="168"/>
      <c r="BD6" s="168"/>
      <c r="BE6" s="168"/>
      <c r="BF6" s="168"/>
      <c r="BG6" s="168"/>
      <c r="BH6" s="168"/>
      <c r="BI6" s="168"/>
      <c r="BJ6" s="170"/>
      <c r="BK6" s="32" t="str">
        <f t="shared" ref="BK6:BK7" si="2">IF(P6&lt;&gt;"",O6&amp;"_"&amp;P6&amp;".sql","")</f>
        <v>ENT_01_01_バックアップ_処方データ_組入れ第一条件.sql</v>
      </c>
    </row>
    <row r="7" spans="1:64" ht="37.5" hidden="1" customHeight="1" outlineLevel="1">
      <c r="A7" s="34" t="str">
        <f t="shared" ref="A7" si="3">P7</f>
        <v>バックアップ_患者マスタ_組入れ第一条件</v>
      </c>
      <c r="B7" s="171" t="str">
        <f t="shared" ref="B7" si="4">TEXT(1,"00")</f>
        <v>01</v>
      </c>
      <c r="C7" s="172"/>
      <c r="D7" s="172"/>
      <c r="E7" s="172"/>
      <c r="F7" s="173"/>
      <c r="G7" s="174" t="s">
        <v>195</v>
      </c>
      <c r="H7" s="175"/>
      <c r="I7" s="175"/>
      <c r="J7" s="175"/>
      <c r="K7" s="175"/>
      <c r="L7" s="175"/>
      <c r="M7" s="175"/>
      <c r="N7" s="176"/>
      <c r="O7" s="79" t="s">
        <v>3673</v>
      </c>
      <c r="P7" s="164" t="s">
        <v>3676</v>
      </c>
      <c r="Q7" s="165"/>
      <c r="R7" s="165"/>
      <c r="S7" s="165"/>
      <c r="T7" s="165"/>
      <c r="U7" s="165"/>
      <c r="V7" s="165"/>
      <c r="W7" s="165"/>
      <c r="X7" s="165"/>
      <c r="Y7" s="165"/>
      <c r="Z7" s="165"/>
      <c r="AA7" s="165"/>
      <c r="AB7" s="165"/>
      <c r="AC7" s="165"/>
      <c r="AD7" s="166"/>
      <c r="AE7" s="167" t="str">
        <f t="shared" ref="AE7" ca="1" si="5">IFERROR(INDIRECT(P7&amp;"!D8"),"")</f>
        <v>azn_202310_backup_kanja_first_criteria</v>
      </c>
      <c r="AF7" s="168"/>
      <c r="AG7" s="168"/>
      <c r="AH7" s="168"/>
      <c r="AI7" s="168"/>
      <c r="AJ7" s="168"/>
      <c r="AK7" s="168"/>
      <c r="AL7" s="169"/>
      <c r="AM7" s="167" t="str">
        <f t="shared" ref="AM7" ca="1" si="6">IFERROR(INDIRECT(P7&amp;"!D9"),"")</f>
        <v>患者マスタ_組入れ第一条件テーブルから組入れ条件の第一条件で絞り込んだ結果を格納するテーブル</v>
      </c>
      <c r="AN7" s="168"/>
      <c r="AO7" s="168"/>
      <c r="AP7" s="168"/>
      <c r="AQ7" s="168"/>
      <c r="AR7" s="168"/>
      <c r="AS7" s="168"/>
      <c r="AT7" s="168"/>
      <c r="AU7" s="168"/>
      <c r="AV7" s="168"/>
      <c r="AW7" s="168"/>
      <c r="AX7" s="168"/>
      <c r="AY7" s="168"/>
      <c r="AZ7" s="168"/>
      <c r="BA7" s="168"/>
      <c r="BB7" s="168"/>
      <c r="BC7" s="168"/>
      <c r="BD7" s="168"/>
      <c r="BE7" s="168"/>
      <c r="BF7" s="168"/>
      <c r="BG7" s="168"/>
      <c r="BH7" s="168"/>
      <c r="BI7" s="168"/>
      <c r="BJ7" s="170"/>
      <c r="BK7" s="32" t="str">
        <f t="shared" si="2"/>
        <v>ENT_01_02_バックアップ_患者マスタ_組入れ第一条件.sql</v>
      </c>
    </row>
    <row r="8" spans="1:64" ht="37.5" hidden="1" customHeight="1" outlineLevel="1">
      <c r="A8" s="34" t="str">
        <f t="shared" ref="A8:A19" si="7">P8</f>
        <v>バックアップ_処方データ</v>
      </c>
      <c r="B8" s="171" t="str">
        <f t="shared" ref="B8:B152" si="8">TEXT(1,"00")</f>
        <v>01</v>
      </c>
      <c r="C8" s="172"/>
      <c r="D8" s="172"/>
      <c r="E8" s="172"/>
      <c r="F8" s="173"/>
      <c r="G8" s="174" t="s">
        <v>195</v>
      </c>
      <c r="H8" s="175"/>
      <c r="I8" s="175"/>
      <c r="J8" s="175"/>
      <c r="K8" s="175"/>
      <c r="L8" s="175"/>
      <c r="M8" s="175"/>
      <c r="N8" s="176"/>
      <c r="O8" s="79" t="s">
        <v>3130</v>
      </c>
      <c r="P8" s="164" t="s">
        <v>1733</v>
      </c>
      <c r="Q8" s="165"/>
      <c r="R8" s="165"/>
      <c r="S8" s="165"/>
      <c r="T8" s="165"/>
      <c r="U8" s="165"/>
      <c r="V8" s="165"/>
      <c r="W8" s="165"/>
      <c r="X8" s="165"/>
      <c r="Y8" s="165"/>
      <c r="Z8" s="165"/>
      <c r="AA8" s="165"/>
      <c r="AB8" s="165"/>
      <c r="AC8" s="165"/>
      <c r="AD8" s="166"/>
      <c r="AE8" s="167" t="str">
        <f t="shared" ref="AE8:AE19" ca="1" si="9">IFERROR(INDIRECT(P8&amp;"!D8"),"")</f>
        <v>azn_202310_backup_mart_shohou</v>
      </c>
      <c r="AF8" s="168"/>
      <c r="AG8" s="168"/>
      <c r="AH8" s="168"/>
      <c r="AI8" s="168"/>
      <c r="AJ8" s="168"/>
      <c r="AK8" s="168"/>
      <c r="AL8" s="169"/>
      <c r="AM8" s="167" t="str">
        <f t="shared" ref="AM8:AM19" ca="1" si="10">IFERROR(INDIRECT(P8&amp;"!D9"),"")</f>
        <v>処方データテーブルから組入れ条件の第一条件で絞り込んだ結果を格納するテーブル</v>
      </c>
      <c r="AN8" s="168"/>
      <c r="AO8" s="168"/>
      <c r="AP8" s="168"/>
      <c r="AQ8" s="168"/>
      <c r="AR8" s="168"/>
      <c r="AS8" s="168"/>
      <c r="AT8" s="168"/>
      <c r="AU8" s="168"/>
      <c r="AV8" s="168"/>
      <c r="AW8" s="168"/>
      <c r="AX8" s="168"/>
      <c r="AY8" s="168"/>
      <c r="AZ8" s="168"/>
      <c r="BA8" s="168"/>
      <c r="BB8" s="168"/>
      <c r="BC8" s="168"/>
      <c r="BD8" s="168"/>
      <c r="BE8" s="168"/>
      <c r="BF8" s="168"/>
      <c r="BG8" s="168"/>
      <c r="BH8" s="168"/>
      <c r="BI8" s="168"/>
      <c r="BJ8" s="170"/>
      <c r="BK8" s="32" t="str">
        <f t="shared" ref="BK8:BK19" si="11">IF(P8&lt;&gt;"",O8&amp;"_"&amp;P8&amp;".sql","")</f>
        <v>ENT_01_A1-02_バックアップ_処方データ.sql</v>
      </c>
      <c r="BL8" s="32">
        <v>1</v>
      </c>
    </row>
    <row r="9" spans="1:64" ht="37.5" hidden="1" customHeight="1" outlineLevel="1">
      <c r="A9" s="34" t="str">
        <f t="shared" si="7"/>
        <v>バックアップ_診療行為データ</v>
      </c>
      <c r="B9" s="171" t="str">
        <f t="shared" si="8"/>
        <v>01</v>
      </c>
      <c r="C9" s="172"/>
      <c r="D9" s="172"/>
      <c r="E9" s="172"/>
      <c r="F9" s="173"/>
      <c r="G9" s="174" t="s">
        <v>195</v>
      </c>
      <c r="H9" s="175"/>
      <c r="I9" s="175"/>
      <c r="J9" s="175"/>
      <c r="K9" s="175"/>
      <c r="L9" s="175"/>
      <c r="M9" s="175"/>
      <c r="N9" s="176"/>
      <c r="O9" s="79" t="s">
        <v>3131</v>
      </c>
      <c r="P9" s="164" t="s">
        <v>1760</v>
      </c>
      <c r="Q9" s="165"/>
      <c r="R9" s="165"/>
      <c r="S9" s="165"/>
      <c r="T9" s="165"/>
      <c r="U9" s="165"/>
      <c r="V9" s="165"/>
      <c r="W9" s="165"/>
      <c r="X9" s="165"/>
      <c r="Y9" s="165"/>
      <c r="Z9" s="165"/>
      <c r="AA9" s="165"/>
      <c r="AB9" s="165"/>
      <c r="AC9" s="165"/>
      <c r="AD9" s="166"/>
      <c r="AE9" s="167" t="str">
        <f t="shared" ca="1" si="9"/>
        <v>azn_202310_backup_mart_shinryou_koui</v>
      </c>
      <c r="AF9" s="168"/>
      <c r="AG9" s="168"/>
      <c r="AH9" s="168"/>
      <c r="AI9" s="168"/>
      <c r="AJ9" s="168"/>
      <c r="AK9" s="168"/>
      <c r="AL9" s="169"/>
      <c r="AM9" s="167" t="str">
        <f t="shared" ca="1" si="10"/>
        <v>診療行為データテーブルから組入れ条件の第一条件で絞り込んだ結果を格納するテーブル</v>
      </c>
      <c r="AN9" s="168"/>
      <c r="AO9" s="168"/>
      <c r="AP9" s="168"/>
      <c r="AQ9" s="168"/>
      <c r="AR9" s="168"/>
      <c r="AS9" s="168"/>
      <c r="AT9" s="168"/>
      <c r="AU9" s="168"/>
      <c r="AV9" s="168"/>
      <c r="AW9" s="168"/>
      <c r="AX9" s="168"/>
      <c r="AY9" s="168"/>
      <c r="AZ9" s="168"/>
      <c r="BA9" s="168"/>
      <c r="BB9" s="168"/>
      <c r="BC9" s="168"/>
      <c r="BD9" s="168"/>
      <c r="BE9" s="168"/>
      <c r="BF9" s="168"/>
      <c r="BG9" s="168"/>
      <c r="BH9" s="168"/>
      <c r="BI9" s="168"/>
      <c r="BJ9" s="170"/>
      <c r="BK9" s="32" t="str">
        <f t="shared" si="11"/>
        <v>ENT_01_A1-03_バックアップ_診療行為データ.sql</v>
      </c>
      <c r="BL9" s="32">
        <v>1</v>
      </c>
    </row>
    <row r="10" spans="1:64" ht="37.5" hidden="1" customHeight="1" outlineLevel="1">
      <c r="A10" s="34" t="str">
        <f t="shared" si="7"/>
        <v>バックアップ_疾患データ</v>
      </c>
      <c r="B10" s="171" t="str">
        <f t="shared" si="8"/>
        <v>01</v>
      </c>
      <c r="C10" s="172"/>
      <c r="D10" s="172"/>
      <c r="E10" s="172"/>
      <c r="F10" s="173"/>
      <c r="G10" s="174" t="s">
        <v>195</v>
      </c>
      <c r="H10" s="175"/>
      <c r="I10" s="175"/>
      <c r="J10" s="175"/>
      <c r="K10" s="175"/>
      <c r="L10" s="175"/>
      <c r="M10" s="175"/>
      <c r="N10" s="176"/>
      <c r="O10" s="79" t="s">
        <v>3132</v>
      </c>
      <c r="P10" s="164" t="s">
        <v>1769</v>
      </c>
      <c r="Q10" s="165"/>
      <c r="R10" s="165"/>
      <c r="S10" s="165"/>
      <c r="T10" s="165"/>
      <c r="U10" s="165"/>
      <c r="V10" s="165"/>
      <c r="W10" s="165"/>
      <c r="X10" s="165"/>
      <c r="Y10" s="165"/>
      <c r="Z10" s="165"/>
      <c r="AA10" s="165"/>
      <c r="AB10" s="165"/>
      <c r="AC10" s="165"/>
      <c r="AD10" s="166"/>
      <c r="AE10" s="167" t="str">
        <f t="shared" ca="1" si="9"/>
        <v>azn_202310_backup_mart_shikkan</v>
      </c>
      <c r="AF10" s="168"/>
      <c r="AG10" s="168"/>
      <c r="AH10" s="168"/>
      <c r="AI10" s="168"/>
      <c r="AJ10" s="168"/>
      <c r="AK10" s="168"/>
      <c r="AL10" s="169"/>
      <c r="AM10" s="167" t="str">
        <f t="shared" ca="1" si="10"/>
        <v>疾患データテーブルから組入れ条件の第一条件で絞り込んだ結果を格納するテーブル</v>
      </c>
      <c r="AN10" s="168"/>
      <c r="AO10" s="168"/>
      <c r="AP10" s="168"/>
      <c r="AQ10" s="168"/>
      <c r="AR10" s="168"/>
      <c r="AS10" s="168"/>
      <c r="AT10" s="168"/>
      <c r="AU10" s="168"/>
      <c r="AV10" s="168"/>
      <c r="AW10" s="168"/>
      <c r="AX10" s="168"/>
      <c r="AY10" s="168"/>
      <c r="AZ10" s="168"/>
      <c r="BA10" s="168"/>
      <c r="BB10" s="168"/>
      <c r="BC10" s="168"/>
      <c r="BD10" s="168"/>
      <c r="BE10" s="168"/>
      <c r="BF10" s="168"/>
      <c r="BG10" s="168"/>
      <c r="BH10" s="168"/>
      <c r="BI10" s="168"/>
      <c r="BJ10" s="170"/>
      <c r="BK10" s="32" t="str">
        <f t="shared" si="11"/>
        <v>ENT_01_A1-04_バックアップ_疾患データ.sql</v>
      </c>
    </row>
    <row r="11" spans="1:64" ht="37.5" hidden="1" customHeight="1" outlineLevel="1">
      <c r="A11" s="34" t="str">
        <f t="shared" si="7"/>
        <v>バックアップ_疾患診療科データ</v>
      </c>
      <c r="B11" s="171" t="str">
        <f t="shared" si="8"/>
        <v>01</v>
      </c>
      <c r="C11" s="172"/>
      <c r="D11" s="172"/>
      <c r="E11" s="172"/>
      <c r="F11" s="173"/>
      <c r="G11" s="174" t="s">
        <v>195</v>
      </c>
      <c r="H11" s="175"/>
      <c r="I11" s="175"/>
      <c r="J11" s="175"/>
      <c r="K11" s="175"/>
      <c r="L11" s="175"/>
      <c r="M11" s="175"/>
      <c r="N11" s="176"/>
      <c r="O11" s="79" t="s">
        <v>3133</v>
      </c>
      <c r="P11" s="164" t="s">
        <v>1796</v>
      </c>
      <c r="Q11" s="165"/>
      <c r="R11" s="165"/>
      <c r="S11" s="165"/>
      <c r="T11" s="165"/>
      <c r="U11" s="165"/>
      <c r="V11" s="165"/>
      <c r="W11" s="165"/>
      <c r="X11" s="165"/>
      <c r="Y11" s="165"/>
      <c r="Z11" s="165"/>
      <c r="AA11" s="165"/>
      <c r="AB11" s="165"/>
      <c r="AC11" s="165"/>
      <c r="AD11" s="166"/>
      <c r="AE11" s="167" t="str">
        <f t="shared" ca="1" si="9"/>
        <v>azn_202310_backup_mart_shikkan_department</v>
      </c>
      <c r="AF11" s="168"/>
      <c r="AG11" s="168"/>
      <c r="AH11" s="168"/>
      <c r="AI11" s="168"/>
      <c r="AJ11" s="168"/>
      <c r="AK11" s="168"/>
      <c r="AL11" s="169"/>
      <c r="AM11" s="167" t="str">
        <f t="shared" ca="1" si="10"/>
        <v>疾患診療科データテーブルから組入れ条件の第一条件で絞り込んだ結果を格納するテーブル</v>
      </c>
      <c r="AN11" s="168"/>
      <c r="AO11" s="168"/>
      <c r="AP11" s="168"/>
      <c r="AQ11" s="168"/>
      <c r="AR11" s="168"/>
      <c r="AS11" s="168"/>
      <c r="AT11" s="168"/>
      <c r="AU11" s="168"/>
      <c r="AV11" s="168"/>
      <c r="AW11" s="168"/>
      <c r="AX11" s="168"/>
      <c r="AY11" s="168"/>
      <c r="AZ11" s="168"/>
      <c r="BA11" s="168"/>
      <c r="BB11" s="168"/>
      <c r="BC11" s="168"/>
      <c r="BD11" s="168"/>
      <c r="BE11" s="168"/>
      <c r="BF11" s="168"/>
      <c r="BG11" s="168"/>
      <c r="BH11" s="168"/>
      <c r="BI11" s="168"/>
      <c r="BJ11" s="170"/>
      <c r="BK11" s="32" t="str">
        <f t="shared" si="11"/>
        <v>ENT_01_A1-05_バックアップ_疾患診療科データ.sql</v>
      </c>
    </row>
    <row r="12" spans="1:64" ht="37.5" hidden="1" customHeight="1" outlineLevel="1">
      <c r="A12" s="34" t="str">
        <f t="shared" si="7"/>
        <v>バックアップ_入院退院データ</v>
      </c>
      <c r="B12" s="171" t="str">
        <f t="shared" si="8"/>
        <v>01</v>
      </c>
      <c r="C12" s="172"/>
      <c r="D12" s="172"/>
      <c r="E12" s="172"/>
      <c r="F12" s="173"/>
      <c r="G12" s="174" t="s">
        <v>195</v>
      </c>
      <c r="H12" s="175"/>
      <c r="I12" s="175"/>
      <c r="J12" s="175"/>
      <c r="K12" s="175"/>
      <c r="L12" s="175"/>
      <c r="M12" s="175"/>
      <c r="N12" s="176"/>
      <c r="O12" s="79" t="s">
        <v>3134</v>
      </c>
      <c r="P12" s="164" t="s">
        <v>1804</v>
      </c>
      <c r="Q12" s="165"/>
      <c r="R12" s="165"/>
      <c r="S12" s="165"/>
      <c r="T12" s="165"/>
      <c r="U12" s="165"/>
      <c r="V12" s="165"/>
      <c r="W12" s="165"/>
      <c r="X12" s="165"/>
      <c r="Y12" s="165"/>
      <c r="Z12" s="165"/>
      <c r="AA12" s="165"/>
      <c r="AB12" s="165"/>
      <c r="AC12" s="165"/>
      <c r="AD12" s="166"/>
      <c r="AE12" s="167" t="str">
        <f t="shared" ca="1" si="9"/>
        <v>azn_202310_backup_mart_nyu_tai_in</v>
      </c>
      <c r="AF12" s="168"/>
      <c r="AG12" s="168"/>
      <c r="AH12" s="168"/>
      <c r="AI12" s="168"/>
      <c r="AJ12" s="168"/>
      <c r="AK12" s="168"/>
      <c r="AL12" s="169"/>
      <c r="AM12" s="167" t="str">
        <f t="shared" ca="1" si="10"/>
        <v>入院退院データテーブルから組入れ条件の第一条件で絞り込んだ結果を格納するテーブル</v>
      </c>
      <c r="AN12" s="168"/>
      <c r="AO12" s="168"/>
      <c r="AP12" s="168"/>
      <c r="AQ12" s="168"/>
      <c r="AR12" s="168"/>
      <c r="AS12" s="168"/>
      <c r="AT12" s="168"/>
      <c r="AU12" s="168"/>
      <c r="AV12" s="168"/>
      <c r="AW12" s="168"/>
      <c r="AX12" s="168"/>
      <c r="AY12" s="168"/>
      <c r="AZ12" s="168"/>
      <c r="BA12" s="168"/>
      <c r="BB12" s="168"/>
      <c r="BC12" s="168"/>
      <c r="BD12" s="168"/>
      <c r="BE12" s="168"/>
      <c r="BF12" s="168"/>
      <c r="BG12" s="168"/>
      <c r="BH12" s="168"/>
      <c r="BI12" s="168"/>
      <c r="BJ12" s="170"/>
      <c r="BK12" s="32" t="str">
        <f t="shared" si="11"/>
        <v>ENT_01_A1-06_バックアップ_入院退院データ.sql</v>
      </c>
      <c r="BL12" s="32">
        <v>1</v>
      </c>
    </row>
    <row r="13" spans="1:64" ht="37.5" hidden="1" customHeight="1" outlineLevel="1">
      <c r="A13" s="34" t="str">
        <f t="shared" si="7"/>
        <v>バックアップ_二次利用DB登録患者データ</v>
      </c>
      <c r="B13" s="171" t="str">
        <f t="shared" si="8"/>
        <v>01</v>
      </c>
      <c r="C13" s="172"/>
      <c r="D13" s="172"/>
      <c r="E13" s="172"/>
      <c r="F13" s="173"/>
      <c r="G13" s="174" t="s">
        <v>195</v>
      </c>
      <c r="H13" s="175"/>
      <c r="I13" s="175"/>
      <c r="J13" s="175"/>
      <c r="K13" s="175"/>
      <c r="L13" s="175"/>
      <c r="M13" s="175"/>
      <c r="N13" s="176"/>
      <c r="O13" s="79" t="s">
        <v>3135</v>
      </c>
      <c r="P13" s="164" t="s">
        <v>1817</v>
      </c>
      <c r="Q13" s="165"/>
      <c r="R13" s="165"/>
      <c r="S13" s="165"/>
      <c r="T13" s="165"/>
      <c r="U13" s="165"/>
      <c r="V13" s="165"/>
      <c r="W13" s="165"/>
      <c r="X13" s="165"/>
      <c r="Y13" s="165"/>
      <c r="Z13" s="165"/>
      <c r="AA13" s="165"/>
      <c r="AB13" s="165"/>
      <c r="AC13" s="165"/>
      <c r="AD13" s="166"/>
      <c r="AE13" s="167" t="str">
        <f t="shared" ca="1" si="9"/>
        <v>azn_202310_backup_mart_2riyo_patient_id</v>
      </c>
      <c r="AF13" s="168"/>
      <c r="AG13" s="168"/>
      <c r="AH13" s="168"/>
      <c r="AI13" s="168"/>
      <c r="AJ13" s="168"/>
      <c r="AK13" s="168"/>
      <c r="AL13" s="169"/>
      <c r="AM13" s="167" t="str">
        <f t="shared" ca="1" si="10"/>
        <v>二次利用DB登録患者データテーブルから組入れ条件の第一条件で絞り込んだ結果を格納するテーブル</v>
      </c>
      <c r="AN13" s="168"/>
      <c r="AO13" s="168"/>
      <c r="AP13" s="168"/>
      <c r="AQ13" s="168"/>
      <c r="AR13" s="168"/>
      <c r="AS13" s="168"/>
      <c r="AT13" s="168"/>
      <c r="AU13" s="168"/>
      <c r="AV13" s="168"/>
      <c r="AW13" s="168"/>
      <c r="AX13" s="168"/>
      <c r="AY13" s="168"/>
      <c r="AZ13" s="168"/>
      <c r="BA13" s="168"/>
      <c r="BB13" s="168"/>
      <c r="BC13" s="168"/>
      <c r="BD13" s="168"/>
      <c r="BE13" s="168"/>
      <c r="BF13" s="168"/>
      <c r="BG13" s="168"/>
      <c r="BH13" s="168"/>
      <c r="BI13" s="168"/>
      <c r="BJ13" s="170"/>
      <c r="BK13" s="32" t="str">
        <f t="shared" si="11"/>
        <v>ENT_01_A1-07_バックアップ_二次利用DB登録患者データ.sql</v>
      </c>
    </row>
    <row r="14" spans="1:64" ht="37.5" hidden="1" customHeight="1" outlineLevel="1">
      <c r="A14" s="34" t="str">
        <f t="shared" si="7"/>
        <v>バックアップ_二次利用DB登録患者データ_DPC</v>
      </c>
      <c r="B14" s="171" t="str">
        <f t="shared" si="8"/>
        <v>01</v>
      </c>
      <c r="C14" s="172"/>
      <c r="D14" s="172"/>
      <c r="E14" s="172"/>
      <c r="F14" s="173"/>
      <c r="G14" s="174" t="s">
        <v>195</v>
      </c>
      <c r="H14" s="175"/>
      <c r="I14" s="175"/>
      <c r="J14" s="175"/>
      <c r="K14" s="175"/>
      <c r="L14" s="175"/>
      <c r="M14" s="175"/>
      <c r="N14" s="176"/>
      <c r="O14" s="79" t="s">
        <v>3136</v>
      </c>
      <c r="P14" s="164" t="s">
        <v>1823</v>
      </c>
      <c r="Q14" s="165"/>
      <c r="R14" s="165"/>
      <c r="S14" s="165"/>
      <c r="T14" s="165"/>
      <c r="U14" s="165"/>
      <c r="V14" s="165"/>
      <c r="W14" s="165"/>
      <c r="X14" s="165"/>
      <c r="Y14" s="165"/>
      <c r="Z14" s="165"/>
      <c r="AA14" s="165"/>
      <c r="AB14" s="165"/>
      <c r="AC14" s="165"/>
      <c r="AD14" s="166"/>
      <c r="AE14" s="167" t="str">
        <f t="shared" ca="1" si="9"/>
        <v>azn_202310_backup_mart_2riyo_patient_id_dpc</v>
      </c>
      <c r="AF14" s="168"/>
      <c r="AG14" s="168"/>
      <c r="AH14" s="168"/>
      <c r="AI14" s="168"/>
      <c r="AJ14" s="168"/>
      <c r="AK14" s="168"/>
      <c r="AL14" s="169"/>
      <c r="AM14" s="167" t="str">
        <f t="shared" ca="1" si="10"/>
        <v>二次利用DB登録患者データ_DPCテーブルから組入れ条件の第一条件で絞り込んだ結果を格納するテーブル</v>
      </c>
      <c r="AN14" s="168"/>
      <c r="AO14" s="168"/>
      <c r="AP14" s="168"/>
      <c r="AQ14" s="168"/>
      <c r="AR14" s="168"/>
      <c r="AS14" s="168"/>
      <c r="AT14" s="168"/>
      <c r="AU14" s="168"/>
      <c r="AV14" s="168"/>
      <c r="AW14" s="168"/>
      <c r="AX14" s="168"/>
      <c r="AY14" s="168"/>
      <c r="AZ14" s="168"/>
      <c r="BA14" s="168"/>
      <c r="BB14" s="168"/>
      <c r="BC14" s="168"/>
      <c r="BD14" s="168"/>
      <c r="BE14" s="168"/>
      <c r="BF14" s="168"/>
      <c r="BG14" s="168"/>
      <c r="BH14" s="168"/>
      <c r="BI14" s="168"/>
      <c r="BJ14" s="170"/>
      <c r="BK14" s="32" t="str">
        <f t="shared" si="11"/>
        <v>ENT_01_A1-08_バックアップ_二次利用DB登録患者データ_DPC.sql</v>
      </c>
    </row>
    <row r="15" spans="1:64" ht="37.5" hidden="1" customHeight="1" outlineLevel="1">
      <c r="A15" s="34" t="str">
        <f t="shared" si="7"/>
        <v>バックアップ_二次利用DB登録患者データ_レセプト</v>
      </c>
      <c r="B15" s="171" t="str">
        <f t="shared" si="8"/>
        <v>01</v>
      </c>
      <c r="C15" s="172"/>
      <c r="D15" s="172"/>
      <c r="E15" s="172"/>
      <c r="F15" s="173"/>
      <c r="G15" s="174" t="s">
        <v>195</v>
      </c>
      <c r="H15" s="175"/>
      <c r="I15" s="175"/>
      <c r="J15" s="175"/>
      <c r="K15" s="175"/>
      <c r="L15" s="175"/>
      <c r="M15" s="175"/>
      <c r="N15" s="176"/>
      <c r="O15" s="79" t="s">
        <v>3137</v>
      </c>
      <c r="P15" s="164" t="s">
        <v>1833</v>
      </c>
      <c r="Q15" s="165"/>
      <c r="R15" s="165"/>
      <c r="S15" s="165"/>
      <c r="T15" s="165"/>
      <c r="U15" s="165"/>
      <c r="V15" s="165"/>
      <c r="W15" s="165"/>
      <c r="X15" s="165"/>
      <c r="Y15" s="165"/>
      <c r="Z15" s="165"/>
      <c r="AA15" s="165"/>
      <c r="AB15" s="165"/>
      <c r="AC15" s="165"/>
      <c r="AD15" s="166"/>
      <c r="AE15" s="167" t="str">
        <f t="shared" ca="1" si="9"/>
        <v>azn_202310_backup_mart_2riyo_patient_id_rcp</v>
      </c>
      <c r="AF15" s="168"/>
      <c r="AG15" s="168"/>
      <c r="AH15" s="168"/>
      <c r="AI15" s="168"/>
      <c r="AJ15" s="168"/>
      <c r="AK15" s="168"/>
      <c r="AL15" s="169"/>
      <c r="AM15" s="167" t="str">
        <f t="shared" ca="1" si="10"/>
        <v>二次利用DB登録患者データ_レセプトテーブルから組入れ条件の第一条件で絞り込んだ結果を格納するテーブル</v>
      </c>
      <c r="AN15" s="168"/>
      <c r="AO15" s="168"/>
      <c r="AP15" s="168"/>
      <c r="AQ15" s="168"/>
      <c r="AR15" s="168"/>
      <c r="AS15" s="168"/>
      <c r="AT15" s="168"/>
      <c r="AU15" s="168"/>
      <c r="AV15" s="168"/>
      <c r="AW15" s="168"/>
      <c r="AX15" s="168"/>
      <c r="AY15" s="168"/>
      <c r="AZ15" s="168"/>
      <c r="BA15" s="168"/>
      <c r="BB15" s="168"/>
      <c r="BC15" s="168"/>
      <c r="BD15" s="168"/>
      <c r="BE15" s="168"/>
      <c r="BF15" s="168"/>
      <c r="BG15" s="168"/>
      <c r="BH15" s="168"/>
      <c r="BI15" s="168"/>
      <c r="BJ15" s="170"/>
      <c r="BK15" s="32" t="str">
        <f t="shared" si="11"/>
        <v>ENT_01_A1-09_バックアップ_二次利用DB登録患者データ_レセプト.sql</v>
      </c>
    </row>
    <row r="16" spans="1:64" ht="37.5" hidden="1" customHeight="1" outlineLevel="1">
      <c r="A16" s="34" t="str">
        <f t="shared" si="7"/>
        <v>バックアップ_二次利用DB登録患者データ_MML</v>
      </c>
      <c r="B16" s="171" t="str">
        <f t="shared" si="8"/>
        <v>01</v>
      </c>
      <c r="C16" s="172"/>
      <c r="D16" s="172"/>
      <c r="E16" s="172"/>
      <c r="F16" s="173"/>
      <c r="G16" s="174" t="s">
        <v>195</v>
      </c>
      <c r="H16" s="175"/>
      <c r="I16" s="175"/>
      <c r="J16" s="175"/>
      <c r="K16" s="175"/>
      <c r="L16" s="175"/>
      <c r="M16" s="175"/>
      <c r="N16" s="176"/>
      <c r="O16" s="79" t="s">
        <v>3138</v>
      </c>
      <c r="P16" s="164" t="s">
        <v>1836</v>
      </c>
      <c r="Q16" s="165"/>
      <c r="R16" s="165"/>
      <c r="S16" s="165"/>
      <c r="T16" s="165"/>
      <c r="U16" s="165"/>
      <c r="V16" s="165"/>
      <c r="W16" s="165"/>
      <c r="X16" s="165"/>
      <c r="Y16" s="165"/>
      <c r="Z16" s="165"/>
      <c r="AA16" s="165"/>
      <c r="AB16" s="165"/>
      <c r="AC16" s="165"/>
      <c r="AD16" s="166"/>
      <c r="AE16" s="167" t="str">
        <f t="shared" ca="1" si="9"/>
        <v>azn_202310_backup_mart_2riyo_patient_id_mml</v>
      </c>
      <c r="AF16" s="168"/>
      <c r="AG16" s="168"/>
      <c r="AH16" s="168"/>
      <c r="AI16" s="168"/>
      <c r="AJ16" s="168"/>
      <c r="AK16" s="168"/>
      <c r="AL16" s="169"/>
      <c r="AM16" s="167" t="str">
        <f t="shared" ca="1" si="10"/>
        <v>二次利用DB登録患者データ_MMLテーブルから組入れ条件の第一条件で絞り込んだ結果を格納するテーブル</v>
      </c>
      <c r="AN16" s="168"/>
      <c r="AO16" s="168"/>
      <c r="AP16" s="168"/>
      <c r="AQ16" s="168"/>
      <c r="AR16" s="168"/>
      <c r="AS16" s="168"/>
      <c r="AT16" s="168"/>
      <c r="AU16" s="168"/>
      <c r="AV16" s="168"/>
      <c r="AW16" s="168"/>
      <c r="AX16" s="168"/>
      <c r="AY16" s="168"/>
      <c r="AZ16" s="168"/>
      <c r="BA16" s="168"/>
      <c r="BB16" s="168"/>
      <c r="BC16" s="168"/>
      <c r="BD16" s="168"/>
      <c r="BE16" s="168"/>
      <c r="BF16" s="168"/>
      <c r="BG16" s="168"/>
      <c r="BH16" s="168"/>
      <c r="BI16" s="168"/>
      <c r="BJ16" s="170"/>
      <c r="BK16" s="32" t="str">
        <f t="shared" si="11"/>
        <v>ENT_01_A1-10_バックアップ_二次利用DB登録患者データ_MML.sql</v>
      </c>
    </row>
    <row r="17" spans="1:64" ht="37.5" hidden="1" customHeight="1" outlineLevel="1">
      <c r="A17" s="34" t="str">
        <f t="shared" si="7"/>
        <v>バックアップ_二次利用DB登録患者紐付けデータ</v>
      </c>
      <c r="B17" s="171" t="str">
        <f t="shared" si="8"/>
        <v>01</v>
      </c>
      <c r="C17" s="172"/>
      <c r="D17" s="172"/>
      <c r="E17" s="172"/>
      <c r="F17" s="173"/>
      <c r="G17" s="174" t="s">
        <v>195</v>
      </c>
      <c r="H17" s="175"/>
      <c r="I17" s="175"/>
      <c r="J17" s="175"/>
      <c r="K17" s="175"/>
      <c r="L17" s="175"/>
      <c r="M17" s="175"/>
      <c r="N17" s="176"/>
      <c r="O17" s="79" t="s">
        <v>3139</v>
      </c>
      <c r="P17" s="164" t="s">
        <v>1840</v>
      </c>
      <c r="Q17" s="165"/>
      <c r="R17" s="165"/>
      <c r="S17" s="165"/>
      <c r="T17" s="165"/>
      <c r="U17" s="165"/>
      <c r="V17" s="165"/>
      <c r="W17" s="165"/>
      <c r="X17" s="165"/>
      <c r="Y17" s="165"/>
      <c r="Z17" s="165"/>
      <c r="AA17" s="165"/>
      <c r="AB17" s="165"/>
      <c r="AC17" s="165"/>
      <c r="AD17" s="166"/>
      <c r="AE17" s="167" t="str">
        <f t="shared" ca="1" si="9"/>
        <v>azn_202310_backup_mart_2riyo_patient_himoduke</v>
      </c>
      <c r="AF17" s="168"/>
      <c r="AG17" s="168"/>
      <c r="AH17" s="168"/>
      <c r="AI17" s="168"/>
      <c r="AJ17" s="168"/>
      <c r="AK17" s="168"/>
      <c r="AL17" s="169"/>
      <c r="AM17" s="167" t="str">
        <f t="shared" ca="1" si="10"/>
        <v>二次利用DB登録患者紐付けデータテーブルから組入れ条件の第一条件で絞り込んだ結果を格納するテーブル</v>
      </c>
      <c r="AN17" s="168"/>
      <c r="AO17" s="168"/>
      <c r="AP17" s="168"/>
      <c r="AQ17" s="168"/>
      <c r="AR17" s="168"/>
      <c r="AS17" s="168"/>
      <c r="AT17" s="168"/>
      <c r="AU17" s="168"/>
      <c r="AV17" s="168"/>
      <c r="AW17" s="168"/>
      <c r="AX17" s="168"/>
      <c r="AY17" s="168"/>
      <c r="AZ17" s="168"/>
      <c r="BA17" s="168"/>
      <c r="BB17" s="168"/>
      <c r="BC17" s="168"/>
      <c r="BD17" s="168"/>
      <c r="BE17" s="168"/>
      <c r="BF17" s="168"/>
      <c r="BG17" s="168"/>
      <c r="BH17" s="168"/>
      <c r="BI17" s="168"/>
      <c r="BJ17" s="170"/>
      <c r="BK17" s="32" t="str">
        <f t="shared" si="11"/>
        <v>ENT_01_A1-11_バックアップ_二次利用DB登録患者紐付けデータ.sql</v>
      </c>
    </row>
    <row r="18" spans="1:64" ht="37.5" hidden="1" customHeight="1" outlineLevel="1">
      <c r="A18" s="34" t="str">
        <f t="shared" si="7"/>
        <v>バックアップ_エラー患者データ</v>
      </c>
      <c r="B18" s="171" t="str">
        <f t="shared" si="8"/>
        <v>01</v>
      </c>
      <c r="C18" s="172"/>
      <c r="D18" s="172"/>
      <c r="E18" s="172"/>
      <c r="F18" s="173"/>
      <c r="G18" s="174" t="s">
        <v>195</v>
      </c>
      <c r="H18" s="175"/>
      <c r="I18" s="175"/>
      <c r="J18" s="175"/>
      <c r="K18" s="175"/>
      <c r="L18" s="175"/>
      <c r="M18" s="175"/>
      <c r="N18" s="176"/>
      <c r="O18" s="79" t="s">
        <v>3140</v>
      </c>
      <c r="P18" s="164" t="s">
        <v>1846</v>
      </c>
      <c r="Q18" s="165"/>
      <c r="R18" s="165"/>
      <c r="S18" s="165"/>
      <c r="T18" s="165"/>
      <c r="U18" s="165"/>
      <c r="V18" s="165"/>
      <c r="W18" s="165"/>
      <c r="X18" s="165"/>
      <c r="Y18" s="165"/>
      <c r="Z18" s="165"/>
      <c r="AA18" s="165"/>
      <c r="AB18" s="165"/>
      <c r="AC18" s="165"/>
      <c r="AD18" s="166"/>
      <c r="AE18" s="167" t="str">
        <f t="shared" ca="1" si="9"/>
        <v>azn_202310_backup_mart_error_patient</v>
      </c>
      <c r="AF18" s="168"/>
      <c r="AG18" s="168"/>
      <c r="AH18" s="168"/>
      <c r="AI18" s="168"/>
      <c r="AJ18" s="168"/>
      <c r="AK18" s="168"/>
      <c r="AL18" s="169"/>
      <c r="AM18" s="167" t="str">
        <f t="shared" ca="1" si="10"/>
        <v>エラー患者データテーブルから組入れ条件の第一条件で絞り込んだ結果を格納するテーブル</v>
      </c>
      <c r="AN18" s="168"/>
      <c r="AO18" s="168"/>
      <c r="AP18" s="168"/>
      <c r="AQ18" s="168"/>
      <c r="AR18" s="168"/>
      <c r="AS18" s="168"/>
      <c r="AT18" s="168"/>
      <c r="AU18" s="168"/>
      <c r="AV18" s="168"/>
      <c r="AW18" s="168"/>
      <c r="AX18" s="168"/>
      <c r="AY18" s="168"/>
      <c r="AZ18" s="168"/>
      <c r="BA18" s="168"/>
      <c r="BB18" s="168"/>
      <c r="BC18" s="168"/>
      <c r="BD18" s="168"/>
      <c r="BE18" s="168"/>
      <c r="BF18" s="168"/>
      <c r="BG18" s="168"/>
      <c r="BH18" s="168"/>
      <c r="BI18" s="168"/>
      <c r="BJ18" s="170"/>
      <c r="BK18" s="32" t="str">
        <f t="shared" si="11"/>
        <v>ENT_01_A1-13_バックアップ_エラー患者データ.sql</v>
      </c>
    </row>
    <row r="19" spans="1:64" ht="37.5" hidden="1" customHeight="1" outlineLevel="1">
      <c r="A19" s="34" t="str">
        <f t="shared" si="7"/>
        <v>バックアップ_患者基本データ</v>
      </c>
      <c r="B19" s="171" t="str">
        <f t="shared" si="8"/>
        <v>01</v>
      </c>
      <c r="C19" s="172"/>
      <c r="D19" s="172"/>
      <c r="E19" s="172"/>
      <c r="F19" s="173"/>
      <c r="G19" s="174" t="s">
        <v>195</v>
      </c>
      <c r="H19" s="175"/>
      <c r="I19" s="175"/>
      <c r="J19" s="175"/>
      <c r="K19" s="175"/>
      <c r="L19" s="175"/>
      <c r="M19" s="175"/>
      <c r="N19" s="176"/>
      <c r="O19" s="79" t="s">
        <v>3141</v>
      </c>
      <c r="P19" s="164" t="s">
        <v>1847</v>
      </c>
      <c r="Q19" s="165"/>
      <c r="R19" s="165"/>
      <c r="S19" s="165"/>
      <c r="T19" s="165"/>
      <c r="U19" s="165"/>
      <c r="V19" s="165"/>
      <c r="W19" s="165"/>
      <c r="X19" s="165"/>
      <c r="Y19" s="165"/>
      <c r="Z19" s="165"/>
      <c r="AA19" s="165"/>
      <c r="AB19" s="165"/>
      <c r="AC19" s="165"/>
      <c r="AD19" s="166"/>
      <c r="AE19" s="167" t="str">
        <f t="shared" ca="1" si="9"/>
        <v>azn_202310_backup_mart_patient_basic</v>
      </c>
      <c r="AF19" s="168"/>
      <c r="AG19" s="168"/>
      <c r="AH19" s="168"/>
      <c r="AI19" s="168"/>
      <c r="AJ19" s="168"/>
      <c r="AK19" s="168"/>
      <c r="AL19" s="169"/>
      <c r="AM19" s="167" t="str">
        <f t="shared" ca="1" si="10"/>
        <v>患者基本データテーブルから組入れ条件の第一条件で絞り込んだ結果を格納するテーブル</v>
      </c>
      <c r="AN19" s="168"/>
      <c r="AO19" s="168"/>
      <c r="AP19" s="168"/>
      <c r="AQ19" s="168"/>
      <c r="AR19" s="168"/>
      <c r="AS19" s="168"/>
      <c r="AT19" s="168"/>
      <c r="AU19" s="168"/>
      <c r="AV19" s="168"/>
      <c r="AW19" s="168"/>
      <c r="AX19" s="168"/>
      <c r="AY19" s="168"/>
      <c r="AZ19" s="168"/>
      <c r="BA19" s="168"/>
      <c r="BB19" s="168"/>
      <c r="BC19" s="168"/>
      <c r="BD19" s="168"/>
      <c r="BE19" s="168"/>
      <c r="BF19" s="168"/>
      <c r="BG19" s="168"/>
      <c r="BH19" s="168"/>
      <c r="BI19" s="168"/>
      <c r="BJ19" s="170"/>
      <c r="BK19" s="32" t="str">
        <f t="shared" si="11"/>
        <v>ENT_01_A1-14_バックアップ_患者基本データ.sql</v>
      </c>
      <c r="BL19" s="32">
        <v>1</v>
      </c>
    </row>
    <row r="20" spans="1:64" ht="37.5" hidden="1" customHeight="1" outlineLevel="1">
      <c r="A20" s="34" t="str">
        <f t="shared" ref="A20:A71" si="12">P20</f>
        <v>バックアップ_施設属性マスタ取込用</v>
      </c>
      <c r="B20" s="171" t="str">
        <f t="shared" si="8"/>
        <v>01</v>
      </c>
      <c r="C20" s="172"/>
      <c r="D20" s="172"/>
      <c r="E20" s="172"/>
      <c r="F20" s="173"/>
      <c r="G20" s="174" t="s">
        <v>195</v>
      </c>
      <c r="H20" s="175"/>
      <c r="I20" s="175"/>
      <c r="J20" s="175"/>
      <c r="K20" s="175"/>
      <c r="L20" s="175"/>
      <c r="M20" s="175"/>
      <c r="N20" s="176"/>
      <c r="O20" s="79" t="s">
        <v>3142</v>
      </c>
      <c r="P20" s="164" t="s">
        <v>1853</v>
      </c>
      <c r="Q20" s="165"/>
      <c r="R20" s="165"/>
      <c r="S20" s="165"/>
      <c r="T20" s="165"/>
      <c r="U20" s="165"/>
      <c r="V20" s="165"/>
      <c r="W20" s="165"/>
      <c r="X20" s="165"/>
      <c r="Y20" s="165"/>
      <c r="Z20" s="165"/>
      <c r="AA20" s="165"/>
      <c r="AB20" s="165"/>
      <c r="AC20" s="165"/>
      <c r="AD20" s="166"/>
      <c r="AE20" s="167" t="str">
        <f t="shared" ref="AE20:AE71" ca="1" si="13">IFERROR(INDIRECT(P20&amp;"!D8"),"")</f>
        <v>azn_202310_backup_mt_shisetsu_zokusei</v>
      </c>
      <c r="AF20" s="168"/>
      <c r="AG20" s="168"/>
      <c r="AH20" s="168"/>
      <c r="AI20" s="168"/>
      <c r="AJ20" s="168"/>
      <c r="AK20" s="168"/>
      <c r="AL20" s="169"/>
      <c r="AM20" s="167" t="str">
        <f t="shared" ref="AM20:AM71" ca="1" si="14">IFERROR(INDIRECT(P20&amp;"!D9"),"")</f>
        <v>施設属性マスタ取込用テーブルから組入れ条件の第一条件で絞り込んだ結果を格納するテーブル</v>
      </c>
      <c r="AN20" s="168"/>
      <c r="AO20" s="168"/>
      <c r="AP20" s="168"/>
      <c r="AQ20" s="168"/>
      <c r="AR20" s="168"/>
      <c r="AS20" s="168"/>
      <c r="AT20" s="168"/>
      <c r="AU20" s="168"/>
      <c r="AV20" s="168"/>
      <c r="AW20" s="168"/>
      <c r="AX20" s="168"/>
      <c r="AY20" s="168"/>
      <c r="AZ20" s="168"/>
      <c r="BA20" s="168"/>
      <c r="BB20" s="168"/>
      <c r="BC20" s="168"/>
      <c r="BD20" s="168"/>
      <c r="BE20" s="168"/>
      <c r="BF20" s="168"/>
      <c r="BG20" s="168"/>
      <c r="BH20" s="168"/>
      <c r="BI20" s="168"/>
      <c r="BJ20" s="170"/>
      <c r="BK20" s="32" t="str">
        <f t="shared" ref="BK20:BK25" si="15">IF(P20&lt;&gt;"",O20&amp;"_"&amp;P20&amp;".sql","")</f>
        <v>ENT_01_A3-02_バックアップ_施設属性マスタ取込用.sql</v>
      </c>
    </row>
    <row r="21" spans="1:64" ht="37.5" hidden="1" customHeight="1" outlineLevel="1">
      <c r="A21" s="34" t="str">
        <f t="shared" si="12"/>
        <v>バックアップ_二次医療圏マスタ取込用</v>
      </c>
      <c r="B21" s="171" t="str">
        <f t="shared" si="8"/>
        <v>01</v>
      </c>
      <c r="C21" s="172"/>
      <c r="D21" s="172"/>
      <c r="E21" s="172"/>
      <c r="F21" s="173"/>
      <c r="G21" s="174" t="s">
        <v>195</v>
      </c>
      <c r="H21" s="175"/>
      <c r="I21" s="175"/>
      <c r="J21" s="175"/>
      <c r="K21" s="175"/>
      <c r="L21" s="175"/>
      <c r="M21" s="175"/>
      <c r="N21" s="176"/>
      <c r="O21" s="79" t="s">
        <v>3143</v>
      </c>
      <c r="P21" s="164" t="s">
        <v>1889</v>
      </c>
      <c r="Q21" s="165"/>
      <c r="R21" s="165"/>
      <c r="S21" s="165"/>
      <c r="T21" s="165"/>
      <c r="U21" s="165"/>
      <c r="V21" s="165"/>
      <c r="W21" s="165"/>
      <c r="X21" s="165"/>
      <c r="Y21" s="165"/>
      <c r="Z21" s="165"/>
      <c r="AA21" s="165"/>
      <c r="AB21" s="165"/>
      <c r="AC21" s="165"/>
      <c r="AD21" s="166"/>
      <c r="AE21" s="167" t="str">
        <f t="shared" ca="1" si="13"/>
        <v>azn_202310_backup_mt_iryouken2</v>
      </c>
      <c r="AF21" s="168"/>
      <c r="AG21" s="168"/>
      <c r="AH21" s="168"/>
      <c r="AI21" s="168"/>
      <c r="AJ21" s="168"/>
      <c r="AK21" s="168"/>
      <c r="AL21" s="169"/>
      <c r="AM21" s="167" t="str">
        <f t="shared" ca="1" si="14"/>
        <v>二次医療圏マスタ取込用テーブルから組入れ条件の第一条件で絞り込んだ結果を格納するテーブル</v>
      </c>
      <c r="AN21" s="168"/>
      <c r="AO21" s="168"/>
      <c r="AP21" s="168"/>
      <c r="AQ21" s="168"/>
      <c r="AR21" s="168"/>
      <c r="AS21" s="168"/>
      <c r="AT21" s="168"/>
      <c r="AU21" s="168"/>
      <c r="AV21" s="168"/>
      <c r="AW21" s="168"/>
      <c r="AX21" s="168"/>
      <c r="AY21" s="168"/>
      <c r="AZ21" s="168"/>
      <c r="BA21" s="168"/>
      <c r="BB21" s="168"/>
      <c r="BC21" s="168"/>
      <c r="BD21" s="168"/>
      <c r="BE21" s="168"/>
      <c r="BF21" s="168"/>
      <c r="BG21" s="168"/>
      <c r="BH21" s="168"/>
      <c r="BI21" s="168"/>
      <c r="BJ21" s="170"/>
      <c r="BK21" s="32" t="str">
        <f t="shared" si="15"/>
        <v>ENT_01_A3-03_バックアップ_二次医療圏マスタ取込用.sql</v>
      </c>
    </row>
    <row r="22" spans="1:64" ht="37.5" hidden="1" customHeight="1" outlineLevel="1">
      <c r="A22" s="34" t="str">
        <f t="shared" si="12"/>
        <v>バックアップ_新旧医薬品コードマスタ取込用</v>
      </c>
      <c r="B22" s="171" t="str">
        <f t="shared" si="8"/>
        <v>01</v>
      </c>
      <c r="C22" s="172"/>
      <c r="D22" s="172"/>
      <c r="E22" s="172"/>
      <c r="F22" s="173"/>
      <c r="G22" s="174" t="s">
        <v>195</v>
      </c>
      <c r="H22" s="175"/>
      <c r="I22" s="175"/>
      <c r="J22" s="175"/>
      <c r="K22" s="175"/>
      <c r="L22" s="175"/>
      <c r="M22" s="175"/>
      <c r="N22" s="176"/>
      <c r="O22" s="79" t="s">
        <v>3144</v>
      </c>
      <c r="P22" s="164" t="s">
        <v>1909</v>
      </c>
      <c r="Q22" s="165"/>
      <c r="R22" s="165"/>
      <c r="S22" s="165"/>
      <c r="T22" s="165"/>
      <c r="U22" s="165"/>
      <c r="V22" s="165"/>
      <c r="W22" s="165"/>
      <c r="X22" s="165"/>
      <c r="Y22" s="165"/>
      <c r="Z22" s="165"/>
      <c r="AA22" s="165"/>
      <c r="AB22" s="165"/>
      <c r="AC22" s="165"/>
      <c r="AD22" s="166"/>
      <c r="AE22" s="167" t="str">
        <f t="shared" ca="1" si="13"/>
        <v>azn_202310_backup_mt_old_new_iyakuhin</v>
      </c>
      <c r="AF22" s="168"/>
      <c r="AG22" s="168"/>
      <c r="AH22" s="168"/>
      <c r="AI22" s="168"/>
      <c r="AJ22" s="168"/>
      <c r="AK22" s="168"/>
      <c r="AL22" s="169"/>
      <c r="AM22" s="167" t="str">
        <f t="shared" ca="1" si="14"/>
        <v>新旧医薬品コードマスタ取込用テーブルから組入れ条件の第一条件で絞り込んだ結果を格納するテーブル</v>
      </c>
      <c r="AN22" s="168"/>
      <c r="AO22" s="168"/>
      <c r="AP22" s="168"/>
      <c r="AQ22" s="168"/>
      <c r="AR22" s="168"/>
      <c r="AS22" s="168"/>
      <c r="AT22" s="168"/>
      <c r="AU22" s="168"/>
      <c r="AV22" s="168"/>
      <c r="AW22" s="168"/>
      <c r="AX22" s="168"/>
      <c r="AY22" s="168"/>
      <c r="AZ22" s="168"/>
      <c r="BA22" s="168"/>
      <c r="BB22" s="168"/>
      <c r="BC22" s="168"/>
      <c r="BD22" s="168"/>
      <c r="BE22" s="168"/>
      <c r="BF22" s="168"/>
      <c r="BG22" s="168"/>
      <c r="BH22" s="168"/>
      <c r="BI22" s="168"/>
      <c r="BJ22" s="170"/>
      <c r="BK22" s="32" t="str">
        <f t="shared" si="15"/>
        <v>ENT_01_A3-04_バックアップ_新旧医薬品コードマスタ取込用.sql</v>
      </c>
    </row>
    <row r="23" spans="1:64" ht="37.5" hidden="1" customHeight="1" outlineLevel="1">
      <c r="A23" s="34" t="str">
        <f t="shared" si="12"/>
        <v>バックアップ_DPC6ICD10対応表マスタ取込用</v>
      </c>
      <c r="B23" s="171" t="str">
        <f t="shared" si="8"/>
        <v>01</v>
      </c>
      <c r="C23" s="172"/>
      <c r="D23" s="172"/>
      <c r="E23" s="172"/>
      <c r="F23" s="173"/>
      <c r="G23" s="174" t="s">
        <v>195</v>
      </c>
      <c r="H23" s="175"/>
      <c r="I23" s="175"/>
      <c r="J23" s="175"/>
      <c r="K23" s="175"/>
      <c r="L23" s="175"/>
      <c r="M23" s="175"/>
      <c r="N23" s="176"/>
      <c r="O23" s="79" t="s">
        <v>3145</v>
      </c>
      <c r="P23" s="164" t="s">
        <v>1923</v>
      </c>
      <c r="Q23" s="165"/>
      <c r="R23" s="165"/>
      <c r="S23" s="165"/>
      <c r="T23" s="165"/>
      <c r="U23" s="165"/>
      <c r="V23" s="165"/>
      <c r="W23" s="165"/>
      <c r="X23" s="165"/>
      <c r="Y23" s="165"/>
      <c r="Z23" s="165"/>
      <c r="AA23" s="165"/>
      <c r="AB23" s="165"/>
      <c r="AC23" s="165"/>
      <c r="AD23" s="166"/>
      <c r="AE23" s="167" t="str">
        <f t="shared" ca="1" si="13"/>
        <v>azn_202310_backup_mt_dpc6_icd</v>
      </c>
      <c r="AF23" s="168"/>
      <c r="AG23" s="168"/>
      <c r="AH23" s="168"/>
      <c r="AI23" s="168"/>
      <c r="AJ23" s="168"/>
      <c r="AK23" s="168"/>
      <c r="AL23" s="169"/>
      <c r="AM23" s="167" t="str">
        <f t="shared" ca="1" si="14"/>
        <v>DPC6ICD10対応表マスタ取込用テーブルから組入れ条件の第一条件で絞り込んだ結果を格納するテーブル</v>
      </c>
      <c r="AN23" s="168"/>
      <c r="AO23" s="168"/>
      <c r="AP23" s="168"/>
      <c r="AQ23" s="168"/>
      <c r="AR23" s="168"/>
      <c r="AS23" s="168"/>
      <c r="AT23" s="168"/>
      <c r="AU23" s="168"/>
      <c r="AV23" s="168"/>
      <c r="AW23" s="168"/>
      <c r="AX23" s="168"/>
      <c r="AY23" s="168"/>
      <c r="AZ23" s="168"/>
      <c r="BA23" s="168"/>
      <c r="BB23" s="168"/>
      <c r="BC23" s="168"/>
      <c r="BD23" s="168"/>
      <c r="BE23" s="168"/>
      <c r="BF23" s="168"/>
      <c r="BG23" s="168"/>
      <c r="BH23" s="168"/>
      <c r="BI23" s="168"/>
      <c r="BJ23" s="170"/>
      <c r="BK23" s="32" t="str">
        <f t="shared" si="15"/>
        <v>ENT_01_A3-05_バックアップ_DPC6ICD10対応表マスタ取込用.sql</v>
      </c>
    </row>
    <row r="24" spans="1:64" ht="37.5" hidden="1" customHeight="1" outlineLevel="1">
      <c r="A24" s="34" t="str">
        <f t="shared" si="12"/>
        <v>バックアップ_修飾語マスタ取込用</v>
      </c>
      <c r="B24" s="171" t="str">
        <f t="shared" si="8"/>
        <v>01</v>
      </c>
      <c r="C24" s="172"/>
      <c r="D24" s="172"/>
      <c r="E24" s="172"/>
      <c r="F24" s="173"/>
      <c r="G24" s="174" t="s">
        <v>195</v>
      </c>
      <c r="H24" s="175"/>
      <c r="I24" s="175"/>
      <c r="J24" s="175"/>
      <c r="K24" s="175"/>
      <c r="L24" s="175"/>
      <c r="M24" s="175"/>
      <c r="N24" s="176"/>
      <c r="O24" s="79" t="s">
        <v>3146</v>
      </c>
      <c r="P24" s="164" t="s">
        <v>1941</v>
      </c>
      <c r="Q24" s="165"/>
      <c r="R24" s="165"/>
      <c r="S24" s="165"/>
      <c r="T24" s="165"/>
      <c r="U24" s="165"/>
      <c r="V24" s="165"/>
      <c r="W24" s="165"/>
      <c r="X24" s="165"/>
      <c r="Y24" s="165"/>
      <c r="Z24" s="165"/>
      <c r="AA24" s="165"/>
      <c r="AB24" s="165"/>
      <c r="AC24" s="165"/>
      <c r="AD24" s="166"/>
      <c r="AE24" s="167" t="str">
        <f t="shared" ca="1" si="13"/>
        <v>azn_202310_backup_mt_syusyokugo</v>
      </c>
      <c r="AF24" s="168"/>
      <c r="AG24" s="168"/>
      <c r="AH24" s="168"/>
      <c r="AI24" s="168"/>
      <c r="AJ24" s="168"/>
      <c r="AK24" s="168"/>
      <c r="AL24" s="169"/>
      <c r="AM24" s="167" t="str">
        <f t="shared" ca="1" si="14"/>
        <v>修飾語マスタ取込用テーブルから組入れ条件の第一条件で絞り込んだ結果を格納するテーブル</v>
      </c>
      <c r="AN24" s="168"/>
      <c r="AO24" s="168"/>
      <c r="AP24" s="168"/>
      <c r="AQ24" s="168"/>
      <c r="AR24" s="168"/>
      <c r="AS24" s="168"/>
      <c r="AT24" s="168"/>
      <c r="AU24" s="168"/>
      <c r="AV24" s="168"/>
      <c r="AW24" s="168"/>
      <c r="AX24" s="168"/>
      <c r="AY24" s="168"/>
      <c r="AZ24" s="168"/>
      <c r="BA24" s="168"/>
      <c r="BB24" s="168"/>
      <c r="BC24" s="168"/>
      <c r="BD24" s="168"/>
      <c r="BE24" s="168"/>
      <c r="BF24" s="168"/>
      <c r="BG24" s="168"/>
      <c r="BH24" s="168"/>
      <c r="BI24" s="168"/>
      <c r="BJ24" s="170"/>
      <c r="BK24" s="32" t="str">
        <f t="shared" si="15"/>
        <v>ENT_01_A3-06_バックアップ_修飾語マスタ取込用.sql</v>
      </c>
    </row>
    <row r="25" spans="1:64" ht="37.5" hidden="1" customHeight="1" outlineLevel="1">
      <c r="A25" s="34" t="str">
        <f t="shared" si="12"/>
        <v>バックアップ_コメントマスタ取込用</v>
      </c>
      <c r="B25" s="171" t="str">
        <f t="shared" si="8"/>
        <v>01</v>
      </c>
      <c r="C25" s="172"/>
      <c r="D25" s="172"/>
      <c r="E25" s="172"/>
      <c r="F25" s="173"/>
      <c r="G25" s="174" t="s">
        <v>195</v>
      </c>
      <c r="H25" s="175"/>
      <c r="I25" s="175"/>
      <c r="J25" s="175"/>
      <c r="K25" s="175"/>
      <c r="L25" s="175"/>
      <c r="M25" s="175"/>
      <c r="N25" s="176"/>
      <c r="O25" s="79" t="s">
        <v>3147</v>
      </c>
      <c r="P25" s="164" t="s">
        <v>1978</v>
      </c>
      <c r="Q25" s="165"/>
      <c r="R25" s="165"/>
      <c r="S25" s="165"/>
      <c r="T25" s="165"/>
      <c r="U25" s="165"/>
      <c r="V25" s="165"/>
      <c r="W25" s="165"/>
      <c r="X25" s="165"/>
      <c r="Y25" s="165"/>
      <c r="Z25" s="165"/>
      <c r="AA25" s="165"/>
      <c r="AB25" s="165"/>
      <c r="AC25" s="165"/>
      <c r="AD25" s="166"/>
      <c r="AE25" s="167" t="str">
        <f t="shared" ca="1" si="13"/>
        <v>azn_202310_backup_mt_comment</v>
      </c>
      <c r="AF25" s="168"/>
      <c r="AG25" s="168"/>
      <c r="AH25" s="168"/>
      <c r="AI25" s="168"/>
      <c r="AJ25" s="168"/>
      <c r="AK25" s="168"/>
      <c r="AL25" s="169"/>
      <c r="AM25" s="167" t="str">
        <f t="shared" ca="1" si="14"/>
        <v>コメントマスタ取込用テーブルから組入れ条件の第一条件で絞り込んだ結果を格納するテーブル</v>
      </c>
      <c r="AN25" s="168"/>
      <c r="AO25" s="168"/>
      <c r="AP25" s="168"/>
      <c r="AQ25" s="168"/>
      <c r="AR25" s="168"/>
      <c r="AS25" s="168"/>
      <c r="AT25" s="168"/>
      <c r="AU25" s="168"/>
      <c r="AV25" s="168"/>
      <c r="AW25" s="168"/>
      <c r="AX25" s="168"/>
      <c r="AY25" s="168"/>
      <c r="AZ25" s="168"/>
      <c r="BA25" s="168"/>
      <c r="BB25" s="168"/>
      <c r="BC25" s="168"/>
      <c r="BD25" s="168"/>
      <c r="BE25" s="168"/>
      <c r="BF25" s="168"/>
      <c r="BG25" s="168"/>
      <c r="BH25" s="168"/>
      <c r="BI25" s="168"/>
      <c r="BJ25" s="170"/>
      <c r="BK25" s="32" t="str">
        <f t="shared" si="15"/>
        <v>ENT_01_A3-07_バックアップ_コメントマスタ取込用.sql</v>
      </c>
    </row>
    <row r="26" spans="1:64" ht="37.5" hidden="1" customHeight="1" outlineLevel="1">
      <c r="A26" s="34" t="str">
        <f t="shared" si="12"/>
        <v>バックアップ_成分量マスタ取込用</v>
      </c>
      <c r="B26" s="171" t="str">
        <f t="shared" si="8"/>
        <v>01</v>
      </c>
      <c r="C26" s="172"/>
      <c r="D26" s="172"/>
      <c r="E26" s="172"/>
      <c r="F26" s="173"/>
      <c r="G26" s="174" t="s">
        <v>195</v>
      </c>
      <c r="H26" s="175"/>
      <c r="I26" s="175"/>
      <c r="J26" s="175"/>
      <c r="K26" s="175"/>
      <c r="L26" s="175"/>
      <c r="M26" s="175"/>
      <c r="N26" s="176"/>
      <c r="O26" s="79" t="s">
        <v>3148</v>
      </c>
      <c r="P26" s="164" t="s">
        <v>2025</v>
      </c>
      <c r="Q26" s="165"/>
      <c r="R26" s="165"/>
      <c r="S26" s="165"/>
      <c r="T26" s="165"/>
      <c r="U26" s="165"/>
      <c r="V26" s="165"/>
      <c r="W26" s="165"/>
      <c r="X26" s="165"/>
      <c r="Y26" s="165"/>
      <c r="Z26" s="165"/>
      <c r="AA26" s="165"/>
      <c r="AB26" s="165"/>
      <c r="AC26" s="165"/>
      <c r="AD26" s="166"/>
      <c r="AE26" s="167" t="str">
        <f t="shared" ca="1" si="13"/>
        <v>azn_202310_backup_mt_seibunryo</v>
      </c>
      <c r="AF26" s="168"/>
      <c r="AG26" s="168"/>
      <c r="AH26" s="168"/>
      <c r="AI26" s="168"/>
      <c r="AJ26" s="168"/>
      <c r="AK26" s="168"/>
      <c r="AL26" s="169"/>
      <c r="AM26" s="167" t="str">
        <f t="shared" ca="1" si="14"/>
        <v>成分量マスタ取込用テーブルから組入れ条件の第一条件で絞り込んだ結果を格納するテーブル</v>
      </c>
      <c r="AN26" s="168"/>
      <c r="AO26" s="168"/>
      <c r="AP26" s="168"/>
      <c r="AQ26" s="168"/>
      <c r="AR26" s="168"/>
      <c r="AS26" s="168"/>
      <c r="AT26" s="168"/>
      <c r="AU26" s="168"/>
      <c r="AV26" s="168"/>
      <c r="AW26" s="168"/>
      <c r="AX26" s="168"/>
      <c r="AY26" s="168"/>
      <c r="AZ26" s="168"/>
      <c r="BA26" s="168"/>
      <c r="BB26" s="168"/>
      <c r="BC26" s="168"/>
      <c r="BD26" s="168"/>
      <c r="BE26" s="168"/>
      <c r="BF26" s="168"/>
      <c r="BG26" s="168"/>
      <c r="BH26" s="168"/>
      <c r="BI26" s="168"/>
      <c r="BJ26" s="170"/>
      <c r="BK26" s="32" t="str">
        <f t="shared" ref="BK26:BK83" si="16">IF(P26&lt;&gt;"",O26&amp;"_"&amp;P26&amp;".sql","")</f>
        <v>ENT_01_A3-08_バックアップ_成分量マスタ取込用.sql</v>
      </c>
    </row>
    <row r="27" spans="1:64" ht="37.5" hidden="1" customHeight="1" outlineLevel="1">
      <c r="A27" s="34" t="str">
        <f t="shared" si="12"/>
        <v>バックアップ_成分名マスタ取込用</v>
      </c>
      <c r="B27" s="171" t="str">
        <f t="shared" si="8"/>
        <v>01</v>
      </c>
      <c r="C27" s="172"/>
      <c r="D27" s="172"/>
      <c r="E27" s="172"/>
      <c r="F27" s="173"/>
      <c r="G27" s="174" t="s">
        <v>195</v>
      </c>
      <c r="H27" s="175"/>
      <c r="I27" s="175"/>
      <c r="J27" s="175"/>
      <c r="K27" s="175"/>
      <c r="L27" s="175"/>
      <c r="M27" s="175"/>
      <c r="N27" s="176"/>
      <c r="O27" s="79" t="s">
        <v>3149</v>
      </c>
      <c r="P27" s="164" t="s">
        <v>2050</v>
      </c>
      <c r="Q27" s="165"/>
      <c r="R27" s="165"/>
      <c r="S27" s="165"/>
      <c r="T27" s="165"/>
      <c r="U27" s="165"/>
      <c r="V27" s="165"/>
      <c r="W27" s="165"/>
      <c r="X27" s="165"/>
      <c r="Y27" s="165"/>
      <c r="Z27" s="165"/>
      <c r="AA27" s="165"/>
      <c r="AB27" s="165"/>
      <c r="AC27" s="165"/>
      <c r="AD27" s="166"/>
      <c r="AE27" s="167" t="str">
        <f t="shared" ca="1" si="13"/>
        <v>azn_202310_backup_mt_seibun_name</v>
      </c>
      <c r="AF27" s="168"/>
      <c r="AG27" s="168"/>
      <c r="AH27" s="168"/>
      <c r="AI27" s="168"/>
      <c r="AJ27" s="168"/>
      <c r="AK27" s="168"/>
      <c r="AL27" s="169"/>
      <c r="AM27" s="167" t="str">
        <f t="shared" ca="1" si="14"/>
        <v>成分名マスタ取込用テーブルから組入れ条件の第一条件で絞り込んだ結果を格納するテーブル</v>
      </c>
      <c r="AN27" s="168"/>
      <c r="AO27" s="168"/>
      <c r="AP27" s="168"/>
      <c r="AQ27" s="168"/>
      <c r="AR27" s="168"/>
      <c r="AS27" s="168"/>
      <c r="AT27" s="168"/>
      <c r="AU27" s="168"/>
      <c r="AV27" s="168"/>
      <c r="AW27" s="168"/>
      <c r="AX27" s="168"/>
      <c r="AY27" s="168"/>
      <c r="AZ27" s="168"/>
      <c r="BA27" s="168"/>
      <c r="BB27" s="168"/>
      <c r="BC27" s="168"/>
      <c r="BD27" s="168"/>
      <c r="BE27" s="168"/>
      <c r="BF27" s="168"/>
      <c r="BG27" s="168"/>
      <c r="BH27" s="168"/>
      <c r="BI27" s="168"/>
      <c r="BJ27" s="170"/>
      <c r="BK27" s="32" t="str">
        <f t="shared" si="16"/>
        <v>ENT_01_A3-09_バックアップ_成分名マスタ取込用.sql</v>
      </c>
    </row>
    <row r="28" spans="1:64" ht="37.5" hidden="1" customHeight="1" outlineLevel="1">
      <c r="A28" s="34" t="str">
        <f t="shared" si="12"/>
        <v>バックアップ_単位マスタ取込用</v>
      </c>
      <c r="B28" s="171" t="str">
        <f t="shared" si="8"/>
        <v>01</v>
      </c>
      <c r="C28" s="172"/>
      <c r="D28" s="172"/>
      <c r="E28" s="172"/>
      <c r="F28" s="173"/>
      <c r="G28" s="174" t="s">
        <v>195</v>
      </c>
      <c r="H28" s="175"/>
      <c r="I28" s="175"/>
      <c r="J28" s="175"/>
      <c r="K28" s="175"/>
      <c r="L28" s="175"/>
      <c r="M28" s="175"/>
      <c r="N28" s="176"/>
      <c r="O28" s="79" t="s">
        <v>3150</v>
      </c>
      <c r="P28" s="164" t="s">
        <v>2071</v>
      </c>
      <c r="Q28" s="165"/>
      <c r="R28" s="165"/>
      <c r="S28" s="165"/>
      <c r="T28" s="165"/>
      <c r="U28" s="165"/>
      <c r="V28" s="165"/>
      <c r="W28" s="165"/>
      <c r="X28" s="165"/>
      <c r="Y28" s="165"/>
      <c r="Z28" s="165"/>
      <c r="AA28" s="165"/>
      <c r="AB28" s="165"/>
      <c r="AC28" s="165"/>
      <c r="AD28" s="166"/>
      <c r="AE28" s="167" t="str">
        <f t="shared" ca="1" si="13"/>
        <v>azn_202310_backup_mt_unit</v>
      </c>
      <c r="AF28" s="168"/>
      <c r="AG28" s="168"/>
      <c r="AH28" s="168"/>
      <c r="AI28" s="168"/>
      <c r="AJ28" s="168"/>
      <c r="AK28" s="168"/>
      <c r="AL28" s="169"/>
      <c r="AM28" s="167" t="str">
        <f t="shared" ca="1" si="14"/>
        <v>単位マスタ取込用テーブルから組入れ条件の第一条件で絞り込んだ結果を格納するテーブル</v>
      </c>
      <c r="AN28" s="168"/>
      <c r="AO28" s="168"/>
      <c r="AP28" s="168"/>
      <c r="AQ28" s="168"/>
      <c r="AR28" s="168"/>
      <c r="AS28" s="168"/>
      <c r="AT28" s="168"/>
      <c r="AU28" s="168"/>
      <c r="AV28" s="168"/>
      <c r="AW28" s="168"/>
      <c r="AX28" s="168"/>
      <c r="AY28" s="168"/>
      <c r="AZ28" s="168"/>
      <c r="BA28" s="168"/>
      <c r="BB28" s="168"/>
      <c r="BC28" s="168"/>
      <c r="BD28" s="168"/>
      <c r="BE28" s="168"/>
      <c r="BF28" s="168"/>
      <c r="BG28" s="168"/>
      <c r="BH28" s="168"/>
      <c r="BI28" s="168"/>
      <c r="BJ28" s="170"/>
      <c r="BK28" s="32" t="str">
        <f t="shared" si="16"/>
        <v>ENT_01_A3-10_バックアップ_単位マスタ取込用.sql</v>
      </c>
    </row>
    <row r="29" spans="1:64" ht="37.5" hidden="1" customHeight="1" outlineLevel="1">
      <c r="A29" s="34" t="str">
        <f t="shared" si="12"/>
        <v>バックアップ_適応病名レセ病名組み合わせ関係リンクマスタ取込用</v>
      </c>
      <c r="B29" s="171" t="str">
        <f t="shared" si="8"/>
        <v>01</v>
      </c>
      <c r="C29" s="172"/>
      <c r="D29" s="172"/>
      <c r="E29" s="172"/>
      <c r="F29" s="173"/>
      <c r="G29" s="174" t="s">
        <v>195</v>
      </c>
      <c r="H29" s="175"/>
      <c r="I29" s="175"/>
      <c r="J29" s="175"/>
      <c r="K29" s="175"/>
      <c r="L29" s="175"/>
      <c r="M29" s="175"/>
      <c r="N29" s="176"/>
      <c r="O29" s="79" t="s">
        <v>3151</v>
      </c>
      <c r="P29" s="164" t="s">
        <v>2078</v>
      </c>
      <c r="Q29" s="165"/>
      <c r="R29" s="165"/>
      <c r="S29" s="165"/>
      <c r="T29" s="165"/>
      <c r="U29" s="165"/>
      <c r="V29" s="165"/>
      <c r="W29" s="165"/>
      <c r="X29" s="165"/>
      <c r="Y29" s="165"/>
      <c r="Z29" s="165"/>
      <c r="AA29" s="165"/>
      <c r="AB29" s="165"/>
      <c r="AC29" s="165"/>
      <c r="AD29" s="166"/>
      <c r="AE29" s="167" t="str">
        <f t="shared" ca="1" si="13"/>
        <v>azn_202310_backup_mt_tekiyou_recept_combi_link</v>
      </c>
      <c r="AF29" s="168"/>
      <c r="AG29" s="168"/>
      <c r="AH29" s="168"/>
      <c r="AI29" s="168"/>
      <c r="AJ29" s="168"/>
      <c r="AK29" s="168"/>
      <c r="AL29" s="169"/>
      <c r="AM29" s="167" t="str">
        <f t="shared" ca="1" si="14"/>
        <v>適応病名レセ病名組み合わせ関係リンクマスタ取込用テーブルから組入れ条件の第一条件で絞り込んだ結果を格納するテーブル</v>
      </c>
      <c r="AN29" s="168"/>
      <c r="AO29" s="168"/>
      <c r="AP29" s="168"/>
      <c r="AQ29" s="168"/>
      <c r="AR29" s="168"/>
      <c r="AS29" s="168"/>
      <c r="AT29" s="168"/>
      <c r="AU29" s="168"/>
      <c r="AV29" s="168"/>
      <c r="AW29" s="168"/>
      <c r="AX29" s="168"/>
      <c r="AY29" s="168"/>
      <c r="AZ29" s="168"/>
      <c r="BA29" s="168"/>
      <c r="BB29" s="168"/>
      <c r="BC29" s="168"/>
      <c r="BD29" s="168"/>
      <c r="BE29" s="168"/>
      <c r="BF29" s="168"/>
      <c r="BG29" s="168"/>
      <c r="BH29" s="168"/>
      <c r="BI29" s="168"/>
      <c r="BJ29" s="170"/>
      <c r="BK29" s="32" t="str">
        <f t="shared" si="16"/>
        <v>ENT_01_A3-11_バックアップ_適応病名レセ病名組み合わせ関係リンクマスタ取込用.sql</v>
      </c>
    </row>
    <row r="30" spans="1:64" ht="37.5" hidden="1" customHeight="1" outlineLevel="1">
      <c r="A30" s="34" t="str">
        <f t="shared" si="12"/>
        <v>バックアップ_適応病名レセ病名組み合わせ関係リンク親子マスタ取込用</v>
      </c>
      <c r="B30" s="171" t="str">
        <f t="shared" si="8"/>
        <v>01</v>
      </c>
      <c r="C30" s="172"/>
      <c r="D30" s="172"/>
      <c r="E30" s="172"/>
      <c r="F30" s="173"/>
      <c r="G30" s="174" t="s">
        <v>195</v>
      </c>
      <c r="H30" s="175"/>
      <c r="I30" s="175"/>
      <c r="J30" s="175"/>
      <c r="K30" s="175"/>
      <c r="L30" s="175"/>
      <c r="M30" s="175"/>
      <c r="N30" s="176"/>
      <c r="O30" s="79" t="s">
        <v>3152</v>
      </c>
      <c r="P30" s="164" t="s">
        <v>2097</v>
      </c>
      <c r="Q30" s="165"/>
      <c r="R30" s="165"/>
      <c r="S30" s="165"/>
      <c r="T30" s="165"/>
      <c r="U30" s="165"/>
      <c r="V30" s="165"/>
      <c r="W30" s="165"/>
      <c r="X30" s="165"/>
      <c r="Y30" s="165"/>
      <c r="Z30" s="165"/>
      <c r="AA30" s="165"/>
      <c r="AB30" s="165"/>
      <c r="AC30" s="165"/>
      <c r="AD30" s="166"/>
      <c r="AE30" s="167" t="s">
        <v>2542</v>
      </c>
      <c r="AF30" s="168"/>
      <c r="AG30" s="168"/>
      <c r="AH30" s="168"/>
      <c r="AI30" s="168"/>
      <c r="AJ30" s="168"/>
      <c r="AK30" s="168"/>
      <c r="AL30" s="169"/>
      <c r="AM30" s="167" t="s">
        <v>2543</v>
      </c>
      <c r="AN30" s="168"/>
      <c r="AO30" s="168"/>
      <c r="AP30" s="168"/>
      <c r="AQ30" s="168"/>
      <c r="AR30" s="168"/>
      <c r="AS30" s="168"/>
      <c r="AT30" s="168"/>
      <c r="AU30" s="168"/>
      <c r="AV30" s="168"/>
      <c r="AW30" s="168"/>
      <c r="AX30" s="168"/>
      <c r="AY30" s="168"/>
      <c r="AZ30" s="168"/>
      <c r="BA30" s="168"/>
      <c r="BB30" s="168"/>
      <c r="BC30" s="168"/>
      <c r="BD30" s="168"/>
      <c r="BE30" s="168"/>
      <c r="BF30" s="168"/>
      <c r="BG30" s="168"/>
      <c r="BH30" s="168"/>
      <c r="BI30" s="168"/>
      <c r="BJ30" s="170"/>
      <c r="BK30" s="32" t="str">
        <f t="shared" si="16"/>
        <v>ENT_01_A3-12_バックアップ_適応病名レセ病名組み合わせ関係リンク親子マスタ取込用.sql</v>
      </c>
    </row>
    <row r="31" spans="1:64" ht="37.5" hidden="1" customHeight="1" outlineLevel="1">
      <c r="A31" s="34" t="str">
        <f t="shared" si="12"/>
        <v>バックアップ_適用病名マスタ取込用</v>
      </c>
      <c r="B31" s="171" t="str">
        <f t="shared" si="8"/>
        <v>01</v>
      </c>
      <c r="C31" s="172"/>
      <c r="D31" s="172"/>
      <c r="E31" s="172"/>
      <c r="F31" s="173"/>
      <c r="G31" s="174" t="s">
        <v>195</v>
      </c>
      <c r="H31" s="175"/>
      <c r="I31" s="175"/>
      <c r="J31" s="175"/>
      <c r="K31" s="175"/>
      <c r="L31" s="175"/>
      <c r="M31" s="175"/>
      <c r="N31" s="176"/>
      <c r="O31" s="79" t="s">
        <v>3153</v>
      </c>
      <c r="P31" s="164" t="s">
        <v>2098</v>
      </c>
      <c r="Q31" s="165"/>
      <c r="R31" s="165"/>
      <c r="S31" s="165"/>
      <c r="T31" s="165"/>
      <c r="U31" s="165"/>
      <c r="V31" s="165"/>
      <c r="W31" s="165"/>
      <c r="X31" s="165"/>
      <c r="Y31" s="165"/>
      <c r="Z31" s="165"/>
      <c r="AA31" s="165"/>
      <c r="AB31" s="165"/>
      <c r="AC31" s="165"/>
      <c r="AD31" s="166"/>
      <c r="AE31" s="167" t="str">
        <f t="shared" ca="1" si="13"/>
        <v>azn_202310_backup_mt_tekiyou_byoumei</v>
      </c>
      <c r="AF31" s="168"/>
      <c r="AG31" s="168"/>
      <c r="AH31" s="168"/>
      <c r="AI31" s="168"/>
      <c r="AJ31" s="168"/>
      <c r="AK31" s="168"/>
      <c r="AL31" s="169"/>
      <c r="AM31" s="167" t="str">
        <f t="shared" ca="1" si="14"/>
        <v>適用病名マスタ取込用テーブルから組入れ条件の第一条件で絞り込んだ結果を格納するテーブル</v>
      </c>
      <c r="AN31" s="168"/>
      <c r="AO31" s="168"/>
      <c r="AP31" s="168"/>
      <c r="AQ31" s="168"/>
      <c r="AR31" s="168"/>
      <c r="AS31" s="168"/>
      <c r="AT31" s="168"/>
      <c r="AU31" s="168"/>
      <c r="AV31" s="168"/>
      <c r="AW31" s="168"/>
      <c r="AX31" s="168"/>
      <c r="AY31" s="168"/>
      <c r="AZ31" s="168"/>
      <c r="BA31" s="168"/>
      <c r="BB31" s="168"/>
      <c r="BC31" s="168"/>
      <c r="BD31" s="168"/>
      <c r="BE31" s="168"/>
      <c r="BF31" s="168"/>
      <c r="BG31" s="168"/>
      <c r="BH31" s="168"/>
      <c r="BI31" s="168"/>
      <c r="BJ31" s="170"/>
      <c r="BK31" s="32" t="str">
        <f t="shared" si="16"/>
        <v>ENT_01_A3-13_バックアップ_適用病名マスタ取込用.sql</v>
      </c>
    </row>
    <row r="32" spans="1:64" ht="37.5" hidden="1" customHeight="1" outlineLevel="1">
      <c r="A32" s="34" t="str">
        <f t="shared" si="12"/>
        <v>バックアップ_ＹＪコード医薬品コードリンクマスタ取込用</v>
      </c>
      <c r="B32" s="171" t="str">
        <f t="shared" si="8"/>
        <v>01</v>
      </c>
      <c r="C32" s="172"/>
      <c r="D32" s="172"/>
      <c r="E32" s="172"/>
      <c r="F32" s="173"/>
      <c r="G32" s="174" t="s">
        <v>195</v>
      </c>
      <c r="H32" s="175"/>
      <c r="I32" s="175"/>
      <c r="J32" s="175"/>
      <c r="K32" s="175"/>
      <c r="L32" s="175"/>
      <c r="M32" s="175"/>
      <c r="N32" s="176"/>
      <c r="O32" s="79" t="s">
        <v>3154</v>
      </c>
      <c r="P32" s="164" t="s">
        <v>2107</v>
      </c>
      <c r="Q32" s="165"/>
      <c r="R32" s="165"/>
      <c r="S32" s="165"/>
      <c r="T32" s="165"/>
      <c r="U32" s="165"/>
      <c r="V32" s="165"/>
      <c r="W32" s="165"/>
      <c r="X32" s="165"/>
      <c r="Y32" s="165"/>
      <c r="Z32" s="165"/>
      <c r="AA32" s="165"/>
      <c r="AB32" s="165"/>
      <c r="AC32" s="165"/>
      <c r="AD32" s="166"/>
      <c r="AE32" s="167" t="str">
        <f t="shared" ca="1" si="13"/>
        <v>azn_202310_backup_mt_yjcode_receptdensancode_link</v>
      </c>
      <c r="AF32" s="168"/>
      <c r="AG32" s="168"/>
      <c r="AH32" s="168"/>
      <c r="AI32" s="168"/>
      <c r="AJ32" s="168"/>
      <c r="AK32" s="168"/>
      <c r="AL32" s="169"/>
      <c r="AM32" s="167" t="str">
        <f t="shared" ca="1" si="14"/>
        <v>ＹＪコード医薬品コードリンクマスタ取込用テーブルから組入れ条件の第一条件で絞り込んだ結果を格納するテーブル</v>
      </c>
      <c r="AN32" s="168"/>
      <c r="AO32" s="168"/>
      <c r="AP32" s="168"/>
      <c r="AQ32" s="168"/>
      <c r="AR32" s="168"/>
      <c r="AS32" s="168"/>
      <c r="AT32" s="168"/>
      <c r="AU32" s="168"/>
      <c r="AV32" s="168"/>
      <c r="AW32" s="168"/>
      <c r="AX32" s="168"/>
      <c r="AY32" s="168"/>
      <c r="AZ32" s="168"/>
      <c r="BA32" s="168"/>
      <c r="BB32" s="168"/>
      <c r="BC32" s="168"/>
      <c r="BD32" s="168"/>
      <c r="BE32" s="168"/>
      <c r="BF32" s="168"/>
      <c r="BG32" s="168"/>
      <c r="BH32" s="168"/>
      <c r="BI32" s="168"/>
      <c r="BJ32" s="170"/>
      <c r="BK32" s="32" t="str">
        <f t="shared" si="16"/>
        <v>ENT_01_A3-14_バックアップ_ＹＪコード医薬品コードリンクマスタ取込用.sql</v>
      </c>
    </row>
    <row r="33" spans="1:63" ht="37.5" hidden="1" customHeight="1" outlineLevel="1">
      <c r="A33" s="34" t="str">
        <f t="shared" si="12"/>
        <v>バックアップ_診療行為付加情報マスタ取込用</v>
      </c>
      <c r="B33" s="171" t="str">
        <f t="shared" si="8"/>
        <v>01</v>
      </c>
      <c r="C33" s="172"/>
      <c r="D33" s="172"/>
      <c r="E33" s="172"/>
      <c r="F33" s="173"/>
      <c r="G33" s="174" t="s">
        <v>195</v>
      </c>
      <c r="H33" s="175"/>
      <c r="I33" s="175"/>
      <c r="J33" s="175"/>
      <c r="K33" s="175"/>
      <c r="L33" s="175"/>
      <c r="M33" s="175"/>
      <c r="N33" s="176"/>
      <c r="O33" s="79" t="s">
        <v>3155</v>
      </c>
      <c r="P33" s="164" t="s">
        <v>2117</v>
      </c>
      <c r="Q33" s="165"/>
      <c r="R33" s="165"/>
      <c r="S33" s="165"/>
      <c r="T33" s="165"/>
      <c r="U33" s="165"/>
      <c r="V33" s="165"/>
      <c r="W33" s="165"/>
      <c r="X33" s="165"/>
      <c r="Y33" s="165"/>
      <c r="Z33" s="165"/>
      <c r="AA33" s="165"/>
      <c r="AB33" s="165"/>
      <c r="AC33" s="165"/>
      <c r="AD33" s="166"/>
      <c r="AE33" s="167" t="str">
        <f t="shared" ca="1" si="13"/>
        <v>azn_202310_backup_mt_shinryo_koi_fuka</v>
      </c>
      <c r="AF33" s="168"/>
      <c r="AG33" s="168"/>
      <c r="AH33" s="168"/>
      <c r="AI33" s="168"/>
      <c r="AJ33" s="168"/>
      <c r="AK33" s="168"/>
      <c r="AL33" s="169"/>
      <c r="AM33" s="167" t="str">
        <f t="shared" ca="1" si="14"/>
        <v>診療行為付加情報マスタ取込用テーブルから組入れ条件の第一条件で絞り込んだ結果を格納するテーブル</v>
      </c>
      <c r="AN33" s="168"/>
      <c r="AO33" s="168"/>
      <c r="AP33" s="168"/>
      <c r="AQ33" s="168"/>
      <c r="AR33" s="168"/>
      <c r="AS33" s="168"/>
      <c r="AT33" s="168"/>
      <c r="AU33" s="168"/>
      <c r="AV33" s="168"/>
      <c r="AW33" s="168"/>
      <c r="AX33" s="168"/>
      <c r="AY33" s="168"/>
      <c r="AZ33" s="168"/>
      <c r="BA33" s="168"/>
      <c r="BB33" s="168"/>
      <c r="BC33" s="168"/>
      <c r="BD33" s="168"/>
      <c r="BE33" s="168"/>
      <c r="BF33" s="168"/>
      <c r="BG33" s="168"/>
      <c r="BH33" s="168"/>
      <c r="BI33" s="168"/>
      <c r="BJ33" s="170"/>
      <c r="BK33" s="32" t="str">
        <f t="shared" si="16"/>
        <v>ENT_01_A3-15_バックアップ_診療行為付加情報マスタ取込用.sql</v>
      </c>
    </row>
    <row r="34" spans="1:63" ht="37.5" hidden="1" customHeight="1" outlineLevel="1">
      <c r="A34" s="34" t="str">
        <f t="shared" si="12"/>
        <v>バックアップ_処理対象施設マスタ</v>
      </c>
      <c r="B34" s="171" t="str">
        <f t="shared" si="8"/>
        <v>01</v>
      </c>
      <c r="C34" s="172"/>
      <c r="D34" s="172"/>
      <c r="E34" s="172"/>
      <c r="F34" s="173"/>
      <c r="G34" s="174" t="s">
        <v>195</v>
      </c>
      <c r="H34" s="175"/>
      <c r="I34" s="175"/>
      <c r="J34" s="175"/>
      <c r="K34" s="175"/>
      <c r="L34" s="175"/>
      <c r="M34" s="175"/>
      <c r="N34" s="176"/>
      <c r="O34" s="79" t="s">
        <v>3156</v>
      </c>
      <c r="P34" s="164" t="s">
        <v>2398</v>
      </c>
      <c r="Q34" s="165"/>
      <c r="R34" s="165"/>
      <c r="S34" s="165"/>
      <c r="T34" s="165"/>
      <c r="U34" s="165"/>
      <c r="V34" s="165"/>
      <c r="W34" s="165"/>
      <c r="X34" s="165"/>
      <c r="Y34" s="165"/>
      <c r="Z34" s="165"/>
      <c r="AA34" s="165"/>
      <c r="AB34" s="165"/>
      <c r="AC34" s="165"/>
      <c r="AD34" s="166"/>
      <c r="AE34" s="167" t="str">
        <f t="shared" ca="1" si="13"/>
        <v>azn_202310_backup_mt_shori_shisetsu</v>
      </c>
      <c r="AF34" s="168"/>
      <c r="AG34" s="168"/>
      <c r="AH34" s="168"/>
      <c r="AI34" s="168"/>
      <c r="AJ34" s="168"/>
      <c r="AK34" s="168"/>
      <c r="AL34" s="169"/>
      <c r="AM34" s="167" t="str">
        <f t="shared" ca="1" si="14"/>
        <v>処理対象施設マスタテーブルから組入れ条件の第一条件で絞り込んだ結果を格納するテーブル</v>
      </c>
      <c r="AN34" s="168"/>
      <c r="AO34" s="168"/>
      <c r="AP34" s="168"/>
      <c r="AQ34" s="168"/>
      <c r="AR34" s="168"/>
      <c r="AS34" s="168"/>
      <c r="AT34" s="168"/>
      <c r="AU34" s="168"/>
      <c r="AV34" s="168"/>
      <c r="AW34" s="168"/>
      <c r="AX34" s="168"/>
      <c r="AY34" s="168"/>
      <c r="AZ34" s="168"/>
      <c r="BA34" s="168"/>
      <c r="BB34" s="168"/>
      <c r="BC34" s="168"/>
      <c r="BD34" s="168"/>
      <c r="BE34" s="168"/>
      <c r="BF34" s="168"/>
      <c r="BG34" s="168"/>
      <c r="BH34" s="168"/>
      <c r="BI34" s="168"/>
      <c r="BJ34" s="170"/>
      <c r="BK34" s="32" t="str">
        <f t="shared" si="16"/>
        <v>ENT_01_A3-16_バックアップ_処理対象施設マスタ.sql</v>
      </c>
    </row>
    <row r="35" spans="1:63" ht="37.5" hidden="1" customHeight="1" outlineLevel="1">
      <c r="A35" s="34" t="str">
        <f t="shared" si="12"/>
        <v>バックアップ_処理対象施設マスタ管理</v>
      </c>
      <c r="B35" s="171" t="str">
        <f t="shared" si="8"/>
        <v>01</v>
      </c>
      <c r="C35" s="172"/>
      <c r="D35" s="172"/>
      <c r="E35" s="172"/>
      <c r="F35" s="173"/>
      <c r="G35" s="174" t="s">
        <v>195</v>
      </c>
      <c r="H35" s="175"/>
      <c r="I35" s="175"/>
      <c r="J35" s="175"/>
      <c r="K35" s="175"/>
      <c r="L35" s="175"/>
      <c r="M35" s="175"/>
      <c r="N35" s="176"/>
      <c r="O35" s="79" t="s">
        <v>3218</v>
      </c>
      <c r="P35" s="164" t="s">
        <v>2427</v>
      </c>
      <c r="Q35" s="165"/>
      <c r="R35" s="165"/>
      <c r="S35" s="165"/>
      <c r="T35" s="165"/>
      <c r="U35" s="165"/>
      <c r="V35" s="165"/>
      <c r="W35" s="165"/>
      <c r="X35" s="165"/>
      <c r="Y35" s="165"/>
      <c r="Z35" s="165"/>
      <c r="AA35" s="165"/>
      <c r="AB35" s="165"/>
      <c r="AC35" s="165"/>
      <c r="AD35" s="166"/>
      <c r="AE35" s="167" t="str">
        <f t="shared" ca="1" si="13"/>
        <v>azn_202310_backup_mt_shori_shisetsu_manage</v>
      </c>
      <c r="AF35" s="168"/>
      <c r="AG35" s="168"/>
      <c r="AH35" s="168"/>
      <c r="AI35" s="168"/>
      <c r="AJ35" s="168"/>
      <c r="AK35" s="168"/>
      <c r="AL35" s="169"/>
      <c r="AM35" s="167" t="str">
        <f t="shared" ca="1" si="14"/>
        <v>処理対象施設マスタ管理テーブルから組入れ条件の第一条件で絞り込んだ結果を格納するテーブル</v>
      </c>
      <c r="AN35" s="168"/>
      <c r="AO35" s="168"/>
      <c r="AP35" s="168"/>
      <c r="AQ35" s="168"/>
      <c r="AR35" s="168"/>
      <c r="AS35" s="168"/>
      <c r="AT35" s="168"/>
      <c r="AU35" s="168"/>
      <c r="AV35" s="168"/>
      <c r="AW35" s="168"/>
      <c r="AX35" s="168"/>
      <c r="AY35" s="168"/>
      <c r="AZ35" s="168"/>
      <c r="BA35" s="168"/>
      <c r="BB35" s="168"/>
      <c r="BC35" s="168"/>
      <c r="BD35" s="168"/>
      <c r="BE35" s="168"/>
      <c r="BF35" s="168"/>
      <c r="BG35" s="168"/>
      <c r="BH35" s="168"/>
      <c r="BI35" s="168"/>
      <c r="BJ35" s="170"/>
      <c r="BK35" s="32" t="str">
        <f t="shared" si="16"/>
        <v>ENT_01_A3-17_バックアップ_処理対象施設マスタ管理.sql</v>
      </c>
    </row>
    <row r="36" spans="1:63" ht="37.5" hidden="1" customHeight="1" outlineLevel="1">
      <c r="A36" s="34" t="str">
        <f t="shared" ref="A36:A51" si="17">P36</f>
        <v>バックアップ_医薬品マスタ</v>
      </c>
      <c r="B36" s="171" t="str">
        <f t="shared" si="8"/>
        <v>01</v>
      </c>
      <c r="C36" s="172"/>
      <c r="D36" s="172"/>
      <c r="E36" s="172"/>
      <c r="F36" s="173"/>
      <c r="G36" s="174" t="s">
        <v>195</v>
      </c>
      <c r="H36" s="175"/>
      <c r="I36" s="175"/>
      <c r="J36" s="175"/>
      <c r="K36" s="175"/>
      <c r="L36" s="175"/>
      <c r="M36" s="175"/>
      <c r="N36" s="176"/>
      <c r="O36" s="79" t="s">
        <v>3219</v>
      </c>
      <c r="P36" s="164" t="s">
        <v>3239</v>
      </c>
      <c r="Q36" s="165"/>
      <c r="R36" s="165"/>
      <c r="S36" s="165"/>
      <c r="T36" s="165"/>
      <c r="U36" s="165"/>
      <c r="V36" s="165"/>
      <c r="W36" s="165"/>
      <c r="X36" s="165"/>
      <c r="Y36" s="165"/>
      <c r="Z36" s="165"/>
      <c r="AA36" s="165"/>
      <c r="AB36" s="165"/>
      <c r="AC36" s="165"/>
      <c r="AD36" s="166"/>
      <c r="AE36" s="167" t="str">
        <f t="shared" ref="AE36:AE45" ca="1" si="18">IFERROR(INDIRECT(P36&amp;"!D8"),"")</f>
        <v>azn_202310_backup_mt_iyakuhin</v>
      </c>
      <c r="AF36" s="168"/>
      <c r="AG36" s="168"/>
      <c r="AH36" s="168"/>
      <c r="AI36" s="168"/>
      <c r="AJ36" s="168"/>
      <c r="AK36" s="168"/>
      <c r="AL36" s="169"/>
      <c r="AM36" s="167" t="str">
        <f t="shared" ref="AM36:AM45" ca="1" si="19">IFERROR(INDIRECT(P36&amp;"!D9"),"")</f>
        <v>医薬品マスタテーブルから組入れ条件の第一条件で絞り込んだ結果を格納するテーブル</v>
      </c>
      <c r="AN36" s="168"/>
      <c r="AO36" s="168"/>
      <c r="AP36" s="168"/>
      <c r="AQ36" s="168"/>
      <c r="AR36" s="168"/>
      <c r="AS36" s="168"/>
      <c r="AT36" s="168"/>
      <c r="AU36" s="168"/>
      <c r="AV36" s="168"/>
      <c r="AW36" s="168"/>
      <c r="AX36" s="168"/>
      <c r="AY36" s="168"/>
      <c r="AZ36" s="168"/>
      <c r="BA36" s="168"/>
      <c r="BB36" s="168"/>
      <c r="BC36" s="168"/>
      <c r="BD36" s="168"/>
      <c r="BE36" s="168"/>
      <c r="BF36" s="168"/>
      <c r="BG36" s="168"/>
      <c r="BH36" s="168"/>
      <c r="BI36" s="168"/>
      <c r="BJ36" s="170"/>
      <c r="BK36" s="32" t="str">
        <f t="shared" si="16"/>
        <v>ENT_01_A3-18_バックアップ_医薬品マスタ.sql</v>
      </c>
    </row>
    <row r="37" spans="1:63" ht="37.5" hidden="1" customHeight="1" outlineLevel="1">
      <c r="A37" s="34" t="str">
        <f t="shared" si="17"/>
        <v>バックアップ_医薬品ブランドマスタ</v>
      </c>
      <c r="B37" s="171" t="str">
        <f t="shared" si="8"/>
        <v>01</v>
      </c>
      <c r="C37" s="172"/>
      <c r="D37" s="172"/>
      <c r="E37" s="172"/>
      <c r="F37" s="173"/>
      <c r="G37" s="174" t="s">
        <v>195</v>
      </c>
      <c r="H37" s="175"/>
      <c r="I37" s="175"/>
      <c r="J37" s="175"/>
      <c r="K37" s="175"/>
      <c r="L37" s="175"/>
      <c r="M37" s="175"/>
      <c r="N37" s="176"/>
      <c r="O37" s="79" t="s">
        <v>3220</v>
      </c>
      <c r="P37" s="164" t="s">
        <v>3240</v>
      </c>
      <c r="Q37" s="165"/>
      <c r="R37" s="165"/>
      <c r="S37" s="165"/>
      <c r="T37" s="165"/>
      <c r="U37" s="165"/>
      <c r="V37" s="165"/>
      <c r="W37" s="165"/>
      <c r="X37" s="165"/>
      <c r="Y37" s="165"/>
      <c r="Z37" s="165"/>
      <c r="AA37" s="165"/>
      <c r="AB37" s="165"/>
      <c r="AC37" s="165"/>
      <c r="AD37" s="166"/>
      <c r="AE37" s="167" t="str">
        <f t="shared" ca="1" si="18"/>
        <v>azn_202310_backup_mt_iyakuhin_brand</v>
      </c>
      <c r="AF37" s="168"/>
      <c r="AG37" s="168"/>
      <c r="AH37" s="168"/>
      <c r="AI37" s="168"/>
      <c r="AJ37" s="168"/>
      <c r="AK37" s="168"/>
      <c r="AL37" s="169"/>
      <c r="AM37" s="167" t="str">
        <f t="shared" ca="1" si="19"/>
        <v>医薬品ブランドマスタテーブルから組入れ条件の第一条件で絞り込んだ結果を格納するテーブル</v>
      </c>
      <c r="AN37" s="168"/>
      <c r="AO37" s="168"/>
      <c r="AP37" s="168"/>
      <c r="AQ37" s="168"/>
      <c r="AR37" s="168"/>
      <c r="AS37" s="168"/>
      <c r="AT37" s="168"/>
      <c r="AU37" s="168"/>
      <c r="AV37" s="168"/>
      <c r="AW37" s="168"/>
      <c r="AX37" s="168"/>
      <c r="AY37" s="168"/>
      <c r="AZ37" s="168"/>
      <c r="BA37" s="168"/>
      <c r="BB37" s="168"/>
      <c r="BC37" s="168"/>
      <c r="BD37" s="168"/>
      <c r="BE37" s="168"/>
      <c r="BF37" s="168"/>
      <c r="BG37" s="168"/>
      <c r="BH37" s="168"/>
      <c r="BI37" s="168"/>
      <c r="BJ37" s="170"/>
      <c r="BK37" s="32" t="str">
        <f t="shared" si="16"/>
        <v>ENT_01_A3-19_バックアップ_医薬品ブランドマスタ.sql</v>
      </c>
    </row>
    <row r="38" spans="1:63" ht="37.5" hidden="1" customHeight="1" outlineLevel="1">
      <c r="A38" s="34" t="str">
        <f t="shared" si="17"/>
        <v>バックアップ_医薬品一般名マスタ</v>
      </c>
      <c r="B38" s="171" t="str">
        <f t="shared" ref="B38:B106" si="20">TEXT(1,"00")</f>
        <v>01</v>
      </c>
      <c r="C38" s="172"/>
      <c r="D38" s="172"/>
      <c r="E38" s="172"/>
      <c r="F38" s="173"/>
      <c r="G38" s="174" t="s">
        <v>195</v>
      </c>
      <c r="H38" s="175"/>
      <c r="I38" s="175"/>
      <c r="J38" s="175"/>
      <c r="K38" s="175"/>
      <c r="L38" s="175"/>
      <c r="M38" s="175"/>
      <c r="N38" s="176"/>
      <c r="O38" s="79" t="s">
        <v>3221</v>
      </c>
      <c r="P38" s="164" t="s">
        <v>3241</v>
      </c>
      <c r="Q38" s="165"/>
      <c r="R38" s="165"/>
      <c r="S38" s="165"/>
      <c r="T38" s="165"/>
      <c r="U38" s="165"/>
      <c r="V38" s="165"/>
      <c r="W38" s="165"/>
      <c r="X38" s="165"/>
      <c r="Y38" s="165"/>
      <c r="Z38" s="165"/>
      <c r="AA38" s="165"/>
      <c r="AB38" s="165"/>
      <c r="AC38" s="165"/>
      <c r="AD38" s="166"/>
      <c r="AE38" s="167" t="str">
        <f t="shared" ca="1" si="18"/>
        <v>azn_202310_backup_mt_iyakuhin_ippan_name</v>
      </c>
      <c r="AF38" s="168"/>
      <c r="AG38" s="168"/>
      <c r="AH38" s="168"/>
      <c r="AI38" s="168"/>
      <c r="AJ38" s="168"/>
      <c r="AK38" s="168"/>
      <c r="AL38" s="169"/>
      <c r="AM38" s="167" t="str">
        <f t="shared" ca="1" si="19"/>
        <v>医薬品一般名マスタテーブルから組入れ条件の第一条件で絞り込んだ結果を格納するテーブル</v>
      </c>
      <c r="AN38" s="168"/>
      <c r="AO38" s="168"/>
      <c r="AP38" s="168"/>
      <c r="AQ38" s="168"/>
      <c r="AR38" s="168"/>
      <c r="AS38" s="168"/>
      <c r="AT38" s="168"/>
      <c r="AU38" s="168"/>
      <c r="AV38" s="168"/>
      <c r="AW38" s="168"/>
      <c r="AX38" s="168"/>
      <c r="AY38" s="168"/>
      <c r="AZ38" s="168"/>
      <c r="BA38" s="168"/>
      <c r="BB38" s="168"/>
      <c r="BC38" s="168"/>
      <c r="BD38" s="168"/>
      <c r="BE38" s="168"/>
      <c r="BF38" s="168"/>
      <c r="BG38" s="168"/>
      <c r="BH38" s="168"/>
      <c r="BI38" s="168"/>
      <c r="BJ38" s="170"/>
      <c r="BK38" s="32" t="str">
        <f t="shared" si="16"/>
        <v>ENT_01_A3-20_バックアップ_医薬品一般名マスタ.sql</v>
      </c>
    </row>
    <row r="39" spans="1:63" ht="37.5" hidden="1" customHeight="1" outlineLevel="1">
      <c r="A39" s="34" t="str">
        <f t="shared" si="17"/>
        <v>バックアップ_医薬品販売会社マスタ</v>
      </c>
      <c r="B39" s="171" t="str">
        <f t="shared" si="20"/>
        <v>01</v>
      </c>
      <c r="C39" s="172"/>
      <c r="D39" s="172"/>
      <c r="E39" s="172"/>
      <c r="F39" s="173"/>
      <c r="G39" s="174" t="s">
        <v>195</v>
      </c>
      <c r="H39" s="175"/>
      <c r="I39" s="175"/>
      <c r="J39" s="175"/>
      <c r="K39" s="175"/>
      <c r="L39" s="175"/>
      <c r="M39" s="175"/>
      <c r="N39" s="176"/>
      <c r="O39" s="79" t="s">
        <v>3222</v>
      </c>
      <c r="P39" s="164" t="s">
        <v>3242</v>
      </c>
      <c r="Q39" s="165"/>
      <c r="R39" s="165"/>
      <c r="S39" s="165"/>
      <c r="T39" s="165"/>
      <c r="U39" s="165"/>
      <c r="V39" s="165"/>
      <c r="W39" s="165"/>
      <c r="X39" s="165"/>
      <c r="Y39" s="165"/>
      <c r="Z39" s="165"/>
      <c r="AA39" s="165"/>
      <c r="AB39" s="165"/>
      <c r="AC39" s="165"/>
      <c r="AD39" s="166"/>
      <c r="AE39" s="167" t="str">
        <f t="shared" ca="1" si="18"/>
        <v>azn_202310_backup_mt_iyakuhin_sales_kaisha</v>
      </c>
      <c r="AF39" s="168"/>
      <c r="AG39" s="168"/>
      <c r="AH39" s="168"/>
      <c r="AI39" s="168"/>
      <c r="AJ39" s="168"/>
      <c r="AK39" s="168"/>
      <c r="AL39" s="169"/>
      <c r="AM39" s="167" t="str">
        <f t="shared" ca="1" si="19"/>
        <v>医薬品販売会社マスタテーブルから組入れ条件の第一条件で絞り込んだ結果を格納するテーブル</v>
      </c>
      <c r="AN39" s="168"/>
      <c r="AO39" s="168"/>
      <c r="AP39" s="168"/>
      <c r="AQ39" s="168"/>
      <c r="AR39" s="168"/>
      <c r="AS39" s="168"/>
      <c r="AT39" s="168"/>
      <c r="AU39" s="168"/>
      <c r="AV39" s="168"/>
      <c r="AW39" s="168"/>
      <c r="AX39" s="168"/>
      <c r="AY39" s="168"/>
      <c r="AZ39" s="168"/>
      <c r="BA39" s="168"/>
      <c r="BB39" s="168"/>
      <c r="BC39" s="168"/>
      <c r="BD39" s="168"/>
      <c r="BE39" s="168"/>
      <c r="BF39" s="168"/>
      <c r="BG39" s="168"/>
      <c r="BH39" s="168"/>
      <c r="BI39" s="168"/>
      <c r="BJ39" s="170"/>
      <c r="BK39" s="32" t="str">
        <f t="shared" si="16"/>
        <v>ENT_01_A3-21_バックアップ_医薬品販売会社マスタ.sql</v>
      </c>
    </row>
    <row r="40" spans="1:63" ht="37.5" hidden="1" customHeight="1" outlineLevel="1">
      <c r="A40" s="34" t="str">
        <f t="shared" si="17"/>
        <v>バックアップ_メーカマスタ</v>
      </c>
      <c r="B40" s="171" t="str">
        <f t="shared" si="20"/>
        <v>01</v>
      </c>
      <c r="C40" s="172"/>
      <c r="D40" s="172"/>
      <c r="E40" s="172"/>
      <c r="F40" s="173"/>
      <c r="G40" s="174" t="s">
        <v>195</v>
      </c>
      <c r="H40" s="175"/>
      <c r="I40" s="175"/>
      <c r="J40" s="175"/>
      <c r="K40" s="175"/>
      <c r="L40" s="175"/>
      <c r="M40" s="175"/>
      <c r="N40" s="176"/>
      <c r="O40" s="79" t="s">
        <v>3223</v>
      </c>
      <c r="P40" s="164" t="s">
        <v>3243</v>
      </c>
      <c r="Q40" s="165"/>
      <c r="R40" s="165"/>
      <c r="S40" s="165"/>
      <c r="T40" s="165"/>
      <c r="U40" s="165"/>
      <c r="V40" s="165"/>
      <c r="W40" s="165"/>
      <c r="X40" s="165"/>
      <c r="Y40" s="165"/>
      <c r="Z40" s="165"/>
      <c r="AA40" s="165"/>
      <c r="AB40" s="165"/>
      <c r="AC40" s="165"/>
      <c r="AD40" s="166"/>
      <c r="AE40" s="167" t="str">
        <f t="shared" ca="1" si="18"/>
        <v>azn_202310_backup_mt_maker</v>
      </c>
      <c r="AF40" s="168"/>
      <c r="AG40" s="168"/>
      <c r="AH40" s="168"/>
      <c r="AI40" s="168"/>
      <c r="AJ40" s="168"/>
      <c r="AK40" s="168"/>
      <c r="AL40" s="169"/>
      <c r="AM40" s="167" t="str">
        <f t="shared" ca="1" si="19"/>
        <v>メーカマスタテーブルから組入れ条件の第一条件で絞り込んだ結果を格納するテーブル</v>
      </c>
      <c r="AN40" s="168"/>
      <c r="AO40" s="168"/>
      <c r="AP40" s="168"/>
      <c r="AQ40" s="168"/>
      <c r="AR40" s="168"/>
      <c r="AS40" s="168"/>
      <c r="AT40" s="168"/>
      <c r="AU40" s="168"/>
      <c r="AV40" s="168"/>
      <c r="AW40" s="168"/>
      <c r="AX40" s="168"/>
      <c r="AY40" s="168"/>
      <c r="AZ40" s="168"/>
      <c r="BA40" s="168"/>
      <c r="BB40" s="168"/>
      <c r="BC40" s="168"/>
      <c r="BD40" s="168"/>
      <c r="BE40" s="168"/>
      <c r="BF40" s="168"/>
      <c r="BG40" s="168"/>
      <c r="BH40" s="168"/>
      <c r="BI40" s="168"/>
      <c r="BJ40" s="170"/>
      <c r="BK40" s="32" t="str">
        <f t="shared" si="16"/>
        <v>ENT_01_A3-22_バックアップ_メーカマスタ.sql</v>
      </c>
    </row>
    <row r="41" spans="1:63" ht="37.5" hidden="1" customHeight="1" outlineLevel="1">
      <c r="A41" s="34" t="str">
        <f t="shared" si="17"/>
        <v>バックアップ_薬価マスタ</v>
      </c>
      <c r="B41" s="171" t="str">
        <f t="shared" si="20"/>
        <v>01</v>
      </c>
      <c r="C41" s="172"/>
      <c r="D41" s="172"/>
      <c r="E41" s="172"/>
      <c r="F41" s="173"/>
      <c r="G41" s="174" t="s">
        <v>195</v>
      </c>
      <c r="H41" s="175"/>
      <c r="I41" s="175"/>
      <c r="J41" s="175"/>
      <c r="K41" s="175"/>
      <c r="L41" s="175"/>
      <c r="M41" s="175"/>
      <c r="N41" s="176"/>
      <c r="O41" s="79" t="s">
        <v>3224</v>
      </c>
      <c r="P41" s="164" t="s">
        <v>3244</v>
      </c>
      <c r="Q41" s="165"/>
      <c r="R41" s="165"/>
      <c r="S41" s="165"/>
      <c r="T41" s="165"/>
      <c r="U41" s="165"/>
      <c r="V41" s="165"/>
      <c r="W41" s="165"/>
      <c r="X41" s="165"/>
      <c r="Y41" s="165"/>
      <c r="Z41" s="165"/>
      <c r="AA41" s="165"/>
      <c r="AB41" s="165"/>
      <c r="AC41" s="165"/>
      <c r="AD41" s="166"/>
      <c r="AE41" s="167" t="str">
        <f t="shared" ca="1" si="18"/>
        <v>azn_202310_backup_mt_price</v>
      </c>
      <c r="AF41" s="168"/>
      <c r="AG41" s="168"/>
      <c r="AH41" s="168"/>
      <c r="AI41" s="168"/>
      <c r="AJ41" s="168"/>
      <c r="AK41" s="168"/>
      <c r="AL41" s="169"/>
      <c r="AM41" s="167" t="str">
        <f t="shared" ca="1" si="19"/>
        <v>薬価マスタテーブルから組入れ条件の第一条件で絞り込んだ結果を格納するテーブル</v>
      </c>
      <c r="AN41" s="168"/>
      <c r="AO41" s="168"/>
      <c r="AP41" s="168"/>
      <c r="AQ41" s="168"/>
      <c r="AR41" s="168"/>
      <c r="AS41" s="168"/>
      <c r="AT41" s="168"/>
      <c r="AU41" s="168"/>
      <c r="AV41" s="168"/>
      <c r="AW41" s="168"/>
      <c r="AX41" s="168"/>
      <c r="AY41" s="168"/>
      <c r="AZ41" s="168"/>
      <c r="BA41" s="168"/>
      <c r="BB41" s="168"/>
      <c r="BC41" s="168"/>
      <c r="BD41" s="168"/>
      <c r="BE41" s="168"/>
      <c r="BF41" s="168"/>
      <c r="BG41" s="168"/>
      <c r="BH41" s="168"/>
      <c r="BI41" s="168"/>
      <c r="BJ41" s="170"/>
      <c r="BK41" s="32" t="str">
        <f t="shared" si="16"/>
        <v>ENT_01_A3-23_バックアップ_薬価マスタ.sql</v>
      </c>
    </row>
    <row r="42" spans="1:63" ht="37.5" hidden="1" customHeight="1" outlineLevel="1">
      <c r="A42" s="34" t="str">
        <f t="shared" si="17"/>
        <v>バックアップ_薬効ATC分類1マスタ</v>
      </c>
      <c r="B42" s="171" t="str">
        <f t="shared" si="20"/>
        <v>01</v>
      </c>
      <c r="C42" s="172"/>
      <c r="D42" s="172"/>
      <c r="E42" s="172"/>
      <c r="F42" s="173"/>
      <c r="G42" s="174" t="s">
        <v>195</v>
      </c>
      <c r="H42" s="175"/>
      <c r="I42" s="175"/>
      <c r="J42" s="175"/>
      <c r="K42" s="175"/>
      <c r="L42" s="175"/>
      <c r="M42" s="175"/>
      <c r="N42" s="176"/>
      <c r="O42" s="79" t="s">
        <v>3225</v>
      </c>
      <c r="P42" s="164" t="s">
        <v>3245</v>
      </c>
      <c r="Q42" s="165"/>
      <c r="R42" s="165"/>
      <c r="S42" s="165"/>
      <c r="T42" s="165"/>
      <c r="U42" s="165"/>
      <c r="V42" s="165"/>
      <c r="W42" s="165"/>
      <c r="X42" s="165"/>
      <c r="Y42" s="165"/>
      <c r="Z42" s="165"/>
      <c r="AA42" s="165"/>
      <c r="AB42" s="165"/>
      <c r="AC42" s="165"/>
      <c r="AD42" s="166"/>
      <c r="AE42" s="167" t="str">
        <f t="shared" ca="1" si="18"/>
        <v>azn_202310_backup_mt_yakko_atc1</v>
      </c>
      <c r="AF42" s="168"/>
      <c r="AG42" s="168"/>
      <c r="AH42" s="168"/>
      <c r="AI42" s="168"/>
      <c r="AJ42" s="168"/>
      <c r="AK42" s="168"/>
      <c r="AL42" s="169"/>
      <c r="AM42" s="167" t="str">
        <f t="shared" ca="1" si="19"/>
        <v>薬効ATC分類1マスタテーブルから組入れ条件の第一条件で絞り込んだ結果を格納するテーブル</v>
      </c>
      <c r="AN42" s="168"/>
      <c r="AO42" s="168"/>
      <c r="AP42" s="168"/>
      <c r="AQ42" s="168"/>
      <c r="AR42" s="168"/>
      <c r="AS42" s="168"/>
      <c r="AT42" s="168"/>
      <c r="AU42" s="168"/>
      <c r="AV42" s="168"/>
      <c r="AW42" s="168"/>
      <c r="AX42" s="168"/>
      <c r="AY42" s="168"/>
      <c r="AZ42" s="168"/>
      <c r="BA42" s="168"/>
      <c r="BB42" s="168"/>
      <c r="BC42" s="168"/>
      <c r="BD42" s="168"/>
      <c r="BE42" s="168"/>
      <c r="BF42" s="168"/>
      <c r="BG42" s="168"/>
      <c r="BH42" s="168"/>
      <c r="BI42" s="168"/>
      <c r="BJ42" s="170"/>
      <c r="BK42" s="32" t="str">
        <f t="shared" ref="BK42:BK51" si="21">IF(P42&lt;&gt;"",O42&amp;"_"&amp;P42&amp;".sql","")</f>
        <v>ENT_01_A3-24_バックアップ_薬効ATC分類1マスタ.sql</v>
      </c>
    </row>
    <row r="43" spans="1:63" ht="37.5" hidden="1" customHeight="1" outlineLevel="1">
      <c r="A43" s="34" t="str">
        <f t="shared" si="17"/>
        <v>バックアップ_薬効ATC分類2マスタ</v>
      </c>
      <c r="B43" s="171" t="str">
        <f t="shared" si="20"/>
        <v>01</v>
      </c>
      <c r="C43" s="172"/>
      <c r="D43" s="172"/>
      <c r="E43" s="172"/>
      <c r="F43" s="173"/>
      <c r="G43" s="174" t="s">
        <v>195</v>
      </c>
      <c r="H43" s="175"/>
      <c r="I43" s="175"/>
      <c r="J43" s="175"/>
      <c r="K43" s="175"/>
      <c r="L43" s="175"/>
      <c r="M43" s="175"/>
      <c r="N43" s="176"/>
      <c r="O43" s="79" t="s">
        <v>3226</v>
      </c>
      <c r="P43" s="164" t="s">
        <v>3246</v>
      </c>
      <c r="Q43" s="165"/>
      <c r="R43" s="165"/>
      <c r="S43" s="165"/>
      <c r="T43" s="165"/>
      <c r="U43" s="165"/>
      <c r="V43" s="165"/>
      <c r="W43" s="165"/>
      <c r="X43" s="165"/>
      <c r="Y43" s="165"/>
      <c r="Z43" s="165"/>
      <c r="AA43" s="165"/>
      <c r="AB43" s="165"/>
      <c r="AC43" s="165"/>
      <c r="AD43" s="166"/>
      <c r="AE43" s="167" t="str">
        <f t="shared" ca="1" si="18"/>
        <v>azn_202310_backup_mt_yakko_atc2</v>
      </c>
      <c r="AF43" s="168"/>
      <c r="AG43" s="168"/>
      <c r="AH43" s="168"/>
      <c r="AI43" s="168"/>
      <c r="AJ43" s="168"/>
      <c r="AK43" s="168"/>
      <c r="AL43" s="169"/>
      <c r="AM43" s="167" t="str">
        <f t="shared" ca="1" si="19"/>
        <v>薬効ATC分類2マスタテーブルから組入れ条件の第一条件で絞り込んだ結果を格納するテーブル</v>
      </c>
      <c r="AN43" s="168"/>
      <c r="AO43" s="168"/>
      <c r="AP43" s="168"/>
      <c r="AQ43" s="168"/>
      <c r="AR43" s="168"/>
      <c r="AS43" s="168"/>
      <c r="AT43" s="168"/>
      <c r="AU43" s="168"/>
      <c r="AV43" s="168"/>
      <c r="AW43" s="168"/>
      <c r="AX43" s="168"/>
      <c r="AY43" s="168"/>
      <c r="AZ43" s="168"/>
      <c r="BA43" s="168"/>
      <c r="BB43" s="168"/>
      <c r="BC43" s="168"/>
      <c r="BD43" s="168"/>
      <c r="BE43" s="168"/>
      <c r="BF43" s="168"/>
      <c r="BG43" s="168"/>
      <c r="BH43" s="168"/>
      <c r="BI43" s="168"/>
      <c r="BJ43" s="170"/>
      <c r="BK43" s="32" t="str">
        <f t="shared" si="21"/>
        <v>ENT_01_A3-25_バックアップ_薬効ATC分類2マスタ.sql</v>
      </c>
    </row>
    <row r="44" spans="1:63" ht="37.5" hidden="1" customHeight="1" outlineLevel="1">
      <c r="A44" s="34" t="str">
        <f t="shared" si="17"/>
        <v>バックアップ_薬効ATC分類3マスタ</v>
      </c>
      <c r="B44" s="171" t="str">
        <f t="shared" si="20"/>
        <v>01</v>
      </c>
      <c r="C44" s="172"/>
      <c r="D44" s="172"/>
      <c r="E44" s="172"/>
      <c r="F44" s="173"/>
      <c r="G44" s="174" t="s">
        <v>195</v>
      </c>
      <c r="H44" s="175"/>
      <c r="I44" s="175"/>
      <c r="J44" s="175"/>
      <c r="K44" s="175"/>
      <c r="L44" s="175"/>
      <c r="M44" s="175"/>
      <c r="N44" s="176"/>
      <c r="O44" s="79" t="s">
        <v>3227</v>
      </c>
      <c r="P44" s="164" t="s">
        <v>3247</v>
      </c>
      <c r="Q44" s="165"/>
      <c r="R44" s="165"/>
      <c r="S44" s="165"/>
      <c r="T44" s="165"/>
      <c r="U44" s="165"/>
      <c r="V44" s="165"/>
      <c r="W44" s="165"/>
      <c r="X44" s="165"/>
      <c r="Y44" s="165"/>
      <c r="Z44" s="165"/>
      <c r="AA44" s="165"/>
      <c r="AB44" s="165"/>
      <c r="AC44" s="165"/>
      <c r="AD44" s="166"/>
      <c r="AE44" s="167" t="str">
        <f t="shared" ca="1" si="18"/>
        <v>azn_202310_backup_mt_yakko_atc3</v>
      </c>
      <c r="AF44" s="168"/>
      <c r="AG44" s="168"/>
      <c r="AH44" s="168"/>
      <c r="AI44" s="168"/>
      <c r="AJ44" s="168"/>
      <c r="AK44" s="168"/>
      <c r="AL44" s="169"/>
      <c r="AM44" s="167" t="str">
        <f t="shared" ca="1" si="19"/>
        <v>薬効ATC分類3マスタテーブルから組入れ条件の第一条件で絞り込んだ結果を格納するテーブル</v>
      </c>
      <c r="AN44" s="168"/>
      <c r="AO44" s="168"/>
      <c r="AP44" s="168"/>
      <c r="AQ44" s="168"/>
      <c r="AR44" s="168"/>
      <c r="AS44" s="168"/>
      <c r="AT44" s="168"/>
      <c r="AU44" s="168"/>
      <c r="AV44" s="168"/>
      <c r="AW44" s="168"/>
      <c r="AX44" s="168"/>
      <c r="AY44" s="168"/>
      <c r="AZ44" s="168"/>
      <c r="BA44" s="168"/>
      <c r="BB44" s="168"/>
      <c r="BC44" s="168"/>
      <c r="BD44" s="168"/>
      <c r="BE44" s="168"/>
      <c r="BF44" s="168"/>
      <c r="BG44" s="168"/>
      <c r="BH44" s="168"/>
      <c r="BI44" s="168"/>
      <c r="BJ44" s="170"/>
      <c r="BK44" s="32" t="str">
        <f t="shared" si="21"/>
        <v>ENT_01_A3-26_バックアップ_薬効ATC分類3マスタ.sql</v>
      </c>
    </row>
    <row r="45" spans="1:63" ht="37.5" hidden="1" customHeight="1" outlineLevel="1">
      <c r="A45" s="34" t="str">
        <f t="shared" si="17"/>
        <v>バックアップ_薬効ATC分類4マスタ</v>
      </c>
      <c r="B45" s="171" t="str">
        <f t="shared" si="20"/>
        <v>01</v>
      </c>
      <c r="C45" s="172"/>
      <c r="D45" s="172"/>
      <c r="E45" s="172"/>
      <c r="F45" s="173"/>
      <c r="G45" s="174" t="s">
        <v>195</v>
      </c>
      <c r="H45" s="175"/>
      <c r="I45" s="175"/>
      <c r="J45" s="175"/>
      <c r="K45" s="175"/>
      <c r="L45" s="175"/>
      <c r="M45" s="175"/>
      <c r="N45" s="176"/>
      <c r="O45" s="79" t="s">
        <v>3228</v>
      </c>
      <c r="P45" s="164" t="s">
        <v>3248</v>
      </c>
      <c r="Q45" s="165"/>
      <c r="R45" s="165"/>
      <c r="S45" s="165"/>
      <c r="T45" s="165"/>
      <c r="U45" s="165"/>
      <c r="V45" s="165"/>
      <c r="W45" s="165"/>
      <c r="X45" s="165"/>
      <c r="Y45" s="165"/>
      <c r="Z45" s="165"/>
      <c r="AA45" s="165"/>
      <c r="AB45" s="165"/>
      <c r="AC45" s="165"/>
      <c r="AD45" s="166"/>
      <c r="AE45" s="167" t="str">
        <f t="shared" ca="1" si="18"/>
        <v>azn_202310_backup_mt_yakko_atc4</v>
      </c>
      <c r="AF45" s="168"/>
      <c r="AG45" s="168"/>
      <c r="AH45" s="168"/>
      <c r="AI45" s="168"/>
      <c r="AJ45" s="168"/>
      <c r="AK45" s="168"/>
      <c r="AL45" s="169"/>
      <c r="AM45" s="167" t="str">
        <f t="shared" ca="1" si="19"/>
        <v>薬効ATC分類4マスタテーブルから組入れ条件の第一条件で絞り込んだ結果を格納するテーブル</v>
      </c>
      <c r="AN45" s="168"/>
      <c r="AO45" s="168"/>
      <c r="AP45" s="168"/>
      <c r="AQ45" s="168"/>
      <c r="AR45" s="168"/>
      <c r="AS45" s="168"/>
      <c r="AT45" s="168"/>
      <c r="AU45" s="168"/>
      <c r="AV45" s="168"/>
      <c r="AW45" s="168"/>
      <c r="AX45" s="168"/>
      <c r="AY45" s="168"/>
      <c r="AZ45" s="168"/>
      <c r="BA45" s="168"/>
      <c r="BB45" s="168"/>
      <c r="BC45" s="168"/>
      <c r="BD45" s="168"/>
      <c r="BE45" s="168"/>
      <c r="BF45" s="168"/>
      <c r="BG45" s="168"/>
      <c r="BH45" s="168"/>
      <c r="BI45" s="168"/>
      <c r="BJ45" s="170"/>
      <c r="BK45" s="32" t="str">
        <f t="shared" si="21"/>
        <v>ENT_01_A3-27_バックアップ_薬効ATC分類4マスタ.sql</v>
      </c>
    </row>
    <row r="46" spans="1:63" ht="37.5" hidden="1" customHeight="1" outlineLevel="1">
      <c r="A46" s="34" t="str">
        <f t="shared" si="17"/>
        <v>バックアップ_薬効ATC分類5マスタ</v>
      </c>
      <c r="B46" s="171" t="str">
        <f t="shared" si="20"/>
        <v>01</v>
      </c>
      <c r="C46" s="172"/>
      <c r="D46" s="172"/>
      <c r="E46" s="172"/>
      <c r="F46" s="173"/>
      <c r="G46" s="174" t="s">
        <v>195</v>
      </c>
      <c r="H46" s="175"/>
      <c r="I46" s="175"/>
      <c r="J46" s="175"/>
      <c r="K46" s="175"/>
      <c r="L46" s="175"/>
      <c r="M46" s="175"/>
      <c r="N46" s="176"/>
      <c r="O46" s="79" t="s">
        <v>3229</v>
      </c>
      <c r="P46" s="164" t="s">
        <v>3249</v>
      </c>
      <c r="Q46" s="165"/>
      <c r="R46" s="165"/>
      <c r="S46" s="165"/>
      <c r="T46" s="165"/>
      <c r="U46" s="165"/>
      <c r="V46" s="165"/>
      <c r="W46" s="165"/>
      <c r="X46" s="165"/>
      <c r="Y46" s="165"/>
      <c r="Z46" s="165"/>
      <c r="AA46" s="165"/>
      <c r="AB46" s="165"/>
      <c r="AC46" s="165"/>
      <c r="AD46" s="166"/>
      <c r="AE46" s="167" t="str">
        <f t="shared" ref="AE46" ca="1" si="22">IFERROR(INDIRECT(P46&amp;"!D8"),"")</f>
        <v>azn_202310_backup_mt_yakko_atc5</v>
      </c>
      <c r="AF46" s="168"/>
      <c r="AG46" s="168"/>
      <c r="AH46" s="168"/>
      <c r="AI46" s="168"/>
      <c r="AJ46" s="168"/>
      <c r="AK46" s="168"/>
      <c r="AL46" s="169"/>
      <c r="AM46" s="167" t="str">
        <f t="shared" ref="AM46" ca="1" si="23">IFERROR(INDIRECT(P46&amp;"!D9"),"")</f>
        <v>薬効ATC分類5マスタテーブルから組入れ条件の第一条件で絞り込んだ結果を格納するテーブル</v>
      </c>
      <c r="AN46" s="168"/>
      <c r="AO46" s="168"/>
      <c r="AP46" s="168"/>
      <c r="AQ46" s="168"/>
      <c r="AR46" s="168"/>
      <c r="AS46" s="168"/>
      <c r="AT46" s="168"/>
      <c r="AU46" s="168"/>
      <c r="AV46" s="168"/>
      <c r="AW46" s="168"/>
      <c r="AX46" s="168"/>
      <c r="AY46" s="168"/>
      <c r="AZ46" s="168"/>
      <c r="BA46" s="168"/>
      <c r="BB46" s="168"/>
      <c r="BC46" s="168"/>
      <c r="BD46" s="168"/>
      <c r="BE46" s="168"/>
      <c r="BF46" s="168"/>
      <c r="BG46" s="168"/>
      <c r="BH46" s="168"/>
      <c r="BI46" s="168"/>
      <c r="BJ46" s="170"/>
      <c r="BK46" s="32" t="str">
        <f t="shared" si="21"/>
        <v>ENT_01_A3-28_バックアップ_薬効ATC分類5マスタ.sql</v>
      </c>
    </row>
    <row r="47" spans="1:63" ht="37.5" hidden="1" customHeight="1" outlineLevel="1">
      <c r="A47" s="34" t="str">
        <f t="shared" si="17"/>
        <v>バックアップ_疾病マスタ</v>
      </c>
      <c r="B47" s="171" t="str">
        <f t="shared" si="20"/>
        <v>01</v>
      </c>
      <c r="C47" s="172"/>
      <c r="D47" s="172"/>
      <c r="E47" s="172"/>
      <c r="F47" s="173"/>
      <c r="G47" s="174" t="s">
        <v>195</v>
      </c>
      <c r="H47" s="175"/>
      <c r="I47" s="175"/>
      <c r="J47" s="175"/>
      <c r="K47" s="175"/>
      <c r="L47" s="175"/>
      <c r="M47" s="175"/>
      <c r="N47" s="176"/>
      <c r="O47" s="79" t="s">
        <v>3230</v>
      </c>
      <c r="P47" s="164" t="s">
        <v>3250</v>
      </c>
      <c r="Q47" s="165"/>
      <c r="R47" s="165"/>
      <c r="S47" s="165"/>
      <c r="T47" s="165"/>
      <c r="U47" s="165"/>
      <c r="V47" s="165"/>
      <c r="W47" s="165"/>
      <c r="X47" s="165"/>
      <c r="Y47" s="165"/>
      <c r="Z47" s="165"/>
      <c r="AA47" s="165"/>
      <c r="AB47" s="165"/>
      <c r="AC47" s="165"/>
      <c r="AD47" s="166"/>
      <c r="AE47" s="167" t="str">
        <f t="shared" ref="AE47:AE51" ca="1" si="24">IFERROR(INDIRECT(P47&amp;"!D8"),"")</f>
        <v>azn_202310_backup_mt_shippei</v>
      </c>
      <c r="AF47" s="168"/>
      <c r="AG47" s="168"/>
      <c r="AH47" s="168"/>
      <c r="AI47" s="168"/>
      <c r="AJ47" s="168"/>
      <c r="AK47" s="168"/>
      <c r="AL47" s="169"/>
      <c r="AM47" s="167" t="str">
        <f t="shared" ref="AM47:AM51" ca="1" si="25">IFERROR(INDIRECT(P47&amp;"!D9"),"")</f>
        <v>疾病マスタテーブルから組入れ条件の第一条件で絞り込んだ結果を格納するテーブル</v>
      </c>
      <c r="AN47" s="168"/>
      <c r="AO47" s="168"/>
      <c r="AP47" s="168"/>
      <c r="AQ47" s="168"/>
      <c r="AR47" s="168"/>
      <c r="AS47" s="168"/>
      <c r="AT47" s="168"/>
      <c r="AU47" s="168"/>
      <c r="AV47" s="168"/>
      <c r="AW47" s="168"/>
      <c r="AX47" s="168"/>
      <c r="AY47" s="168"/>
      <c r="AZ47" s="168"/>
      <c r="BA47" s="168"/>
      <c r="BB47" s="168"/>
      <c r="BC47" s="168"/>
      <c r="BD47" s="168"/>
      <c r="BE47" s="168"/>
      <c r="BF47" s="168"/>
      <c r="BG47" s="168"/>
      <c r="BH47" s="168"/>
      <c r="BI47" s="168"/>
      <c r="BJ47" s="170"/>
      <c r="BK47" s="32" t="str">
        <f t="shared" si="21"/>
        <v>ENT_01_A3-29_バックアップ_疾病マスタ.sql</v>
      </c>
    </row>
    <row r="48" spans="1:63" ht="37.5" hidden="1" customHeight="1" outlineLevel="1">
      <c r="A48" s="34" t="str">
        <f t="shared" si="17"/>
        <v>バックアップ_ICD10大分類マスタ</v>
      </c>
      <c r="B48" s="171" t="str">
        <f t="shared" si="20"/>
        <v>01</v>
      </c>
      <c r="C48" s="172"/>
      <c r="D48" s="172"/>
      <c r="E48" s="172"/>
      <c r="F48" s="173"/>
      <c r="G48" s="174" t="s">
        <v>195</v>
      </c>
      <c r="H48" s="175"/>
      <c r="I48" s="175"/>
      <c r="J48" s="175"/>
      <c r="K48" s="175"/>
      <c r="L48" s="175"/>
      <c r="M48" s="175"/>
      <c r="N48" s="176"/>
      <c r="O48" s="79" t="s">
        <v>3234</v>
      </c>
      <c r="P48" s="164" t="s">
        <v>3251</v>
      </c>
      <c r="Q48" s="165"/>
      <c r="R48" s="165"/>
      <c r="S48" s="165"/>
      <c r="T48" s="165"/>
      <c r="U48" s="165"/>
      <c r="V48" s="165"/>
      <c r="W48" s="165"/>
      <c r="X48" s="165"/>
      <c r="Y48" s="165"/>
      <c r="Z48" s="165"/>
      <c r="AA48" s="165"/>
      <c r="AB48" s="165"/>
      <c r="AC48" s="165"/>
      <c r="AD48" s="166"/>
      <c r="AE48" s="167" t="str">
        <f t="shared" ca="1" si="24"/>
        <v>azn_202310_backup_mt_icd10_l</v>
      </c>
      <c r="AF48" s="168"/>
      <c r="AG48" s="168"/>
      <c r="AH48" s="168"/>
      <c r="AI48" s="168"/>
      <c r="AJ48" s="168"/>
      <c r="AK48" s="168"/>
      <c r="AL48" s="169"/>
      <c r="AM48" s="167" t="str">
        <f t="shared" ca="1" si="25"/>
        <v>ICD10大分類マスタテーブルから組入れ条件の第一条件で絞り込んだ結果を格納するテーブル</v>
      </c>
      <c r="AN48" s="168"/>
      <c r="AO48" s="168"/>
      <c r="AP48" s="168"/>
      <c r="AQ48" s="168"/>
      <c r="AR48" s="168"/>
      <c r="AS48" s="168"/>
      <c r="AT48" s="168"/>
      <c r="AU48" s="168"/>
      <c r="AV48" s="168"/>
      <c r="AW48" s="168"/>
      <c r="AX48" s="168"/>
      <c r="AY48" s="168"/>
      <c r="AZ48" s="168"/>
      <c r="BA48" s="168"/>
      <c r="BB48" s="168"/>
      <c r="BC48" s="168"/>
      <c r="BD48" s="168"/>
      <c r="BE48" s="168"/>
      <c r="BF48" s="168"/>
      <c r="BG48" s="168"/>
      <c r="BH48" s="168"/>
      <c r="BI48" s="168"/>
      <c r="BJ48" s="170"/>
      <c r="BK48" s="32" t="str">
        <f t="shared" si="21"/>
        <v>ENT_01_A3-30_バックアップ_ICD10大分類マスタ.sql</v>
      </c>
    </row>
    <row r="49" spans="1:63" ht="37.5" hidden="1" customHeight="1" outlineLevel="1">
      <c r="A49" s="34" t="str">
        <f t="shared" si="17"/>
        <v>バックアップ_ICD10中分類マスタ</v>
      </c>
      <c r="B49" s="171" t="str">
        <f t="shared" si="20"/>
        <v>01</v>
      </c>
      <c r="C49" s="172"/>
      <c r="D49" s="172"/>
      <c r="E49" s="172"/>
      <c r="F49" s="173"/>
      <c r="G49" s="174" t="s">
        <v>195</v>
      </c>
      <c r="H49" s="175"/>
      <c r="I49" s="175"/>
      <c r="J49" s="175"/>
      <c r="K49" s="175"/>
      <c r="L49" s="175"/>
      <c r="M49" s="175"/>
      <c r="N49" s="176"/>
      <c r="O49" s="79" t="s">
        <v>3231</v>
      </c>
      <c r="P49" s="164" t="s">
        <v>3252</v>
      </c>
      <c r="Q49" s="165"/>
      <c r="R49" s="165"/>
      <c r="S49" s="165"/>
      <c r="T49" s="165"/>
      <c r="U49" s="165"/>
      <c r="V49" s="165"/>
      <c r="W49" s="165"/>
      <c r="X49" s="165"/>
      <c r="Y49" s="165"/>
      <c r="Z49" s="165"/>
      <c r="AA49" s="165"/>
      <c r="AB49" s="165"/>
      <c r="AC49" s="165"/>
      <c r="AD49" s="166"/>
      <c r="AE49" s="167" t="str">
        <f t="shared" ca="1" si="24"/>
        <v>azn_202310_backup_mt_icd10_m</v>
      </c>
      <c r="AF49" s="168"/>
      <c r="AG49" s="168"/>
      <c r="AH49" s="168"/>
      <c r="AI49" s="168"/>
      <c r="AJ49" s="168"/>
      <c r="AK49" s="168"/>
      <c r="AL49" s="169"/>
      <c r="AM49" s="167" t="str">
        <f t="shared" ca="1" si="25"/>
        <v>ICD10中分類マスタテーブルから組入れ条件の第一条件で絞り込んだ結果を格納するテーブル</v>
      </c>
      <c r="AN49" s="168"/>
      <c r="AO49" s="168"/>
      <c r="AP49" s="168"/>
      <c r="AQ49" s="168"/>
      <c r="AR49" s="168"/>
      <c r="AS49" s="168"/>
      <c r="AT49" s="168"/>
      <c r="AU49" s="168"/>
      <c r="AV49" s="168"/>
      <c r="AW49" s="168"/>
      <c r="AX49" s="168"/>
      <c r="AY49" s="168"/>
      <c r="AZ49" s="168"/>
      <c r="BA49" s="168"/>
      <c r="BB49" s="168"/>
      <c r="BC49" s="168"/>
      <c r="BD49" s="168"/>
      <c r="BE49" s="168"/>
      <c r="BF49" s="168"/>
      <c r="BG49" s="168"/>
      <c r="BH49" s="168"/>
      <c r="BI49" s="168"/>
      <c r="BJ49" s="170"/>
      <c r="BK49" s="32" t="str">
        <f t="shared" si="21"/>
        <v>ENT_01_A3-31_バックアップ_ICD10中分類マスタ.sql</v>
      </c>
    </row>
    <row r="50" spans="1:63" ht="37.5" hidden="1" customHeight="1" outlineLevel="1">
      <c r="A50" s="34" t="str">
        <f t="shared" si="17"/>
        <v>バックアップ_ICD10小分類マスタ</v>
      </c>
      <c r="B50" s="171" t="str">
        <f t="shared" si="20"/>
        <v>01</v>
      </c>
      <c r="C50" s="172"/>
      <c r="D50" s="172"/>
      <c r="E50" s="172"/>
      <c r="F50" s="173"/>
      <c r="G50" s="174" t="s">
        <v>195</v>
      </c>
      <c r="H50" s="175"/>
      <c r="I50" s="175"/>
      <c r="J50" s="175"/>
      <c r="K50" s="175"/>
      <c r="L50" s="175"/>
      <c r="M50" s="175"/>
      <c r="N50" s="176"/>
      <c r="O50" s="79" t="s">
        <v>3232</v>
      </c>
      <c r="P50" s="164" t="s">
        <v>3253</v>
      </c>
      <c r="Q50" s="165"/>
      <c r="R50" s="165"/>
      <c r="S50" s="165"/>
      <c r="T50" s="165"/>
      <c r="U50" s="165"/>
      <c r="V50" s="165"/>
      <c r="W50" s="165"/>
      <c r="X50" s="165"/>
      <c r="Y50" s="165"/>
      <c r="Z50" s="165"/>
      <c r="AA50" s="165"/>
      <c r="AB50" s="165"/>
      <c r="AC50" s="165"/>
      <c r="AD50" s="166"/>
      <c r="AE50" s="167" t="str">
        <f t="shared" ca="1" si="24"/>
        <v>azn_202310_backup_mt_icd10_s</v>
      </c>
      <c r="AF50" s="168"/>
      <c r="AG50" s="168"/>
      <c r="AH50" s="168"/>
      <c r="AI50" s="168"/>
      <c r="AJ50" s="168"/>
      <c r="AK50" s="168"/>
      <c r="AL50" s="169"/>
      <c r="AM50" s="167" t="str">
        <f t="shared" ca="1" si="25"/>
        <v>ICD10小分類マスタテーブルから組入れ条件の第一条件で絞り込んだ結果を格納するテーブル</v>
      </c>
      <c r="AN50" s="168"/>
      <c r="AO50" s="168"/>
      <c r="AP50" s="168"/>
      <c r="AQ50" s="168"/>
      <c r="AR50" s="168"/>
      <c r="AS50" s="168"/>
      <c r="AT50" s="168"/>
      <c r="AU50" s="168"/>
      <c r="AV50" s="168"/>
      <c r="AW50" s="168"/>
      <c r="AX50" s="168"/>
      <c r="AY50" s="168"/>
      <c r="AZ50" s="168"/>
      <c r="BA50" s="168"/>
      <c r="BB50" s="168"/>
      <c r="BC50" s="168"/>
      <c r="BD50" s="168"/>
      <c r="BE50" s="168"/>
      <c r="BF50" s="168"/>
      <c r="BG50" s="168"/>
      <c r="BH50" s="168"/>
      <c r="BI50" s="168"/>
      <c r="BJ50" s="170"/>
      <c r="BK50" s="32" t="str">
        <f t="shared" si="21"/>
        <v>ENT_01_A3-32_バックアップ_ICD10小分類マスタ.sql</v>
      </c>
    </row>
    <row r="51" spans="1:63" ht="37.5" hidden="1" customHeight="1" outlineLevel="1">
      <c r="A51" s="34" t="str">
        <f t="shared" si="17"/>
        <v>バックアップ_ICD10細分類マスタ</v>
      </c>
      <c r="B51" s="171" t="str">
        <f t="shared" si="20"/>
        <v>01</v>
      </c>
      <c r="C51" s="172"/>
      <c r="D51" s="172"/>
      <c r="E51" s="172"/>
      <c r="F51" s="173"/>
      <c r="G51" s="174" t="s">
        <v>195</v>
      </c>
      <c r="H51" s="175"/>
      <c r="I51" s="175"/>
      <c r="J51" s="175"/>
      <c r="K51" s="175"/>
      <c r="L51" s="175"/>
      <c r="M51" s="175"/>
      <c r="N51" s="176"/>
      <c r="O51" s="79" t="s">
        <v>3233</v>
      </c>
      <c r="P51" s="164" t="s">
        <v>3254</v>
      </c>
      <c r="Q51" s="165"/>
      <c r="R51" s="165"/>
      <c r="S51" s="165"/>
      <c r="T51" s="165"/>
      <c r="U51" s="165"/>
      <c r="V51" s="165"/>
      <c r="W51" s="165"/>
      <c r="X51" s="165"/>
      <c r="Y51" s="165"/>
      <c r="Z51" s="165"/>
      <c r="AA51" s="165"/>
      <c r="AB51" s="165"/>
      <c r="AC51" s="165"/>
      <c r="AD51" s="166"/>
      <c r="AE51" s="167" t="str">
        <f t="shared" ca="1" si="24"/>
        <v>azn_202310_backup_mt_icd10_ss</v>
      </c>
      <c r="AF51" s="168"/>
      <c r="AG51" s="168"/>
      <c r="AH51" s="168"/>
      <c r="AI51" s="168"/>
      <c r="AJ51" s="168"/>
      <c r="AK51" s="168"/>
      <c r="AL51" s="169"/>
      <c r="AM51" s="167" t="str">
        <f t="shared" ca="1" si="25"/>
        <v>ICD10細分類マスタテーブルから組入れ条件の第一条件で絞り込んだ結果を格納するテーブル</v>
      </c>
      <c r="AN51" s="168"/>
      <c r="AO51" s="168"/>
      <c r="AP51" s="168"/>
      <c r="AQ51" s="168"/>
      <c r="AR51" s="168"/>
      <c r="AS51" s="168"/>
      <c r="AT51" s="168"/>
      <c r="AU51" s="168"/>
      <c r="AV51" s="168"/>
      <c r="AW51" s="168"/>
      <c r="AX51" s="168"/>
      <c r="AY51" s="168"/>
      <c r="AZ51" s="168"/>
      <c r="BA51" s="168"/>
      <c r="BB51" s="168"/>
      <c r="BC51" s="168"/>
      <c r="BD51" s="168"/>
      <c r="BE51" s="168"/>
      <c r="BF51" s="168"/>
      <c r="BG51" s="168"/>
      <c r="BH51" s="168"/>
      <c r="BI51" s="168"/>
      <c r="BJ51" s="170"/>
      <c r="BK51" s="32" t="str">
        <f t="shared" si="21"/>
        <v>ENT_01_A3-33_バックアップ_ICD10細分類マスタ.sql</v>
      </c>
    </row>
    <row r="52" spans="1:63" ht="37.5" hidden="1" customHeight="1" outlineLevel="1">
      <c r="A52" s="34" t="str">
        <f t="shared" ref="A52:A55" si="26">P52</f>
        <v>バックアップ_DPC2桁マスタ</v>
      </c>
      <c r="B52" s="171" t="str">
        <f t="shared" si="20"/>
        <v>01</v>
      </c>
      <c r="C52" s="172"/>
      <c r="D52" s="172"/>
      <c r="E52" s="172"/>
      <c r="F52" s="173"/>
      <c r="G52" s="174" t="s">
        <v>195</v>
      </c>
      <c r="H52" s="175"/>
      <c r="I52" s="175"/>
      <c r="J52" s="175"/>
      <c r="K52" s="175"/>
      <c r="L52" s="175"/>
      <c r="M52" s="175"/>
      <c r="N52" s="176"/>
      <c r="O52" s="79" t="s">
        <v>3235</v>
      </c>
      <c r="P52" s="164" t="s">
        <v>3255</v>
      </c>
      <c r="Q52" s="165"/>
      <c r="R52" s="165"/>
      <c r="S52" s="165"/>
      <c r="T52" s="165"/>
      <c r="U52" s="165"/>
      <c r="V52" s="165"/>
      <c r="W52" s="165"/>
      <c r="X52" s="165"/>
      <c r="Y52" s="165"/>
      <c r="Z52" s="165"/>
      <c r="AA52" s="165"/>
      <c r="AB52" s="165"/>
      <c r="AC52" s="165"/>
      <c r="AD52" s="166"/>
      <c r="AE52" s="167" t="str">
        <f t="shared" ref="AE52:AE55" ca="1" si="27">IFERROR(INDIRECT(P52&amp;"!D8"),"")</f>
        <v>azn_202310_backup_mt_dpc2</v>
      </c>
      <c r="AF52" s="168"/>
      <c r="AG52" s="168"/>
      <c r="AH52" s="168"/>
      <c r="AI52" s="168"/>
      <c r="AJ52" s="168"/>
      <c r="AK52" s="168"/>
      <c r="AL52" s="169"/>
      <c r="AM52" s="167" t="str">
        <f t="shared" ref="AM52:AM55" ca="1" si="28">IFERROR(INDIRECT(P52&amp;"!D9"),"")</f>
        <v>DPC2桁マスタテーブルから組入れ条件の第一条件で絞り込んだ結果を格納するテーブル</v>
      </c>
      <c r="AN52" s="168"/>
      <c r="AO52" s="168"/>
      <c r="AP52" s="168"/>
      <c r="AQ52" s="168"/>
      <c r="AR52" s="168"/>
      <c r="AS52" s="168"/>
      <c r="AT52" s="168"/>
      <c r="AU52" s="168"/>
      <c r="AV52" s="168"/>
      <c r="AW52" s="168"/>
      <c r="AX52" s="168"/>
      <c r="AY52" s="168"/>
      <c r="AZ52" s="168"/>
      <c r="BA52" s="168"/>
      <c r="BB52" s="168"/>
      <c r="BC52" s="168"/>
      <c r="BD52" s="168"/>
      <c r="BE52" s="168"/>
      <c r="BF52" s="168"/>
      <c r="BG52" s="168"/>
      <c r="BH52" s="168"/>
      <c r="BI52" s="168"/>
      <c r="BJ52" s="170"/>
      <c r="BK52" s="32" t="str">
        <f t="shared" ref="BK52:BK55" si="29">IF(P52&lt;&gt;"",O52&amp;"_"&amp;P52&amp;".sql","")</f>
        <v>ENT_01_A3-34_バックアップ_DPC2桁マスタ.sql</v>
      </c>
    </row>
    <row r="53" spans="1:63" ht="37.5" hidden="1" customHeight="1" outlineLevel="1">
      <c r="A53" s="34" t="str">
        <f t="shared" si="26"/>
        <v>バックアップ_DPC6桁マスタ</v>
      </c>
      <c r="B53" s="171" t="str">
        <f t="shared" si="20"/>
        <v>01</v>
      </c>
      <c r="C53" s="172"/>
      <c r="D53" s="172"/>
      <c r="E53" s="172"/>
      <c r="F53" s="173"/>
      <c r="G53" s="174" t="s">
        <v>195</v>
      </c>
      <c r="H53" s="175"/>
      <c r="I53" s="175"/>
      <c r="J53" s="175"/>
      <c r="K53" s="175"/>
      <c r="L53" s="175"/>
      <c r="M53" s="175"/>
      <c r="N53" s="176"/>
      <c r="O53" s="79" t="s">
        <v>3236</v>
      </c>
      <c r="P53" s="164" t="s">
        <v>3256</v>
      </c>
      <c r="Q53" s="165"/>
      <c r="R53" s="165"/>
      <c r="S53" s="165"/>
      <c r="T53" s="165"/>
      <c r="U53" s="165"/>
      <c r="V53" s="165"/>
      <c r="W53" s="165"/>
      <c r="X53" s="165"/>
      <c r="Y53" s="165"/>
      <c r="Z53" s="165"/>
      <c r="AA53" s="165"/>
      <c r="AB53" s="165"/>
      <c r="AC53" s="165"/>
      <c r="AD53" s="166"/>
      <c r="AE53" s="167" t="str">
        <f t="shared" ca="1" si="27"/>
        <v>azn_202310_backup_mt_dpc6</v>
      </c>
      <c r="AF53" s="168"/>
      <c r="AG53" s="168"/>
      <c r="AH53" s="168"/>
      <c r="AI53" s="168"/>
      <c r="AJ53" s="168"/>
      <c r="AK53" s="168"/>
      <c r="AL53" s="169"/>
      <c r="AM53" s="167" t="str">
        <f t="shared" ca="1" si="28"/>
        <v>DPC6桁マスタテーブルから組入れ条件の第一条件で絞り込んだ結果を格納するテーブル</v>
      </c>
      <c r="AN53" s="168"/>
      <c r="AO53" s="168"/>
      <c r="AP53" s="168"/>
      <c r="AQ53" s="168"/>
      <c r="AR53" s="168"/>
      <c r="AS53" s="168"/>
      <c r="AT53" s="168"/>
      <c r="AU53" s="168"/>
      <c r="AV53" s="168"/>
      <c r="AW53" s="168"/>
      <c r="AX53" s="168"/>
      <c r="AY53" s="168"/>
      <c r="AZ53" s="168"/>
      <c r="BA53" s="168"/>
      <c r="BB53" s="168"/>
      <c r="BC53" s="168"/>
      <c r="BD53" s="168"/>
      <c r="BE53" s="168"/>
      <c r="BF53" s="168"/>
      <c r="BG53" s="168"/>
      <c r="BH53" s="168"/>
      <c r="BI53" s="168"/>
      <c r="BJ53" s="170"/>
      <c r="BK53" s="32" t="str">
        <f t="shared" si="29"/>
        <v>ENT_01_A3-35_バックアップ_DPC6桁マスタ.sql</v>
      </c>
    </row>
    <row r="54" spans="1:63" ht="37.5" hidden="1" customHeight="1" outlineLevel="1">
      <c r="A54" s="34" t="str">
        <f t="shared" si="26"/>
        <v>バックアップ_郵便番号マスタ</v>
      </c>
      <c r="B54" s="171" t="str">
        <f t="shared" si="20"/>
        <v>01</v>
      </c>
      <c r="C54" s="172"/>
      <c r="D54" s="172"/>
      <c r="E54" s="172"/>
      <c r="F54" s="173"/>
      <c r="G54" s="174" t="s">
        <v>195</v>
      </c>
      <c r="H54" s="175"/>
      <c r="I54" s="175"/>
      <c r="J54" s="175"/>
      <c r="K54" s="175"/>
      <c r="L54" s="175"/>
      <c r="M54" s="175"/>
      <c r="N54" s="176"/>
      <c r="O54" s="79" t="s">
        <v>3237</v>
      </c>
      <c r="P54" s="164" t="s">
        <v>3257</v>
      </c>
      <c r="Q54" s="165"/>
      <c r="R54" s="165"/>
      <c r="S54" s="165"/>
      <c r="T54" s="165"/>
      <c r="U54" s="165"/>
      <c r="V54" s="165"/>
      <c r="W54" s="165"/>
      <c r="X54" s="165"/>
      <c r="Y54" s="165"/>
      <c r="Z54" s="165"/>
      <c r="AA54" s="165"/>
      <c r="AB54" s="165"/>
      <c r="AC54" s="165"/>
      <c r="AD54" s="166"/>
      <c r="AE54" s="167" t="str">
        <f t="shared" ca="1" si="27"/>
        <v>azn_202310_backup_mt_postal</v>
      </c>
      <c r="AF54" s="168"/>
      <c r="AG54" s="168"/>
      <c r="AH54" s="168"/>
      <c r="AI54" s="168"/>
      <c r="AJ54" s="168"/>
      <c r="AK54" s="168"/>
      <c r="AL54" s="169"/>
      <c r="AM54" s="167" t="str">
        <f t="shared" ca="1" si="28"/>
        <v>郵便番号マスタテーブルから組入れ条件の第一条件で絞り込んだ結果を格納するテーブル</v>
      </c>
      <c r="AN54" s="168"/>
      <c r="AO54" s="168"/>
      <c r="AP54" s="168"/>
      <c r="AQ54" s="168"/>
      <c r="AR54" s="168"/>
      <c r="AS54" s="168"/>
      <c r="AT54" s="168"/>
      <c r="AU54" s="168"/>
      <c r="AV54" s="168"/>
      <c r="AW54" s="168"/>
      <c r="AX54" s="168"/>
      <c r="AY54" s="168"/>
      <c r="AZ54" s="168"/>
      <c r="BA54" s="168"/>
      <c r="BB54" s="168"/>
      <c r="BC54" s="168"/>
      <c r="BD54" s="168"/>
      <c r="BE54" s="168"/>
      <c r="BF54" s="168"/>
      <c r="BG54" s="168"/>
      <c r="BH54" s="168"/>
      <c r="BI54" s="168"/>
      <c r="BJ54" s="170"/>
      <c r="BK54" s="32" t="str">
        <f t="shared" si="29"/>
        <v>ENT_01_A3-36_バックアップ_郵便番号マスタ.sql</v>
      </c>
    </row>
    <row r="55" spans="1:63" ht="37.5" hidden="1" customHeight="1" outlineLevel="1">
      <c r="A55" s="34" t="str">
        <f t="shared" si="26"/>
        <v>バックアップ_特定機材マスタ</v>
      </c>
      <c r="B55" s="171" t="str">
        <f t="shared" si="20"/>
        <v>01</v>
      </c>
      <c r="C55" s="172"/>
      <c r="D55" s="172"/>
      <c r="E55" s="172"/>
      <c r="F55" s="173"/>
      <c r="G55" s="174" t="s">
        <v>195</v>
      </c>
      <c r="H55" s="175"/>
      <c r="I55" s="175"/>
      <c r="J55" s="175"/>
      <c r="K55" s="175"/>
      <c r="L55" s="175"/>
      <c r="M55" s="175"/>
      <c r="N55" s="176"/>
      <c r="O55" s="79" t="s">
        <v>3238</v>
      </c>
      <c r="P55" s="164" t="s">
        <v>3258</v>
      </c>
      <c r="Q55" s="165"/>
      <c r="R55" s="165"/>
      <c r="S55" s="165"/>
      <c r="T55" s="165"/>
      <c r="U55" s="165"/>
      <c r="V55" s="165"/>
      <c r="W55" s="165"/>
      <c r="X55" s="165"/>
      <c r="Y55" s="165"/>
      <c r="Z55" s="165"/>
      <c r="AA55" s="165"/>
      <c r="AB55" s="165"/>
      <c r="AC55" s="165"/>
      <c r="AD55" s="166"/>
      <c r="AE55" s="167" t="str">
        <f t="shared" ca="1" si="27"/>
        <v>azn_202310_backup_mt_tokutei_kizai</v>
      </c>
      <c r="AF55" s="168"/>
      <c r="AG55" s="168"/>
      <c r="AH55" s="168"/>
      <c r="AI55" s="168"/>
      <c r="AJ55" s="168"/>
      <c r="AK55" s="168"/>
      <c r="AL55" s="169"/>
      <c r="AM55" s="167" t="str">
        <f t="shared" ca="1" si="28"/>
        <v>特定機材マスタテーブルから組入れ条件の第一条件で絞り込んだ結果を格納するテーブル</v>
      </c>
      <c r="AN55" s="168"/>
      <c r="AO55" s="168"/>
      <c r="AP55" s="168"/>
      <c r="AQ55" s="168"/>
      <c r="AR55" s="168"/>
      <c r="AS55" s="168"/>
      <c r="AT55" s="168"/>
      <c r="AU55" s="168"/>
      <c r="AV55" s="168"/>
      <c r="AW55" s="168"/>
      <c r="AX55" s="168"/>
      <c r="AY55" s="168"/>
      <c r="AZ55" s="168"/>
      <c r="BA55" s="168"/>
      <c r="BB55" s="168"/>
      <c r="BC55" s="168"/>
      <c r="BD55" s="168"/>
      <c r="BE55" s="168"/>
      <c r="BF55" s="168"/>
      <c r="BG55" s="168"/>
      <c r="BH55" s="168"/>
      <c r="BI55" s="168"/>
      <c r="BJ55" s="170"/>
      <c r="BK55" s="32" t="str">
        <f t="shared" si="29"/>
        <v>ENT_01_A3-37_バックアップ_特定機材マスタ.sql</v>
      </c>
    </row>
    <row r="56" spans="1:63" ht="37.5" hidden="1" customHeight="1" outlineLevel="1">
      <c r="A56" s="34" t="str">
        <f t="shared" ref="A56:A68" si="30">P56</f>
        <v>バックアップ_年度マスタ</v>
      </c>
      <c r="B56" s="171" t="str">
        <f t="shared" si="20"/>
        <v>01</v>
      </c>
      <c r="C56" s="172"/>
      <c r="D56" s="172"/>
      <c r="E56" s="172"/>
      <c r="F56" s="173"/>
      <c r="G56" s="174" t="s">
        <v>195</v>
      </c>
      <c r="H56" s="175"/>
      <c r="I56" s="175"/>
      <c r="J56" s="175"/>
      <c r="K56" s="175"/>
      <c r="L56" s="175"/>
      <c r="M56" s="175"/>
      <c r="N56" s="176"/>
      <c r="O56" s="79" t="s">
        <v>3157</v>
      </c>
      <c r="P56" s="164" t="s">
        <v>2428</v>
      </c>
      <c r="Q56" s="165"/>
      <c r="R56" s="165"/>
      <c r="S56" s="165"/>
      <c r="T56" s="165"/>
      <c r="U56" s="165"/>
      <c r="V56" s="165"/>
      <c r="W56" s="165"/>
      <c r="X56" s="165"/>
      <c r="Y56" s="165"/>
      <c r="Z56" s="165"/>
      <c r="AA56" s="165"/>
      <c r="AB56" s="165"/>
      <c r="AC56" s="165"/>
      <c r="AD56" s="166"/>
      <c r="AE56" s="167" t="str">
        <f t="shared" ref="AE56:AE68" ca="1" si="31">IFERROR(INDIRECT(P56&amp;"!D8"),"")</f>
        <v>azn_202310_backup_mt2_nendo</v>
      </c>
      <c r="AF56" s="168"/>
      <c r="AG56" s="168"/>
      <c r="AH56" s="168"/>
      <c r="AI56" s="168"/>
      <c r="AJ56" s="168"/>
      <c r="AK56" s="168"/>
      <c r="AL56" s="169"/>
      <c r="AM56" s="167" t="str">
        <f t="shared" ref="AM56:AM68" ca="1" si="32">IFERROR(INDIRECT(P56&amp;"!D9"),"")</f>
        <v>年度マスタテーブルから組入れ条件の第一条件で絞り込んだ結果を格納するテーブル</v>
      </c>
      <c r="AN56" s="168"/>
      <c r="AO56" s="168"/>
      <c r="AP56" s="168"/>
      <c r="AQ56" s="168"/>
      <c r="AR56" s="168"/>
      <c r="AS56" s="168"/>
      <c r="AT56" s="168"/>
      <c r="AU56" s="168"/>
      <c r="AV56" s="168"/>
      <c r="AW56" s="168"/>
      <c r="AX56" s="168"/>
      <c r="AY56" s="168"/>
      <c r="AZ56" s="168"/>
      <c r="BA56" s="168"/>
      <c r="BB56" s="168"/>
      <c r="BC56" s="168"/>
      <c r="BD56" s="168"/>
      <c r="BE56" s="168"/>
      <c r="BF56" s="168"/>
      <c r="BG56" s="168"/>
      <c r="BH56" s="168"/>
      <c r="BI56" s="168"/>
      <c r="BJ56" s="170"/>
      <c r="BK56" s="32" t="str">
        <f t="shared" si="16"/>
        <v>ENT_01_A4-01_バックアップ_年度マスタ.sql</v>
      </c>
    </row>
    <row r="57" spans="1:63" ht="37.5" hidden="1" customHeight="1" outlineLevel="1">
      <c r="A57" s="34" t="str">
        <f t="shared" si="30"/>
        <v>バックアップ_都道府県地方コードマスタ</v>
      </c>
      <c r="B57" s="171" t="str">
        <f t="shared" si="20"/>
        <v>01</v>
      </c>
      <c r="C57" s="172"/>
      <c r="D57" s="172"/>
      <c r="E57" s="172"/>
      <c r="F57" s="173"/>
      <c r="G57" s="174" t="s">
        <v>195</v>
      </c>
      <c r="H57" s="175"/>
      <c r="I57" s="175"/>
      <c r="J57" s="175"/>
      <c r="K57" s="175"/>
      <c r="L57" s="175"/>
      <c r="M57" s="175"/>
      <c r="N57" s="176"/>
      <c r="O57" s="79" t="s">
        <v>3158</v>
      </c>
      <c r="P57" s="164" t="s">
        <v>2452</v>
      </c>
      <c r="Q57" s="165"/>
      <c r="R57" s="165"/>
      <c r="S57" s="165"/>
      <c r="T57" s="165"/>
      <c r="U57" s="165"/>
      <c r="V57" s="165"/>
      <c r="W57" s="165"/>
      <c r="X57" s="165"/>
      <c r="Y57" s="165"/>
      <c r="Z57" s="165"/>
      <c r="AA57" s="165"/>
      <c r="AB57" s="165"/>
      <c r="AC57" s="165"/>
      <c r="AD57" s="166"/>
      <c r="AE57" s="167" t="str">
        <f t="shared" ca="1" si="31"/>
        <v>azn_202310_backup_mt2_prefecture_region</v>
      </c>
      <c r="AF57" s="168"/>
      <c r="AG57" s="168"/>
      <c r="AH57" s="168"/>
      <c r="AI57" s="168"/>
      <c r="AJ57" s="168"/>
      <c r="AK57" s="168"/>
      <c r="AL57" s="169"/>
      <c r="AM57" s="167" t="str">
        <f t="shared" ca="1" si="32"/>
        <v>都道府県地方コードマスタテーブルから組入れ条件の第一条件で絞り込んだ結果を格納するテーブル</v>
      </c>
      <c r="AN57" s="168"/>
      <c r="AO57" s="168"/>
      <c r="AP57" s="168"/>
      <c r="AQ57" s="168"/>
      <c r="AR57" s="168"/>
      <c r="AS57" s="168"/>
      <c r="AT57" s="168"/>
      <c r="AU57" s="168"/>
      <c r="AV57" s="168"/>
      <c r="AW57" s="168"/>
      <c r="AX57" s="168"/>
      <c r="AY57" s="168"/>
      <c r="AZ57" s="168"/>
      <c r="BA57" s="168"/>
      <c r="BB57" s="168"/>
      <c r="BC57" s="168"/>
      <c r="BD57" s="168"/>
      <c r="BE57" s="168"/>
      <c r="BF57" s="168"/>
      <c r="BG57" s="168"/>
      <c r="BH57" s="168"/>
      <c r="BI57" s="168"/>
      <c r="BJ57" s="170"/>
      <c r="BK57" s="32" t="str">
        <f t="shared" si="16"/>
        <v>ENT_01_A4-02_バックアップ_都道府県地方コードマスタ.sql</v>
      </c>
    </row>
    <row r="58" spans="1:63" ht="37.5" hidden="1" customHeight="1" outlineLevel="1">
      <c r="A58" s="34" t="str">
        <f t="shared" si="30"/>
        <v>バックアップ_施設属性マスタ</v>
      </c>
      <c r="B58" s="171" t="str">
        <f t="shared" si="20"/>
        <v>01</v>
      </c>
      <c r="C58" s="172"/>
      <c r="D58" s="172"/>
      <c r="E58" s="172"/>
      <c r="F58" s="173"/>
      <c r="G58" s="174" t="s">
        <v>195</v>
      </c>
      <c r="H58" s="175"/>
      <c r="I58" s="175"/>
      <c r="J58" s="175"/>
      <c r="K58" s="175"/>
      <c r="L58" s="175"/>
      <c r="M58" s="175"/>
      <c r="N58" s="176"/>
      <c r="O58" s="79" t="s">
        <v>3159</v>
      </c>
      <c r="P58" s="164" t="s">
        <v>2488</v>
      </c>
      <c r="Q58" s="165"/>
      <c r="R58" s="165"/>
      <c r="S58" s="165"/>
      <c r="T58" s="165"/>
      <c r="U58" s="165"/>
      <c r="V58" s="165"/>
      <c r="W58" s="165"/>
      <c r="X58" s="165"/>
      <c r="Y58" s="165"/>
      <c r="Z58" s="165"/>
      <c r="AA58" s="165"/>
      <c r="AB58" s="165"/>
      <c r="AC58" s="165"/>
      <c r="AD58" s="166"/>
      <c r="AE58" s="167" t="str">
        <f t="shared" ca="1" si="31"/>
        <v>azn_202310_backup_mt2_shisetsu_zokusei</v>
      </c>
      <c r="AF58" s="168"/>
      <c r="AG58" s="168"/>
      <c r="AH58" s="168"/>
      <c r="AI58" s="168"/>
      <c r="AJ58" s="168"/>
      <c r="AK58" s="168"/>
      <c r="AL58" s="169"/>
      <c r="AM58" s="167" t="str">
        <f t="shared" ca="1" si="32"/>
        <v>施設属性マスタテーブルから組入れ条件の第一条件で絞り込んだ結果を格納するテーブル</v>
      </c>
      <c r="AN58" s="168"/>
      <c r="AO58" s="168"/>
      <c r="AP58" s="168"/>
      <c r="AQ58" s="168"/>
      <c r="AR58" s="168"/>
      <c r="AS58" s="168"/>
      <c r="AT58" s="168"/>
      <c r="AU58" s="168"/>
      <c r="AV58" s="168"/>
      <c r="AW58" s="168"/>
      <c r="AX58" s="168"/>
      <c r="AY58" s="168"/>
      <c r="AZ58" s="168"/>
      <c r="BA58" s="168"/>
      <c r="BB58" s="168"/>
      <c r="BC58" s="168"/>
      <c r="BD58" s="168"/>
      <c r="BE58" s="168"/>
      <c r="BF58" s="168"/>
      <c r="BG58" s="168"/>
      <c r="BH58" s="168"/>
      <c r="BI58" s="168"/>
      <c r="BJ58" s="170"/>
      <c r="BK58" s="32" t="str">
        <f t="shared" si="16"/>
        <v>ENT_01_A4-03_バックアップ_施設属性マスタ.sql</v>
      </c>
    </row>
    <row r="59" spans="1:63" ht="37.5" hidden="1" customHeight="1" outlineLevel="1">
      <c r="A59" s="34" t="str">
        <f t="shared" si="30"/>
        <v>バックアップ_二次医療圏マスタ</v>
      </c>
      <c r="B59" s="171" t="str">
        <f t="shared" si="20"/>
        <v>01</v>
      </c>
      <c r="C59" s="172"/>
      <c r="D59" s="172"/>
      <c r="E59" s="172"/>
      <c r="F59" s="173"/>
      <c r="G59" s="174" t="s">
        <v>195</v>
      </c>
      <c r="H59" s="175"/>
      <c r="I59" s="175"/>
      <c r="J59" s="175"/>
      <c r="K59" s="175"/>
      <c r="L59" s="175"/>
      <c r="M59" s="175"/>
      <c r="N59" s="176"/>
      <c r="O59" s="79" t="s">
        <v>3160</v>
      </c>
      <c r="P59" s="164" t="s">
        <v>2531</v>
      </c>
      <c r="Q59" s="165"/>
      <c r="R59" s="165"/>
      <c r="S59" s="165"/>
      <c r="T59" s="165"/>
      <c r="U59" s="165"/>
      <c r="V59" s="165"/>
      <c r="W59" s="165"/>
      <c r="X59" s="165"/>
      <c r="Y59" s="165"/>
      <c r="Z59" s="165"/>
      <c r="AA59" s="165"/>
      <c r="AB59" s="165"/>
      <c r="AC59" s="165"/>
      <c r="AD59" s="166"/>
      <c r="AE59" s="167" t="str">
        <f t="shared" ca="1" si="31"/>
        <v>azn_202310_backup_mt2_iryouken2</v>
      </c>
      <c r="AF59" s="168"/>
      <c r="AG59" s="168"/>
      <c r="AH59" s="168"/>
      <c r="AI59" s="168"/>
      <c r="AJ59" s="168"/>
      <c r="AK59" s="168"/>
      <c r="AL59" s="169"/>
      <c r="AM59" s="167" t="str">
        <f t="shared" ca="1" si="32"/>
        <v>二次医療圏マスタテーブルから組入れ条件の第一条件で絞り込んだ結果を格納するテーブル</v>
      </c>
      <c r="AN59" s="168"/>
      <c r="AO59" s="168"/>
      <c r="AP59" s="168"/>
      <c r="AQ59" s="168"/>
      <c r="AR59" s="168"/>
      <c r="AS59" s="168"/>
      <c r="AT59" s="168"/>
      <c r="AU59" s="168"/>
      <c r="AV59" s="168"/>
      <c r="AW59" s="168"/>
      <c r="AX59" s="168"/>
      <c r="AY59" s="168"/>
      <c r="AZ59" s="168"/>
      <c r="BA59" s="168"/>
      <c r="BB59" s="168"/>
      <c r="BC59" s="168"/>
      <c r="BD59" s="168"/>
      <c r="BE59" s="168"/>
      <c r="BF59" s="168"/>
      <c r="BG59" s="168"/>
      <c r="BH59" s="168"/>
      <c r="BI59" s="168"/>
      <c r="BJ59" s="170"/>
      <c r="BK59" s="32" t="str">
        <f t="shared" si="16"/>
        <v>ENT_01_A4-04_バックアップ_二次医療圏マスタ.sql</v>
      </c>
    </row>
    <row r="60" spans="1:63" ht="37.5" hidden="1" customHeight="1" outlineLevel="1">
      <c r="A60" s="34" t="str">
        <f t="shared" si="30"/>
        <v>バックアップ_施設ID対応マスタ</v>
      </c>
      <c r="B60" s="171" t="str">
        <f t="shared" si="20"/>
        <v>01</v>
      </c>
      <c r="C60" s="172"/>
      <c r="D60" s="172"/>
      <c r="E60" s="172"/>
      <c r="F60" s="173"/>
      <c r="G60" s="174" t="s">
        <v>195</v>
      </c>
      <c r="H60" s="175"/>
      <c r="I60" s="175"/>
      <c r="J60" s="175"/>
      <c r="K60" s="175"/>
      <c r="L60" s="175"/>
      <c r="M60" s="175"/>
      <c r="N60" s="176"/>
      <c r="O60" s="79" t="s">
        <v>3161</v>
      </c>
      <c r="P60" s="164" t="s">
        <v>2536</v>
      </c>
      <c r="Q60" s="165"/>
      <c r="R60" s="165"/>
      <c r="S60" s="165"/>
      <c r="T60" s="165"/>
      <c r="U60" s="165"/>
      <c r="V60" s="165"/>
      <c r="W60" s="165"/>
      <c r="X60" s="165"/>
      <c r="Y60" s="165"/>
      <c r="Z60" s="165"/>
      <c r="AA60" s="165"/>
      <c r="AB60" s="165"/>
      <c r="AC60" s="165"/>
      <c r="AD60" s="166"/>
      <c r="AE60" s="167" t="str">
        <f t="shared" ca="1" si="31"/>
        <v>azn_202310_backup_mt2_old_new_shisetsu</v>
      </c>
      <c r="AF60" s="168"/>
      <c r="AG60" s="168"/>
      <c r="AH60" s="168"/>
      <c r="AI60" s="168"/>
      <c r="AJ60" s="168"/>
      <c r="AK60" s="168"/>
      <c r="AL60" s="169"/>
      <c r="AM60" s="167" t="str">
        <f t="shared" ca="1" si="32"/>
        <v>施設ID対応マスタテーブルから組入れ条件の第一条件で絞り込んだ結果を格納するテーブル</v>
      </c>
      <c r="AN60" s="168"/>
      <c r="AO60" s="168"/>
      <c r="AP60" s="168"/>
      <c r="AQ60" s="168"/>
      <c r="AR60" s="168"/>
      <c r="AS60" s="168"/>
      <c r="AT60" s="168"/>
      <c r="AU60" s="168"/>
      <c r="AV60" s="168"/>
      <c r="AW60" s="168"/>
      <c r="AX60" s="168"/>
      <c r="AY60" s="168"/>
      <c r="AZ60" s="168"/>
      <c r="BA60" s="168"/>
      <c r="BB60" s="168"/>
      <c r="BC60" s="168"/>
      <c r="BD60" s="168"/>
      <c r="BE60" s="168"/>
      <c r="BF60" s="168"/>
      <c r="BG60" s="168"/>
      <c r="BH60" s="168"/>
      <c r="BI60" s="168"/>
      <c r="BJ60" s="170"/>
      <c r="BK60" s="32" t="str">
        <f t="shared" si="16"/>
        <v>ENT_01_A4-05_バックアップ_施設ID対応マスタ.sql</v>
      </c>
    </row>
    <row r="61" spans="1:63" ht="37.5" hidden="1" customHeight="1" outlineLevel="1">
      <c r="A61" s="34" t="str">
        <f t="shared" si="30"/>
        <v>バックアップ_医薬品関連マスタ</v>
      </c>
      <c r="B61" s="171" t="str">
        <f t="shared" si="20"/>
        <v>01</v>
      </c>
      <c r="C61" s="172"/>
      <c r="D61" s="172"/>
      <c r="E61" s="172"/>
      <c r="F61" s="173"/>
      <c r="G61" s="174" t="s">
        <v>195</v>
      </c>
      <c r="H61" s="175"/>
      <c r="I61" s="175"/>
      <c r="J61" s="175"/>
      <c r="K61" s="175"/>
      <c r="L61" s="175"/>
      <c r="M61" s="175"/>
      <c r="N61" s="176"/>
      <c r="O61" s="79" t="s">
        <v>3162</v>
      </c>
      <c r="P61" s="164" t="s">
        <v>2544</v>
      </c>
      <c r="Q61" s="165"/>
      <c r="R61" s="165"/>
      <c r="S61" s="165"/>
      <c r="T61" s="165"/>
      <c r="U61" s="165"/>
      <c r="V61" s="165"/>
      <c r="W61" s="165"/>
      <c r="X61" s="165"/>
      <c r="Y61" s="165"/>
      <c r="Z61" s="165"/>
      <c r="AA61" s="165"/>
      <c r="AB61" s="165"/>
      <c r="AC61" s="165"/>
      <c r="AD61" s="166"/>
      <c r="AE61" s="167" t="str">
        <f t="shared" ca="1" si="31"/>
        <v>azn_202310_backup_mt2_iyakuhin_kanren</v>
      </c>
      <c r="AF61" s="168"/>
      <c r="AG61" s="168"/>
      <c r="AH61" s="168"/>
      <c r="AI61" s="168"/>
      <c r="AJ61" s="168"/>
      <c r="AK61" s="168"/>
      <c r="AL61" s="169"/>
      <c r="AM61" s="167" t="str">
        <f t="shared" ca="1" si="32"/>
        <v>医薬品関連マスタテーブルから組入れ条件の第一条件で絞り込んだ結果を格納するテーブル</v>
      </c>
      <c r="AN61" s="168"/>
      <c r="AO61" s="168"/>
      <c r="AP61" s="168"/>
      <c r="AQ61" s="168"/>
      <c r="AR61" s="168"/>
      <c r="AS61" s="168"/>
      <c r="AT61" s="168"/>
      <c r="AU61" s="168"/>
      <c r="AV61" s="168"/>
      <c r="AW61" s="168"/>
      <c r="AX61" s="168"/>
      <c r="AY61" s="168"/>
      <c r="AZ61" s="168"/>
      <c r="BA61" s="168"/>
      <c r="BB61" s="168"/>
      <c r="BC61" s="168"/>
      <c r="BD61" s="168"/>
      <c r="BE61" s="168"/>
      <c r="BF61" s="168"/>
      <c r="BG61" s="168"/>
      <c r="BH61" s="168"/>
      <c r="BI61" s="168"/>
      <c r="BJ61" s="170"/>
      <c r="BK61" s="32" t="str">
        <f t="shared" si="16"/>
        <v>ENT_01_A4-07_バックアップ_医薬品関連マスタ.sql</v>
      </c>
    </row>
    <row r="62" spans="1:63" ht="37.5" hidden="1" customHeight="1" outlineLevel="1">
      <c r="A62" s="34" t="str">
        <f t="shared" si="30"/>
        <v>バックアップ_薬価関連マスタ</v>
      </c>
      <c r="B62" s="171" t="str">
        <f t="shared" si="20"/>
        <v>01</v>
      </c>
      <c r="C62" s="172"/>
      <c r="D62" s="172"/>
      <c r="E62" s="172"/>
      <c r="F62" s="173"/>
      <c r="G62" s="174" t="s">
        <v>195</v>
      </c>
      <c r="H62" s="175"/>
      <c r="I62" s="175"/>
      <c r="J62" s="175"/>
      <c r="K62" s="175"/>
      <c r="L62" s="175"/>
      <c r="M62" s="175"/>
      <c r="N62" s="176"/>
      <c r="O62" s="79" t="s">
        <v>3163</v>
      </c>
      <c r="P62" s="164" t="s">
        <v>2600</v>
      </c>
      <c r="Q62" s="165"/>
      <c r="R62" s="165"/>
      <c r="S62" s="165"/>
      <c r="T62" s="165"/>
      <c r="U62" s="165"/>
      <c r="V62" s="165"/>
      <c r="W62" s="165"/>
      <c r="X62" s="165"/>
      <c r="Y62" s="165"/>
      <c r="Z62" s="165"/>
      <c r="AA62" s="165"/>
      <c r="AB62" s="165"/>
      <c r="AC62" s="165"/>
      <c r="AD62" s="166"/>
      <c r="AE62" s="167" t="str">
        <f t="shared" ca="1" si="31"/>
        <v>azn_202310_backup_mt2_price_kanren</v>
      </c>
      <c r="AF62" s="168"/>
      <c r="AG62" s="168"/>
      <c r="AH62" s="168"/>
      <c r="AI62" s="168"/>
      <c r="AJ62" s="168"/>
      <c r="AK62" s="168"/>
      <c r="AL62" s="169"/>
      <c r="AM62" s="167" t="str">
        <f t="shared" ca="1" si="32"/>
        <v>薬価関連マスタテーブルから組入れ条件の第一条件で絞り込んだ結果を格納するテーブル</v>
      </c>
      <c r="AN62" s="168"/>
      <c r="AO62" s="168"/>
      <c r="AP62" s="168"/>
      <c r="AQ62" s="168"/>
      <c r="AR62" s="168"/>
      <c r="AS62" s="168"/>
      <c r="AT62" s="168"/>
      <c r="AU62" s="168"/>
      <c r="AV62" s="168"/>
      <c r="AW62" s="168"/>
      <c r="AX62" s="168"/>
      <c r="AY62" s="168"/>
      <c r="AZ62" s="168"/>
      <c r="BA62" s="168"/>
      <c r="BB62" s="168"/>
      <c r="BC62" s="168"/>
      <c r="BD62" s="168"/>
      <c r="BE62" s="168"/>
      <c r="BF62" s="168"/>
      <c r="BG62" s="168"/>
      <c r="BH62" s="168"/>
      <c r="BI62" s="168"/>
      <c r="BJ62" s="170"/>
      <c r="BK62" s="32" t="str">
        <f t="shared" si="16"/>
        <v>ENT_01_A4-08_バックアップ_薬価関連マスタ.sql</v>
      </c>
    </row>
    <row r="63" spans="1:63" ht="37.5" hidden="1" customHeight="1" outlineLevel="1">
      <c r="A63" s="34" t="str">
        <f t="shared" si="30"/>
        <v>バックアップ_診療行為関連マスタ</v>
      </c>
      <c r="B63" s="171" t="str">
        <f t="shared" si="20"/>
        <v>01</v>
      </c>
      <c r="C63" s="172"/>
      <c r="D63" s="172"/>
      <c r="E63" s="172"/>
      <c r="F63" s="173"/>
      <c r="G63" s="174" t="s">
        <v>195</v>
      </c>
      <c r="H63" s="175"/>
      <c r="I63" s="175"/>
      <c r="J63" s="175"/>
      <c r="K63" s="175"/>
      <c r="L63" s="175"/>
      <c r="M63" s="175"/>
      <c r="N63" s="176"/>
      <c r="O63" s="79" t="s">
        <v>3164</v>
      </c>
      <c r="P63" s="164" t="s">
        <v>2607</v>
      </c>
      <c r="Q63" s="165"/>
      <c r="R63" s="165"/>
      <c r="S63" s="165"/>
      <c r="T63" s="165"/>
      <c r="U63" s="165"/>
      <c r="V63" s="165"/>
      <c r="W63" s="165"/>
      <c r="X63" s="165"/>
      <c r="Y63" s="165"/>
      <c r="Z63" s="165"/>
      <c r="AA63" s="165"/>
      <c r="AB63" s="165"/>
      <c r="AC63" s="165"/>
      <c r="AD63" s="166"/>
      <c r="AE63" s="167" t="str">
        <f t="shared" ca="1" si="31"/>
        <v>azn_202310_backup_mt2_shinryo_koi_kanren</v>
      </c>
      <c r="AF63" s="168"/>
      <c r="AG63" s="168"/>
      <c r="AH63" s="168"/>
      <c r="AI63" s="168"/>
      <c r="AJ63" s="168"/>
      <c r="AK63" s="168"/>
      <c r="AL63" s="169"/>
      <c r="AM63" s="167" t="str">
        <f t="shared" ca="1" si="32"/>
        <v>診療行為関連マスタテーブルから組入れ条件の第一条件で絞り込んだ結果を格納するテーブル</v>
      </c>
      <c r="AN63" s="168"/>
      <c r="AO63" s="168"/>
      <c r="AP63" s="168"/>
      <c r="AQ63" s="168"/>
      <c r="AR63" s="168"/>
      <c r="AS63" s="168"/>
      <c r="AT63" s="168"/>
      <c r="AU63" s="168"/>
      <c r="AV63" s="168"/>
      <c r="AW63" s="168"/>
      <c r="AX63" s="168"/>
      <c r="AY63" s="168"/>
      <c r="AZ63" s="168"/>
      <c r="BA63" s="168"/>
      <c r="BB63" s="168"/>
      <c r="BC63" s="168"/>
      <c r="BD63" s="168"/>
      <c r="BE63" s="168"/>
      <c r="BF63" s="168"/>
      <c r="BG63" s="168"/>
      <c r="BH63" s="168"/>
      <c r="BI63" s="168"/>
      <c r="BJ63" s="170"/>
      <c r="BK63" s="32" t="str">
        <f t="shared" si="16"/>
        <v>ENT_01_A4-09_バックアップ_診療行為関連マスタ.sql</v>
      </c>
    </row>
    <row r="64" spans="1:63" ht="37.5" hidden="1" customHeight="1" outlineLevel="1">
      <c r="A64" s="34" t="str">
        <f t="shared" si="30"/>
        <v>バックアップ_特定器材関連マスタ</v>
      </c>
      <c r="B64" s="171" t="str">
        <f t="shared" si="20"/>
        <v>01</v>
      </c>
      <c r="C64" s="172"/>
      <c r="D64" s="172"/>
      <c r="E64" s="172"/>
      <c r="F64" s="173"/>
      <c r="G64" s="174" t="s">
        <v>195</v>
      </c>
      <c r="H64" s="175"/>
      <c r="I64" s="175"/>
      <c r="J64" s="175"/>
      <c r="K64" s="175"/>
      <c r="L64" s="175"/>
      <c r="M64" s="175"/>
      <c r="N64" s="176"/>
      <c r="O64" s="79" t="s">
        <v>3165</v>
      </c>
      <c r="P64" s="164" t="s">
        <v>2627</v>
      </c>
      <c r="Q64" s="165"/>
      <c r="R64" s="165"/>
      <c r="S64" s="165"/>
      <c r="T64" s="165"/>
      <c r="U64" s="165"/>
      <c r="V64" s="165"/>
      <c r="W64" s="165"/>
      <c r="X64" s="165"/>
      <c r="Y64" s="165"/>
      <c r="Z64" s="165"/>
      <c r="AA64" s="165"/>
      <c r="AB64" s="165"/>
      <c r="AC64" s="165"/>
      <c r="AD64" s="166"/>
      <c r="AE64" s="167" t="str">
        <f t="shared" ca="1" si="31"/>
        <v>azn_202310_backup_mt2_tokutei_kizai_kanren</v>
      </c>
      <c r="AF64" s="168"/>
      <c r="AG64" s="168"/>
      <c r="AH64" s="168"/>
      <c r="AI64" s="168"/>
      <c r="AJ64" s="168"/>
      <c r="AK64" s="168"/>
      <c r="AL64" s="169"/>
      <c r="AM64" s="167" t="str">
        <f t="shared" ca="1" si="32"/>
        <v>特定器材関連マスタテーブルから組入れ条件の第一条件で絞り込んだ結果を格納するテーブル</v>
      </c>
      <c r="AN64" s="168"/>
      <c r="AO64" s="168"/>
      <c r="AP64" s="168"/>
      <c r="AQ64" s="168"/>
      <c r="AR64" s="168"/>
      <c r="AS64" s="168"/>
      <c r="AT64" s="168"/>
      <c r="AU64" s="168"/>
      <c r="AV64" s="168"/>
      <c r="AW64" s="168"/>
      <c r="AX64" s="168"/>
      <c r="AY64" s="168"/>
      <c r="AZ64" s="168"/>
      <c r="BA64" s="168"/>
      <c r="BB64" s="168"/>
      <c r="BC64" s="168"/>
      <c r="BD64" s="168"/>
      <c r="BE64" s="168"/>
      <c r="BF64" s="168"/>
      <c r="BG64" s="168"/>
      <c r="BH64" s="168"/>
      <c r="BI64" s="168"/>
      <c r="BJ64" s="170"/>
      <c r="BK64" s="32" t="str">
        <f t="shared" si="16"/>
        <v>ENT_01_A4-10_バックアップ_特定器材関連マスタ.sql</v>
      </c>
    </row>
    <row r="65" spans="1:64" ht="37.5" hidden="1" customHeight="1" outlineLevel="1">
      <c r="A65" s="34" t="str">
        <f t="shared" si="30"/>
        <v>バックアップ_DPC関連マスタ</v>
      </c>
      <c r="B65" s="171" t="str">
        <f t="shared" si="20"/>
        <v>01</v>
      </c>
      <c r="C65" s="172"/>
      <c r="D65" s="172"/>
      <c r="E65" s="172"/>
      <c r="F65" s="173"/>
      <c r="G65" s="174" t="s">
        <v>195</v>
      </c>
      <c r="H65" s="175"/>
      <c r="I65" s="175"/>
      <c r="J65" s="175"/>
      <c r="K65" s="175"/>
      <c r="L65" s="175"/>
      <c r="M65" s="175"/>
      <c r="N65" s="176"/>
      <c r="O65" s="79" t="s">
        <v>3166</v>
      </c>
      <c r="P65" s="164" t="s">
        <v>2639</v>
      </c>
      <c r="Q65" s="165"/>
      <c r="R65" s="165"/>
      <c r="S65" s="165"/>
      <c r="T65" s="165"/>
      <c r="U65" s="165"/>
      <c r="V65" s="165"/>
      <c r="W65" s="165"/>
      <c r="X65" s="165"/>
      <c r="Y65" s="165"/>
      <c r="Z65" s="165"/>
      <c r="AA65" s="165"/>
      <c r="AB65" s="165"/>
      <c r="AC65" s="165"/>
      <c r="AD65" s="166"/>
      <c r="AE65" s="167" t="str">
        <f t="shared" ca="1" si="31"/>
        <v>azn_202310_backup_mt2_dpc_kanren</v>
      </c>
      <c r="AF65" s="168"/>
      <c r="AG65" s="168"/>
      <c r="AH65" s="168"/>
      <c r="AI65" s="168"/>
      <c r="AJ65" s="168"/>
      <c r="AK65" s="168"/>
      <c r="AL65" s="169"/>
      <c r="AM65" s="167" t="str">
        <f t="shared" ca="1" si="32"/>
        <v>DPC関連マスタテーブルから組入れ条件の第一条件で絞り込んだ結果を格納するテーブル</v>
      </c>
      <c r="AN65" s="168"/>
      <c r="AO65" s="168"/>
      <c r="AP65" s="168"/>
      <c r="AQ65" s="168"/>
      <c r="AR65" s="168"/>
      <c r="AS65" s="168"/>
      <c r="AT65" s="168"/>
      <c r="AU65" s="168"/>
      <c r="AV65" s="168"/>
      <c r="AW65" s="168"/>
      <c r="AX65" s="168"/>
      <c r="AY65" s="168"/>
      <c r="AZ65" s="168"/>
      <c r="BA65" s="168"/>
      <c r="BB65" s="168"/>
      <c r="BC65" s="168"/>
      <c r="BD65" s="168"/>
      <c r="BE65" s="168"/>
      <c r="BF65" s="168"/>
      <c r="BG65" s="168"/>
      <c r="BH65" s="168"/>
      <c r="BI65" s="168"/>
      <c r="BJ65" s="170"/>
      <c r="BK65" s="32" t="str">
        <f t="shared" si="16"/>
        <v>ENT_01_A4-11_バックアップ_DPC関連マスタ.sql</v>
      </c>
    </row>
    <row r="66" spans="1:64" ht="37.5" hidden="1" customHeight="1" outlineLevel="1">
      <c r="A66" s="34" t="str">
        <f t="shared" si="30"/>
        <v>バックアップ_疾患関連マスタ</v>
      </c>
      <c r="B66" s="171" t="str">
        <f t="shared" si="20"/>
        <v>01</v>
      </c>
      <c r="C66" s="172"/>
      <c r="D66" s="172"/>
      <c r="E66" s="172"/>
      <c r="F66" s="173"/>
      <c r="G66" s="174" t="s">
        <v>195</v>
      </c>
      <c r="H66" s="175"/>
      <c r="I66" s="175"/>
      <c r="J66" s="175"/>
      <c r="K66" s="175"/>
      <c r="L66" s="175"/>
      <c r="M66" s="175"/>
      <c r="N66" s="176"/>
      <c r="O66" s="79" t="s">
        <v>3167</v>
      </c>
      <c r="P66" s="164" t="s">
        <v>2648</v>
      </c>
      <c r="Q66" s="165"/>
      <c r="R66" s="165"/>
      <c r="S66" s="165"/>
      <c r="T66" s="165"/>
      <c r="U66" s="165"/>
      <c r="V66" s="165"/>
      <c r="W66" s="165"/>
      <c r="X66" s="165"/>
      <c r="Y66" s="165"/>
      <c r="Z66" s="165"/>
      <c r="AA66" s="165"/>
      <c r="AB66" s="165"/>
      <c r="AC66" s="165"/>
      <c r="AD66" s="166"/>
      <c r="AE66" s="167" t="str">
        <f t="shared" ca="1" si="31"/>
        <v>azn_202310_backup_mt2_shikkan_kanren</v>
      </c>
      <c r="AF66" s="168"/>
      <c r="AG66" s="168"/>
      <c r="AH66" s="168"/>
      <c r="AI66" s="168"/>
      <c r="AJ66" s="168"/>
      <c r="AK66" s="168"/>
      <c r="AL66" s="169"/>
      <c r="AM66" s="167" t="str">
        <f t="shared" ca="1" si="32"/>
        <v>疾患関連マスタテーブルから組入れ条件の第一条件で絞り込んだ結果を格納するテーブル</v>
      </c>
      <c r="AN66" s="168"/>
      <c r="AO66" s="168"/>
      <c r="AP66" s="168"/>
      <c r="AQ66" s="168"/>
      <c r="AR66" s="168"/>
      <c r="AS66" s="168"/>
      <c r="AT66" s="168"/>
      <c r="AU66" s="168"/>
      <c r="AV66" s="168"/>
      <c r="AW66" s="168"/>
      <c r="AX66" s="168"/>
      <c r="AY66" s="168"/>
      <c r="AZ66" s="168"/>
      <c r="BA66" s="168"/>
      <c r="BB66" s="168"/>
      <c r="BC66" s="168"/>
      <c r="BD66" s="168"/>
      <c r="BE66" s="168"/>
      <c r="BF66" s="168"/>
      <c r="BG66" s="168"/>
      <c r="BH66" s="168"/>
      <c r="BI66" s="168"/>
      <c r="BJ66" s="170"/>
      <c r="BK66" s="32" t="str">
        <f t="shared" si="16"/>
        <v>ENT_01_A4-12_バックアップ_疾患関連マスタ.sql</v>
      </c>
    </row>
    <row r="67" spans="1:64" ht="37.5" hidden="1" customHeight="1" outlineLevel="1">
      <c r="A67" s="34" t="str">
        <f t="shared" si="30"/>
        <v>バックアップ_医薬品成分関連マスタ</v>
      </c>
      <c r="B67" s="171" t="str">
        <f t="shared" si="20"/>
        <v>01</v>
      </c>
      <c r="C67" s="172"/>
      <c r="D67" s="172"/>
      <c r="E67" s="172"/>
      <c r="F67" s="173"/>
      <c r="G67" s="174" t="s">
        <v>195</v>
      </c>
      <c r="H67" s="175"/>
      <c r="I67" s="175"/>
      <c r="J67" s="175"/>
      <c r="K67" s="175"/>
      <c r="L67" s="175"/>
      <c r="M67" s="175"/>
      <c r="N67" s="176"/>
      <c r="O67" s="79" t="s">
        <v>3168</v>
      </c>
      <c r="P67" s="164" t="s">
        <v>2677</v>
      </c>
      <c r="Q67" s="165"/>
      <c r="R67" s="165"/>
      <c r="S67" s="165"/>
      <c r="T67" s="165"/>
      <c r="U67" s="165"/>
      <c r="V67" s="165"/>
      <c r="W67" s="165"/>
      <c r="X67" s="165"/>
      <c r="Y67" s="165"/>
      <c r="Z67" s="165"/>
      <c r="AA67" s="165"/>
      <c r="AB67" s="165"/>
      <c r="AC67" s="165"/>
      <c r="AD67" s="166"/>
      <c r="AE67" s="167" t="str">
        <f t="shared" ca="1" si="31"/>
        <v>azn_202310_backup_mt2_iyakuhin_seibun_kanren</v>
      </c>
      <c r="AF67" s="168"/>
      <c r="AG67" s="168"/>
      <c r="AH67" s="168"/>
      <c r="AI67" s="168"/>
      <c r="AJ67" s="168"/>
      <c r="AK67" s="168"/>
      <c r="AL67" s="169"/>
      <c r="AM67" s="167" t="str">
        <f t="shared" ca="1" si="32"/>
        <v>医薬品成分関連マスタテーブルから組入れ条件の第一条件で絞り込んだ結果を格納するテーブル</v>
      </c>
      <c r="AN67" s="168"/>
      <c r="AO67" s="168"/>
      <c r="AP67" s="168"/>
      <c r="AQ67" s="168"/>
      <c r="AR67" s="168"/>
      <c r="AS67" s="168"/>
      <c r="AT67" s="168"/>
      <c r="AU67" s="168"/>
      <c r="AV67" s="168"/>
      <c r="AW67" s="168"/>
      <c r="AX67" s="168"/>
      <c r="AY67" s="168"/>
      <c r="AZ67" s="168"/>
      <c r="BA67" s="168"/>
      <c r="BB67" s="168"/>
      <c r="BC67" s="168"/>
      <c r="BD67" s="168"/>
      <c r="BE67" s="168"/>
      <c r="BF67" s="168"/>
      <c r="BG67" s="168"/>
      <c r="BH67" s="168"/>
      <c r="BI67" s="168"/>
      <c r="BJ67" s="170"/>
      <c r="BK67" s="32" t="str">
        <f t="shared" si="16"/>
        <v>ENT_01_A4-13_バックアップ_医薬品成分関連マスタ.sql</v>
      </c>
    </row>
    <row r="68" spans="1:64" ht="37.5" hidden="1" customHeight="1" outlineLevel="1">
      <c r="A68" s="34" t="str">
        <f t="shared" si="30"/>
        <v>バックアップ_医薬品適用病名関連マスタ</v>
      </c>
      <c r="B68" s="171" t="str">
        <f t="shared" si="20"/>
        <v>01</v>
      </c>
      <c r="C68" s="172"/>
      <c r="D68" s="172"/>
      <c r="E68" s="172"/>
      <c r="F68" s="173"/>
      <c r="G68" s="174" t="s">
        <v>195</v>
      </c>
      <c r="H68" s="175"/>
      <c r="I68" s="175"/>
      <c r="J68" s="175"/>
      <c r="K68" s="175"/>
      <c r="L68" s="175"/>
      <c r="M68" s="175"/>
      <c r="N68" s="176"/>
      <c r="O68" s="79" t="s">
        <v>3169</v>
      </c>
      <c r="P68" s="164" t="s">
        <v>2698</v>
      </c>
      <c r="Q68" s="165"/>
      <c r="R68" s="165"/>
      <c r="S68" s="165"/>
      <c r="T68" s="165"/>
      <c r="U68" s="165"/>
      <c r="V68" s="165"/>
      <c r="W68" s="165"/>
      <c r="X68" s="165"/>
      <c r="Y68" s="165"/>
      <c r="Z68" s="165"/>
      <c r="AA68" s="165"/>
      <c r="AB68" s="165"/>
      <c r="AC68" s="165"/>
      <c r="AD68" s="166"/>
      <c r="AE68" s="167" t="str">
        <f t="shared" ca="1" si="31"/>
        <v>azn_202310_backup_mt2_iyakuhin_tekiyou_byomei_kanren</v>
      </c>
      <c r="AF68" s="168"/>
      <c r="AG68" s="168"/>
      <c r="AH68" s="168"/>
      <c r="AI68" s="168"/>
      <c r="AJ68" s="168"/>
      <c r="AK68" s="168"/>
      <c r="AL68" s="169"/>
      <c r="AM68" s="167" t="str">
        <f t="shared" ca="1" si="32"/>
        <v>医薬品適用病名関連マスタテーブルから組入れ条件の第一条件で絞り込んだ結果を格納するテーブル</v>
      </c>
      <c r="AN68" s="168"/>
      <c r="AO68" s="168"/>
      <c r="AP68" s="168"/>
      <c r="AQ68" s="168"/>
      <c r="AR68" s="168"/>
      <c r="AS68" s="168"/>
      <c r="AT68" s="168"/>
      <c r="AU68" s="168"/>
      <c r="AV68" s="168"/>
      <c r="AW68" s="168"/>
      <c r="AX68" s="168"/>
      <c r="AY68" s="168"/>
      <c r="AZ68" s="168"/>
      <c r="BA68" s="168"/>
      <c r="BB68" s="168"/>
      <c r="BC68" s="168"/>
      <c r="BD68" s="168"/>
      <c r="BE68" s="168"/>
      <c r="BF68" s="168"/>
      <c r="BG68" s="168"/>
      <c r="BH68" s="168"/>
      <c r="BI68" s="168"/>
      <c r="BJ68" s="170"/>
      <c r="BK68" s="32" t="str">
        <f t="shared" si="16"/>
        <v>ENT_01_A4-14_バックアップ_医薬品適用病名関連マスタ.sql</v>
      </c>
    </row>
    <row r="69" spans="1:64" ht="37.5" hidden="1" customHeight="1" outlineLevel="1">
      <c r="A69" s="34" t="str">
        <f t="shared" si="12"/>
        <v>バックアップ_MML共通</v>
      </c>
      <c r="B69" s="171" t="str">
        <f t="shared" si="20"/>
        <v>01</v>
      </c>
      <c r="C69" s="172"/>
      <c r="D69" s="172"/>
      <c r="E69" s="172"/>
      <c r="F69" s="173"/>
      <c r="G69" s="174" t="s">
        <v>195</v>
      </c>
      <c r="H69" s="175"/>
      <c r="I69" s="175"/>
      <c r="J69" s="175"/>
      <c r="K69" s="175"/>
      <c r="L69" s="175"/>
      <c r="M69" s="175"/>
      <c r="N69" s="176"/>
      <c r="O69" s="79" t="s">
        <v>3184</v>
      </c>
      <c r="P69" s="164" t="s">
        <v>3185</v>
      </c>
      <c r="Q69" s="165"/>
      <c r="R69" s="165"/>
      <c r="S69" s="165"/>
      <c r="T69" s="165"/>
      <c r="U69" s="165"/>
      <c r="V69" s="165"/>
      <c r="W69" s="165"/>
      <c r="X69" s="165"/>
      <c r="Y69" s="165"/>
      <c r="Z69" s="165"/>
      <c r="AA69" s="165"/>
      <c r="AB69" s="165"/>
      <c r="AC69" s="165"/>
      <c r="AD69" s="166"/>
      <c r="AE69" s="167" t="str">
        <f t="shared" ca="1" si="13"/>
        <v>azn_202310_backup_text_mml_common</v>
      </c>
      <c r="AF69" s="168"/>
      <c r="AG69" s="168"/>
      <c r="AH69" s="168"/>
      <c r="AI69" s="168"/>
      <c r="AJ69" s="168"/>
      <c r="AK69" s="168"/>
      <c r="AL69" s="169"/>
      <c r="AM69" s="167" t="str">
        <f t="shared" ca="1" si="14"/>
        <v>MML共通テーブルから組入れ条件の第一条件で絞り込んだ結果を格納するテーブル</v>
      </c>
      <c r="AN69" s="168"/>
      <c r="AO69" s="168"/>
      <c r="AP69" s="168"/>
      <c r="AQ69" s="168"/>
      <c r="AR69" s="168"/>
      <c r="AS69" s="168"/>
      <c r="AT69" s="168"/>
      <c r="AU69" s="168"/>
      <c r="AV69" s="168"/>
      <c r="AW69" s="168"/>
      <c r="AX69" s="168"/>
      <c r="AY69" s="168"/>
      <c r="AZ69" s="168"/>
      <c r="BA69" s="168"/>
      <c r="BB69" s="168"/>
      <c r="BC69" s="168"/>
      <c r="BD69" s="168"/>
      <c r="BE69" s="168"/>
      <c r="BF69" s="168"/>
      <c r="BG69" s="168"/>
      <c r="BH69" s="168"/>
      <c r="BI69" s="168"/>
      <c r="BJ69" s="170"/>
      <c r="BK69" s="32" t="str">
        <f t="shared" si="16"/>
        <v>ENT_01_A6-02_バックアップ_MML共通.sql</v>
      </c>
      <c r="BL69" s="32">
        <v>1</v>
      </c>
    </row>
    <row r="70" spans="1:64" ht="37.5" hidden="1" customHeight="1" outlineLevel="1">
      <c r="A70" s="34" t="str">
        <f t="shared" ref="A70" si="33">P70</f>
        <v>バックアップ_MML_診断履歴情報モジュール_本文</v>
      </c>
      <c r="B70" s="171" t="str">
        <f t="shared" si="20"/>
        <v>01</v>
      </c>
      <c r="C70" s="172"/>
      <c r="D70" s="172"/>
      <c r="E70" s="172"/>
      <c r="F70" s="173"/>
      <c r="G70" s="174" t="s">
        <v>195</v>
      </c>
      <c r="H70" s="175"/>
      <c r="I70" s="175"/>
      <c r="J70" s="175"/>
      <c r="K70" s="175"/>
      <c r="L70" s="175"/>
      <c r="M70" s="175"/>
      <c r="N70" s="176"/>
      <c r="O70" s="79" t="s">
        <v>3186</v>
      </c>
      <c r="P70" s="164" t="s">
        <v>2777</v>
      </c>
      <c r="Q70" s="165"/>
      <c r="R70" s="165"/>
      <c r="S70" s="165"/>
      <c r="T70" s="165"/>
      <c r="U70" s="165"/>
      <c r="V70" s="165"/>
      <c r="W70" s="165"/>
      <c r="X70" s="165"/>
      <c r="Y70" s="165"/>
      <c r="Z70" s="165"/>
      <c r="AA70" s="165"/>
      <c r="AB70" s="165"/>
      <c r="AC70" s="165"/>
      <c r="AD70" s="166"/>
      <c r="AE70" s="167" t="str">
        <f t="shared" ref="AE70" ca="1" si="34">IFERROR(INDIRECT(P70&amp;"!D8"),"")</f>
        <v>azn_202310_backup_text_mml_mmlrd_body</v>
      </c>
      <c r="AF70" s="168"/>
      <c r="AG70" s="168"/>
      <c r="AH70" s="168"/>
      <c r="AI70" s="168"/>
      <c r="AJ70" s="168"/>
      <c r="AK70" s="168"/>
      <c r="AL70" s="169"/>
      <c r="AM70" s="167" t="str">
        <f t="shared" ref="AM70" ca="1" si="35">IFERROR(INDIRECT(P70&amp;"!D9"),"")</f>
        <v>MML_診断履歴情報モジュール_本文テーブルから組入れ条件の第一条件で絞り込んだ結果を格納するテーブル</v>
      </c>
      <c r="AN70" s="168"/>
      <c r="AO70" s="168"/>
      <c r="AP70" s="168"/>
      <c r="AQ70" s="168"/>
      <c r="AR70" s="168"/>
      <c r="AS70" s="168"/>
      <c r="AT70" s="168"/>
      <c r="AU70" s="168"/>
      <c r="AV70" s="168"/>
      <c r="AW70" s="168"/>
      <c r="AX70" s="168"/>
      <c r="AY70" s="168"/>
      <c r="AZ70" s="168"/>
      <c r="BA70" s="168"/>
      <c r="BB70" s="168"/>
      <c r="BC70" s="168"/>
      <c r="BD70" s="168"/>
      <c r="BE70" s="168"/>
      <c r="BF70" s="168"/>
      <c r="BG70" s="168"/>
      <c r="BH70" s="168"/>
      <c r="BI70" s="168"/>
      <c r="BJ70" s="170"/>
      <c r="BK70" s="32" t="str">
        <f t="shared" si="16"/>
        <v>ENT_01_A6-03_バックアップ_MML_診断履歴情報モジュール_本文.sql</v>
      </c>
      <c r="BL70" s="32">
        <v>1</v>
      </c>
    </row>
    <row r="71" spans="1:64" ht="37.5" hidden="1" customHeight="1" outlineLevel="1">
      <c r="A71" s="34" t="str">
        <f t="shared" si="12"/>
        <v>バックアップ_MML_診断履歴情報モジュール_病名</v>
      </c>
      <c r="B71" s="171" t="str">
        <f t="shared" si="20"/>
        <v>01</v>
      </c>
      <c r="C71" s="172"/>
      <c r="D71" s="172"/>
      <c r="E71" s="172"/>
      <c r="F71" s="173"/>
      <c r="G71" s="174" t="s">
        <v>195</v>
      </c>
      <c r="H71" s="175"/>
      <c r="I71" s="175"/>
      <c r="J71" s="175"/>
      <c r="K71" s="175"/>
      <c r="L71" s="175"/>
      <c r="M71" s="175"/>
      <c r="N71" s="176"/>
      <c r="O71" s="79" t="s">
        <v>3187</v>
      </c>
      <c r="P71" s="164" t="s">
        <v>2793</v>
      </c>
      <c r="Q71" s="165"/>
      <c r="R71" s="165"/>
      <c r="S71" s="165"/>
      <c r="T71" s="165"/>
      <c r="U71" s="165"/>
      <c r="V71" s="165"/>
      <c r="W71" s="165"/>
      <c r="X71" s="165"/>
      <c r="Y71" s="165"/>
      <c r="Z71" s="165"/>
      <c r="AA71" s="165"/>
      <c r="AB71" s="165"/>
      <c r="AC71" s="165"/>
      <c r="AD71" s="166"/>
      <c r="AE71" s="167" t="str">
        <f t="shared" ca="1" si="13"/>
        <v>azn_202310_backup_text_mml_mmlrd_byomei</v>
      </c>
      <c r="AF71" s="168"/>
      <c r="AG71" s="168"/>
      <c r="AH71" s="168"/>
      <c r="AI71" s="168"/>
      <c r="AJ71" s="168"/>
      <c r="AK71" s="168"/>
      <c r="AL71" s="169"/>
      <c r="AM71" s="167" t="str">
        <f t="shared" ca="1" si="14"/>
        <v>MML_診断履歴情報モジュール_病名テーブルから組入れ条件の第一条件で絞り込んだ結果を格納するテーブル</v>
      </c>
      <c r="AN71" s="168"/>
      <c r="AO71" s="168"/>
      <c r="AP71" s="168"/>
      <c r="AQ71" s="168"/>
      <c r="AR71" s="168"/>
      <c r="AS71" s="168"/>
      <c r="AT71" s="168"/>
      <c r="AU71" s="168"/>
      <c r="AV71" s="168"/>
      <c r="AW71" s="168"/>
      <c r="AX71" s="168"/>
      <c r="AY71" s="168"/>
      <c r="AZ71" s="168"/>
      <c r="BA71" s="168"/>
      <c r="BB71" s="168"/>
      <c r="BC71" s="168"/>
      <c r="BD71" s="168"/>
      <c r="BE71" s="168"/>
      <c r="BF71" s="168"/>
      <c r="BG71" s="168"/>
      <c r="BH71" s="168"/>
      <c r="BI71" s="168"/>
      <c r="BJ71" s="170"/>
      <c r="BK71" s="32" t="str">
        <f t="shared" si="16"/>
        <v>ENT_01_A6-04_バックアップ_MML_診断履歴情報モジュール_病名.sql</v>
      </c>
      <c r="BL71" s="32">
        <v>1</v>
      </c>
    </row>
    <row r="72" spans="1:64" ht="37.5" hidden="1" customHeight="1" outlineLevel="1">
      <c r="A72" s="34" t="str">
        <f t="shared" ref="A72:A104" si="36">P72</f>
        <v>バックアップ_MML_診断履歴情報モジュール_カテゴリ名</v>
      </c>
      <c r="B72" s="171" t="str">
        <f t="shared" si="20"/>
        <v>01</v>
      </c>
      <c r="C72" s="172"/>
      <c r="D72" s="172"/>
      <c r="E72" s="172"/>
      <c r="F72" s="173"/>
      <c r="G72" s="174" t="s">
        <v>195</v>
      </c>
      <c r="H72" s="175"/>
      <c r="I72" s="175"/>
      <c r="J72" s="175"/>
      <c r="K72" s="175"/>
      <c r="L72" s="175"/>
      <c r="M72" s="175"/>
      <c r="N72" s="176"/>
      <c r="O72" s="79" t="s">
        <v>3188</v>
      </c>
      <c r="P72" s="164" t="s">
        <v>2804</v>
      </c>
      <c r="Q72" s="165"/>
      <c r="R72" s="165"/>
      <c r="S72" s="165"/>
      <c r="T72" s="165"/>
      <c r="U72" s="165"/>
      <c r="V72" s="165"/>
      <c r="W72" s="165"/>
      <c r="X72" s="165"/>
      <c r="Y72" s="165"/>
      <c r="Z72" s="165"/>
      <c r="AA72" s="165"/>
      <c r="AB72" s="165"/>
      <c r="AC72" s="165"/>
      <c r="AD72" s="166"/>
      <c r="AE72" s="167" t="str">
        <f t="shared" ref="AE72:AE104" ca="1" si="37">IFERROR(INDIRECT(P72&amp;"!D8"),"")</f>
        <v>azn_202310_backup_text_mml_mmlrd_category</v>
      </c>
      <c r="AF72" s="168"/>
      <c r="AG72" s="168"/>
      <c r="AH72" s="168"/>
      <c r="AI72" s="168"/>
      <c r="AJ72" s="168"/>
      <c r="AK72" s="168"/>
      <c r="AL72" s="169"/>
      <c r="AM72" s="167" t="str">
        <f t="shared" ref="AM72:AM104" ca="1" si="38">IFERROR(INDIRECT(P72&amp;"!D9"),"")</f>
        <v>MML_診断履歴情報モジュール_カテゴリ名テーブルから組入れ条件の第一条件で絞り込んだ結果を格納するテーブル</v>
      </c>
      <c r="AN72" s="168"/>
      <c r="AO72" s="168"/>
      <c r="AP72" s="168"/>
      <c r="AQ72" s="168"/>
      <c r="AR72" s="168"/>
      <c r="AS72" s="168"/>
      <c r="AT72" s="168"/>
      <c r="AU72" s="168"/>
      <c r="AV72" s="168"/>
      <c r="AW72" s="168"/>
      <c r="AX72" s="168"/>
      <c r="AY72" s="168"/>
      <c r="AZ72" s="168"/>
      <c r="BA72" s="168"/>
      <c r="BB72" s="168"/>
      <c r="BC72" s="168"/>
      <c r="BD72" s="168"/>
      <c r="BE72" s="168"/>
      <c r="BF72" s="168"/>
      <c r="BG72" s="168"/>
      <c r="BH72" s="168"/>
      <c r="BI72" s="168"/>
      <c r="BJ72" s="170"/>
      <c r="BK72" s="32" t="str">
        <f t="shared" si="16"/>
        <v>ENT_01_A6-05_バックアップ_MML_診断履歴情報モジュール_カテゴリ名.sql</v>
      </c>
    </row>
    <row r="73" spans="1:64" ht="37.5" hidden="1" customHeight="1" outlineLevel="1">
      <c r="A73" s="34" t="str">
        <f t="shared" ref="A73:A78" si="39">P73</f>
        <v>バックアップ_MML_検歴情報モジュール_本文</v>
      </c>
      <c r="B73" s="171" t="str">
        <f t="shared" si="20"/>
        <v>01</v>
      </c>
      <c r="C73" s="172"/>
      <c r="D73" s="172"/>
      <c r="E73" s="172"/>
      <c r="F73" s="173"/>
      <c r="G73" s="174" t="s">
        <v>195</v>
      </c>
      <c r="H73" s="175"/>
      <c r="I73" s="175"/>
      <c r="J73" s="175"/>
      <c r="K73" s="175"/>
      <c r="L73" s="175"/>
      <c r="M73" s="175"/>
      <c r="N73" s="176"/>
      <c r="O73" s="79" t="s">
        <v>3799</v>
      </c>
      <c r="P73" s="164" t="s">
        <v>3800</v>
      </c>
      <c r="Q73" s="165"/>
      <c r="R73" s="165"/>
      <c r="S73" s="165"/>
      <c r="T73" s="165"/>
      <c r="U73" s="165"/>
      <c r="V73" s="165"/>
      <c r="W73" s="165"/>
      <c r="X73" s="165"/>
      <c r="Y73" s="165"/>
      <c r="Z73" s="165"/>
      <c r="AA73" s="165"/>
      <c r="AB73" s="165"/>
      <c r="AC73" s="165"/>
      <c r="AD73" s="166"/>
      <c r="AE73" s="167" t="str">
        <f t="shared" ref="AE73:AE78" ca="1" si="40">IFERROR(INDIRECT(P73&amp;"!D8"),"")</f>
        <v>azn_202310_backup_text_mml_mmllb_body</v>
      </c>
      <c r="AF73" s="168"/>
      <c r="AG73" s="168"/>
      <c r="AH73" s="168"/>
      <c r="AI73" s="168"/>
      <c r="AJ73" s="168"/>
      <c r="AK73" s="168"/>
      <c r="AL73" s="169"/>
      <c r="AM73" s="167" t="str">
        <f t="shared" ref="AM73:AM78" ca="1" si="41">IFERROR(INDIRECT(P73&amp;"!D9"),"")</f>
        <v>MML_検歴情報モジュール_本文テーブルから組入れ条件の第一条件で絞り込んだ結果を格納するテーブル</v>
      </c>
      <c r="AN73" s="168"/>
      <c r="AO73" s="168"/>
      <c r="AP73" s="168"/>
      <c r="AQ73" s="168"/>
      <c r="AR73" s="168"/>
      <c r="AS73" s="168"/>
      <c r="AT73" s="168"/>
      <c r="AU73" s="168"/>
      <c r="AV73" s="168"/>
      <c r="AW73" s="168"/>
      <c r="AX73" s="168"/>
      <c r="AY73" s="168"/>
      <c r="AZ73" s="168"/>
      <c r="BA73" s="168"/>
      <c r="BB73" s="168"/>
      <c r="BC73" s="168"/>
      <c r="BD73" s="168"/>
      <c r="BE73" s="168"/>
      <c r="BF73" s="168"/>
      <c r="BG73" s="168"/>
      <c r="BH73" s="168"/>
      <c r="BI73" s="168"/>
      <c r="BJ73" s="170"/>
      <c r="BK73" s="32" t="str">
        <f t="shared" ref="BK73:BK78" si="42">IF(P73&lt;&gt;"",O73&amp;"_"&amp;P73&amp;".sql","")</f>
        <v>ENT_01_A6-18_バックアップ_MML_検歴情報モジュール_本文.sql</v>
      </c>
    </row>
    <row r="74" spans="1:64" ht="37.5" hidden="1" customHeight="1" outlineLevel="1">
      <c r="A74" s="34" t="str">
        <f t="shared" si="39"/>
        <v>バックアップ_MML_検歴情報モジュール_報告コメント</v>
      </c>
      <c r="B74" s="171" t="str">
        <f t="shared" si="20"/>
        <v>01</v>
      </c>
      <c r="C74" s="172"/>
      <c r="D74" s="172"/>
      <c r="E74" s="172"/>
      <c r="F74" s="173"/>
      <c r="G74" s="174" t="s">
        <v>195</v>
      </c>
      <c r="H74" s="175"/>
      <c r="I74" s="175"/>
      <c r="J74" s="175"/>
      <c r="K74" s="175"/>
      <c r="L74" s="175"/>
      <c r="M74" s="175"/>
      <c r="N74" s="176"/>
      <c r="O74" s="79" t="s">
        <v>3801</v>
      </c>
      <c r="P74" s="164" t="s">
        <v>3802</v>
      </c>
      <c r="Q74" s="165"/>
      <c r="R74" s="165"/>
      <c r="S74" s="165"/>
      <c r="T74" s="165"/>
      <c r="U74" s="165"/>
      <c r="V74" s="165"/>
      <c r="W74" s="165"/>
      <c r="X74" s="165"/>
      <c r="Y74" s="165"/>
      <c r="Z74" s="165"/>
      <c r="AA74" s="165"/>
      <c r="AB74" s="165"/>
      <c r="AC74" s="165"/>
      <c r="AD74" s="166"/>
      <c r="AE74" s="167" t="str">
        <f t="shared" ca="1" si="40"/>
        <v>azn_202310_backup_text_mml_mmllb_memo</v>
      </c>
      <c r="AF74" s="168"/>
      <c r="AG74" s="168"/>
      <c r="AH74" s="168"/>
      <c r="AI74" s="168"/>
      <c r="AJ74" s="168"/>
      <c r="AK74" s="168"/>
      <c r="AL74" s="169"/>
      <c r="AM74" s="167" t="str">
        <f t="shared" ca="1" si="41"/>
        <v>MML_検歴情報モジュール_報告コメントテーブルから組入れ条件の第一条件で絞り込んだ結果を格納するテーブル</v>
      </c>
      <c r="AN74" s="168"/>
      <c r="AO74" s="168"/>
      <c r="AP74" s="168"/>
      <c r="AQ74" s="168"/>
      <c r="AR74" s="168"/>
      <c r="AS74" s="168"/>
      <c r="AT74" s="168"/>
      <c r="AU74" s="168"/>
      <c r="AV74" s="168"/>
      <c r="AW74" s="168"/>
      <c r="AX74" s="168"/>
      <c r="AY74" s="168"/>
      <c r="AZ74" s="168"/>
      <c r="BA74" s="168"/>
      <c r="BB74" s="168"/>
      <c r="BC74" s="168"/>
      <c r="BD74" s="168"/>
      <c r="BE74" s="168"/>
      <c r="BF74" s="168"/>
      <c r="BG74" s="168"/>
      <c r="BH74" s="168"/>
      <c r="BI74" s="168"/>
      <c r="BJ74" s="170"/>
      <c r="BK74" s="32" t="str">
        <f t="shared" si="42"/>
        <v>ENT_01_A6-19_バックアップ_MML_検歴情報モジュール_報告コメント.sql</v>
      </c>
    </row>
    <row r="75" spans="1:64" ht="37.5" hidden="1" customHeight="1" outlineLevel="1">
      <c r="A75" s="34" t="str">
        <f t="shared" si="39"/>
        <v>バックアップ_MML_検歴情報モジュール_検体検査結果情報</v>
      </c>
      <c r="B75" s="171" t="str">
        <f t="shared" si="20"/>
        <v>01</v>
      </c>
      <c r="C75" s="172"/>
      <c r="D75" s="172"/>
      <c r="E75" s="172"/>
      <c r="F75" s="173"/>
      <c r="G75" s="174" t="s">
        <v>195</v>
      </c>
      <c r="H75" s="175"/>
      <c r="I75" s="175"/>
      <c r="J75" s="175"/>
      <c r="K75" s="175"/>
      <c r="L75" s="175"/>
      <c r="M75" s="175"/>
      <c r="N75" s="176"/>
      <c r="O75" s="79" t="s">
        <v>3803</v>
      </c>
      <c r="P75" s="164" t="s">
        <v>3804</v>
      </c>
      <c r="Q75" s="165"/>
      <c r="R75" s="165"/>
      <c r="S75" s="165"/>
      <c r="T75" s="165"/>
      <c r="U75" s="165"/>
      <c r="V75" s="165"/>
      <c r="W75" s="165"/>
      <c r="X75" s="165"/>
      <c r="Y75" s="165"/>
      <c r="Z75" s="165"/>
      <c r="AA75" s="165"/>
      <c r="AB75" s="165"/>
      <c r="AC75" s="165"/>
      <c r="AD75" s="166"/>
      <c r="AE75" s="167" t="str">
        <f t="shared" ca="1" si="40"/>
        <v>azn_202310_backup_text_mml_mmllb_labo_test</v>
      </c>
      <c r="AF75" s="168"/>
      <c r="AG75" s="168"/>
      <c r="AH75" s="168"/>
      <c r="AI75" s="168"/>
      <c r="AJ75" s="168"/>
      <c r="AK75" s="168"/>
      <c r="AL75" s="169"/>
      <c r="AM75" s="167" t="str">
        <f t="shared" ca="1" si="41"/>
        <v>MML_検歴情報モジュール_検体検査結果情報テーブルから組入れ条件の第一条件で絞り込んだ結果を格納するテーブル</v>
      </c>
      <c r="AN75" s="168"/>
      <c r="AO75" s="168"/>
      <c r="AP75" s="168"/>
      <c r="AQ75" s="168"/>
      <c r="AR75" s="168"/>
      <c r="AS75" s="168"/>
      <c r="AT75" s="168"/>
      <c r="AU75" s="168"/>
      <c r="AV75" s="168"/>
      <c r="AW75" s="168"/>
      <c r="AX75" s="168"/>
      <c r="AY75" s="168"/>
      <c r="AZ75" s="168"/>
      <c r="BA75" s="168"/>
      <c r="BB75" s="168"/>
      <c r="BC75" s="168"/>
      <c r="BD75" s="168"/>
      <c r="BE75" s="168"/>
      <c r="BF75" s="168"/>
      <c r="BG75" s="168"/>
      <c r="BH75" s="168"/>
      <c r="BI75" s="168"/>
      <c r="BJ75" s="170"/>
      <c r="BK75" s="32" t="str">
        <f t="shared" si="42"/>
        <v>ENT_01_A6-20_バックアップ_MML_検歴情報モジュール_検体検査結果情報.sql</v>
      </c>
    </row>
    <row r="76" spans="1:64" ht="37.5" hidden="1" customHeight="1" outlineLevel="1">
      <c r="A76" s="34" t="str">
        <f t="shared" si="39"/>
        <v>バックアップ_MML_検歴情報モジュール_検体コメント</v>
      </c>
      <c r="B76" s="171" t="str">
        <f t="shared" si="20"/>
        <v>01</v>
      </c>
      <c r="C76" s="172"/>
      <c r="D76" s="172"/>
      <c r="E76" s="172"/>
      <c r="F76" s="173"/>
      <c r="G76" s="174" t="s">
        <v>195</v>
      </c>
      <c r="H76" s="175"/>
      <c r="I76" s="175"/>
      <c r="J76" s="175"/>
      <c r="K76" s="175"/>
      <c r="L76" s="175"/>
      <c r="M76" s="175"/>
      <c r="N76" s="176"/>
      <c r="O76" s="79" t="s">
        <v>3805</v>
      </c>
      <c r="P76" s="164" t="s">
        <v>3806</v>
      </c>
      <c r="Q76" s="165"/>
      <c r="R76" s="165"/>
      <c r="S76" s="165"/>
      <c r="T76" s="165"/>
      <c r="U76" s="165"/>
      <c r="V76" s="165"/>
      <c r="W76" s="165"/>
      <c r="X76" s="165"/>
      <c r="Y76" s="165"/>
      <c r="Z76" s="165"/>
      <c r="AA76" s="165"/>
      <c r="AB76" s="165"/>
      <c r="AC76" s="165"/>
      <c r="AD76" s="166"/>
      <c r="AE76" s="167" t="str">
        <f t="shared" ca="1" si="40"/>
        <v>azn_202310_backup_text_mml_mmllb_spc_memo</v>
      </c>
      <c r="AF76" s="168"/>
      <c r="AG76" s="168"/>
      <c r="AH76" s="168"/>
      <c r="AI76" s="168"/>
      <c r="AJ76" s="168"/>
      <c r="AK76" s="168"/>
      <c r="AL76" s="169"/>
      <c r="AM76" s="167" t="str">
        <f t="shared" ca="1" si="41"/>
        <v>MML_検歴情報モジュール_検体コメントテーブルから組入れ条件の第一条件で絞り込んだ結果を格納するテーブル</v>
      </c>
      <c r="AN76" s="168"/>
      <c r="AO76" s="168"/>
      <c r="AP76" s="168"/>
      <c r="AQ76" s="168"/>
      <c r="AR76" s="168"/>
      <c r="AS76" s="168"/>
      <c r="AT76" s="168"/>
      <c r="AU76" s="168"/>
      <c r="AV76" s="168"/>
      <c r="AW76" s="168"/>
      <c r="AX76" s="168"/>
      <c r="AY76" s="168"/>
      <c r="AZ76" s="168"/>
      <c r="BA76" s="168"/>
      <c r="BB76" s="168"/>
      <c r="BC76" s="168"/>
      <c r="BD76" s="168"/>
      <c r="BE76" s="168"/>
      <c r="BF76" s="168"/>
      <c r="BG76" s="168"/>
      <c r="BH76" s="168"/>
      <c r="BI76" s="168"/>
      <c r="BJ76" s="170"/>
      <c r="BK76" s="32" t="str">
        <f t="shared" si="42"/>
        <v>ENT_01_A6-21_バックアップ_MML_検歴情報モジュール_検体コメント.sql</v>
      </c>
    </row>
    <row r="77" spans="1:64" ht="37.5" hidden="1" customHeight="1" outlineLevel="1">
      <c r="A77" s="34" t="str">
        <f t="shared" si="39"/>
        <v>バックアップ_MML_検歴情報モジュール_検査項目</v>
      </c>
      <c r="B77" s="171" t="str">
        <f t="shared" si="20"/>
        <v>01</v>
      </c>
      <c r="C77" s="172"/>
      <c r="D77" s="172"/>
      <c r="E77" s="172"/>
      <c r="F77" s="173"/>
      <c r="G77" s="174" t="s">
        <v>195</v>
      </c>
      <c r="H77" s="175"/>
      <c r="I77" s="175"/>
      <c r="J77" s="175"/>
      <c r="K77" s="175"/>
      <c r="L77" s="175"/>
      <c r="M77" s="175"/>
      <c r="N77" s="176"/>
      <c r="O77" s="79" t="s">
        <v>3807</v>
      </c>
      <c r="P77" s="164" t="s">
        <v>3808</v>
      </c>
      <c r="Q77" s="165"/>
      <c r="R77" s="165"/>
      <c r="S77" s="165"/>
      <c r="T77" s="165"/>
      <c r="U77" s="165"/>
      <c r="V77" s="165"/>
      <c r="W77" s="165"/>
      <c r="X77" s="165"/>
      <c r="Y77" s="165"/>
      <c r="Z77" s="165"/>
      <c r="AA77" s="165"/>
      <c r="AB77" s="165"/>
      <c r="AC77" s="165"/>
      <c r="AD77" s="166"/>
      <c r="AE77" s="167" t="str">
        <f t="shared" ca="1" si="40"/>
        <v>azn_202310_backup_text_mml_mmllb_item</v>
      </c>
      <c r="AF77" s="168"/>
      <c r="AG77" s="168"/>
      <c r="AH77" s="168"/>
      <c r="AI77" s="168"/>
      <c r="AJ77" s="168"/>
      <c r="AK77" s="168"/>
      <c r="AL77" s="169"/>
      <c r="AM77" s="167" t="str">
        <f t="shared" ca="1" si="41"/>
        <v>MML_検歴情報モジュール_検査項目テーブルから組入れ条件の第一条件で絞り込んだ結果を格納するテーブル</v>
      </c>
      <c r="AN77" s="168"/>
      <c r="AO77" s="168"/>
      <c r="AP77" s="168"/>
      <c r="AQ77" s="168"/>
      <c r="AR77" s="168"/>
      <c r="AS77" s="168"/>
      <c r="AT77" s="168"/>
      <c r="AU77" s="168"/>
      <c r="AV77" s="168"/>
      <c r="AW77" s="168"/>
      <c r="AX77" s="168"/>
      <c r="AY77" s="168"/>
      <c r="AZ77" s="168"/>
      <c r="BA77" s="168"/>
      <c r="BB77" s="168"/>
      <c r="BC77" s="168"/>
      <c r="BD77" s="168"/>
      <c r="BE77" s="168"/>
      <c r="BF77" s="168"/>
      <c r="BG77" s="168"/>
      <c r="BH77" s="168"/>
      <c r="BI77" s="168"/>
      <c r="BJ77" s="170"/>
      <c r="BK77" s="32" t="str">
        <f t="shared" si="42"/>
        <v>ENT_01_A6-22_バックアップ_MML_検歴情報モジュール_検査項目.sql</v>
      </c>
    </row>
    <row r="78" spans="1:64" ht="37.5" hidden="1" customHeight="1" outlineLevel="1">
      <c r="A78" s="34" t="str">
        <f t="shared" si="39"/>
        <v>バックアップ_MML_検歴情報モジュール_検査項目コメント</v>
      </c>
      <c r="B78" s="171" t="str">
        <f t="shared" si="20"/>
        <v>01</v>
      </c>
      <c r="C78" s="172"/>
      <c r="D78" s="172"/>
      <c r="E78" s="172"/>
      <c r="F78" s="173"/>
      <c r="G78" s="174" t="s">
        <v>195</v>
      </c>
      <c r="H78" s="175"/>
      <c r="I78" s="175"/>
      <c r="J78" s="175"/>
      <c r="K78" s="175"/>
      <c r="L78" s="175"/>
      <c r="M78" s="175"/>
      <c r="N78" s="176"/>
      <c r="O78" s="79" t="s">
        <v>3809</v>
      </c>
      <c r="P78" s="164" t="s">
        <v>3810</v>
      </c>
      <c r="Q78" s="165"/>
      <c r="R78" s="165"/>
      <c r="S78" s="165"/>
      <c r="T78" s="165"/>
      <c r="U78" s="165"/>
      <c r="V78" s="165"/>
      <c r="W78" s="165"/>
      <c r="X78" s="165"/>
      <c r="Y78" s="165"/>
      <c r="Z78" s="165"/>
      <c r="AA78" s="165"/>
      <c r="AB78" s="165"/>
      <c r="AC78" s="165"/>
      <c r="AD78" s="166"/>
      <c r="AE78" s="167" t="str">
        <f t="shared" ca="1" si="40"/>
        <v>azn_202310_backup_text_mml_mmllb_item_memo</v>
      </c>
      <c r="AF78" s="168"/>
      <c r="AG78" s="168"/>
      <c r="AH78" s="168"/>
      <c r="AI78" s="168"/>
      <c r="AJ78" s="168"/>
      <c r="AK78" s="168"/>
      <c r="AL78" s="169"/>
      <c r="AM78" s="167" t="str">
        <f t="shared" ca="1" si="41"/>
        <v>MML_検歴情報モジュール_検査項目コメントテーブルから組入れ条件の第一条件で絞り込んだ結果を格納するテーブル</v>
      </c>
      <c r="AN78" s="168"/>
      <c r="AO78" s="168"/>
      <c r="AP78" s="168"/>
      <c r="AQ78" s="168"/>
      <c r="AR78" s="168"/>
      <c r="AS78" s="168"/>
      <c r="AT78" s="168"/>
      <c r="AU78" s="168"/>
      <c r="AV78" s="168"/>
      <c r="AW78" s="168"/>
      <c r="AX78" s="168"/>
      <c r="AY78" s="168"/>
      <c r="AZ78" s="168"/>
      <c r="BA78" s="168"/>
      <c r="BB78" s="168"/>
      <c r="BC78" s="168"/>
      <c r="BD78" s="168"/>
      <c r="BE78" s="168"/>
      <c r="BF78" s="168"/>
      <c r="BG78" s="168"/>
      <c r="BH78" s="168"/>
      <c r="BI78" s="168"/>
      <c r="BJ78" s="170"/>
      <c r="BK78" s="32" t="str">
        <f t="shared" si="42"/>
        <v>ENT_01_A6-23_バックアップ_MML_検歴情報モジュール_検査項目コメント.sql</v>
      </c>
    </row>
    <row r="79" spans="1:64" ht="37.5" hidden="1" customHeight="1" outlineLevel="1">
      <c r="A79" s="34" t="str">
        <f t="shared" si="36"/>
        <v>バックアップ_MML_処方箋モジュール_本文</v>
      </c>
      <c r="B79" s="171" t="str">
        <f t="shared" si="20"/>
        <v>01</v>
      </c>
      <c r="C79" s="172"/>
      <c r="D79" s="172"/>
      <c r="E79" s="172"/>
      <c r="F79" s="173"/>
      <c r="G79" s="174" t="s">
        <v>195</v>
      </c>
      <c r="H79" s="175"/>
      <c r="I79" s="175"/>
      <c r="J79" s="175"/>
      <c r="K79" s="175"/>
      <c r="L79" s="175"/>
      <c r="M79" s="175"/>
      <c r="N79" s="176"/>
      <c r="O79" s="79" t="s">
        <v>3189</v>
      </c>
      <c r="P79" s="164" t="s">
        <v>2809</v>
      </c>
      <c r="Q79" s="165"/>
      <c r="R79" s="165"/>
      <c r="S79" s="165"/>
      <c r="T79" s="165"/>
      <c r="U79" s="165"/>
      <c r="V79" s="165"/>
      <c r="W79" s="165"/>
      <c r="X79" s="165"/>
      <c r="Y79" s="165"/>
      <c r="Z79" s="165"/>
      <c r="AA79" s="165"/>
      <c r="AB79" s="165"/>
      <c r="AC79" s="165"/>
      <c r="AD79" s="166"/>
      <c r="AE79" s="167" t="str">
        <f t="shared" ca="1" si="37"/>
        <v>azn_202310_backup_text_mml_mmlps_body</v>
      </c>
      <c r="AF79" s="168"/>
      <c r="AG79" s="168"/>
      <c r="AH79" s="168"/>
      <c r="AI79" s="168"/>
      <c r="AJ79" s="168"/>
      <c r="AK79" s="168"/>
      <c r="AL79" s="169"/>
      <c r="AM79" s="167" t="str">
        <f t="shared" ca="1" si="38"/>
        <v>MML_処方箋モジュール_本文テーブルから組入れ条件の第一条件で絞り込んだ結果を格納するテーブル</v>
      </c>
      <c r="AN79" s="168"/>
      <c r="AO79" s="168"/>
      <c r="AP79" s="168"/>
      <c r="AQ79" s="168"/>
      <c r="AR79" s="168"/>
      <c r="AS79" s="168"/>
      <c r="AT79" s="168"/>
      <c r="AU79" s="168"/>
      <c r="AV79" s="168"/>
      <c r="AW79" s="168"/>
      <c r="AX79" s="168"/>
      <c r="AY79" s="168"/>
      <c r="AZ79" s="168"/>
      <c r="BA79" s="168"/>
      <c r="BB79" s="168"/>
      <c r="BC79" s="168"/>
      <c r="BD79" s="168"/>
      <c r="BE79" s="168"/>
      <c r="BF79" s="168"/>
      <c r="BG79" s="168"/>
      <c r="BH79" s="168"/>
      <c r="BI79" s="168"/>
      <c r="BJ79" s="170"/>
      <c r="BK79" s="32" t="str">
        <f t="shared" si="16"/>
        <v>ENT_01_A6-24_バックアップ_MML_処方箋モジュール_本文.sql</v>
      </c>
      <c r="BL79" s="32">
        <v>1</v>
      </c>
    </row>
    <row r="80" spans="1:64" ht="37.5" hidden="1" customHeight="1" outlineLevel="1">
      <c r="A80" s="34" t="str">
        <f t="shared" si="36"/>
        <v>バックアップ_MML_処方箋モジュール_投薬</v>
      </c>
      <c r="B80" s="171" t="str">
        <f t="shared" si="20"/>
        <v>01</v>
      </c>
      <c r="C80" s="172"/>
      <c r="D80" s="172"/>
      <c r="E80" s="172"/>
      <c r="F80" s="173"/>
      <c r="G80" s="174" t="s">
        <v>195</v>
      </c>
      <c r="H80" s="175"/>
      <c r="I80" s="175"/>
      <c r="J80" s="175"/>
      <c r="K80" s="175"/>
      <c r="L80" s="175"/>
      <c r="M80" s="175"/>
      <c r="N80" s="176"/>
      <c r="O80" s="79" t="s">
        <v>3190</v>
      </c>
      <c r="P80" s="164" t="s">
        <v>2817</v>
      </c>
      <c r="Q80" s="165"/>
      <c r="R80" s="165"/>
      <c r="S80" s="165"/>
      <c r="T80" s="165"/>
      <c r="U80" s="165"/>
      <c r="V80" s="165"/>
      <c r="W80" s="165"/>
      <c r="X80" s="165"/>
      <c r="Y80" s="165"/>
      <c r="Z80" s="165"/>
      <c r="AA80" s="165"/>
      <c r="AB80" s="165"/>
      <c r="AC80" s="165"/>
      <c r="AD80" s="166"/>
      <c r="AE80" s="167" t="str">
        <f t="shared" ca="1" si="37"/>
        <v>azn_202310_backup_text_mml_mmlps_medication</v>
      </c>
      <c r="AF80" s="168"/>
      <c r="AG80" s="168"/>
      <c r="AH80" s="168"/>
      <c r="AI80" s="168"/>
      <c r="AJ80" s="168"/>
      <c r="AK80" s="168"/>
      <c r="AL80" s="169"/>
      <c r="AM80" s="167" t="str">
        <f t="shared" ca="1" si="38"/>
        <v>MML_処方箋モジュール_投薬テーブルから組入れ条件の第一条件で絞り込んだ結果を格納するテーブル</v>
      </c>
      <c r="AN80" s="168"/>
      <c r="AO80" s="168"/>
      <c r="AP80" s="168"/>
      <c r="AQ80" s="168"/>
      <c r="AR80" s="168"/>
      <c r="AS80" s="168"/>
      <c r="AT80" s="168"/>
      <c r="AU80" s="168"/>
      <c r="AV80" s="168"/>
      <c r="AW80" s="168"/>
      <c r="AX80" s="168"/>
      <c r="AY80" s="168"/>
      <c r="AZ80" s="168"/>
      <c r="BA80" s="168"/>
      <c r="BB80" s="168"/>
      <c r="BC80" s="168"/>
      <c r="BD80" s="168"/>
      <c r="BE80" s="168"/>
      <c r="BF80" s="168"/>
      <c r="BG80" s="168"/>
      <c r="BH80" s="168"/>
      <c r="BI80" s="168"/>
      <c r="BJ80" s="170"/>
      <c r="BK80" s="32" t="str">
        <f t="shared" si="16"/>
        <v>ENT_01_A6-25_バックアップ_MML_処方箋モジュール_投薬.sql</v>
      </c>
      <c r="BL80" s="32">
        <v>1</v>
      </c>
    </row>
    <row r="81" spans="1:64" ht="37.5" hidden="1" customHeight="1" outlineLevel="1">
      <c r="A81" s="34" t="str">
        <f t="shared" si="36"/>
        <v>バックアップ_MML_処方箋モジュール_薬剤</v>
      </c>
      <c r="B81" s="171" t="str">
        <f t="shared" si="20"/>
        <v>01</v>
      </c>
      <c r="C81" s="172"/>
      <c r="D81" s="172"/>
      <c r="E81" s="172"/>
      <c r="F81" s="173"/>
      <c r="G81" s="174" t="s">
        <v>195</v>
      </c>
      <c r="H81" s="175"/>
      <c r="I81" s="175"/>
      <c r="J81" s="175"/>
      <c r="K81" s="175"/>
      <c r="L81" s="175"/>
      <c r="M81" s="175"/>
      <c r="N81" s="176"/>
      <c r="O81" s="79" t="s">
        <v>3191</v>
      </c>
      <c r="P81" s="164" t="s">
        <v>2853</v>
      </c>
      <c r="Q81" s="165"/>
      <c r="R81" s="165"/>
      <c r="S81" s="165"/>
      <c r="T81" s="165"/>
      <c r="U81" s="165"/>
      <c r="V81" s="165"/>
      <c r="W81" s="165"/>
      <c r="X81" s="165"/>
      <c r="Y81" s="165"/>
      <c r="Z81" s="165"/>
      <c r="AA81" s="165"/>
      <c r="AB81" s="165"/>
      <c r="AC81" s="165"/>
      <c r="AD81" s="166"/>
      <c r="AE81" s="167" t="str">
        <f t="shared" ca="1" si="37"/>
        <v>azn_202310_backup_text_mml_mmlps_medicine</v>
      </c>
      <c r="AF81" s="168"/>
      <c r="AG81" s="168"/>
      <c r="AH81" s="168"/>
      <c r="AI81" s="168"/>
      <c r="AJ81" s="168"/>
      <c r="AK81" s="168"/>
      <c r="AL81" s="169"/>
      <c r="AM81" s="167" t="str">
        <f t="shared" ca="1" si="38"/>
        <v>MML_処方箋モジュール_薬剤テーブルから組入れ条件の第一条件で絞り込んだ結果を格納するテーブル</v>
      </c>
      <c r="AN81" s="168"/>
      <c r="AO81" s="168"/>
      <c r="AP81" s="168"/>
      <c r="AQ81" s="168"/>
      <c r="AR81" s="168"/>
      <c r="AS81" s="168"/>
      <c r="AT81" s="168"/>
      <c r="AU81" s="168"/>
      <c r="AV81" s="168"/>
      <c r="AW81" s="168"/>
      <c r="AX81" s="168"/>
      <c r="AY81" s="168"/>
      <c r="AZ81" s="168"/>
      <c r="BA81" s="168"/>
      <c r="BB81" s="168"/>
      <c r="BC81" s="168"/>
      <c r="BD81" s="168"/>
      <c r="BE81" s="168"/>
      <c r="BF81" s="168"/>
      <c r="BG81" s="168"/>
      <c r="BH81" s="168"/>
      <c r="BI81" s="168"/>
      <c r="BJ81" s="170"/>
      <c r="BK81" s="32" t="str">
        <f t="shared" si="16"/>
        <v>ENT_01_A6-26_バックアップ_MML_処方箋モジュール_薬剤.sql</v>
      </c>
      <c r="BL81" s="32">
        <v>1</v>
      </c>
    </row>
    <row r="82" spans="1:64" ht="37.5" hidden="1" customHeight="1" outlineLevel="1">
      <c r="A82" s="34" t="str">
        <f t="shared" si="36"/>
        <v>バックアップ_MML_注射記録モジュール_本文</v>
      </c>
      <c r="B82" s="171" t="str">
        <f t="shared" si="20"/>
        <v>01</v>
      </c>
      <c r="C82" s="172"/>
      <c r="D82" s="172"/>
      <c r="E82" s="172"/>
      <c r="F82" s="173"/>
      <c r="G82" s="174" t="s">
        <v>195</v>
      </c>
      <c r="H82" s="175"/>
      <c r="I82" s="175"/>
      <c r="J82" s="175"/>
      <c r="K82" s="175"/>
      <c r="L82" s="175"/>
      <c r="M82" s="175"/>
      <c r="N82" s="176"/>
      <c r="O82" s="79" t="s">
        <v>3192</v>
      </c>
      <c r="P82" s="164" t="s">
        <v>2858</v>
      </c>
      <c r="Q82" s="165"/>
      <c r="R82" s="165"/>
      <c r="S82" s="165"/>
      <c r="T82" s="165"/>
      <c r="U82" s="165"/>
      <c r="V82" s="165"/>
      <c r="W82" s="165"/>
      <c r="X82" s="165"/>
      <c r="Y82" s="165"/>
      <c r="Z82" s="165"/>
      <c r="AA82" s="165"/>
      <c r="AB82" s="165"/>
      <c r="AC82" s="165"/>
      <c r="AD82" s="166"/>
      <c r="AE82" s="167" t="str">
        <f t="shared" ca="1" si="37"/>
        <v>azn_202310_backup_text_mml_mmlinj_body</v>
      </c>
      <c r="AF82" s="168"/>
      <c r="AG82" s="168"/>
      <c r="AH82" s="168"/>
      <c r="AI82" s="168"/>
      <c r="AJ82" s="168"/>
      <c r="AK82" s="168"/>
      <c r="AL82" s="169"/>
      <c r="AM82" s="167" t="str">
        <f t="shared" ca="1" si="38"/>
        <v>MML_注射記録モジュール_本文テーブルから組入れ条件の第一条件で絞り込んだ結果を格納するテーブル</v>
      </c>
      <c r="AN82" s="168"/>
      <c r="AO82" s="168"/>
      <c r="AP82" s="168"/>
      <c r="AQ82" s="168"/>
      <c r="AR82" s="168"/>
      <c r="AS82" s="168"/>
      <c r="AT82" s="168"/>
      <c r="AU82" s="168"/>
      <c r="AV82" s="168"/>
      <c r="AW82" s="168"/>
      <c r="AX82" s="168"/>
      <c r="AY82" s="168"/>
      <c r="AZ82" s="168"/>
      <c r="BA82" s="168"/>
      <c r="BB82" s="168"/>
      <c r="BC82" s="168"/>
      <c r="BD82" s="168"/>
      <c r="BE82" s="168"/>
      <c r="BF82" s="168"/>
      <c r="BG82" s="168"/>
      <c r="BH82" s="168"/>
      <c r="BI82" s="168"/>
      <c r="BJ82" s="170"/>
      <c r="BK82" s="32" t="str">
        <f t="shared" si="16"/>
        <v>ENT_01_A6-27_バックアップ_MML_注射記録モジュール_本文.sql</v>
      </c>
    </row>
    <row r="83" spans="1:64" ht="37.5" hidden="1" customHeight="1" outlineLevel="1">
      <c r="A83" s="34" t="str">
        <f t="shared" si="36"/>
        <v>バックアップ_MML_注射記録モジュール_投薬</v>
      </c>
      <c r="B83" s="171" t="str">
        <f t="shared" si="20"/>
        <v>01</v>
      </c>
      <c r="C83" s="172"/>
      <c r="D83" s="172"/>
      <c r="E83" s="172"/>
      <c r="F83" s="173"/>
      <c r="G83" s="174" t="s">
        <v>195</v>
      </c>
      <c r="H83" s="175"/>
      <c r="I83" s="175"/>
      <c r="J83" s="175"/>
      <c r="K83" s="175"/>
      <c r="L83" s="175"/>
      <c r="M83" s="175"/>
      <c r="N83" s="176"/>
      <c r="O83" s="79" t="s">
        <v>3193</v>
      </c>
      <c r="P83" s="164" t="s">
        <v>2867</v>
      </c>
      <c r="Q83" s="165"/>
      <c r="R83" s="165"/>
      <c r="S83" s="165"/>
      <c r="T83" s="165"/>
      <c r="U83" s="165"/>
      <c r="V83" s="165"/>
      <c r="W83" s="165"/>
      <c r="X83" s="165"/>
      <c r="Y83" s="165"/>
      <c r="Z83" s="165"/>
      <c r="AA83" s="165"/>
      <c r="AB83" s="165"/>
      <c r="AC83" s="165"/>
      <c r="AD83" s="166"/>
      <c r="AE83" s="167" t="str">
        <f t="shared" ca="1" si="37"/>
        <v>azn_202310_backup_text_mml_mmlinj_medication</v>
      </c>
      <c r="AF83" s="168"/>
      <c r="AG83" s="168"/>
      <c r="AH83" s="168"/>
      <c r="AI83" s="168"/>
      <c r="AJ83" s="168"/>
      <c r="AK83" s="168"/>
      <c r="AL83" s="169"/>
      <c r="AM83" s="167" t="str">
        <f t="shared" ca="1" si="38"/>
        <v>MML_注射記録モジュール_投薬テーブルから組入れ条件の第一条件で絞り込んだ結果を格納するテーブル</v>
      </c>
      <c r="AN83" s="168"/>
      <c r="AO83" s="168"/>
      <c r="AP83" s="168"/>
      <c r="AQ83" s="168"/>
      <c r="AR83" s="168"/>
      <c r="AS83" s="168"/>
      <c r="AT83" s="168"/>
      <c r="AU83" s="168"/>
      <c r="AV83" s="168"/>
      <c r="AW83" s="168"/>
      <c r="AX83" s="168"/>
      <c r="AY83" s="168"/>
      <c r="AZ83" s="168"/>
      <c r="BA83" s="168"/>
      <c r="BB83" s="168"/>
      <c r="BC83" s="168"/>
      <c r="BD83" s="168"/>
      <c r="BE83" s="168"/>
      <c r="BF83" s="168"/>
      <c r="BG83" s="168"/>
      <c r="BH83" s="168"/>
      <c r="BI83" s="168"/>
      <c r="BJ83" s="170"/>
      <c r="BK83" s="32" t="str">
        <f t="shared" si="16"/>
        <v>ENT_01_A6-28_バックアップ_MML_注射記録モジュール_投薬.sql</v>
      </c>
    </row>
    <row r="84" spans="1:64" ht="37.5" hidden="1" customHeight="1" outlineLevel="1">
      <c r="A84" s="34" t="str">
        <f t="shared" si="36"/>
        <v>バックアップ_MML_注射記録モジュール_薬剤</v>
      </c>
      <c r="B84" s="171" t="str">
        <f t="shared" si="20"/>
        <v>01</v>
      </c>
      <c r="C84" s="172"/>
      <c r="D84" s="172"/>
      <c r="E84" s="172"/>
      <c r="F84" s="173"/>
      <c r="G84" s="174" t="s">
        <v>195</v>
      </c>
      <c r="H84" s="175"/>
      <c r="I84" s="175"/>
      <c r="J84" s="175"/>
      <c r="K84" s="175"/>
      <c r="L84" s="175"/>
      <c r="M84" s="175"/>
      <c r="N84" s="176"/>
      <c r="O84" s="79" t="s">
        <v>3194</v>
      </c>
      <c r="P84" s="164" t="s">
        <v>2868</v>
      </c>
      <c r="Q84" s="165"/>
      <c r="R84" s="165"/>
      <c r="S84" s="165"/>
      <c r="T84" s="165"/>
      <c r="U84" s="165"/>
      <c r="V84" s="165"/>
      <c r="W84" s="165"/>
      <c r="X84" s="165"/>
      <c r="Y84" s="165"/>
      <c r="Z84" s="165"/>
      <c r="AA84" s="165"/>
      <c r="AB84" s="165"/>
      <c r="AC84" s="165"/>
      <c r="AD84" s="166"/>
      <c r="AE84" s="167" t="str">
        <f t="shared" ca="1" si="37"/>
        <v>azn_202310_backup_text_mml_mmlinj_medicine</v>
      </c>
      <c r="AF84" s="168"/>
      <c r="AG84" s="168"/>
      <c r="AH84" s="168"/>
      <c r="AI84" s="168"/>
      <c r="AJ84" s="168"/>
      <c r="AK84" s="168"/>
      <c r="AL84" s="169"/>
      <c r="AM84" s="167" t="str">
        <f t="shared" ca="1" si="38"/>
        <v>MML_注射記録モジュール_薬剤テーブルから組入れ条件の第一条件で絞り込んだ結果を格納するテーブル</v>
      </c>
      <c r="AN84" s="168"/>
      <c r="AO84" s="168"/>
      <c r="AP84" s="168"/>
      <c r="AQ84" s="168"/>
      <c r="AR84" s="168"/>
      <c r="AS84" s="168"/>
      <c r="AT84" s="168"/>
      <c r="AU84" s="168"/>
      <c r="AV84" s="168"/>
      <c r="AW84" s="168"/>
      <c r="AX84" s="168"/>
      <c r="AY84" s="168"/>
      <c r="AZ84" s="168"/>
      <c r="BA84" s="168"/>
      <c r="BB84" s="168"/>
      <c r="BC84" s="168"/>
      <c r="BD84" s="168"/>
      <c r="BE84" s="168"/>
      <c r="BF84" s="168"/>
      <c r="BG84" s="168"/>
      <c r="BH84" s="168"/>
      <c r="BI84" s="168"/>
      <c r="BJ84" s="170"/>
      <c r="BK84" s="32" t="str">
        <f t="shared" ref="BK84:BK220" si="43">IF(P84&lt;&gt;"",O84&amp;"_"&amp;P84&amp;".sql","")</f>
        <v>ENT_01_A6-29_バックアップ_MML_注射記録モジュール_薬剤.sql</v>
      </c>
    </row>
    <row r="85" spans="1:64" ht="37.5" hidden="1" customHeight="1" outlineLevel="1">
      <c r="A85" s="34" t="str">
        <f t="shared" ref="A85:A92" si="44">P85</f>
        <v>バックアップ_MML_手術モジュール_手術項目</v>
      </c>
      <c r="B85" s="171" t="str">
        <f t="shared" si="20"/>
        <v>01</v>
      </c>
      <c r="C85" s="172"/>
      <c r="D85" s="172"/>
      <c r="E85" s="172"/>
      <c r="F85" s="173"/>
      <c r="G85" s="174" t="s">
        <v>195</v>
      </c>
      <c r="H85" s="175"/>
      <c r="I85" s="175"/>
      <c r="J85" s="175"/>
      <c r="K85" s="175"/>
      <c r="L85" s="175"/>
      <c r="M85" s="175"/>
      <c r="N85" s="176"/>
      <c r="O85" s="79" t="s">
        <v>3195</v>
      </c>
      <c r="P85" s="164" t="s">
        <v>2869</v>
      </c>
      <c r="Q85" s="165"/>
      <c r="R85" s="165"/>
      <c r="S85" s="165"/>
      <c r="T85" s="165"/>
      <c r="U85" s="165"/>
      <c r="V85" s="165"/>
      <c r="W85" s="165"/>
      <c r="X85" s="165"/>
      <c r="Y85" s="165"/>
      <c r="Z85" s="165"/>
      <c r="AA85" s="165"/>
      <c r="AB85" s="165"/>
      <c r="AC85" s="165"/>
      <c r="AD85" s="166"/>
      <c r="AE85" s="167" t="str">
        <f t="shared" ref="AE85:AE92" ca="1" si="45">IFERROR(INDIRECT(P85&amp;"!D8"),"")</f>
        <v>azn_202310_backup_text_mml_mmlsg_surgery_item</v>
      </c>
      <c r="AF85" s="168"/>
      <c r="AG85" s="168"/>
      <c r="AH85" s="168"/>
      <c r="AI85" s="168"/>
      <c r="AJ85" s="168"/>
      <c r="AK85" s="168"/>
      <c r="AL85" s="169"/>
      <c r="AM85" s="167" t="str">
        <f t="shared" ref="AM85:AM92" ca="1" si="46">IFERROR(INDIRECT(P85&amp;"!D9"),"")</f>
        <v>MML_手術モジュール_手術項目テーブルから組入れ条件の第一条件で絞り込んだ結果を格納するテーブル</v>
      </c>
      <c r="AN85" s="168"/>
      <c r="AO85" s="168"/>
      <c r="AP85" s="168"/>
      <c r="AQ85" s="168"/>
      <c r="AR85" s="168"/>
      <c r="AS85" s="168"/>
      <c r="AT85" s="168"/>
      <c r="AU85" s="168"/>
      <c r="AV85" s="168"/>
      <c r="AW85" s="168"/>
      <c r="AX85" s="168"/>
      <c r="AY85" s="168"/>
      <c r="AZ85" s="168"/>
      <c r="BA85" s="168"/>
      <c r="BB85" s="168"/>
      <c r="BC85" s="168"/>
      <c r="BD85" s="168"/>
      <c r="BE85" s="168"/>
      <c r="BF85" s="168"/>
      <c r="BG85" s="168"/>
      <c r="BH85" s="168"/>
      <c r="BI85" s="168"/>
      <c r="BJ85" s="170"/>
      <c r="BK85" s="32" t="str">
        <f t="shared" si="43"/>
        <v>ENT_01_A6-42_バックアップ_MML_手術モジュール_手術項目.sql</v>
      </c>
    </row>
    <row r="86" spans="1:64" ht="37.5" hidden="1" customHeight="1" outlineLevel="1">
      <c r="A86" s="34" t="str">
        <f t="shared" si="44"/>
        <v>バックアップ_MML_手術モジュール_診療科情報</v>
      </c>
      <c r="B86" s="171" t="str">
        <f t="shared" si="20"/>
        <v>01</v>
      </c>
      <c r="C86" s="172"/>
      <c r="D86" s="172"/>
      <c r="E86" s="172"/>
      <c r="F86" s="173"/>
      <c r="G86" s="174" t="s">
        <v>195</v>
      </c>
      <c r="H86" s="175"/>
      <c r="I86" s="175"/>
      <c r="J86" s="175"/>
      <c r="K86" s="175"/>
      <c r="L86" s="175"/>
      <c r="M86" s="175"/>
      <c r="N86" s="176"/>
      <c r="O86" s="79" t="s">
        <v>3196</v>
      </c>
      <c r="P86" s="164" t="s">
        <v>2888</v>
      </c>
      <c r="Q86" s="165"/>
      <c r="R86" s="165"/>
      <c r="S86" s="165"/>
      <c r="T86" s="165"/>
      <c r="U86" s="165"/>
      <c r="V86" s="165"/>
      <c r="W86" s="165"/>
      <c r="X86" s="165"/>
      <c r="Y86" s="165"/>
      <c r="Z86" s="165"/>
      <c r="AA86" s="165"/>
      <c r="AB86" s="165"/>
      <c r="AC86" s="165"/>
      <c r="AD86" s="166"/>
      <c r="AE86" s="167" t="str">
        <f t="shared" ca="1" si="45"/>
        <v>azn_202310_backup_text_mml_mmlsg_dp</v>
      </c>
      <c r="AF86" s="168"/>
      <c r="AG86" s="168"/>
      <c r="AH86" s="168"/>
      <c r="AI86" s="168"/>
      <c r="AJ86" s="168"/>
      <c r="AK86" s="168"/>
      <c r="AL86" s="169"/>
      <c r="AM86" s="167" t="str">
        <f t="shared" ca="1" si="46"/>
        <v>MML_手術モジュール_診療科情報テーブルから組入れ条件の第一条件で絞り込んだ結果を格納するテーブル</v>
      </c>
      <c r="AN86" s="168"/>
      <c r="AO86" s="168"/>
      <c r="AP86" s="168"/>
      <c r="AQ86" s="168"/>
      <c r="AR86" s="168"/>
      <c r="AS86" s="168"/>
      <c r="AT86" s="168"/>
      <c r="AU86" s="168"/>
      <c r="AV86" s="168"/>
      <c r="AW86" s="168"/>
      <c r="AX86" s="168"/>
      <c r="AY86" s="168"/>
      <c r="AZ86" s="168"/>
      <c r="BA86" s="168"/>
      <c r="BB86" s="168"/>
      <c r="BC86" s="168"/>
      <c r="BD86" s="168"/>
      <c r="BE86" s="168"/>
      <c r="BF86" s="168"/>
      <c r="BG86" s="168"/>
      <c r="BH86" s="168"/>
      <c r="BI86" s="168"/>
      <c r="BJ86" s="170"/>
      <c r="BK86" s="32" t="str">
        <f t="shared" si="43"/>
        <v>ENT_01_A6-43_バックアップ_MML_手術モジュール_診療科情報.sql</v>
      </c>
    </row>
    <row r="87" spans="1:64" ht="37.5" hidden="1" customHeight="1" outlineLevel="1">
      <c r="A87" s="34" t="str">
        <f t="shared" si="44"/>
        <v>バックアップ_MML_手術モジュール_診断履歴情報</v>
      </c>
      <c r="B87" s="171" t="str">
        <f t="shared" si="20"/>
        <v>01</v>
      </c>
      <c r="C87" s="172"/>
      <c r="D87" s="172"/>
      <c r="E87" s="172"/>
      <c r="F87" s="173"/>
      <c r="G87" s="174" t="s">
        <v>195</v>
      </c>
      <c r="H87" s="175"/>
      <c r="I87" s="175"/>
      <c r="J87" s="175"/>
      <c r="K87" s="175"/>
      <c r="L87" s="175"/>
      <c r="M87" s="175"/>
      <c r="N87" s="176"/>
      <c r="O87" s="79" t="s">
        <v>3197</v>
      </c>
      <c r="P87" s="164" t="s">
        <v>2913</v>
      </c>
      <c r="Q87" s="165"/>
      <c r="R87" s="165"/>
      <c r="S87" s="165"/>
      <c r="T87" s="165"/>
      <c r="U87" s="165"/>
      <c r="V87" s="165"/>
      <c r="W87" s="165"/>
      <c r="X87" s="165"/>
      <c r="Y87" s="165"/>
      <c r="Z87" s="165"/>
      <c r="AA87" s="165"/>
      <c r="AB87" s="165"/>
      <c r="AC87" s="165"/>
      <c r="AD87" s="166"/>
      <c r="AE87" s="167" t="str">
        <f t="shared" ca="1" si="45"/>
        <v>azn_202310_backup_text_mml_mmlsg_rd</v>
      </c>
      <c r="AF87" s="168"/>
      <c r="AG87" s="168"/>
      <c r="AH87" s="168"/>
      <c r="AI87" s="168"/>
      <c r="AJ87" s="168"/>
      <c r="AK87" s="168"/>
      <c r="AL87" s="169"/>
      <c r="AM87" s="167" t="str">
        <f t="shared" ca="1" si="46"/>
        <v>MML_手術モジュール_診断履歴情報テーブルから組入れ条件の第一条件で絞り込んだ結果を格納するテーブル</v>
      </c>
      <c r="AN87" s="168"/>
      <c r="AO87" s="168"/>
      <c r="AP87" s="168"/>
      <c r="AQ87" s="168"/>
      <c r="AR87" s="168"/>
      <c r="AS87" s="168"/>
      <c r="AT87" s="168"/>
      <c r="AU87" s="168"/>
      <c r="AV87" s="168"/>
      <c r="AW87" s="168"/>
      <c r="AX87" s="168"/>
      <c r="AY87" s="168"/>
      <c r="AZ87" s="168"/>
      <c r="BA87" s="168"/>
      <c r="BB87" s="168"/>
      <c r="BC87" s="168"/>
      <c r="BD87" s="168"/>
      <c r="BE87" s="168"/>
      <c r="BF87" s="168"/>
      <c r="BG87" s="168"/>
      <c r="BH87" s="168"/>
      <c r="BI87" s="168"/>
      <c r="BJ87" s="170"/>
      <c r="BK87" s="32" t="str">
        <f t="shared" si="43"/>
        <v>ENT_01_A6-44_バックアップ_MML_手術モジュール_診断履歴情報.sql</v>
      </c>
    </row>
    <row r="88" spans="1:64" ht="37.5" hidden="1" customHeight="1" outlineLevel="1">
      <c r="A88" s="34" t="str">
        <f t="shared" si="44"/>
        <v>バックアップ_MML_手術モジュール_病名</v>
      </c>
      <c r="B88" s="171" t="str">
        <f t="shared" si="20"/>
        <v>01</v>
      </c>
      <c r="C88" s="172"/>
      <c r="D88" s="172"/>
      <c r="E88" s="172"/>
      <c r="F88" s="173"/>
      <c r="G88" s="174" t="s">
        <v>195</v>
      </c>
      <c r="H88" s="175"/>
      <c r="I88" s="175"/>
      <c r="J88" s="175"/>
      <c r="K88" s="175"/>
      <c r="L88" s="175"/>
      <c r="M88" s="175"/>
      <c r="N88" s="176"/>
      <c r="O88" s="79" t="s">
        <v>3198</v>
      </c>
      <c r="P88" s="164" t="s">
        <v>2916</v>
      </c>
      <c r="Q88" s="165"/>
      <c r="R88" s="165"/>
      <c r="S88" s="165"/>
      <c r="T88" s="165"/>
      <c r="U88" s="165"/>
      <c r="V88" s="165"/>
      <c r="W88" s="165"/>
      <c r="X88" s="165"/>
      <c r="Y88" s="165"/>
      <c r="Z88" s="165"/>
      <c r="AA88" s="165"/>
      <c r="AB88" s="165"/>
      <c r="AC88" s="165"/>
      <c r="AD88" s="166"/>
      <c r="AE88" s="167" t="str">
        <f t="shared" ca="1" si="45"/>
        <v>azn_202310_backup_text_mml_mmlsg_rd_byomei</v>
      </c>
      <c r="AF88" s="168"/>
      <c r="AG88" s="168"/>
      <c r="AH88" s="168"/>
      <c r="AI88" s="168"/>
      <c r="AJ88" s="168"/>
      <c r="AK88" s="168"/>
      <c r="AL88" s="169"/>
      <c r="AM88" s="167" t="str">
        <f t="shared" ca="1" si="46"/>
        <v>MML_手術モジュール_病名テーブルから組入れ条件の第一条件で絞り込んだ結果を格納するテーブル</v>
      </c>
      <c r="AN88" s="168"/>
      <c r="AO88" s="168"/>
      <c r="AP88" s="168"/>
      <c r="AQ88" s="168"/>
      <c r="AR88" s="168"/>
      <c r="AS88" s="168"/>
      <c r="AT88" s="168"/>
      <c r="AU88" s="168"/>
      <c r="AV88" s="168"/>
      <c r="AW88" s="168"/>
      <c r="AX88" s="168"/>
      <c r="AY88" s="168"/>
      <c r="AZ88" s="168"/>
      <c r="BA88" s="168"/>
      <c r="BB88" s="168"/>
      <c r="BC88" s="168"/>
      <c r="BD88" s="168"/>
      <c r="BE88" s="168"/>
      <c r="BF88" s="168"/>
      <c r="BG88" s="168"/>
      <c r="BH88" s="168"/>
      <c r="BI88" s="168"/>
      <c r="BJ88" s="170"/>
      <c r="BK88" s="32" t="str">
        <f t="shared" si="43"/>
        <v>ENT_01_A6-45_バックアップ_MML_手術モジュール_病名.sql</v>
      </c>
    </row>
    <row r="89" spans="1:64" ht="37.5" hidden="1" customHeight="1" outlineLevel="1">
      <c r="A89" s="34" t="str">
        <f t="shared" si="44"/>
        <v>バックアップ_MML_手術モジュール_カテゴリ名</v>
      </c>
      <c r="B89" s="171" t="str">
        <f t="shared" si="20"/>
        <v>01</v>
      </c>
      <c r="C89" s="172"/>
      <c r="D89" s="172"/>
      <c r="E89" s="172"/>
      <c r="F89" s="173"/>
      <c r="G89" s="174" t="s">
        <v>195</v>
      </c>
      <c r="H89" s="175"/>
      <c r="I89" s="175"/>
      <c r="J89" s="175"/>
      <c r="K89" s="175"/>
      <c r="L89" s="175"/>
      <c r="M89" s="175"/>
      <c r="N89" s="176"/>
      <c r="O89" s="79" t="s">
        <v>3199</v>
      </c>
      <c r="P89" s="164" t="s">
        <v>2917</v>
      </c>
      <c r="Q89" s="165"/>
      <c r="R89" s="165"/>
      <c r="S89" s="165"/>
      <c r="T89" s="165"/>
      <c r="U89" s="165"/>
      <c r="V89" s="165"/>
      <c r="W89" s="165"/>
      <c r="X89" s="165"/>
      <c r="Y89" s="165"/>
      <c r="Z89" s="165"/>
      <c r="AA89" s="165"/>
      <c r="AB89" s="165"/>
      <c r="AC89" s="165"/>
      <c r="AD89" s="166"/>
      <c r="AE89" s="167" t="str">
        <f t="shared" ca="1" si="45"/>
        <v>azn_202310_backup_text_mml_mmlsg_rd_category</v>
      </c>
      <c r="AF89" s="168"/>
      <c r="AG89" s="168"/>
      <c r="AH89" s="168"/>
      <c r="AI89" s="168"/>
      <c r="AJ89" s="168"/>
      <c r="AK89" s="168"/>
      <c r="AL89" s="169"/>
      <c r="AM89" s="167" t="str">
        <f t="shared" ca="1" si="46"/>
        <v>MML_手術モジュール_カテゴリ名テーブルから組入れ条件の第一条件で絞り込んだ結果を格納するテーブル</v>
      </c>
      <c r="AN89" s="168"/>
      <c r="AO89" s="168"/>
      <c r="AP89" s="168"/>
      <c r="AQ89" s="168"/>
      <c r="AR89" s="168"/>
      <c r="AS89" s="168"/>
      <c r="AT89" s="168"/>
      <c r="AU89" s="168"/>
      <c r="AV89" s="168"/>
      <c r="AW89" s="168"/>
      <c r="AX89" s="168"/>
      <c r="AY89" s="168"/>
      <c r="AZ89" s="168"/>
      <c r="BA89" s="168"/>
      <c r="BB89" s="168"/>
      <c r="BC89" s="168"/>
      <c r="BD89" s="168"/>
      <c r="BE89" s="168"/>
      <c r="BF89" s="168"/>
      <c r="BG89" s="168"/>
      <c r="BH89" s="168"/>
      <c r="BI89" s="168"/>
      <c r="BJ89" s="170"/>
      <c r="BK89" s="32" t="str">
        <f t="shared" si="43"/>
        <v>ENT_01_A6-46_バックアップ_MML_手術モジュール_カテゴリ名.sql</v>
      </c>
    </row>
    <row r="90" spans="1:64" ht="37.5" hidden="1" customHeight="1" outlineLevel="1">
      <c r="A90" s="34" t="str">
        <f t="shared" si="44"/>
        <v>バックアップ_MML_手術モジュール_手術法</v>
      </c>
      <c r="B90" s="171" t="str">
        <f t="shared" si="20"/>
        <v>01</v>
      </c>
      <c r="C90" s="172"/>
      <c r="D90" s="172"/>
      <c r="E90" s="172"/>
      <c r="F90" s="173"/>
      <c r="G90" s="174" t="s">
        <v>195</v>
      </c>
      <c r="H90" s="175"/>
      <c r="I90" s="175"/>
      <c r="J90" s="175"/>
      <c r="K90" s="175"/>
      <c r="L90" s="175"/>
      <c r="M90" s="175"/>
      <c r="N90" s="176"/>
      <c r="O90" s="79" t="s">
        <v>3200</v>
      </c>
      <c r="P90" s="164" t="s">
        <v>2918</v>
      </c>
      <c r="Q90" s="165"/>
      <c r="R90" s="165"/>
      <c r="S90" s="165"/>
      <c r="T90" s="165"/>
      <c r="U90" s="165"/>
      <c r="V90" s="165"/>
      <c r="W90" s="165"/>
      <c r="X90" s="165"/>
      <c r="Y90" s="165"/>
      <c r="Z90" s="165"/>
      <c r="AA90" s="165"/>
      <c r="AB90" s="165"/>
      <c r="AC90" s="165"/>
      <c r="AD90" s="166"/>
      <c r="AE90" s="167" t="str">
        <f t="shared" ca="1" si="45"/>
        <v>azn_202310_backup_text_mml_mmlsg_procedure_item</v>
      </c>
      <c r="AF90" s="168"/>
      <c r="AG90" s="168"/>
      <c r="AH90" s="168"/>
      <c r="AI90" s="168"/>
      <c r="AJ90" s="168"/>
      <c r="AK90" s="168"/>
      <c r="AL90" s="169"/>
      <c r="AM90" s="167" t="str">
        <f t="shared" ca="1" si="46"/>
        <v>MML_手術モジュール_手術法テーブルから組入れ条件の第一条件で絞り込んだ結果を格納するテーブル</v>
      </c>
      <c r="AN90" s="168"/>
      <c r="AO90" s="168"/>
      <c r="AP90" s="168"/>
      <c r="AQ90" s="168"/>
      <c r="AR90" s="168"/>
      <c r="AS90" s="168"/>
      <c r="AT90" s="168"/>
      <c r="AU90" s="168"/>
      <c r="AV90" s="168"/>
      <c r="AW90" s="168"/>
      <c r="AX90" s="168"/>
      <c r="AY90" s="168"/>
      <c r="AZ90" s="168"/>
      <c r="BA90" s="168"/>
      <c r="BB90" s="168"/>
      <c r="BC90" s="168"/>
      <c r="BD90" s="168"/>
      <c r="BE90" s="168"/>
      <c r="BF90" s="168"/>
      <c r="BG90" s="168"/>
      <c r="BH90" s="168"/>
      <c r="BI90" s="168"/>
      <c r="BJ90" s="170"/>
      <c r="BK90" s="32" t="str">
        <f t="shared" si="43"/>
        <v>ENT_01_A6-47_バックアップ_MML_手術モジュール_手術法.sql</v>
      </c>
    </row>
    <row r="91" spans="1:64" ht="37.5" hidden="1" customHeight="1" outlineLevel="1">
      <c r="A91" s="34" t="str">
        <f t="shared" si="44"/>
        <v>バックアップ_MML_手術モジュール_手術要素</v>
      </c>
      <c r="B91" s="171" t="str">
        <f t="shared" si="20"/>
        <v>01</v>
      </c>
      <c r="C91" s="172"/>
      <c r="D91" s="172"/>
      <c r="E91" s="172"/>
      <c r="F91" s="173"/>
      <c r="G91" s="174" t="s">
        <v>195</v>
      </c>
      <c r="H91" s="175"/>
      <c r="I91" s="175"/>
      <c r="J91" s="175"/>
      <c r="K91" s="175"/>
      <c r="L91" s="175"/>
      <c r="M91" s="175"/>
      <c r="N91" s="176"/>
      <c r="O91" s="79" t="s">
        <v>3201</v>
      </c>
      <c r="P91" s="164" t="s">
        <v>2927</v>
      </c>
      <c r="Q91" s="165"/>
      <c r="R91" s="165"/>
      <c r="S91" s="165"/>
      <c r="T91" s="165"/>
      <c r="U91" s="165"/>
      <c r="V91" s="165"/>
      <c r="W91" s="165"/>
      <c r="X91" s="165"/>
      <c r="Y91" s="165"/>
      <c r="Z91" s="165"/>
      <c r="AA91" s="165"/>
      <c r="AB91" s="165"/>
      <c r="AC91" s="165"/>
      <c r="AD91" s="166"/>
      <c r="AE91" s="167" t="str">
        <f t="shared" ca="1" si="45"/>
        <v>azn_202310_backup_text_mml_mmlsg_operation_element</v>
      </c>
      <c r="AF91" s="168"/>
      <c r="AG91" s="168"/>
      <c r="AH91" s="168"/>
      <c r="AI91" s="168"/>
      <c r="AJ91" s="168"/>
      <c r="AK91" s="168"/>
      <c r="AL91" s="169"/>
      <c r="AM91" s="167" t="str">
        <f t="shared" ca="1" si="46"/>
        <v>MML_手術モジュール_手術要素テーブルから組入れ条件の第一条件で絞り込んだ結果を格納するテーブル</v>
      </c>
      <c r="AN91" s="168"/>
      <c r="AO91" s="168"/>
      <c r="AP91" s="168"/>
      <c r="AQ91" s="168"/>
      <c r="AR91" s="168"/>
      <c r="AS91" s="168"/>
      <c r="AT91" s="168"/>
      <c r="AU91" s="168"/>
      <c r="AV91" s="168"/>
      <c r="AW91" s="168"/>
      <c r="AX91" s="168"/>
      <c r="AY91" s="168"/>
      <c r="AZ91" s="168"/>
      <c r="BA91" s="168"/>
      <c r="BB91" s="168"/>
      <c r="BC91" s="168"/>
      <c r="BD91" s="168"/>
      <c r="BE91" s="168"/>
      <c r="BF91" s="168"/>
      <c r="BG91" s="168"/>
      <c r="BH91" s="168"/>
      <c r="BI91" s="168"/>
      <c r="BJ91" s="170"/>
      <c r="BK91" s="32" t="str">
        <f t="shared" si="43"/>
        <v>ENT_01_A6-48_バックアップ_MML_手術モジュール_手術要素.sql</v>
      </c>
    </row>
    <row r="92" spans="1:64" ht="37.5" hidden="1" customHeight="1" outlineLevel="1">
      <c r="A92" s="34" t="str">
        <f t="shared" si="44"/>
        <v>バックアップ_MML_手術モジュール_麻酔法</v>
      </c>
      <c r="B92" s="171" t="str">
        <f t="shared" si="20"/>
        <v>01</v>
      </c>
      <c r="C92" s="172"/>
      <c r="D92" s="172"/>
      <c r="E92" s="172"/>
      <c r="F92" s="173"/>
      <c r="G92" s="174" t="s">
        <v>195</v>
      </c>
      <c r="H92" s="175"/>
      <c r="I92" s="175"/>
      <c r="J92" s="175"/>
      <c r="K92" s="175"/>
      <c r="L92" s="175"/>
      <c r="M92" s="175"/>
      <c r="N92" s="176"/>
      <c r="O92" s="79" t="s">
        <v>3202</v>
      </c>
      <c r="P92" s="164" t="s">
        <v>2931</v>
      </c>
      <c r="Q92" s="165"/>
      <c r="R92" s="165"/>
      <c r="S92" s="165"/>
      <c r="T92" s="165"/>
      <c r="U92" s="165"/>
      <c r="V92" s="165"/>
      <c r="W92" s="165"/>
      <c r="X92" s="165"/>
      <c r="Y92" s="165"/>
      <c r="Z92" s="165"/>
      <c r="AA92" s="165"/>
      <c r="AB92" s="165"/>
      <c r="AC92" s="165"/>
      <c r="AD92" s="166"/>
      <c r="AE92" s="167" t="str">
        <f t="shared" ca="1" si="45"/>
        <v>azn_202310_backup_text_mml_mmlsg_anesthesia_procedure</v>
      </c>
      <c r="AF92" s="168"/>
      <c r="AG92" s="168"/>
      <c r="AH92" s="168"/>
      <c r="AI92" s="168"/>
      <c r="AJ92" s="168"/>
      <c r="AK92" s="168"/>
      <c r="AL92" s="169"/>
      <c r="AM92" s="167" t="str">
        <f t="shared" ca="1" si="46"/>
        <v>MML_手術モジュール_麻酔法テーブルから組入れ条件の第一条件で絞り込んだ結果を格納するテーブル</v>
      </c>
      <c r="AN92" s="168"/>
      <c r="AO92" s="168"/>
      <c r="AP92" s="168"/>
      <c r="AQ92" s="168"/>
      <c r="AR92" s="168"/>
      <c r="AS92" s="168"/>
      <c r="AT92" s="168"/>
      <c r="AU92" s="168"/>
      <c r="AV92" s="168"/>
      <c r="AW92" s="168"/>
      <c r="AX92" s="168"/>
      <c r="AY92" s="168"/>
      <c r="AZ92" s="168"/>
      <c r="BA92" s="168"/>
      <c r="BB92" s="168"/>
      <c r="BC92" s="168"/>
      <c r="BD92" s="168"/>
      <c r="BE92" s="168"/>
      <c r="BF92" s="168"/>
      <c r="BG92" s="168"/>
      <c r="BH92" s="168"/>
      <c r="BI92" s="168"/>
      <c r="BJ92" s="170"/>
      <c r="BK92" s="32" t="str">
        <f t="shared" si="43"/>
        <v>ENT_01_A6-49_バックアップ_MML_手術モジュール_麻酔法.sql</v>
      </c>
    </row>
    <row r="93" spans="1:64" ht="37.5" hidden="1" customHeight="1" outlineLevel="1">
      <c r="A93" s="34" t="str">
        <f t="shared" si="36"/>
        <v>バックアップ_MML_報告書情報モジュール_本文</v>
      </c>
      <c r="B93" s="171" t="str">
        <f t="shared" si="20"/>
        <v>01</v>
      </c>
      <c r="C93" s="172"/>
      <c r="D93" s="172"/>
      <c r="E93" s="172"/>
      <c r="F93" s="173"/>
      <c r="G93" s="174" t="s">
        <v>195</v>
      </c>
      <c r="H93" s="175"/>
      <c r="I93" s="175"/>
      <c r="J93" s="175"/>
      <c r="K93" s="175"/>
      <c r="L93" s="175"/>
      <c r="M93" s="175"/>
      <c r="N93" s="176"/>
      <c r="O93" s="79" t="s">
        <v>3203</v>
      </c>
      <c r="P93" s="164" t="s">
        <v>2938</v>
      </c>
      <c r="Q93" s="165"/>
      <c r="R93" s="165"/>
      <c r="S93" s="165"/>
      <c r="T93" s="165"/>
      <c r="U93" s="165"/>
      <c r="V93" s="165"/>
      <c r="W93" s="165"/>
      <c r="X93" s="165"/>
      <c r="Y93" s="165"/>
      <c r="Z93" s="165"/>
      <c r="AA93" s="165"/>
      <c r="AB93" s="165"/>
      <c r="AC93" s="165"/>
      <c r="AD93" s="166"/>
      <c r="AE93" s="167" t="str">
        <f t="shared" ca="1" si="37"/>
        <v>azn_202310_backup_text_mml_mmlrp_body</v>
      </c>
      <c r="AF93" s="168"/>
      <c r="AG93" s="168"/>
      <c r="AH93" s="168"/>
      <c r="AI93" s="168"/>
      <c r="AJ93" s="168"/>
      <c r="AK93" s="168"/>
      <c r="AL93" s="169"/>
      <c r="AM93" s="167" t="str">
        <f t="shared" ca="1" si="38"/>
        <v>MML_報告書情報モジュール_本文テーブルから組入れ条件の第一条件で絞り込んだ結果を格納するテーブル</v>
      </c>
      <c r="AN93" s="168"/>
      <c r="AO93" s="168"/>
      <c r="AP93" s="168"/>
      <c r="AQ93" s="168"/>
      <c r="AR93" s="168"/>
      <c r="AS93" s="168"/>
      <c r="AT93" s="168"/>
      <c r="AU93" s="168"/>
      <c r="AV93" s="168"/>
      <c r="AW93" s="168"/>
      <c r="AX93" s="168"/>
      <c r="AY93" s="168"/>
      <c r="AZ93" s="168"/>
      <c r="BA93" s="168"/>
      <c r="BB93" s="168"/>
      <c r="BC93" s="168"/>
      <c r="BD93" s="168"/>
      <c r="BE93" s="168"/>
      <c r="BF93" s="168"/>
      <c r="BG93" s="168"/>
      <c r="BH93" s="168"/>
      <c r="BI93" s="168"/>
      <c r="BJ93" s="170"/>
      <c r="BK93" s="32" t="str">
        <f t="shared" si="43"/>
        <v>ENT_01_A6-50_バックアップ_MML_報告書情報モジュール_本文.sql</v>
      </c>
    </row>
    <row r="94" spans="1:64" ht="37.5" hidden="1" customHeight="1" outlineLevel="1">
      <c r="A94" s="34" t="str">
        <f t="shared" si="36"/>
        <v>バックアップ_MML_報告書情報モジュール_検査コメント</v>
      </c>
      <c r="B94" s="171" t="str">
        <f t="shared" si="20"/>
        <v>01</v>
      </c>
      <c r="C94" s="172"/>
      <c r="D94" s="172"/>
      <c r="E94" s="172"/>
      <c r="F94" s="173"/>
      <c r="G94" s="174" t="s">
        <v>195</v>
      </c>
      <c r="H94" s="175"/>
      <c r="I94" s="175"/>
      <c r="J94" s="175"/>
      <c r="K94" s="175"/>
      <c r="L94" s="175"/>
      <c r="M94" s="175"/>
      <c r="N94" s="176"/>
      <c r="O94" s="79" t="s">
        <v>3204</v>
      </c>
      <c r="P94" s="164" t="s">
        <v>2996</v>
      </c>
      <c r="Q94" s="165"/>
      <c r="R94" s="165"/>
      <c r="S94" s="165"/>
      <c r="T94" s="165"/>
      <c r="U94" s="165"/>
      <c r="V94" s="165"/>
      <c r="W94" s="165"/>
      <c r="X94" s="165"/>
      <c r="Y94" s="165"/>
      <c r="Z94" s="165"/>
      <c r="AA94" s="165"/>
      <c r="AB94" s="165"/>
      <c r="AC94" s="165"/>
      <c r="AD94" s="166"/>
      <c r="AE94" s="167" t="str">
        <f t="shared" ca="1" si="37"/>
        <v>azn_202310_backup_text_mml_mmlrp_test_memo</v>
      </c>
      <c r="AF94" s="168"/>
      <c r="AG94" s="168"/>
      <c r="AH94" s="168"/>
      <c r="AI94" s="168"/>
      <c r="AJ94" s="168"/>
      <c r="AK94" s="168"/>
      <c r="AL94" s="169"/>
      <c r="AM94" s="167" t="str">
        <f t="shared" ca="1" si="38"/>
        <v>MML_報告書情報モジュール_検査コメントテーブルから組入れ条件の第一条件で絞り込んだ結果を格納するテーブル</v>
      </c>
      <c r="AN94" s="168"/>
      <c r="AO94" s="168"/>
      <c r="AP94" s="168"/>
      <c r="AQ94" s="168"/>
      <c r="AR94" s="168"/>
      <c r="AS94" s="168"/>
      <c r="AT94" s="168"/>
      <c r="AU94" s="168"/>
      <c r="AV94" s="168"/>
      <c r="AW94" s="168"/>
      <c r="AX94" s="168"/>
      <c r="AY94" s="168"/>
      <c r="AZ94" s="168"/>
      <c r="BA94" s="168"/>
      <c r="BB94" s="168"/>
      <c r="BC94" s="168"/>
      <c r="BD94" s="168"/>
      <c r="BE94" s="168"/>
      <c r="BF94" s="168"/>
      <c r="BG94" s="168"/>
      <c r="BH94" s="168"/>
      <c r="BI94" s="168"/>
      <c r="BJ94" s="170"/>
      <c r="BK94" s="32" t="str">
        <f t="shared" si="43"/>
        <v>ENT_01_A6-51_バックアップ_MML_報告書情報モジュール_検査コメント.sql</v>
      </c>
    </row>
    <row r="95" spans="1:64" ht="37.5" hidden="1" customHeight="1" outlineLevel="1">
      <c r="A95" s="34" t="str">
        <f t="shared" ref="A95:A103" si="47">P95</f>
        <v>バックアップ_MML_生活習慣情報モジュール_本文</v>
      </c>
      <c r="B95" s="171" t="str">
        <f t="shared" si="20"/>
        <v>01</v>
      </c>
      <c r="C95" s="172"/>
      <c r="D95" s="172"/>
      <c r="E95" s="172"/>
      <c r="F95" s="173"/>
      <c r="G95" s="174" t="s">
        <v>195</v>
      </c>
      <c r="H95" s="175"/>
      <c r="I95" s="175"/>
      <c r="J95" s="175"/>
      <c r="K95" s="175"/>
      <c r="L95" s="175"/>
      <c r="M95" s="175"/>
      <c r="N95" s="176"/>
      <c r="O95" s="79" t="s">
        <v>3205</v>
      </c>
      <c r="P95" s="164" t="s">
        <v>3217</v>
      </c>
      <c r="Q95" s="165"/>
      <c r="R95" s="165"/>
      <c r="S95" s="165"/>
      <c r="T95" s="165"/>
      <c r="U95" s="165"/>
      <c r="V95" s="165"/>
      <c r="W95" s="165"/>
      <c r="X95" s="165"/>
      <c r="Y95" s="165"/>
      <c r="Z95" s="165"/>
      <c r="AA95" s="165"/>
      <c r="AB95" s="165"/>
      <c r="AC95" s="165"/>
      <c r="AD95" s="166"/>
      <c r="AE95" s="167" t="str">
        <f t="shared" ref="AE95:AE103" ca="1" si="48">IFERROR(INDIRECT(P95&amp;"!D8"),"")</f>
        <v>azn_202310_backup_text_mml_mmlls_body</v>
      </c>
      <c r="AF95" s="168"/>
      <c r="AG95" s="168"/>
      <c r="AH95" s="168"/>
      <c r="AI95" s="168"/>
      <c r="AJ95" s="168"/>
      <c r="AK95" s="168"/>
      <c r="AL95" s="169"/>
      <c r="AM95" s="167" t="str">
        <f t="shared" ref="AM95:AM103" ca="1" si="49">IFERROR(INDIRECT(P95&amp;"!D9"),"")</f>
        <v>MML_生活習慣情報モジュール_本文テーブルから組入れ条件の第一条件で絞り込んだ結果を格納するテーブル</v>
      </c>
      <c r="AN95" s="168"/>
      <c r="AO95" s="168"/>
      <c r="AP95" s="168"/>
      <c r="AQ95" s="168"/>
      <c r="AR95" s="168"/>
      <c r="AS95" s="168"/>
      <c r="AT95" s="168"/>
      <c r="AU95" s="168"/>
      <c r="AV95" s="168"/>
      <c r="AW95" s="168"/>
      <c r="AX95" s="168"/>
      <c r="AY95" s="168"/>
      <c r="AZ95" s="168"/>
      <c r="BA95" s="168"/>
      <c r="BB95" s="168"/>
      <c r="BC95" s="168"/>
      <c r="BD95" s="168"/>
      <c r="BE95" s="168"/>
      <c r="BF95" s="168"/>
      <c r="BG95" s="168"/>
      <c r="BH95" s="168"/>
      <c r="BI95" s="168"/>
      <c r="BJ95" s="170"/>
      <c r="BK95" s="32" t="str">
        <f t="shared" si="43"/>
        <v>ENT_01_A6-52_バックアップ_MML_生活習慣情報モジュール_本文.sql</v>
      </c>
    </row>
    <row r="96" spans="1:64" ht="37.5" hidden="1" customHeight="1" outlineLevel="1">
      <c r="A96" s="34" t="str">
        <f t="shared" ref="A96" si="50">P96</f>
        <v>バックアップ_MML_紹介状モジュール_本文</v>
      </c>
      <c r="B96" s="171" t="str">
        <f t="shared" si="20"/>
        <v>01</v>
      </c>
      <c r="C96" s="172"/>
      <c r="D96" s="172"/>
      <c r="E96" s="172"/>
      <c r="F96" s="173"/>
      <c r="G96" s="174" t="s">
        <v>195</v>
      </c>
      <c r="H96" s="175"/>
      <c r="I96" s="175"/>
      <c r="J96" s="175"/>
      <c r="K96" s="175"/>
      <c r="L96" s="175"/>
      <c r="M96" s="175"/>
      <c r="N96" s="176"/>
      <c r="O96" s="79" t="s">
        <v>3206</v>
      </c>
      <c r="P96" s="164" t="s">
        <v>3007</v>
      </c>
      <c r="Q96" s="165"/>
      <c r="R96" s="165"/>
      <c r="S96" s="165"/>
      <c r="T96" s="165"/>
      <c r="U96" s="165"/>
      <c r="V96" s="165"/>
      <c r="W96" s="165"/>
      <c r="X96" s="165"/>
      <c r="Y96" s="165"/>
      <c r="Z96" s="165"/>
      <c r="AA96" s="165"/>
      <c r="AB96" s="165"/>
      <c r="AC96" s="165"/>
      <c r="AD96" s="166"/>
      <c r="AE96" s="167" t="str">
        <f t="shared" ref="AE96" ca="1" si="51">IFERROR(INDIRECT(P96&amp;"!D8"),"")</f>
        <v>azn_202310_backup_text_mml_mmlre_body</v>
      </c>
      <c r="AF96" s="168"/>
      <c r="AG96" s="168"/>
      <c r="AH96" s="168"/>
      <c r="AI96" s="168"/>
      <c r="AJ96" s="168"/>
      <c r="AK96" s="168"/>
      <c r="AL96" s="169"/>
      <c r="AM96" s="167" t="str">
        <f t="shared" ref="AM96" ca="1" si="52">IFERROR(INDIRECT(P96&amp;"!D9"),"")</f>
        <v>MML_紹介状モジュール_本文テーブルから組入れ条件の第一条件で絞り込んだ結果を格納するテーブル</v>
      </c>
      <c r="AN96" s="168"/>
      <c r="AO96" s="168"/>
      <c r="AP96" s="168"/>
      <c r="AQ96" s="168"/>
      <c r="AR96" s="168"/>
      <c r="AS96" s="168"/>
      <c r="AT96" s="168"/>
      <c r="AU96" s="168"/>
      <c r="AV96" s="168"/>
      <c r="AW96" s="168"/>
      <c r="AX96" s="168"/>
      <c r="AY96" s="168"/>
      <c r="AZ96" s="168"/>
      <c r="BA96" s="168"/>
      <c r="BB96" s="168"/>
      <c r="BC96" s="168"/>
      <c r="BD96" s="168"/>
      <c r="BE96" s="168"/>
      <c r="BF96" s="168"/>
      <c r="BG96" s="168"/>
      <c r="BH96" s="168"/>
      <c r="BI96" s="168"/>
      <c r="BJ96" s="170"/>
      <c r="BK96" s="32" t="str">
        <f t="shared" si="43"/>
        <v>ENT_01_A6-53_バックアップ_MML_紹介状モジュール_本文.sql</v>
      </c>
    </row>
    <row r="97" spans="1:64" ht="37.5" hidden="1" customHeight="1" outlineLevel="1">
      <c r="A97" s="34" t="str">
        <f t="shared" ref="A97" si="53">P97</f>
        <v>バックアップ_MML_紹介状モジュール_注射記録</v>
      </c>
      <c r="B97" s="171" t="str">
        <f t="shared" si="20"/>
        <v>01</v>
      </c>
      <c r="C97" s="172"/>
      <c r="D97" s="172"/>
      <c r="E97" s="172"/>
      <c r="F97" s="173"/>
      <c r="G97" s="174" t="s">
        <v>195</v>
      </c>
      <c r="H97" s="175"/>
      <c r="I97" s="175"/>
      <c r="J97" s="175"/>
      <c r="K97" s="175"/>
      <c r="L97" s="175"/>
      <c r="M97" s="175"/>
      <c r="N97" s="176"/>
      <c r="O97" s="79" t="s">
        <v>3207</v>
      </c>
      <c r="P97" s="164" t="s">
        <v>3036</v>
      </c>
      <c r="Q97" s="165"/>
      <c r="R97" s="165"/>
      <c r="S97" s="165"/>
      <c r="T97" s="165"/>
      <c r="U97" s="165"/>
      <c r="V97" s="165"/>
      <c r="W97" s="165"/>
      <c r="X97" s="165"/>
      <c r="Y97" s="165"/>
      <c r="Z97" s="165"/>
      <c r="AA97" s="165"/>
      <c r="AB97" s="165"/>
      <c r="AC97" s="165"/>
      <c r="AD97" s="166"/>
      <c r="AE97" s="167" t="str">
        <f t="shared" ref="AE97" ca="1" si="54">IFERROR(INDIRECT(P97&amp;"!D8"),"")</f>
        <v>azn_202310_backup_text_mml_mmlre_inj</v>
      </c>
      <c r="AF97" s="168"/>
      <c r="AG97" s="168"/>
      <c r="AH97" s="168"/>
      <c r="AI97" s="168"/>
      <c r="AJ97" s="168"/>
      <c r="AK97" s="168"/>
      <c r="AL97" s="169"/>
      <c r="AM97" s="167" t="str">
        <f t="shared" ref="AM97" ca="1" si="55">IFERROR(INDIRECT(P97&amp;"!D9"),"")</f>
        <v>MML_紹介状モジュール_注射記録テーブルから組入れ条件の第一条件で絞り込んだ結果を格納するテーブル</v>
      </c>
      <c r="AN97" s="168"/>
      <c r="AO97" s="168"/>
      <c r="AP97" s="168"/>
      <c r="AQ97" s="168"/>
      <c r="AR97" s="168"/>
      <c r="AS97" s="168"/>
      <c r="AT97" s="168"/>
      <c r="AU97" s="168"/>
      <c r="AV97" s="168"/>
      <c r="AW97" s="168"/>
      <c r="AX97" s="168"/>
      <c r="AY97" s="168"/>
      <c r="AZ97" s="168"/>
      <c r="BA97" s="168"/>
      <c r="BB97" s="168"/>
      <c r="BC97" s="168"/>
      <c r="BD97" s="168"/>
      <c r="BE97" s="168"/>
      <c r="BF97" s="168"/>
      <c r="BG97" s="168"/>
      <c r="BH97" s="168"/>
      <c r="BI97" s="168"/>
      <c r="BJ97" s="170"/>
      <c r="BK97" s="32" t="str">
        <f t="shared" si="43"/>
        <v>ENT_01_A6-54_バックアップ_MML_紹介状モジュール_注射記録.sql</v>
      </c>
    </row>
    <row r="98" spans="1:64" ht="37.5" hidden="1" customHeight="1" outlineLevel="1">
      <c r="A98" s="34" t="str">
        <f t="shared" si="47"/>
        <v>バックアップ_MML_紹介状モジュール_注射記録投薬</v>
      </c>
      <c r="B98" s="171" t="str">
        <f t="shared" si="20"/>
        <v>01</v>
      </c>
      <c r="C98" s="172"/>
      <c r="D98" s="172"/>
      <c r="E98" s="172"/>
      <c r="F98" s="173"/>
      <c r="G98" s="174" t="s">
        <v>195</v>
      </c>
      <c r="H98" s="175"/>
      <c r="I98" s="175"/>
      <c r="J98" s="175"/>
      <c r="K98" s="175"/>
      <c r="L98" s="175"/>
      <c r="M98" s="175"/>
      <c r="N98" s="176"/>
      <c r="O98" s="79" t="s">
        <v>3208</v>
      </c>
      <c r="P98" s="164" t="s">
        <v>3037</v>
      </c>
      <c r="Q98" s="165"/>
      <c r="R98" s="165"/>
      <c r="S98" s="165"/>
      <c r="T98" s="165"/>
      <c r="U98" s="165"/>
      <c r="V98" s="165"/>
      <c r="W98" s="165"/>
      <c r="X98" s="165"/>
      <c r="Y98" s="165"/>
      <c r="Z98" s="165"/>
      <c r="AA98" s="165"/>
      <c r="AB98" s="165"/>
      <c r="AC98" s="165"/>
      <c r="AD98" s="166"/>
      <c r="AE98" s="167" t="str">
        <f t="shared" ca="1" si="48"/>
        <v>azn_202310_backup_text_mml_mmlre_inj_medication</v>
      </c>
      <c r="AF98" s="168"/>
      <c r="AG98" s="168"/>
      <c r="AH98" s="168"/>
      <c r="AI98" s="168"/>
      <c r="AJ98" s="168"/>
      <c r="AK98" s="168"/>
      <c r="AL98" s="169"/>
      <c r="AM98" s="167" t="str">
        <f t="shared" ca="1" si="49"/>
        <v>MML_紹介状モジュール_注射記録投薬テーブルから組入れ条件の第一条件で絞り込んだ結果を格納するテーブル</v>
      </c>
      <c r="AN98" s="168"/>
      <c r="AO98" s="168"/>
      <c r="AP98" s="168"/>
      <c r="AQ98" s="168"/>
      <c r="AR98" s="168"/>
      <c r="AS98" s="168"/>
      <c r="AT98" s="168"/>
      <c r="AU98" s="168"/>
      <c r="AV98" s="168"/>
      <c r="AW98" s="168"/>
      <c r="AX98" s="168"/>
      <c r="AY98" s="168"/>
      <c r="AZ98" s="168"/>
      <c r="BA98" s="168"/>
      <c r="BB98" s="168"/>
      <c r="BC98" s="168"/>
      <c r="BD98" s="168"/>
      <c r="BE98" s="168"/>
      <c r="BF98" s="168"/>
      <c r="BG98" s="168"/>
      <c r="BH98" s="168"/>
      <c r="BI98" s="168"/>
      <c r="BJ98" s="170"/>
      <c r="BK98" s="32" t="str">
        <f t="shared" si="43"/>
        <v>ENT_01_A6-55_バックアップ_MML_紹介状モジュール_注射記録投薬.sql</v>
      </c>
    </row>
    <row r="99" spans="1:64" ht="37.5" hidden="1" customHeight="1" outlineLevel="1">
      <c r="A99" s="34" t="str">
        <f t="shared" si="47"/>
        <v>バックアップ_MML_紹介状モジュール_注射記録薬剤</v>
      </c>
      <c r="B99" s="171" t="str">
        <f t="shared" si="20"/>
        <v>01</v>
      </c>
      <c r="C99" s="172"/>
      <c r="D99" s="172"/>
      <c r="E99" s="172"/>
      <c r="F99" s="173"/>
      <c r="G99" s="174" t="s">
        <v>195</v>
      </c>
      <c r="H99" s="175"/>
      <c r="I99" s="175"/>
      <c r="J99" s="175"/>
      <c r="K99" s="175"/>
      <c r="L99" s="175"/>
      <c r="M99" s="175"/>
      <c r="N99" s="176"/>
      <c r="O99" s="79" t="s">
        <v>3209</v>
      </c>
      <c r="P99" s="164" t="s">
        <v>3040</v>
      </c>
      <c r="Q99" s="165"/>
      <c r="R99" s="165"/>
      <c r="S99" s="165"/>
      <c r="T99" s="165"/>
      <c r="U99" s="165"/>
      <c r="V99" s="165"/>
      <c r="W99" s="165"/>
      <c r="X99" s="165"/>
      <c r="Y99" s="165"/>
      <c r="Z99" s="165"/>
      <c r="AA99" s="165"/>
      <c r="AB99" s="165"/>
      <c r="AC99" s="165"/>
      <c r="AD99" s="166"/>
      <c r="AE99" s="167" t="str">
        <f t="shared" ca="1" si="48"/>
        <v>azn_202310_backup_text_mml_mmlre_inj_medicine</v>
      </c>
      <c r="AF99" s="168"/>
      <c r="AG99" s="168"/>
      <c r="AH99" s="168"/>
      <c r="AI99" s="168"/>
      <c r="AJ99" s="168"/>
      <c r="AK99" s="168"/>
      <c r="AL99" s="169"/>
      <c r="AM99" s="167" t="str">
        <f t="shared" ca="1" si="49"/>
        <v>MML_紹介状モジュール_注射記録薬剤テーブルから組入れ条件の第一条件で絞り込んだ結果を格納するテーブル</v>
      </c>
      <c r="AN99" s="168"/>
      <c r="AO99" s="168"/>
      <c r="AP99" s="168"/>
      <c r="AQ99" s="168"/>
      <c r="AR99" s="168"/>
      <c r="AS99" s="168"/>
      <c r="AT99" s="168"/>
      <c r="AU99" s="168"/>
      <c r="AV99" s="168"/>
      <c r="AW99" s="168"/>
      <c r="AX99" s="168"/>
      <c r="AY99" s="168"/>
      <c r="AZ99" s="168"/>
      <c r="BA99" s="168"/>
      <c r="BB99" s="168"/>
      <c r="BC99" s="168"/>
      <c r="BD99" s="168"/>
      <c r="BE99" s="168"/>
      <c r="BF99" s="168"/>
      <c r="BG99" s="168"/>
      <c r="BH99" s="168"/>
      <c r="BI99" s="168"/>
      <c r="BJ99" s="170"/>
      <c r="BK99" s="32" t="str">
        <f t="shared" si="43"/>
        <v>ENT_01_A6-56_バックアップ_MML_紹介状モジュール_注射記録薬剤.sql</v>
      </c>
    </row>
    <row r="100" spans="1:64" ht="37.5" hidden="1" customHeight="1" outlineLevel="1">
      <c r="A100" s="34" t="str">
        <f t="shared" si="47"/>
        <v>バックアップ_MML_紹介状モジュール_患者情報</v>
      </c>
      <c r="B100" s="171" t="str">
        <f t="shared" si="20"/>
        <v>01</v>
      </c>
      <c r="C100" s="172"/>
      <c r="D100" s="172"/>
      <c r="E100" s="172"/>
      <c r="F100" s="173"/>
      <c r="G100" s="174" t="s">
        <v>195</v>
      </c>
      <c r="H100" s="175"/>
      <c r="I100" s="175"/>
      <c r="J100" s="175"/>
      <c r="K100" s="175"/>
      <c r="L100" s="175"/>
      <c r="M100" s="175"/>
      <c r="N100" s="176"/>
      <c r="O100" s="79" t="s">
        <v>3210</v>
      </c>
      <c r="P100" s="164" t="s">
        <v>3041</v>
      </c>
      <c r="Q100" s="165"/>
      <c r="R100" s="165"/>
      <c r="S100" s="165"/>
      <c r="T100" s="165"/>
      <c r="U100" s="165"/>
      <c r="V100" s="165"/>
      <c r="W100" s="165"/>
      <c r="X100" s="165"/>
      <c r="Y100" s="165"/>
      <c r="Z100" s="165"/>
      <c r="AA100" s="165"/>
      <c r="AB100" s="165"/>
      <c r="AC100" s="165"/>
      <c r="AD100" s="166"/>
      <c r="AE100" s="167" t="str">
        <f t="shared" ca="1" si="48"/>
        <v>azn_202310_backup_text_mml_mmlre_pi</v>
      </c>
      <c r="AF100" s="168"/>
      <c r="AG100" s="168"/>
      <c r="AH100" s="168"/>
      <c r="AI100" s="168"/>
      <c r="AJ100" s="168"/>
      <c r="AK100" s="168"/>
      <c r="AL100" s="169"/>
      <c r="AM100" s="167" t="str">
        <f t="shared" ca="1" si="49"/>
        <v>MML_紹介状モジュール_患者情報テーブルから組入れ条件の第一条件で絞り込んだ結果を格納するテーブル</v>
      </c>
      <c r="AN100" s="168"/>
      <c r="AO100" s="168"/>
      <c r="AP100" s="168"/>
      <c r="AQ100" s="168"/>
      <c r="AR100" s="168"/>
      <c r="AS100" s="168"/>
      <c r="AT100" s="168"/>
      <c r="AU100" s="168"/>
      <c r="AV100" s="168"/>
      <c r="AW100" s="168"/>
      <c r="AX100" s="168"/>
      <c r="AY100" s="168"/>
      <c r="AZ100" s="168"/>
      <c r="BA100" s="168"/>
      <c r="BB100" s="168"/>
      <c r="BC100" s="168"/>
      <c r="BD100" s="168"/>
      <c r="BE100" s="168"/>
      <c r="BF100" s="168"/>
      <c r="BG100" s="168"/>
      <c r="BH100" s="168"/>
      <c r="BI100" s="168"/>
      <c r="BJ100" s="170"/>
      <c r="BK100" s="32" t="str">
        <f t="shared" si="43"/>
        <v>ENT_01_A6-57_バックアップ_MML_紹介状モジュール_患者情報.sql</v>
      </c>
    </row>
    <row r="101" spans="1:64" ht="37.5" hidden="1" customHeight="1" outlineLevel="1">
      <c r="A101" s="34" t="str">
        <f t="shared" si="47"/>
        <v>バックアップ_MML_紹介状モジュール_患者情報住所</v>
      </c>
      <c r="B101" s="171" t="str">
        <f t="shared" si="20"/>
        <v>01</v>
      </c>
      <c r="C101" s="172"/>
      <c r="D101" s="172"/>
      <c r="E101" s="172"/>
      <c r="F101" s="173"/>
      <c r="G101" s="174" t="s">
        <v>195</v>
      </c>
      <c r="H101" s="175"/>
      <c r="I101" s="175"/>
      <c r="J101" s="175"/>
      <c r="K101" s="175"/>
      <c r="L101" s="175"/>
      <c r="M101" s="175"/>
      <c r="N101" s="176"/>
      <c r="O101" s="79" t="s">
        <v>3211</v>
      </c>
      <c r="P101" s="164" t="s">
        <v>3051</v>
      </c>
      <c r="Q101" s="165"/>
      <c r="R101" s="165"/>
      <c r="S101" s="165"/>
      <c r="T101" s="165"/>
      <c r="U101" s="165"/>
      <c r="V101" s="165"/>
      <c r="W101" s="165"/>
      <c r="X101" s="165"/>
      <c r="Y101" s="165"/>
      <c r="Z101" s="165"/>
      <c r="AA101" s="165"/>
      <c r="AB101" s="165"/>
      <c r="AC101" s="165"/>
      <c r="AD101" s="166"/>
      <c r="AE101" s="167" t="str">
        <f t="shared" ca="1" si="48"/>
        <v>azn_202310_backup_text_mml_mmlre_pi_address</v>
      </c>
      <c r="AF101" s="168"/>
      <c r="AG101" s="168"/>
      <c r="AH101" s="168"/>
      <c r="AI101" s="168"/>
      <c r="AJ101" s="168"/>
      <c r="AK101" s="168"/>
      <c r="AL101" s="169"/>
      <c r="AM101" s="167" t="str">
        <f t="shared" ca="1" si="49"/>
        <v>MML_紹介状モジュール_患者情報住所テーブルから組入れ条件の第一条件で絞り込んだ結果を格納するテーブル</v>
      </c>
      <c r="AN101" s="168"/>
      <c r="AO101" s="168"/>
      <c r="AP101" s="168"/>
      <c r="AQ101" s="168"/>
      <c r="AR101" s="168"/>
      <c r="AS101" s="168"/>
      <c r="AT101" s="168"/>
      <c r="AU101" s="168"/>
      <c r="AV101" s="168"/>
      <c r="AW101" s="168"/>
      <c r="AX101" s="168"/>
      <c r="AY101" s="168"/>
      <c r="AZ101" s="168"/>
      <c r="BA101" s="168"/>
      <c r="BB101" s="168"/>
      <c r="BC101" s="168"/>
      <c r="BD101" s="168"/>
      <c r="BE101" s="168"/>
      <c r="BF101" s="168"/>
      <c r="BG101" s="168"/>
      <c r="BH101" s="168"/>
      <c r="BI101" s="168"/>
      <c r="BJ101" s="170"/>
      <c r="BK101" s="32" t="str">
        <f t="shared" si="43"/>
        <v>ENT_01_A6-58_バックアップ_MML_紹介状モジュール_患者情報住所.sql</v>
      </c>
    </row>
    <row r="102" spans="1:64" ht="37.5" hidden="1" customHeight="1" outlineLevel="1">
      <c r="A102" s="34" t="str">
        <f t="shared" si="47"/>
        <v>バックアップ_MML_紹介状モジュール_処方箋</v>
      </c>
      <c r="B102" s="171" t="str">
        <f t="shared" si="20"/>
        <v>01</v>
      </c>
      <c r="C102" s="172"/>
      <c r="D102" s="172"/>
      <c r="E102" s="172"/>
      <c r="F102" s="173"/>
      <c r="G102" s="174" t="s">
        <v>195</v>
      </c>
      <c r="H102" s="175"/>
      <c r="I102" s="175"/>
      <c r="J102" s="175"/>
      <c r="K102" s="175"/>
      <c r="L102" s="175"/>
      <c r="M102" s="175"/>
      <c r="N102" s="176"/>
      <c r="O102" s="79" t="s">
        <v>3212</v>
      </c>
      <c r="P102" s="164" t="s">
        <v>3069</v>
      </c>
      <c r="Q102" s="165"/>
      <c r="R102" s="165"/>
      <c r="S102" s="165"/>
      <c r="T102" s="165"/>
      <c r="U102" s="165"/>
      <c r="V102" s="165"/>
      <c r="W102" s="165"/>
      <c r="X102" s="165"/>
      <c r="Y102" s="165"/>
      <c r="Z102" s="165"/>
      <c r="AA102" s="165"/>
      <c r="AB102" s="165"/>
      <c r="AC102" s="165"/>
      <c r="AD102" s="166"/>
      <c r="AE102" s="167" t="str">
        <f t="shared" ca="1" si="48"/>
        <v>azn_202310_backup_text_mml_mmlre_ps</v>
      </c>
      <c r="AF102" s="168"/>
      <c r="AG102" s="168"/>
      <c r="AH102" s="168"/>
      <c r="AI102" s="168"/>
      <c r="AJ102" s="168"/>
      <c r="AK102" s="168"/>
      <c r="AL102" s="169"/>
      <c r="AM102" s="167" t="str">
        <f t="shared" ca="1" si="49"/>
        <v>MML_紹介状モジュール_処方箋テーブルから組入れ条件の第一条件で絞り込んだ結果を格納するテーブル</v>
      </c>
      <c r="AN102" s="168"/>
      <c r="AO102" s="168"/>
      <c r="AP102" s="168"/>
      <c r="AQ102" s="168"/>
      <c r="AR102" s="168"/>
      <c r="AS102" s="168"/>
      <c r="AT102" s="168"/>
      <c r="AU102" s="168"/>
      <c r="AV102" s="168"/>
      <c r="AW102" s="168"/>
      <c r="AX102" s="168"/>
      <c r="AY102" s="168"/>
      <c r="AZ102" s="168"/>
      <c r="BA102" s="168"/>
      <c r="BB102" s="168"/>
      <c r="BC102" s="168"/>
      <c r="BD102" s="168"/>
      <c r="BE102" s="168"/>
      <c r="BF102" s="168"/>
      <c r="BG102" s="168"/>
      <c r="BH102" s="168"/>
      <c r="BI102" s="168"/>
      <c r="BJ102" s="170"/>
      <c r="BK102" s="32" t="str">
        <f t="shared" si="43"/>
        <v>ENT_01_A6-59_バックアップ_MML_紹介状モジュール_処方箋.sql</v>
      </c>
    </row>
    <row r="103" spans="1:64" ht="37.5" hidden="1" customHeight="1" outlineLevel="1">
      <c r="A103" s="34" t="str">
        <f t="shared" si="47"/>
        <v>バックアップ_MML_紹介状モジュール_処方箋投薬</v>
      </c>
      <c r="B103" s="171" t="str">
        <f t="shared" si="20"/>
        <v>01</v>
      </c>
      <c r="C103" s="172"/>
      <c r="D103" s="172"/>
      <c r="E103" s="172"/>
      <c r="F103" s="173"/>
      <c r="G103" s="174" t="s">
        <v>195</v>
      </c>
      <c r="H103" s="175"/>
      <c r="I103" s="175"/>
      <c r="J103" s="175"/>
      <c r="K103" s="175"/>
      <c r="L103" s="175"/>
      <c r="M103" s="175"/>
      <c r="N103" s="176"/>
      <c r="O103" s="79" t="s">
        <v>3213</v>
      </c>
      <c r="P103" s="164" t="s">
        <v>3070</v>
      </c>
      <c r="Q103" s="165"/>
      <c r="R103" s="165"/>
      <c r="S103" s="165"/>
      <c r="T103" s="165"/>
      <c r="U103" s="165"/>
      <c r="V103" s="165"/>
      <c r="W103" s="165"/>
      <c r="X103" s="165"/>
      <c r="Y103" s="165"/>
      <c r="Z103" s="165"/>
      <c r="AA103" s="165"/>
      <c r="AB103" s="165"/>
      <c r="AC103" s="165"/>
      <c r="AD103" s="166"/>
      <c r="AE103" s="167" t="str">
        <f t="shared" ca="1" si="48"/>
        <v>azn_202310_backup_text_mml_mmlre_ps_medication</v>
      </c>
      <c r="AF103" s="168"/>
      <c r="AG103" s="168"/>
      <c r="AH103" s="168"/>
      <c r="AI103" s="168"/>
      <c r="AJ103" s="168"/>
      <c r="AK103" s="168"/>
      <c r="AL103" s="169"/>
      <c r="AM103" s="167" t="str">
        <f t="shared" ca="1" si="49"/>
        <v>MML_紹介状モジュール_処方箋投薬テーブルから組入れ条件の第一条件で絞り込んだ結果を格納するテーブル</v>
      </c>
      <c r="AN103" s="168"/>
      <c r="AO103" s="168"/>
      <c r="AP103" s="168"/>
      <c r="AQ103" s="168"/>
      <c r="AR103" s="168"/>
      <c r="AS103" s="168"/>
      <c r="AT103" s="168"/>
      <c r="AU103" s="168"/>
      <c r="AV103" s="168"/>
      <c r="AW103" s="168"/>
      <c r="AX103" s="168"/>
      <c r="AY103" s="168"/>
      <c r="AZ103" s="168"/>
      <c r="BA103" s="168"/>
      <c r="BB103" s="168"/>
      <c r="BC103" s="168"/>
      <c r="BD103" s="168"/>
      <c r="BE103" s="168"/>
      <c r="BF103" s="168"/>
      <c r="BG103" s="168"/>
      <c r="BH103" s="168"/>
      <c r="BI103" s="168"/>
      <c r="BJ103" s="170"/>
      <c r="BK103" s="32" t="str">
        <f t="shared" si="43"/>
        <v>ENT_01_A6-60_バックアップ_MML_紹介状モジュール_処方箋投薬.sql</v>
      </c>
    </row>
    <row r="104" spans="1:64" ht="37.5" hidden="1" customHeight="1" outlineLevel="1">
      <c r="A104" s="34" t="str">
        <f t="shared" si="36"/>
        <v>バックアップ_MML_紹介状モジュール_処方箋薬剤</v>
      </c>
      <c r="B104" s="171" t="str">
        <f t="shared" si="20"/>
        <v>01</v>
      </c>
      <c r="C104" s="172"/>
      <c r="D104" s="172"/>
      <c r="E104" s="172"/>
      <c r="F104" s="173"/>
      <c r="G104" s="174" t="s">
        <v>195</v>
      </c>
      <c r="H104" s="175"/>
      <c r="I104" s="175"/>
      <c r="J104" s="175"/>
      <c r="K104" s="175"/>
      <c r="L104" s="175"/>
      <c r="M104" s="175"/>
      <c r="N104" s="176"/>
      <c r="O104" s="79" t="s">
        <v>3214</v>
      </c>
      <c r="P104" s="164" t="s">
        <v>3071</v>
      </c>
      <c r="Q104" s="165"/>
      <c r="R104" s="165"/>
      <c r="S104" s="165"/>
      <c r="T104" s="165"/>
      <c r="U104" s="165"/>
      <c r="V104" s="165"/>
      <c r="W104" s="165"/>
      <c r="X104" s="165"/>
      <c r="Y104" s="165"/>
      <c r="Z104" s="165"/>
      <c r="AA104" s="165"/>
      <c r="AB104" s="165"/>
      <c r="AC104" s="165"/>
      <c r="AD104" s="166"/>
      <c r="AE104" s="167" t="str">
        <f t="shared" ca="1" si="37"/>
        <v>azn_202310_backup_text_mml_mmlre_ps_medicine</v>
      </c>
      <c r="AF104" s="168"/>
      <c r="AG104" s="168"/>
      <c r="AH104" s="168"/>
      <c r="AI104" s="168"/>
      <c r="AJ104" s="168"/>
      <c r="AK104" s="168"/>
      <c r="AL104" s="169"/>
      <c r="AM104" s="167" t="str">
        <f t="shared" ca="1" si="38"/>
        <v>MML_紹介状モジュール_処方箋薬剤テーブルから組入れ条件の第一条件で絞り込んだ結果を格納するテーブル</v>
      </c>
      <c r="AN104" s="168"/>
      <c r="AO104" s="168"/>
      <c r="AP104" s="168"/>
      <c r="AQ104" s="168"/>
      <c r="AR104" s="168"/>
      <c r="AS104" s="168"/>
      <c r="AT104" s="168"/>
      <c r="AU104" s="168"/>
      <c r="AV104" s="168"/>
      <c r="AW104" s="168"/>
      <c r="AX104" s="168"/>
      <c r="AY104" s="168"/>
      <c r="AZ104" s="168"/>
      <c r="BA104" s="168"/>
      <c r="BB104" s="168"/>
      <c r="BC104" s="168"/>
      <c r="BD104" s="168"/>
      <c r="BE104" s="168"/>
      <c r="BF104" s="168"/>
      <c r="BG104" s="168"/>
      <c r="BH104" s="168"/>
      <c r="BI104" s="168"/>
      <c r="BJ104" s="170"/>
      <c r="BK104" s="32" t="str">
        <f t="shared" si="43"/>
        <v>ENT_01_A6-61_バックアップ_MML_紹介状モジュール_処方箋薬剤.sql</v>
      </c>
    </row>
    <row r="105" spans="1:64" ht="37.5" hidden="1" customHeight="1" outlineLevel="1">
      <c r="A105" s="34" t="str">
        <f t="shared" ref="A105" si="56">P105</f>
        <v>バックアップ_MML_紹介状モジュール_臨床サマリー情報経過記録</v>
      </c>
      <c r="B105" s="171" t="str">
        <f t="shared" si="20"/>
        <v>01</v>
      </c>
      <c r="C105" s="172"/>
      <c r="D105" s="172"/>
      <c r="E105" s="172"/>
      <c r="F105" s="173"/>
      <c r="G105" s="174" t="s">
        <v>195</v>
      </c>
      <c r="H105" s="175"/>
      <c r="I105" s="175"/>
      <c r="J105" s="175"/>
      <c r="K105" s="175"/>
      <c r="L105" s="175"/>
      <c r="M105" s="175"/>
      <c r="N105" s="176"/>
      <c r="O105" s="79" t="s">
        <v>3215</v>
      </c>
      <c r="P105" s="164" t="s">
        <v>3072</v>
      </c>
      <c r="Q105" s="165"/>
      <c r="R105" s="165"/>
      <c r="S105" s="165"/>
      <c r="T105" s="165"/>
      <c r="U105" s="165"/>
      <c r="V105" s="165"/>
      <c r="W105" s="165"/>
      <c r="X105" s="165"/>
      <c r="Y105" s="165"/>
      <c r="Z105" s="165"/>
      <c r="AA105" s="165"/>
      <c r="AB105" s="165"/>
      <c r="AC105" s="165"/>
      <c r="AD105" s="166"/>
      <c r="AE105" s="167" t="s">
        <v>3081</v>
      </c>
      <c r="AF105" s="168"/>
      <c r="AG105" s="168"/>
      <c r="AH105" s="168"/>
      <c r="AI105" s="168"/>
      <c r="AJ105" s="168"/>
      <c r="AK105" s="168"/>
      <c r="AL105" s="169"/>
      <c r="AM105" s="167" t="s">
        <v>3082</v>
      </c>
      <c r="AN105" s="168"/>
      <c r="AO105" s="168"/>
      <c r="AP105" s="168"/>
      <c r="AQ105" s="168"/>
      <c r="AR105" s="168"/>
      <c r="AS105" s="168"/>
      <c r="AT105" s="168"/>
      <c r="AU105" s="168"/>
      <c r="AV105" s="168"/>
      <c r="AW105" s="168"/>
      <c r="AX105" s="168"/>
      <c r="AY105" s="168"/>
      <c r="AZ105" s="168"/>
      <c r="BA105" s="168"/>
      <c r="BB105" s="168"/>
      <c r="BC105" s="168"/>
      <c r="BD105" s="168"/>
      <c r="BE105" s="168"/>
      <c r="BF105" s="168"/>
      <c r="BG105" s="168"/>
      <c r="BH105" s="168"/>
      <c r="BI105" s="168"/>
      <c r="BJ105" s="170"/>
      <c r="BK105" s="32" t="str">
        <f t="shared" si="43"/>
        <v>ENT_01_A6-62_バックアップ_MML_紹介状モジュール_臨床サマリー情報経過記録.sql</v>
      </c>
    </row>
    <row r="106" spans="1:64" ht="37.5" hidden="1" customHeight="1" outlineLevel="1">
      <c r="A106" s="34" t="str">
        <f t="shared" ref="A106" si="57">P106</f>
        <v>バックアップ_MML_紹介状モジュール_診療科情報</v>
      </c>
      <c r="B106" s="171" t="str">
        <f t="shared" si="20"/>
        <v>01</v>
      </c>
      <c r="C106" s="172"/>
      <c r="D106" s="172"/>
      <c r="E106" s="172"/>
      <c r="F106" s="173"/>
      <c r="G106" s="174" t="s">
        <v>195</v>
      </c>
      <c r="H106" s="175"/>
      <c r="I106" s="175"/>
      <c r="J106" s="175"/>
      <c r="K106" s="175"/>
      <c r="L106" s="175"/>
      <c r="M106" s="175"/>
      <c r="N106" s="176"/>
      <c r="O106" s="79" t="s">
        <v>3216</v>
      </c>
      <c r="P106" s="164" t="s">
        <v>3083</v>
      </c>
      <c r="Q106" s="165"/>
      <c r="R106" s="165"/>
      <c r="S106" s="165"/>
      <c r="T106" s="165"/>
      <c r="U106" s="165"/>
      <c r="V106" s="165"/>
      <c r="W106" s="165"/>
      <c r="X106" s="165"/>
      <c r="Y106" s="165"/>
      <c r="Z106" s="165"/>
      <c r="AA106" s="165"/>
      <c r="AB106" s="165"/>
      <c r="AC106" s="165"/>
      <c r="AD106" s="166"/>
      <c r="AE106" s="167" t="str">
        <f t="shared" ref="AE106" ca="1" si="58">IFERROR(INDIRECT(P106&amp;"!D8"),"")</f>
        <v>azn_202310_backup_text_mml_mmlre_dp</v>
      </c>
      <c r="AF106" s="168"/>
      <c r="AG106" s="168"/>
      <c r="AH106" s="168"/>
      <c r="AI106" s="168"/>
      <c r="AJ106" s="168"/>
      <c r="AK106" s="168"/>
      <c r="AL106" s="169"/>
      <c r="AM106" s="167" t="str">
        <f t="shared" ref="AM106" ca="1" si="59">IFERROR(INDIRECT(P106&amp;"!D9"),"")</f>
        <v>MML_紹介状モジュール_診療科情報テーブルから組入れ条件の第一条件で絞り込んだ結果を格納するテーブル</v>
      </c>
      <c r="AN106" s="168"/>
      <c r="AO106" s="168"/>
      <c r="AP106" s="168"/>
      <c r="AQ106" s="168"/>
      <c r="AR106" s="168"/>
      <c r="AS106" s="168"/>
      <c r="AT106" s="168"/>
      <c r="AU106" s="168"/>
      <c r="AV106" s="168"/>
      <c r="AW106" s="168"/>
      <c r="AX106" s="168"/>
      <c r="AY106" s="168"/>
      <c r="AZ106" s="168"/>
      <c r="BA106" s="168"/>
      <c r="BB106" s="168"/>
      <c r="BC106" s="168"/>
      <c r="BD106" s="168"/>
      <c r="BE106" s="168"/>
      <c r="BF106" s="168"/>
      <c r="BG106" s="168"/>
      <c r="BH106" s="168"/>
      <c r="BI106" s="168"/>
      <c r="BJ106" s="170"/>
      <c r="BK106" s="32" t="str">
        <f t="shared" si="43"/>
        <v>ENT_01_A6-63_バックアップ_MML_紹介状モジュール_診療科情報.sql</v>
      </c>
    </row>
    <row r="107" spans="1:64" ht="37.5" hidden="1" customHeight="1" outlineLevel="1">
      <c r="A107" s="34" t="str">
        <f t="shared" ref="A107:A121" si="60">P107</f>
        <v>バックアップ_DPC調査データ_Dファイル</v>
      </c>
      <c r="B107" s="171" t="str">
        <f>TEXT(1,"00")</f>
        <v>01</v>
      </c>
      <c r="C107" s="172"/>
      <c r="D107" s="172"/>
      <c r="E107" s="172"/>
      <c r="F107" s="173"/>
      <c r="G107" s="174" t="s">
        <v>195</v>
      </c>
      <c r="H107" s="175"/>
      <c r="I107" s="175"/>
      <c r="J107" s="175"/>
      <c r="K107" s="175"/>
      <c r="L107" s="175"/>
      <c r="M107" s="175"/>
      <c r="N107" s="176"/>
      <c r="O107" s="89" t="s">
        <v>3084</v>
      </c>
      <c r="P107" s="199" t="s">
        <v>190</v>
      </c>
      <c r="Q107" s="200"/>
      <c r="R107" s="200"/>
      <c r="S107" s="200"/>
      <c r="T107" s="200"/>
      <c r="U107" s="200"/>
      <c r="V107" s="200"/>
      <c r="W107" s="200"/>
      <c r="X107" s="200"/>
      <c r="Y107" s="200"/>
      <c r="Z107" s="200"/>
      <c r="AA107" s="200"/>
      <c r="AB107" s="200"/>
      <c r="AC107" s="200"/>
      <c r="AD107" s="201"/>
      <c r="AE107" s="190" t="str">
        <f t="shared" ref="AE107:AE112" ca="1" si="61">IFERROR(INDIRECT(P107&amp;"!D8"),"")</f>
        <v>azn_202310_backup_merge_dpc_dn</v>
      </c>
      <c r="AF107" s="191"/>
      <c r="AG107" s="191"/>
      <c r="AH107" s="191"/>
      <c r="AI107" s="191"/>
      <c r="AJ107" s="191"/>
      <c r="AK107" s="191"/>
      <c r="AL107" s="202"/>
      <c r="AM107" s="190" t="str">
        <f t="shared" ref="AM107:AM112" ca="1" si="62">IFERROR(INDIRECT(P107&amp;"!D9"),"")</f>
        <v>DPC調査データ_Dファイルテーブルから組入れ条件の第一条件で絞り込んだ結果を格納するテーブル</v>
      </c>
      <c r="AN107" s="191"/>
      <c r="AO107" s="191"/>
      <c r="AP107" s="191"/>
      <c r="AQ107" s="191"/>
      <c r="AR107" s="191"/>
      <c r="AS107" s="191"/>
      <c r="AT107" s="191"/>
      <c r="AU107" s="191"/>
      <c r="AV107" s="191"/>
      <c r="AW107" s="191"/>
      <c r="AX107" s="191"/>
      <c r="AY107" s="191"/>
      <c r="AZ107" s="191"/>
      <c r="BA107" s="191"/>
      <c r="BB107" s="191"/>
      <c r="BC107" s="191"/>
      <c r="BD107" s="191"/>
      <c r="BE107" s="191"/>
      <c r="BF107" s="191"/>
      <c r="BG107" s="191"/>
      <c r="BH107" s="191"/>
      <c r="BI107" s="191"/>
      <c r="BJ107" s="192"/>
      <c r="BK107" s="32" t="str">
        <f t="shared" ref="BK107:BK138" si="63">IF(P107&lt;&gt;"",O107&amp;"_"&amp;P107&amp;".sql","")</f>
        <v>ENT_01_C1-01_バックアップ_DPC調査データ_Dファイル.sql</v>
      </c>
    </row>
    <row r="108" spans="1:64" ht="37.5" hidden="1" customHeight="1" outlineLevel="1">
      <c r="A108" s="34" t="str">
        <f t="shared" si="60"/>
        <v>バックアップ_DPC調査データ_入院EF統合ファイル</v>
      </c>
      <c r="B108" s="171" t="str">
        <f>TEXT(1,"00")</f>
        <v>01</v>
      </c>
      <c r="C108" s="172"/>
      <c r="D108" s="172"/>
      <c r="E108" s="172"/>
      <c r="F108" s="173"/>
      <c r="G108" s="174" t="s">
        <v>195</v>
      </c>
      <c r="H108" s="175"/>
      <c r="I108" s="175"/>
      <c r="J108" s="175"/>
      <c r="K108" s="175"/>
      <c r="L108" s="175"/>
      <c r="M108" s="175"/>
      <c r="N108" s="176"/>
      <c r="O108" s="79" t="s">
        <v>3085</v>
      </c>
      <c r="P108" s="164" t="s">
        <v>191</v>
      </c>
      <c r="Q108" s="165"/>
      <c r="R108" s="165"/>
      <c r="S108" s="165"/>
      <c r="T108" s="165"/>
      <c r="U108" s="165"/>
      <c r="V108" s="165"/>
      <c r="W108" s="165"/>
      <c r="X108" s="165"/>
      <c r="Y108" s="165"/>
      <c r="Z108" s="165"/>
      <c r="AA108" s="165"/>
      <c r="AB108" s="165"/>
      <c r="AC108" s="165"/>
      <c r="AD108" s="166"/>
      <c r="AE108" s="167" t="str">
        <f t="shared" ca="1" si="61"/>
        <v>azn_202310_backup_merge_dpc_efn</v>
      </c>
      <c r="AF108" s="168"/>
      <c r="AG108" s="168"/>
      <c r="AH108" s="168"/>
      <c r="AI108" s="168"/>
      <c r="AJ108" s="168"/>
      <c r="AK108" s="168"/>
      <c r="AL108" s="169"/>
      <c r="AM108" s="167" t="str">
        <f t="shared" ca="1" si="62"/>
        <v>DPC調査データ_入院EF統合ファイルテーブルから組入れ条件の第一条件で絞り込んだ結果を格納するテーブル</v>
      </c>
      <c r="AN108" s="168"/>
      <c r="AO108" s="168"/>
      <c r="AP108" s="168"/>
      <c r="AQ108" s="168"/>
      <c r="AR108" s="168"/>
      <c r="AS108" s="168"/>
      <c r="AT108" s="168"/>
      <c r="AU108" s="168"/>
      <c r="AV108" s="168"/>
      <c r="AW108" s="168"/>
      <c r="AX108" s="168"/>
      <c r="AY108" s="168"/>
      <c r="AZ108" s="168"/>
      <c r="BA108" s="168"/>
      <c r="BB108" s="168"/>
      <c r="BC108" s="168"/>
      <c r="BD108" s="168"/>
      <c r="BE108" s="168"/>
      <c r="BF108" s="168"/>
      <c r="BG108" s="168"/>
      <c r="BH108" s="168"/>
      <c r="BI108" s="168"/>
      <c r="BJ108" s="170"/>
      <c r="BK108" s="32" t="str">
        <f t="shared" si="63"/>
        <v>ENT_01_C1-02_バックアップ_DPC調査データ_入院EF統合ファイル.sql</v>
      </c>
      <c r="BL108" s="32">
        <v>1</v>
      </c>
    </row>
    <row r="109" spans="1:64" ht="37.5" hidden="1" customHeight="1" outlineLevel="1">
      <c r="A109" s="34" t="str">
        <f t="shared" si="60"/>
        <v>バックアップ_DPC調査データ_外来EF統合ファイル</v>
      </c>
      <c r="B109" s="171" t="str">
        <f t="shared" ref="B109:B112" si="64">TEXT(1,"00")</f>
        <v>01</v>
      </c>
      <c r="C109" s="172"/>
      <c r="D109" s="172"/>
      <c r="E109" s="172"/>
      <c r="F109" s="173"/>
      <c r="G109" s="174" t="s">
        <v>195</v>
      </c>
      <c r="H109" s="175"/>
      <c r="I109" s="175"/>
      <c r="J109" s="175"/>
      <c r="K109" s="175"/>
      <c r="L109" s="175"/>
      <c r="M109" s="175"/>
      <c r="N109" s="176"/>
      <c r="O109" s="79" t="s">
        <v>3086</v>
      </c>
      <c r="P109" s="164" t="s">
        <v>192</v>
      </c>
      <c r="Q109" s="165"/>
      <c r="R109" s="165"/>
      <c r="S109" s="165"/>
      <c r="T109" s="165"/>
      <c r="U109" s="165"/>
      <c r="V109" s="165"/>
      <c r="W109" s="165"/>
      <c r="X109" s="165"/>
      <c r="Y109" s="165"/>
      <c r="Z109" s="165"/>
      <c r="AA109" s="165"/>
      <c r="AB109" s="165"/>
      <c r="AC109" s="165"/>
      <c r="AD109" s="166"/>
      <c r="AE109" s="167" t="str">
        <f t="shared" ca="1" si="61"/>
        <v>azn_202310_backup_merge_dpc_efg</v>
      </c>
      <c r="AF109" s="168"/>
      <c r="AG109" s="168"/>
      <c r="AH109" s="168"/>
      <c r="AI109" s="168"/>
      <c r="AJ109" s="168"/>
      <c r="AK109" s="168"/>
      <c r="AL109" s="169"/>
      <c r="AM109" s="167" t="str">
        <f t="shared" ca="1" si="62"/>
        <v>DPC調査データ_外来EF統合ファイルテーブルから組入れ条件の第一条件で絞り込んだ結果を格納するテーブル</v>
      </c>
      <c r="AN109" s="168"/>
      <c r="AO109" s="168"/>
      <c r="AP109" s="168"/>
      <c r="AQ109" s="168"/>
      <c r="AR109" s="168"/>
      <c r="AS109" s="168"/>
      <c r="AT109" s="168"/>
      <c r="AU109" s="168"/>
      <c r="AV109" s="168"/>
      <c r="AW109" s="168"/>
      <c r="AX109" s="168"/>
      <c r="AY109" s="168"/>
      <c r="AZ109" s="168"/>
      <c r="BA109" s="168"/>
      <c r="BB109" s="168"/>
      <c r="BC109" s="168"/>
      <c r="BD109" s="168"/>
      <c r="BE109" s="168"/>
      <c r="BF109" s="168"/>
      <c r="BG109" s="168"/>
      <c r="BH109" s="168"/>
      <c r="BI109" s="168"/>
      <c r="BJ109" s="170"/>
      <c r="BK109" s="32" t="str">
        <f t="shared" si="63"/>
        <v>ENT_01_C1-03_バックアップ_DPC調査データ_外来EF統合ファイル.sql</v>
      </c>
      <c r="BL109" s="32">
        <v>1</v>
      </c>
    </row>
    <row r="110" spans="1:64" ht="37.5" hidden="1" customHeight="1" outlineLevel="1">
      <c r="A110" s="34" t="str">
        <f t="shared" si="60"/>
        <v>バックアップ_DPC調査データ_Hファイル</v>
      </c>
      <c r="B110" s="171" t="str">
        <f t="shared" si="64"/>
        <v>01</v>
      </c>
      <c r="C110" s="172"/>
      <c r="D110" s="172"/>
      <c r="E110" s="172"/>
      <c r="F110" s="173"/>
      <c r="G110" s="174" t="s">
        <v>195</v>
      </c>
      <c r="H110" s="175"/>
      <c r="I110" s="175"/>
      <c r="J110" s="175"/>
      <c r="K110" s="175"/>
      <c r="L110" s="175"/>
      <c r="M110" s="175"/>
      <c r="N110" s="176"/>
      <c r="O110" s="79" t="s">
        <v>3087</v>
      </c>
      <c r="P110" s="164" t="s">
        <v>193</v>
      </c>
      <c r="Q110" s="165"/>
      <c r="R110" s="165"/>
      <c r="S110" s="165"/>
      <c r="T110" s="165"/>
      <c r="U110" s="165"/>
      <c r="V110" s="165"/>
      <c r="W110" s="165"/>
      <c r="X110" s="165"/>
      <c r="Y110" s="165"/>
      <c r="Z110" s="165"/>
      <c r="AA110" s="165"/>
      <c r="AB110" s="165"/>
      <c r="AC110" s="165"/>
      <c r="AD110" s="166"/>
      <c r="AE110" s="167" t="str">
        <f t="shared" ca="1" si="61"/>
        <v>azn_202310_backup_merge_dpc_hn</v>
      </c>
      <c r="AF110" s="168"/>
      <c r="AG110" s="168"/>
      <c r="AH110" s="168"/>
      <c r="AI110" s="168"/>
      <c r="AJ110" s="168"/>
      <c r="AK110" s="168"/>
      <c r="AL110" s="169"/>
      <c r="AM110" s="167" t="str">
        <f t="shared" ca="1" si="62"/>
        <v>DPC調査データ_Hファイルテーブルから組入れ条件の第一条件で絞り込んだ結果を格納するテーブル</v>
      </c>
      <c r="AN110" s="168"/>
      <c r="AO110" s="168"/>
      <c r="AP110" s="168"/>
      <c r="AQ110" s="168"/>
      <c r="AR110" s="168"/>
      <c r="AS110" s="168"/>
      <c r="AT110" s="168"/>
      <c r="AU110" s="168"/>
      <c r="AV110" s="168"/>
      <c r="AW110" s="168"/>
      <c r="AX110" s="168"/>
      <c r="AY110" s="168"/>
      <c r="AZ110" s="168"/>
      <c r="BA110" s="168"/>
      <c r="BB110" s="168"/>
      <c r="BC110" s="168"/>
      <c r="BD110" s="168"/>
      <c r="BE110" s="168"/>
      <c r="BF110" s="168"/>
      <c r="BG110" s="168"/>
      <c r="BH110" s="168"/>
      <c r="BI110" s="168"/>
      <c r="BJ110" s="170"/>
      <c r="BK110" s="32" t="str">
        <f t="shared" si="63"/>
        <v>ENT_01_C1-04_バックアップ_DPC調査データ_Hファイル.sql</v>
      </c>
    </row>
    <row r="111" spans="1:64" ht="37.5" hidden="1" customHeight="1" outlineLevel="1">
      <c r="A111" s="34" t="str">
        <f t="shared" si="60"/>
        <v>バックアップ_DPC調査データ_様式1</v>
      </c>
      <c r="B111" s="171" t="str">
        <f t="shared" si="64"/>
        <v>01</v>
      </c>
      <c r="C111" s="172"/>
      <c r="D111" s="172"/>
      <c r="E111" s="172"/>
      <c r="F111" s="173"/>
      <c r="G111" s="174" t="s">
        <v>195</v>
      </c>
      <c r="H111" s="175"/>
      <c r="I111" s="175"/>
      <c r="J111" s="175"/>
      <c r="K111" s="175"/>
      <c r="L111" s="175"/>
      <c r="M111" s="175"/>
      <c r="N111" s="176"/>
      <c r="O111" s="79" t="s">
        <v>3088</v>
      </c>
      <c r="P111" s="164" t="s">
        <v>194</v>
      </c>
      <c r="Q111" s="165"/>
      <c r="R111" s="165"/>
      <c r="S111" s="165"/>
      <c r="T111" s="165"/>
      <c r="U111" s="165"/>
      <c r="V111" s="165"/>
      <c r="W111" s="165"/>
      <c r="X111" s="165"/>
      <c r="Y111" s="165"/>
      <c r="Z111" s="165"/>
      <c r="AA111" s="165"/>
      <c r="AB111" s="165"/>
      <c r="AC111" s="165"/>
      <c r="AD111" s="166"/>
      <c r="AE111" s="167" t="str">
        <f t="shared" ca="1" si="61"/>
        <v>azn_202310_backup_merge_dpc_ff1</v>
      </c>
      <c r="AF111" s="168"/>
      <c r="AG111" s="168"/>
      <c r="AH111" s="168"/>
      <c r="AI111" s="168"/>
      <c r="AJ111" s="168"/>
      <c r="AK111" s="168"/>
      <c r="AL111" s="169"/>
      <c r="AM111" s="167" t="str">
        <f t="shared" ca="1" si="62"/>
        <v>DPC調査データ_様式1テーブルから組入れ条件の第一条件で絞り込んだ結果を格納するテーブル</v>
      </c>
      <c r="AN111" s="168"/>
      <c r="AO111" s="168"/>
      <c r="AP111" s="168"/>
      <c r="AQ111" s="168"/>
      <c r="AR111" s="168"/>
      <c r="AS111" s="168"/>
      <c r="AT111" s="168"/>
      <c r="AU111" s="168"/>
      <c r="AV111" s="168"/>
      <c r="AW111" s="168"/>
      <c r="AX111" s="168"/>
      <c r="AY111" s="168"/>
      <c r="AZ111" s="168"/>
      <c r="BA111" s="168"/>
      <c r="BB111" s="168"/>
      <c r="BC111" s="168"/>
      <c r="BD111" s="168"/>
      <c r="BE111" s="168"/>
      <c r="BF111" s="168"/>
      <c r="BG111" s="168"/>
      <c r="BH111" s="168"/>
      <c r="BI111" s="168"/>
      <c r="BJ111" s="170"/>
      <c r="BK111" s="32" t="str">
        <f t="shared" si="63"/>
        <v>ENT_01_C1-05_バックアップ_DPC調査データ_様式1.sql</v>
      </c>
      <c r="BL111" s="32">
        <v>1</v>
      </c>
    </row>
    <row r="112" spans="1:64" ht="37.5" hidden="1" customHeight="1" outlineLevel="1">
      <c r="A112" s="34" t="str">
        <f t="shared" si="60"/>
        <v>バックアップ_DPC調査データ_様式1_診断情報_併存症</v>
      </c>
      <c r="B112" s="171" t="str">
        <f t="shared" si="64"/>
        <v>01</v>
      </c>
      <c r="C112" s="172"/>
      <c r="D112" s="172"/>
      <c r="E112" s="172"/>
      <c r="F112" s="173"/>
      <c r="G112" s="174" t="s">
        <v>195</v>
      </c>
      <c r="H112" s="175"/>
      <c r="I112" s="175"/>
      <c r="J112" s="175"/>
      <c r="K112" s="175"/>
      <c r="L112" s="175"/>
      <c r="M112" s="175"/>
      <c r="N112" s="176"/>
      <c r="O112" s="79" t="s">
        <v>3089</v>
      </c>
      <c r="P112" s="164" t="s">
        <v>313</v>
      </c>
      <c r="Q112" s="165"/>
      <c r="R112" s="165"/>
      <c r="S112" s="165"/>
      <c r="T112" s="165"/>
      <c r="U112" s="165"/>
      <c r="V112" s="165"/>
      <c r="W112" s="165"/>
      <c r="X112" s="165"/>
      <c r="Y112" s="165"/>
      <c r="Z112" s="165"/>
      <c r="AA112" s="165"/>
      <c r="AB112" s="165"/>
      <c r="AC112" s="165"/>
      <c r="AD112" s="166"/>
      <c r="AE112" s="167" t="str">
        <f t="shared" ca="1" si="61"/>
        <v>azn_202310_backup_merge_dpc_ff1_a006040</v>
      </c>
      <c r="AF112" s="168"/>
      <c r="AG112" s="168"/>
      <c r="AH112" s="168"/>
      <c r="AI112" s="168"/>
      <c r="AJ112" s="168"/>
      <c r="AK112" s="168"/>
      <c r="AL112" s="169"/>
      <c r="AM112" s="167" t="str">
        <f t="shared" ca="1" si="62"/>
        <v>DPC調査データ_様式1_診断情報_併存症テーブルから組入れ条件の第一条件で絞り込んだ結果を格納するテーブル</v>
      </c>
      <c r="AN112" s="168"/>
      <c r="AO112" s="168"/>
      <c r="AP112" s="168"/>
      <c r="AQ112" s="168"/>
      <c r="AR112" s="168"/>
      <c r="AS112" s="168"/>
      <c r="AT112" s="168"/>
      <c r="AU112" s="168"/>
      <c r="AV112" s="168"/>
      <c r="AW112" s="168"/>
      <c r="AX112" s="168"/>
      <c r="AY112" s="168"/>
      <c r="AZ112" s="168"/>
      <c r="BA112" s="168"/>
      <c r="BB112" s="168"/>
      <c r="BC112" s="168"/>
      <c r="BD112" s="168"/>
      <c r="BE112" s="168"/>
      <c r="BF112" s="168"/>
      <c r="BG112" s="168"/>
      <c r="BH112" s="168"/>
      <c r="BI112" s="168"/>
      <c r="BJ112" s="170"/>
      <c r="BK112" s="32" t="str">
        <f t="shared" si="63"/>
        <v>ENT_01_C1-07_バックアップ_DPC調査データ_様式1_診断情報_併存症.sql</v>
      </c>
      <c r="BL112" s="32">
        <v>1</v>
      </c>
    </row>
    <row r="113" spans="1:64" ht="37.5" hidden="1" customHeight="1" outlineLevel="1">
      <c r="A113" s="34" t="str">
        <f t="shared" si="60"/>
        <v>バックアップ_DPC調査データ_様式1_診断情報_続発症</v>
      </c>
      <c r="B113" s="171" t="str">
        <f>TEXT(1,"00")</f>
        <v>01</v>
      </c>
      <c r="C113" s="172"/>
      <c r="D113" s="172"/>
      <c r="E113" s="172"/>
      <c r="F113" s="173"/>
      <c r="G113" s="174" t="s">
        <v>195</v>
      </c>
      <c r="H113" s="175"/>
      <c r="I113" s="175"/>
      <c r="J113" s="175"/>
      <c r="K113" s="175"/>
      <c r="L113" s="175"/>
      <c r="M113" s="175"/>
      <c r="N113" s="176"/>
      <c r="O113" s="79" t="s">
        <v>3090</v>
      </c>
      <c r="P113" s="164" t="s">
        <v>314</v>
      </c>
      <c r="Q113" s="165"/>
      <c r="R113" s="165"/>
      <c r="S113" s="165"/>
      <c r="T113" s="165"/>
      <c r="U113" s="165"/>
      <c r="V113" s="165"/>
      <c r="W113" s="165"/>
      <c r="X113" s="165"/>
      <c r="Y113" s="165"/>
      <c r="Z113" s="165"/>
      <c r="AA113" s="165"/>
      <c r="AB113" s="165"/>
      <c r="AC113" s="165"/>
      <c r="AD113" s="166"/>
      <c r="AE113" s="167" t="str">
        <f t="shared" ref="AE113" ca="1" si="65">IFERROR(INDIRECT(P113&amp;"!D8"),"")</f>
        <v>azn_202310_backup_merge_dpc_ff1_a006050</v>
      </c>
      <c r="AF113" s="168"/>
      <c r="AG113" s="168"/>
      <c r="AH113" s="168"/>
      <c r="AI113" s="168"/>
      <c r="AJ113" s="168"/>
      <c r="AK113" s="168"/>
      <c r="AL113" s="169"/>
      <c r="AM113" s="167" t="str">
        <f t="shared" ref="AM113" ca="1" si="66">IFERROR(INDIRECT(P113&amp;"!D9"),"")</f>
        <v>DPC調査データ_様式1_診断情報_続発症テーブルから組入れ条件の第一条件で絞り込んだ結果を格納するテーブル</v>
      </c>
      <c r="AN113" s="168"/>
      <c r="AO113" s="168"/>
      <c r="AP113" s="168"/>
      <c r="AQ113" s="168"/>
      <c r="AR113" s="168"/>
      <c r="AS113" s="168"/>
      <c r="AT113" s="168"/>
      <c r="AU113" s="168"/>
      <c r="AV113" s="168"/>
      <c r="AW113" s="168"/>
      <c r="AX113" s="168"/>
      <c r="AY113" s="168"/>
      <c r="AZ113" s="168"/>
      <c r="BA113" s="168"/>
      <c r="BB113" s="168"/>
      <c r="BC113" s="168"/>
      <c r="BD113" s="168"/>
      <c r="BE113" s="168"/>
      <c r="BF113" s="168"/>
      <c r="BG113" s="168"/>
      <c r="BH113" s="168"/>
      <c r="BI113" s="168"/>
      <c r="BJ113" s="170"/>
      <c r="BK113" s="32" t="str">
        <f t="shared" si="63"/>
        <v>ENT_01_C1-08_バックアップ_DPC調査データ_様式1_診断情報_続発症.sql</v>
      </c>
      <c r="BL113" s="32">
        <v>1</v>
      </c>
    </row>
    <row r="114" spans="1:64" ht="37.5" hidden="1" customHeight="1" outlineLevel="1">
      <c r="A114" s="34" t="str">
        <f t="shared" si="60"/>
        <v>バックアップ_医科レセプト_医療機関情報レコード</v>
      </c>
      <c r="B114" s="171" t="str">
        <f t="shared" ref="B114:B118" si="67">TEXT(1,"00")</f>
        <v>01</v>
      </c>
      <c r="C114" s="172"/>
      <c r="D114" s="172"/>
      <c r="E114" s="172"/>
      <c r="F114" s="173"/>
      <c r="G114" s="174" t="s">
        <v>195</v>
      </c>
      <c r="H114" s="175"/>
      <c r="I114" s="175"/>
      <c r="J114" s="175"/>
      <c r="K114" s="175"/>
      <c r="L114" s="175"/>
      <c r="M114" s="175"/>
      <c r="N114" s="176"/>
      <c r="O114" s="79" t="s">
        <v>3091</v>
      </c>
      <c r="P114" s="164" t="s">
        <v>901</v>
      </c>
      <c r="Q114" s="165"/>
      <c r="R114" s="165"/>
      <c r="S114" s="165"/>
      <c r="T114" s="165"/>
      <c r="U114" s="165"/>
      <c r="V114" s="165"/>
      <c r="W114" s="165"/>
      <c r="X114" s="165"/>
      <c r="Y114" s="165"/>
      <c r="Z114" s="165"/>
      <c r="AA114" s="165"/>
      <c r="AB114" s="165"/>
      <c r="AC114" s="165"/>
      <c r="AD114" s="166"/>
      <c r="AE114" s="167" t="str">
        <f t="shared" ref="AE114:AE152" ca="1" si="68">IFERROR(INDIRECT(P114&amp;"!D8"),"")</f>
        <v>azn_202310_backup_merge_receiptc_ir</v>
      </c>
      <c r="AF114" s="168"/>
      <c r="AG114" s="168"/>
      <c r="AH114" s="168"/>
      <c r="AI114" s="168"/>
      <c r="AJ114" s="168"/>
      <c r="AK114" s="168"/>
      <c r="AL114" s="169"/>
      <c r="AM114" s="167" t="str">
        <f t="shared" ref="AM114:AM152" ca="1" si="69">IFERROR(INDIRECT(P114&amp;"!D9"),"")</f>
        <v>医科レセプト_医療機関情報レコードテーブルから組入れ条件の第一条件で絞り込んだ結果を格納するテーブル</v>
      </c>
      <c r="AN114" s="168"/>
      <c r="AO114" s="168"/>
      <c r="AP114" s="168"/>
      <c r="AQ114" s="168"/>
      <c r="AR114" s="168"/>
      <c r="AS114" s="168"/>
      <c r="AT114" s="168"/>
      <c r="AU114" s="168"/>
      <c r="AV114" s="168"/>
      <c r="AW114" s="168"/>
      <c r="AX114" s="168"/>
      <c r="AY114" s="168"/>
      <c r="AZ114" s="168"/>
      <c r="BA114" s="168"/>
      <c r="BB114" s="168"/>
      <c r="BC114" s="168"/>
      <c r="BD114" s="168"/>
      <c r="BE114" s="168"/>
      <c r="BF114" s="168"/>
      <c r="BG114" s="168"/>
      <c r="BH114" s="168"/>
      <c r="BI114" s="168"/>
      <c r="BJ114" s="170"/>
      <c r="BK114" s="32" t="str">
        <f t="shared" si="63"/>
        <v>ENT_01_C2-01_バックアップ_医科レセプト_医療機関情報レコード.sql</v>
      </c>
    </row>
    <row r="115" spans="1:64" ht="37.5" hidden="1" customHeight="1" outlineLevel="1">
      <c r="A115" s="34" t="str">
        <f t="shared" si="60"/>
        <v>バックアップ_医科レセプト_レセプト共通レコード</v>
      </c>
      <c r="B115" s="171" t="str">
        <f t="shared" si="67"/>
        <v>01</v>
      </c>
      <c r="C115" s="172"/>
      <c r="D115" s="172"/>
      <c r="E115" s="172"/>
      <c r="F115" s="173"/>
      <c r="G115" s="174" t="s">
        <v>195</v>
      </c>
      <c r="H115" s="175"/>
      <c r="I115" s="175"/>
      <c r="J115" s="175"/>
      <c r="K115" s="175"/>
      <c r="L115" s="175"/>
      <c r="M115" s="175"/>
      <c r="N115" s="176"/>
      <c r="O115" s="79" t="s">
        <v>3092</v>
      </c>
      <c r="P115" s="164" t="s">
        <v>936</v>
      </c>
      <c r="Q115" s="165"/>
      <c r="R115" s="165"/>
      <c r="S115" s="165"/>
      <c r="T115" s="165"/>
      <c r="U115" s="165"/>
      <c r="V115" s="165"/>
      <c r="W115" s="165"/>
      <c r="X115" s="165"/>
      <c r="Y115" s="165"/>
      <c r="Z115" s="165"/>
      <c r="AA115" s="165"/>
      <c r="AB115" s="165"/>
      <c r="AC115" s="165"/>
      <c r="AD115" s="166"/>
      <c r="AE115" s="167" t="str">
        <f t="shared" ca="1" si="68"/>
        <v>azn_202310_backup_merge_receiptc_re</v>
      </c>
      <c r="AF115" s="168"/>
      <c r="AG115" s="168"/>
      <c r="AH115" s="168"/>
      <c r="AI115" s="168"/>
      <c r="AJ115" s="168"/>
      <c r="AK115" s="168"/>
      <c r="AL115" s="169"/>
      <c r="AM115" s="167" t="str">
        <f t="shared" ca="1" si="69"/>
        <v>医科レセプト_レセプト共通レコードテーブルから組入れ条件の第一条件で絞り込んだ結果を格納するテーブル</v>
      </c>
      <c r="AN115" s="168"/>
      <c r="AO115" s="168"/>
      <c r="AP115" s="168"/>
      <c r="AQ115" s="168"/>
      <c r="AR115" s="168"/>
      <c r="AS115" s="168"/>
      <c r="AT115" s="168"/>
      <c r="AU115" s="168"/>
      <c r="AV115" s="168"/>
      <c r="AW115" s="168"/>
      <c r="AX115" s="168"/>
      <c r="AY115" s="168"/>
      <c r="AZ115" s="168"/>
      <c r="BA115" s="168"/>
      <c r="BB115" s="168"/>
      <c r="BC115" s="168"/>
      <c r="BD115" s="168"/>
      <c r="BE115" s="168"/>
      <c r="BF115" s="168"/>
      <c r="BG115" s="168"/>
      <c r="BH115" s="168"/>
      <c r="BI115" s="168"/>
      <c r="BJ115" s="170"/>
      <c r="BK115" s="32" t="str">
        <f t="shared" si="63"/>
        <v>ENT_01_C2-02_バックアップ_医科レセプト_レセプト共通レコード.sql</v>
      </c>
    </row>
    <row r="116" spans="1:64" ht="37.5" hidden="1" customHeight="1" outlineLevel="1">
      <c r="A116" s="34" t="str">
        <f t="shared" si="60"/>
        <v>バックアップ_医科レセプト_傷病名レコード</v>
      </c>
      <c r="B116" s="171" t="str">
        <f t="shared" si="67"/>
        <v>01</v>
      </c>
      <c r="C116" s="172"/>
      <c r="D116" s="172"/>
      <c r="E116" s="172"/>
      <c r="F116" s="173"/>
      <c r="G116" s="174" t="s">
        <v>195</v>
      </c>
      <c r="H116" s="175"/>
      <c r="I116" s="175"/>
      <c r="J116" s="175"/>
      <c r="K116" s="175"/>
      <c r="L116" s="175"/>
      <c r="M116" s="175"/>
      <c r="N116" s="176"/>
      <c r="O116" s="79" t="s">
        <v>3093</v>
      </c>
      <c r="P116" s="164" t="s">
        <v>1068</v>
      </c>
      <c r="Q116" s="165"/>
      <c r="R116" s="165"/>
      <c r="S116" s="165"/>
      <c r="T116" s="165"/>
      <c r="U116" s="165"/>
      <c r="V116" s="165"/>
      <c r="W116" s="165"/>
      <c r="X116" s="165"/>
      <c r="Y116" s="165"/>
      <c r="Z116" s="165"/>
      <c r="AA116" s="165"/>
      <c r="AB116" s="165"/>
      <c r="AC116" s="165"/>
      <c r="AD116" s="166"/>
      <c r="AE116" s="167" t="str">
        <f t="shared" ca="1" si="68"/>
        <v>azn_202310_backup_merge_receiptc_sy</v>
      </c>
      <c r="AF116" s="168"/>
      <c r="AG116" s="168"/>
      <c r="AH116" s="168"/>
      <c r="AI116" s="168"/>
      <c r="AJ116" s="168"/>
      <c r="AK116" s="168"/>
      <c r="AL116" s="169"/>
      <c r="AM116" s="167" t="str">
        <f t="shared" ca="1" si="69"/>
        <v>医科レセプト_傷病名レコードテーブルから組入れ条件の第一条件で絞り込んだ結果を格納するテーブル</v>
      </c>
      <c r="AN116" s="168"/>
      <c r="AO116" s="168"/>
      <c r="AP116" s="168"/>
      <c r="AQ116" s="168"/>
      <c r="AR116" s="168"/>
      <c r="AS116" s="168"/>
      <c r="AT116" s="168"/>
      <c r="AU116" s="168"/>
      <c r="AV116" s="168"/>
      <c r="AW116" s="168"/>
      <c r="AX116" s="168"/>
      <c r="AY116" s="168"/>
      <c r="AZ116" s="168"/>
      <c r="BA116" s="168"/>
      <c r="BB116" s="168"/>
      <c r="BC116" s="168"/>
      <c r="BD116" s="168"/>
      <c r="BE116" s="168"/>
      <c r="BF116" s="168"/>
      <c r="BG116" s="168"/>
      <c r="BH116" s="168"/>
      <c r="BI116" s="168"/>
      <c r="BJ116" s="170"/>
      <c r="BK116" s="32" t="str">
        <f t="shared" si="63"/>
        <v>ENT_01_C2-06_バックアップ_医科レセプト_傷病名レコード.sql</v>
      </c>
    </row>
    <row r="117" spans="1:64" ht="37.5" hidden="1" customHeight="1" outlineLevel="1">
      <c r="A117" s="34" t="str">
        <f t="shared" si="60"/>
        <v>バックアップ_医科レセプト_診療行為レコード</v>
      </c>
      <c r="B117" s="171" t="str">
        <f t="shared" si="67"/>
        <v>01</v>
      </c>
      <c r="C117" s="172"/>
      <c r="D117" s="172"/>
      <c r="E117" s="172"/>
      <c r="F117" s="173"/>
      <c r="G117" s="174" t="s">
        <v>195</v>
      </c>
      <c r="H117" s="175"/>
      <c r="I117" s="175"/>
      <c r="J117" s="175"/>
      <c r="K117" s="175"/>
      <c r="L117" s="175"/>
      <c r="M117" s="175"/>
      <c r="N117" s="176"/>
      <c r="O117" s="79" t="s">
        <v>3094</v>
      </c>
      <c r="P117" s="164" t="s">
        <v>1117</v>
      </c>
      <c r="Q117" s="165"/>
      <c r="R117" s="165"/>
      <c r="S117" s="165"/>
      <c r="T117" s="165"/>
      <c r="U117" s="165"/>
      <c r="V117" s="165"/>
      <c r="W117" s="165"/>
      <c r="X117" s="165"/>
      <c r="Y117" s="165"/>
      <c r="Z117" s="165"/>
      <c r="AA117" s="165"/>
      <c r="AB117" s="165"/>
      <c r="AC117" s="165"/>
      <c r="AD117" s="166"/>
      <c r="AE117" s="167" t="str">
        <f t="shared" ca="1" si="68"/>
        <v>azn_202310_backup_merge_receiptc_si</v>
      </c>
      <c r="AF117" s="168"/>
      <c r="AG117" s="168"/>
      <c r="AH117" s="168"/>
      <c r="AI117" s="168"/>
      <c r="AJ117" s="168"/>
      <c r="AK117" s="168"/>
      <c r="AL117" s="169"/>
      <c r="AM117" s="167" t="str">
        <f t="shared" ca="1" si="69"/>
        <v>医科レセプト_診療行為レコードテーブルから組入れ条件の第一条件で絞り込んだ結果を格納するテーブル</v>
      </c>
      <c r="AN117" s="168"/>
      <c r="AO117" s="168"/>
      <c r="AP117" s="168"/>
      <c r="AQ117" s="168"/>
      <c r="AR117" s="168"/>
      <c r="AS117" s="168"/>
      <c r="AT117" s="168"/>
      <c r="AU117" s="168"/>
      <c r="AV117" s="168"/>
      <c r="AW117" s="168"/>
      <c r="AX117" s="168"/>
      <c r="AY117" s="168"/>
      <c r="AZ117" s="168"/>
      <c r="BA117" s="168"/>
      <c r="BB117" s="168"/>
      <c r="BC117" s="168"/>
      <c r="BD117" s="168"/>
      <c r="BE117" s="168"/>
      <c r="BF117" s="168"/>
      <c r="BG117" s="168"/>
      <c r="BH117" s="168"/>
      <c r="BI117" s="168"/>
      <c r="BJ117" s="170"/>
      <c r="BK117" s="32" t="str">
        <f t="shared" si="63"/>
        <v>ENT_01_C2-07_バックアップ_医科レセプト_診療行為レコード.sql</v>
      </c>
    </row>
    <row r="118" spans="1:64" ht="37.5" hidden="1" customHeight="1" outlineLevel="1">
      <c r="A118" s="34" t="str">
        <f t="shared" si="60"/>
        <v>バックアップ_医科レセプト_診療行為レコード_算定日情報</v>
      </c>
      <c r="B118" s="171" t="str">
        <f t="shared" si="67"/>
        <v>01</v>
      </c>
      <c r="C118" s="172"/>
      <c r="D118" s="172"/>
      <c r="E118" s="172"/>
      <c r="F118" s="173"/>
      <c r="G118" s="174" t="s">
        <v>195</v>
      </c>
      <c r="H118" s="175"/>
      <c r="I118" s="175"/>
      <c r="J118" s="175"/>
      <c r="K118" s="175"/>
      <c r="L118" s="175"/>
      <c r="M118" s="175"/>
      <c r="N118" s="176"/>
      <c r="O118" s="79" t="s">
        <v>3095</v>
      </c>
      <c r="P118" s="164" t="s">
        <v>1145</v>
      </c>
      <c r="Q118" s="165"/>
      <c r="R118" s="165"/>
      <c r="S118" s="165"/>
      <c r="T118" s="165"/>
      <c r="U118" s="165"/>
      <c r="V118" s="165"/>
      <c r="W118" s="165"/>
      <c r="X118" s="165"/>
      <c r="Y118" s="165"/>
      <c r="Z118" s="165"/>
      <c r="AA118" s="165"/>
      <c r="AB118" s="165"/>
      <c r="AC118" s="165"/>
      <c r="AD118" s="166"/>
      <c r="AE118" s="167" t="str">
        <f t="shared" ca="1" si="68"/>
        <v>azn_202310_backup_merge_receiptc_si_day</v>
      </c>
      <c r="AF118" s="168"/>
      <c r="AG118" s="168"/>
      <c r="AH118" s="168"/>
      <c r="AI118" s="168"/>
      <c r="AJ118" s="168"/>
      <c r="AK118" s="168"/>
      <c r="AL118" s="169"/>
      <c r="AM118" s="167" t="str">
        <f t="shared" ca="1" si="69"/>
        <v>医科レセプト_診療行為レコード_算定日情報テーブルから組入れ条件の第一条件で絞り込んだ結果を格納するテーブル</v>
      </c>
      <c r="AN118" s="168"/>
      <c r="AO118" s="168"/>
      <c r="AP118" s="168"/>
      <c r="AQ118" s="168"/>
      <c r="AR118" s="168"/>
      <c r="AS118" s="168"/>
      <c r="AT118" s="168"/>
      <c r="AU118" s="168"/>
      <c r="AV118" s="168"/>
      <c r="AW118" s="168"/>
      <c r="AX118" s="168"/>
      <c r="AY118" s="168"/>
      <c r="AZ118" s="168"/>
      <c r="BA118" s="168"/>
      <c r="BB118" s="168"/>
      <c r="BC118" s="168"/>
      <c r="BD118" s="168"/>
      <c r="BE118" s="168"/>
      <c r="BF118" s="168"/>
      <c r="BG118" s="168"/>
      <c r="BH118" s="168"/>
      <c r="BI118" s="168"/>
      <c r="BJ118" s="170"/>
      <c r="BK118" s="32" t="str">
        <f t="shared" si="63"/>
        <v>ENT_01_C2-08_バックアップ_医科レセプト_診療行為レコード_算定日情報.sql</v>
      </c>
    </row>
    <row r="119" spans="1:64" ht="37.5" hidden="1" customHeight="1" outlineLevel="1">
      <c r="A119" s="34" t="str">
        <f t="shared" si="60"/>
        <v>バックアップ_医科レセプト_医薬品レコード</v>
      </c>
      <c r="B119" s="171" t="str">
        <f t="shared" si="8"/>
        <v>01</v>
      </c>
      <c r="C119" s="172"/>
      <c r="D119" s="172"/>
      <c r="E119" s="172"/>
      <c r="F119" s="173"/>
      <c r="G119" s="174" t="s">
        <v>195</v>
      </c>
      <c r="H119" s="175"/>
      <c r="I119" s="175"/>
      <c r="J119" s="175"/>
      <c r="K119" s="175"/>
      <c r="L119" s="175"/>
      <c r="M119" s="175"/>
      <c r="N119" s="176"/>
      <c r="O119" s="79" t="s">
        <v>3096</v>
      </c>
      <c r="P119" s="164" t="s">
        <v>1151</v>
      </c>
      <c r="Q119" s="165"/>
      <c r="R119" s="165"/>
      <c r="S119" s="165"/>
      <c r="T119" s="165"/>
      <c r="U119" s="165"/>
      <c r="V119" s="165"/>
      <c r="W119" s="165"/>
      <c r="X119" s="165"/>
      <c r="Y119" s="165"/>
      <c r="Z119" s="165"/>
      <c r="AA119" s="165"/>
      <c r="AB119" s="165"/>
      <c r="AC119" s="165"/>
      <c r="AD119" s="166"/>
      <c r="AE119" s="167" t="str">
        <f t="shared" ca="1" si="68"/>
        <v>azn_202310_backup_merge_receiptc_iy</v>
      </c>
      <c r="AF119" s="168"/>
      <c r="AG119" s="168"/>
      <c r="AH119" s="168"/>
      <c r="AI119" s="168"/>
      <c r="AJ119" s="168"/>
      <c r="AK119" s="168"/>
      <c r="AL119" s="169"/>
      <c r="AM119" s="167" t="str">
        <f t="shared" ca="1" si="69"/>
        <v>医科レセプト_医薬品レコードテーブルから組入れ条件の第一条件で絞り込んだ結果を格納するテーブル</v>
      </c>
      <c r="AN119" s="168"/>
      <c r="AO119" s="168"/>
      <c r="AP119" s="168"/>
      <c r="AQ119" s="168"/>
      <c r="AR119" s="168"/>
      <c r="AS119" s="168"/>
      <c r="AT119" s="168"/>
      <c r="AU119" s="168"/>
      <c r="AV119" s="168"/>
      <c r="AW119" s="168"/>
      <c r="AX119" s="168"/>
      <c r="AY119" s="168"/>
      <c r="AZ119" s="168"/>
      <c r="BA119" s="168"/>
      <c r="BB119" s="168"/>
      <c r="BC119" s="168"/>
      <c r="BD119" s="168"/>
      <c r="BE119" s="168"/>
      <c r="BF119" s="168"/>
      <c r="BG119" s="168"/>
      <c r="BH119" s="168"/>
      <c r="BI119" s="168"/>
      <c r="BJ119" s="170"/>
      <c r="BK119" s="32" t="str">
        <f t="shared" si="63"/>
        <v>ENT_01_C2-09_バックアップ_医科レセプト_医薬品レコード.sql</v>
      </c>
    </row>
    <row r="120" spans="1:64" ht="37.5" hidden="1" customHeight="1" outlineLevel="1">
      <c r="A120" s="34" t="str">
        <f t="shared" si="60"/>
        <v>バックアップ_医科レセプト_医薬品レコード_算定日情報</v>
      </c>
      <c r="B120" s="171" t="str">
        <f t="shared" si="8"/>
        <v>01</v>
      </c>
      <c r="C120" s="172"/>
      <c r="D120" s="172"/>
      <c r="E120" s="172"/>
      <c r="F120" s="173"/>
      <c r="G120" s="174" t="s">
        <v>195</v>
      </c>
      <c r="H120" s="175"/>
      <c r="I120" s="175"/>
      <c r="J120" s="175"/>
      <c r="K120" s="175"/>
      <c r="L120" s="175"/>
      <c r="M120" s="175"/>
      <c r="N120" s="176"/>
      <c r="O120" s="79" t="s">
        <v>3097</v>
      </c>
      <c r="P120" s="164" t="s">
        <v>1152</v>
      </c>
      <c r="Q120" s="165"/>
      <c r="R120" s="165"/>
      <c r="S120" s="165"/>
      <c r="T120" s="165"/>
      <c r="U120" s="165"/>
      <c r="V120" s="165"/>
      <c r="W120" s="165"/>
      <c r="X120" s="165"/>
      <c r="Y120" s="165"/>
      <c r="Z120" s="165"/>
      <c r="AA120" s="165"/>
      <c r="AB120" s="165"/>
      <c r="AC120" s="165"/>
      <c r="AD120" s="166"/>
      <c r="AE120" s="167" t="str">
        <f t="shared" ca="1" si="68"/>
        <v>azn_202310_backup_merge_receiptc_iy_day</v>
      </c>
      <c r="AF120" s="168"/>
      <c r="AG120" s="168"/>
      <c r="AH120" s="168"/>
      <c r="AI120" s="168"/>
      <c r="AJ120" s="168"/>
      <c r="AK120" s="168"/>
      <c r="AL120" s="169"/>
      <c r="AM120" s="167" t="str">
        <f t="shared" ca="1" si="69"/>
        <v>医科レセプト_医薬品レコード_算定日情報テーブルから組入れ条件の第一条件で絞り込んだ結果を格納するテーブル</v>
      </c>
      <c r="AN120" s="168"/>
      <c r="AO120" s="168"/>
      <c r="AP120" s="168"/>
      <c r="AQ120" s="168"/>
      <c r="AR120" s="168"/>
      <c r="AS120" s="168"/>
      <c r="AT120" s="168"/>
      <c r="AU120" s="168"/>
      <c r="AV120" s="168"/>
      <c r="AW120" s="168"/>
      <c r="AX120" s="168"/>
      <c r="AY120" s="168"/>
      <c r="AZ120" s="168"/>
      <c r="BA120" s="168"/>
      <c r="BB120" s="168"/>
      <c r="BC120" s="168"/>
      <c r="BD120" s="168"/>
      <c r="BE120" s="168"/>
      <c r="BF120" s="168"/>
      <c r="BG120" s="168"/>
      <c r="BH120" s="168"/>
      <c r="BI120" s="168"/>
      <c r="BJ120" s="170"/>
      <c r="BK120" s="32" t="str">
        <f t="shared" si="63"/>
        <v>ENT_01_C2-10_バックアップ_医科レセプト_医薬品レコード_算定日情報.sql</v>
      </c>
    </row>
    <row r="121" spans="1:64" ht="37.5" hidden="1" customHeight="1" outlineLevel="1">
      <c r="A121" s="34" t="str">
        <f t="shared" si="60"/>
        <v>バックアップ_医科レセプト_臓器提供者レセプト情報レコード</v>
      </c>
      <c r="B121" s="171" t="str">
        <f t="shared" si="8"/>
        <v>01</v>
      </c>
      <c r="C121" s="172"/>
      <c r="D121" s="172"/>
      <c r="E121" s="172"/>
      <c r="F121" s="173"/>
      <c r="G121" s="174" t="s">
        <v>195</v>
      </c>
      <c r="H121" s="175"/>
      <c r="I121" s="175"/>
      <c r="J121" s="175"/>
      <c r="K121" s="175"/>
      <c r="L121" s="175"/>
      <c r="M121" s="175"/>
      <c r="N121" s="176"/>
      <c r="O121" s="79" t="s">
        <v>3098</v>
      </c>
      <c r="P121" s="164" t="s">
        <v>1153</v>
      </c>
      <c r="Q121" s="165"/>
      <c r="R121" s="165"/>
      <c r="S121" s="165"/>
      <c r="T121" s="165"/>
      <c r="U121" s="165"/>
      <c r="V121" s="165"/>
      <c r="W121" s="165"/>
      <c r="X121" s="165"/>
      <c r="Y121" s="165"/>
      <c r="Z121" s="165"/>
      <c r="AA121" s="165"/>
      <c r="AB121" s="165"/>
      <c r="AC121" s="165"/>
      <c r="AD121" s="166"/>
      <c r="AE121" s="167" t="str">
        <f t="shared" ca="1" si="68"/>
        <v>azn_202310_backup_merge_receiptc_tr</v>
      </c>
      <c r="AF121" s="168"/>
      <c r="AG121" s="168"/>
      <c r="AH121" s="168"/>
      <c r="AI121" s="168"/>
      <c r="AJ121" s="168"/>
      <c r="AK121" s="168"/>
      <c r="AL121" s="169"/>
      <c r="AM121" s="167" t="str">
        <f t="shared" ca="1" si="69"/>
        <v>医科レセプト_臓器提供者レセプト情報レコードテーブルから組入れ条件の第一条件で絞り込んだ結果を格納するテーブル</v>
      </c>
      <c r="AN121" s="168"/>
      <c r="AO121" s="168"/>
      <c r="AP121" s="168"/>
      <c r="AQ121" s="168"/>
      <c r="AR121" s="168"/>
      <c r="AS121" s="168"/>
      <c r="AT121" s="168"/>
      <c r="AU121" s="168"/>
      <c r="AV121" s="168"/>
      <c r="AW121" s="168"/>
      <c r="AX121" s="168"/>
      <c r="AY121" s="168"/>
      <c r="AZ121" s="168"/>
      <c r="BA121" s="168"/>
      <c r="BB121" s="168"/>
      <c r="BC121" s="168"/>
      <c r="BD121" s="168"/>
      <c r="BE121" s="168"/>
      <c r="BF121" s="168"/>
      <c r="BG121" s="168"/>
      <c r="BH121" s="168"/>
      <c r="BI121" s="168"/>
      <c r="BJ121" s="170"/>
      <c r="BK121" s="32" t="str">
        <f t="shared" si="63"/>
        <v>ENT_01_C2-16_バックアップ_医科レセプト_臓器提供者レセプト情報レコード.sql</v>
      </c>
    </row>
    <row r="122" spans="1:64" ht="37.5" hidden="1" customHeight="1" outlineLevel="1">
      <c r="A122" s="34" t="str">
        <f t="shared" ref="A122:A130" si="70">P122</f>
        <v>バックアップ_DPCレセプト_医療機関情報レコード</v>
      </c>
      <c r="B122" s="171" t="str">
        <f t="shared" si="8"/>
        <v>01</v>
      </c>
      <c r="C122" s="172"/>
      <c r="D122" s="172"/>
      <c r="E122" s="172"/>
      <c r="F122" s="173"/>
      <c r="G122" s="174" t="s">
        <v>195</v>
      </c>
      <c r="H122" s="175"/>
      <c r="I122" s="175"/>
      <c r="J122" s="175"/>
      <c r="K122" s="175"/>
      <c r="L122" s="175"/>
      <c r="M122" s="175"/>
      <c r="N122" s="176"/>
      <c r="O122" s="79" t="s">
        <v>3099</v>
      </c>
      <c r="P122" s="164" t="s">
        <v>1194</v>
      </c>
      <c r="Q122" s="165"/>
      <c r="R122" s="165"/>
      <c r="S122" s="165"/>
      <c r="T122" s="165"/>
      <c r="U122" s="165"/>
      <c r="V122" s="165"/>
      <c r="W122" s="165"/>
      <c r="X122" s="165"/>
      <c r="Y122" s="165"/>
      <c r="Z122" s="165"/>
      <c r="AA122" s="165"/>
      <c r="AB122" s="165"/>
      <c r="AC122" s="165"/>
      <c r="AD122" s="166"/>
      <c r="AE122" s="167" t="str">
        <f t="shared" ref="AE122:AE130" ca="1" si="71">IFERROR(INDIRECT(P122&amp;"!D8"),"")</f>
        <v>azn_202310_backup_merge_receiptd_ir</v>
      </c>
      <c r="AF122" s="168"/>
      <c r="AG122" s="168"/>
      <c r="AH122" s="168"/>
      <c r="AI122" s="168"/>
      <c r="AJ122" s="168"/>
      <c r="AK122" s="168"/>
      <c r="AL122" s="169"/>
      <c r="AM122" s="167" t="str">
        <f t="shared" ref="AM122:AM130" ca="1" si="72">IFERROR(INDIRECT(P122&amp;"!D9"),"")</f>
        <v>DPCレセプト_医療機関情報レコードテーブルから組入れ条件の第一条件で絞り込んだ結果を格納するテーブル</v>
      </c>
      <c r="AN122" s="168"/>
      <c r="AO122" s="168"/>
      <c r="AP122" s="168"/>
      <c r="AQ122" s="168"/>
      <c r="AR122" s="168"/>
      <c r="AS122" s="168"/>
      <c r="AT122" s="168"/>
      <c r="AU122" s="168"/>
      <c r="AV122" s="168"/>
      <c r="AW122" s="168"/>
      <c r="AX122" s="168"/>
      <c r="AY122" s="168"/>
      <c r="AZ122" s="168"/>
      <c r="BA122" s="168"/>
      <c r="BB122" s="168"/>
      <c r="BC122" s="168"/>
      <c r="BD122" s="168"/>
      <c r="BE122" s="168"/>
      <c r="BF122" s="168"/>
      <c r="BG122" s="168"/>
      <c r="BH122" s="168"/>
      <c r="BI122" s="168"/>
      <c r="BJ122" s="170"/>
      <c r="BK122" s="32" t="str">
        <f t="shared" si="63"/>
        <v>ENT_01_C3-01_バックアップ_DPCレセプト_医療機関情報レコード.sql</v>
      </c>
    </row>
    <row r="123" spans="1:64" ht="37.5" hidden="1" customHeight="1" outlineLevel="1">
      <c r="A123" s="34" t="str">
        <f t="shared" si="70"/>
        <v>バックアップ_DPCレセプト_レセプト共通レコード</v>
      </c>
      <c r="B123" s="171" t="str">
        <f t="shared" si="8"/>
        <v>01</v>
      </c>
      <c r="C123" s="172"/>
      <c r="D123" s="172"/>
      <c r="E123" s="172"/>
      <c r="F123" s="173"/>
      <c r="G123" s="174" t="s">
        <v>195</v>
      </c>
      <c r="H123" s="175"/>
      <c r="I123" s="175"/>
      <c r="J123" s="175"/>
      <c r="K123" s="175"/>
      <c r="L123" s="175"/>
      <c r="M123" s="175"/>
      <c r="N123" s="176"/>
      <c r="O123" s="79" t="s">
        <v>3100</v>
      </c>
      <c r="P123" s="164" t="s">
        <v>1199</v>
      </c>
      <c r="Q123" s="165"/>
      <c r="R123" s="165"/>
      <c r="S123" s="165"/>
      <c r="T123" s="165"/>
      <c r="U123" s="165"/>
      <c r="V123" s="165"/>
      <c r="W123" s="165"/>
      <c r="X123" s="165"/>
      <c r="Y123" s="165"/>
      <c r="Z123" s="165"/>
      <c r="AA123" s="165"/>
      <c r="AB123" s="165"/>
      <c r="AC123" s="165"/>
      <c r="AD123" s="166"/>
      <c r="AE123" s="167" t="str">
        <f t="shared" ca="1" si="71"/>
        <v>azn_202310_backup_merge_receiptd_re</v>
      </c>
      <c r="AF123" s="168"/>
      <c r="AG123" s="168"/>
      <c r="AH123" s="168"/>
      <c r="AI123" s="168"/>
      <c r="AJ123" s="168"/>
      <c r="AK123" s="168"/>
      <c r="AL123" s="169"/>
      <c r="AM123" s="167" t="str">
        <f t="shared" ca="1" si="72"/>
        <v>DPCレセプト_レセプト共通レコードテーブルから組入れ条件の第一条件で絞り込んだ結果を格納するテーブル</v>
      </c>
      <c r="AN123" s="168"/>
      <c r="AO123" s="168"/>
      <c r="AP123" s="168"/>
      <c r="AQ123" s="168"/>
      <c r="AR123" s="168"/>
      <c r="AS123" s="168"/>
      <c r="AT123" s="168"/>
      <c r="AU123" s="168"/>
      <c r="AV123" s="168"/>
      <c r="AW123" s="168"/>
      <c r="AX123" s="168"/>
      <c r="AY123" s="168"/>
      <c r="AZ123" s="168"/>
      <c r="BA123" s="168"/>
      <c r="BB123" s="168"/>
      <c r="BC123" s="168"/>
      <c r="BD123" s="168"/>
      <c r="BE123" s="168"/>
      <c r="BF123" s="168"/>
      <c r="BG123" s="168"/>
      <c r="BH123" s="168"/>
      <c r="BI123" s="168"/>
      <c r="BJ123" s="170"/>
      <c r="BK123" s="32" t="str">
        <f t="shared" si="63"/>
        <v>ENT_01_C3-02_バックアップ_DPCレセプト_レセプト共通レコード.sql</v>
      </c>
    </row>
    <row r="124" spans="1:64" ht="37.5" hidden="1" customHeight="1" outlineLevel="1">
      <c r="A124" s="34" t="str">
        <f t="shared" si="70"/>
        <v>バックアップ_DPCレセプト_診断群分類レコード</v>
      </c>
      <c r="B124" s="171" t="str">
        <f t="shared" si="8"/>
        <v>01</v>
      </c>
      <c r="C124" s="172"/>
      <c r="D124" s="172"/>
      <c r="E124" s="172"/>
      <c r="F124" s="173"/>
      <c r="G124" s="174" t="s">
        <v>195</v>
      </c>
      <c r="H124" s="175"/>
      <c r="I124" s="175"/>
      <c r="J124" s="175"/>
      <c r="K124" s="175"/>
      <c r="L124" s="175"/>
      <c r="M124" s="175"/>
      <c r="N124" s="176"/>
      <c r="O124" s="79" t="s">
        <v>3101</v>
      </c>
      <c r="P124" s="164" t="s">
        <v>1204</v>
      </c>
      <c r="Q124" s="165"/>
      <c r="R124" s="165"/>
      <c r="S124" s="165"/>
      <c r="T124" s="165"/>
      <c r="U124" s="165"/>
      <c r="V124" s="165"/>
      <c r="W124" s="165"/>
      <c r="X124" s="165"/>
      <c r="Y124" s="165"/>
      <c r="Z124" s="165"/>
      <c r="AA124" s="165"/>
      <c r="AB124" s="165"/>
      <c r="AC124" s="165"/>
      <c r="AD124" s="166"/>
      <c r="AE124" s="167" t="str">
        <f t="shared" ca="1" si="71"/>
        <v>azn_202310_backup_merge_receiptd_bu</v>
      </c>
      <c r="AF124" s="168"/>
      <c r="AG124" s="168"/>
      <c r="AH124" s="168"/>
      <c r="AI124" s="168"/>
      <c r="AJ124" s="168"/>
      <c r="AK124" s="168"/>
      <c r="AL124" s="169"/>
      <c r="AM124" s="167" t="str">
        <f t="shared" ca="1" si="72"/>
        <v>DPCレセプト_診断群分類レコードテーブルから組入れ条件の第一条件で絞り込んだ結果を格納するテーブル</v>
      </c>
      <c r="AN124" s="168"/>
      <c r="AO124" s="168"/>
      <c r="AP124" s="168"/>
      <c r="AQ124" s="168"/>
      <c r="AR124" s="168"/>
      <c r="AS124" s="168"/>
      <c r="AT124" s="168"/>
      <c r="AU124" s="168"/>
      <c r="AV124" s="168"/>
      <c r="AW124" s="168"/>
      <c r="AX124" s="168"/>
      <c r="AY124" s="168"/>
      <c r="AZ124" s="168"/>
      <c r="BA124" s="168"/>
      <c r="BB124" s="168"/>
      <c r="BC124" s="168"/>
      <c r="BD124" s="168"/>
      <c r="BE124" s="168"/>
      <c r="BF124" s="168"/>
      <c r="BG124" s="168"/>
      <c r="BH124" s="168"/>
      <c r="BI124" s="168"/>
      <c r="BJ124" s="170"/>
      <c r="BK124" s="32" t="str">
        <f t="shared" si="63"/>
        <v>ENT_01_C3-08_バックアップ_DPCレセプト_診断群分類レコード.sql</v>
      </c>
    </row>
    <row r="125" spans="1:64" ht="37.5" hidden="1" customHeight="1" outlineLevel="1">
      <c r="A125" s="34" t="str">
        <f t="shared" si="70"/>
        <v>バックアップ_DPCレセプト_傷病レコード</v>
      </c>
      <c r="B125" s="171" t="str">
        <f t="shared" si="8"/>
        <v>01</v>
      </c>
      <c r="C125" s="172"/>
      <c r="D125" s="172"/>
      <c r="E125" s="172"/>
      <c r="F125" s="173"/>
      <c r="G125" s="174" t="s">
        <v>195</v>
      </c>
      <c r="H125" s="175"/>
      <c r="I125" s="175"/>
      <c r="J125" s="175"/>
      <c r="K125" s="175"/>
      <c r="L125" s="175"/>
      <c r="M125" s="175"/>
      <c r="N125" s="176"/>
      <c r="O125" s="79" t="s">
        <v>3102</v>
      </c>
      <c r="P125" s="164" t="s">
        <v>1219</v>
      </c>
      <c r="Q125" s="165"/>
      <c r="R125" s="165"/>
      <c r="S125" s="165"/>
      <c r="T125" s="165"/>
      <c r="U125" s="165"/>
      <c r="V125" s="165"/>
      <c r="W125" s="165"/>
      <c r="X125" s="165"/>
      <c r="Y125" s="165"/>
      <c r="Z125" s="165"/>
      <c r="AA125" s="165"/>
      <c r="AB125" s="165"/>
      <c r="AC125" s="165"/>
      <c r="AD125" s="166"/>
      <c r="AE125" s="167" t="str">
        <f t="shared" ca="1" si="71"/>
        <v>azn_202310_backup_merge_receiptd_sb</v>
      </c>
      <c r="AF125" s="168"/>
      <c r="AG125" s="168"/>
      <c r="AH125" s="168"/>
      <c r="AI125" s="168"/>
      <c r="AJ125" s="168"/>
      <c r="AK125" s="168"/>
      <c r="AL125" s="169"/>
      <c r="AM125" s="167" t="str">
        <f t="shared" ca="1" si="72"/>
        <v>DPCレセプト_傷病レコードテーブルから組入れ条件の第一条件で絞り込んだ結果を格納するテーブル</v>
      </c>
      <c r="AN125" s="168"/>
      <c r="AO125" s="168"/>
      <c r="AP125" s="168"/>
      <c r="AQ125" s="168"/>
      <c r="AR125" s="168"/>
      <c r="AS125" s="168"/>
      <c r="AT125" s="168"/>
      <c r="AU125" s="168"/>
      <c r="AV125" s="168"/>
      <c r="AW125" s="168"/>
      <c r="AX125" s="168"/>
      <c r="AY125" s="168"/>
      <c r="AZ125" s="168"/>
      <c r="BA125" s="168"/>
      <c r="BB125" s="168"/>
      <c r="BC125" s="168"/>
      <c r="BD125" s="168"/>
      <c r="BE125" s="168"/>
      <c r="BF125" s="168"/>
      <c r="BG125" s="168"/>
      <c r="BH125" s="168"/>
      <c r="BI125" s="168"/>
      <c r="BJ125" s="170"/>
      <c r="BK125" s="32" t="str">
        <f t="shared" si="63"/>
        <v>ENT_01_C3-09_バックアップ_DPCレセプト_傷病レコード.sql</v>
      </c>
    </row>
    <row r="126" spans="1:64" ht="37.5" hidden="1" customHeight="1" outlineLevel="1">
      <c r="A126" s="34" t="str">
        <f t="shared" si="70"/>
        <v>バックアップ_DPCレセプト_傷病名レコード</v>
      </c>
      <c r="B126" s="171" t="str">
        <f t="shared" si="8"/>
        <v>01</v>
      </c>
      <c r="C126" s="172"/>
      <c r="D126" s="172"/>
      <c r="E126" s="172"/>
      <c r="F126" s="173"/>
      <c r="G126" s="174" t="s">
        <v>195</v>
      </c>
      <c r="H126" s="175"/>
      <c r="I126" s="175"/>
      <c r="J126" s="175"/>
      <c r="K126" s="175"/>
      <c r="L126" s="175"/>
      <c r="M126" s="175"/>
      <c r="N126" s="176"/>
      <c r="O126" s="79" t="s">
        <v>3103</v>
      </c>
      <c r="P126" s="164" t="s">
        <v>1225</v>
      </c>
      <c r="Q126" s="165"/>
      <c r="R126" s="165"/>
      <c r="S126" s="165"/>
      <c r="T126" s="165"/>
      <c r="U126" s="165"/>
      <c r="V126" s="165"/>
      <c r="W126" s="165"/>
      <c r="X126" s="165"/>
      <c r="Y126" s="165"/>
      <c r="Z126" s="165"/>
      <c r="AA126" s="165"/>
      <c r="AB126" s="165"/>
      <c r="AC126" s="165"/>
      <c r="AD126" s="166"/>
      <c r="AE126" s="167" t="str">
        <f t="shared" ca="1" si="71"/>
        <v>azn_202310_backup_merge_receiptd_sy</v>
      </c>
      <c r="AF126" s="168"/>
      <c r="AG126" s="168"/>
      <c r="AH126" s="168"/>
      <c r="AI126" s="168"/>
      <c r="AJ126" s="168"/>
      <c r="AK126" s="168"/>
      <c r="AL126" s="169"/>
      <c r="AM126" s="167" t="str">
        <f t="shared" ca="1" si="72"/>
        <v>DPCレセプト_傷病名レコードテーブルから組入れ条件の第一条件で絞り込んだ結果を格納するテーブル</v>
      </c>
      <c r="AN126" s="168"/>
      <c r="AO126" s="168"/>
      <c r="AP126" s="168"/>
      <c r="AQ126" s="168"/>
      <c r="AR126" s="168"/>
      <c r="AS126" s="168"/>
      <c r="AT126" s="168"/>
      <c r="AU126" s="168"/>
      <c r="AV126" s="168"/>
      <c r="AW126" s="168"/>
      <c r="AX126" s="168"/>
      <c r="AY126" s="168"/>
      <c r="AZ126" s="168"/>
      <c r="BA126" s="168"/>
      <c r="BB126" s="168"/>
      <c r="BC126" s="168"/>
      <c r="BD126" s="168"/>
      <c r="BE126" s="168"/>
      <c r="BF126" s="168"/>
      <c r="BG126" s="168"/>
      <c r="BH126" s="168"/>
      <c r="BI126" s="168"/>
      <c r="BJ126" s="170"/>
      <c r="BK126" s="32" t="str">
        <f t="shared" si="63"/>
        <v>ENT_01_C3-10_バックアップ_DPCレセプト_傷病名レコード.sql</v>
      </c>
    </row>
    <row r="127" spans="1:64" ht="37.5" hidden="1" customHeight="1" outlineLevel="1">
      <c r="A127" s="34" t="str">
        <f t="shared" si="70"/>
        <v>バックアップ_DPCレセプト_診療行為レコード</v>
      </c>
      <c r="B127" s="171" t="str">
        <f t="shared" si="8"/>
        <v>01</v>
      </c>
      <c r="C127" s="172"/>
      <c r="D127" s="172"/>
      <c r="E127" s="172"/>
      <c r="F127" s="173"/>
      <c r="G127" s="174" t="s">
        <v>195</v>
      </c>
      <c r="H127" s="175"/>
      <c r="I127" s="175"/>
      <c r="J127" s="175"/>
      <c r="K127" s="175"/>
      <c r="L127" s="175"/>
      <c r="M127" s="175"/>
      <c r="N127" s="176"/>
      <c r="O127" s="79" t="s">
        <v>3104</v>
      </c>
      <c r="P127" s="164" t="s">
        <v>1227</v>
      </c>
      <c r="Q127" s="165"/>
      <c r="R127" s="165"/>
      <c r="S127" s="165"/>
      <c r="T127" s="165"/>
      <c r="U127" s="165"/>
      <c r="V127" s="165"/>
      <c r="W127" s="165"/>
      <c r="X127" s="165"/>
      <c r="Y127" s="165"/>
      <c r="Z127" s="165"/>
      <c r="AA127" s="165"/>
      <c r="AB127" s="165"/>
      <c r="AC127" s="165"/>
      <c r="AD127" s="166"/>
      <c r="AE127" s="167" t="str">
        <f t="shared" ca="1" si="71"/>
        <v>azn_202310_backup_merge_receiptd_si</v>
      </c>
      <c r="AF127" s="168"/>
      <c r="AG127" s="168"/>
      <c r="AH127" s="168"/>
      <c r="AI127" s="168"/>
      <c r="AJ127" s="168"/>
      <c r="AK127" s="168"/>
      <c r="AL127" s="169"/>
      <c r="AM127" s="167" t="str">
        <f t="shared" ca="1" si="72"/>
        <v>DPCレセプト_診療行為レコードテーブルから組入れ条件の第一条件で絞り込んだ結果を格納するテーブル</v>
      </c>
      <c r="AN127" s="168"/>
      <c r="AO127" s="168"/>
      <c r="AP127" s="168"/>
      <c r="AQ127" s="168"/>
      <c r="AR127" s="168"/>
      <c r="AS127" s="168"/>
      <c r="AT127" s="168"/>
      <c r="AU127" s="168"/>
      <c r="AV127" s="168"/>
      <c r="AW127" s="168"/>
      <c r="AX127" s="168"/>
      <c r="AY127" s="168"/>
      <c r="AZ127" s="168"/>
      <c r="BA127" s="168"/>
      <c r="BB127" s="168"/>
      <c r="BC127" s="168"/>
      <c r="BD127" s="168"/>
      <c r="BE127" s="168"/>
      <c r="BF127" s="168"/>
      <c r="BG127" s="168"/>
      <c r="BH127" s="168"/>
      <c r="BI127" s="168"/>
      <c r="BJ127" s="170"/>
      <c r="BK127" s="32" t="str">
        <f t="shared" si="63"/>
        <v>ENT_01_C3-16_バックアップ_DPCレセプト_診療行為レコード.sql</v>
      </c>
    </row>
    <row r="128" spans="1:64" ht="37.5" hidden="1" customHeight="1" outlineLevel="1">
      <c r="A128" s="34" t="str">
        <f t="shared" si="70"/>
        <v>バックアップ_DPCレセプト_診療行為レコード_算定日情報</v>
      </c>
      <c r="B128" s="171" t="str">
        <f t="shared" si="8"/>
        <v>01</v>
      </c>
      <c r="C128" s="172"/>
      <c r="D128" s="172"/>
      <c r="E128" s="172"/>
      <c r="F128" s="173"/>
      <c r="G128" s="174" t="s">
        <v>195</v>
      </c>
      <c r="H128" s="175"/>
      <c r="I128" s="175"/>
      <c r="J128" s="175"/>
      <c r="K128" s="175"/>
      <c r="L128" s="175"/>
      <c r="M128" s="175"/>
      <c r="N128" s="176"/>
      <c r="O128" s="79" t="s">
        <v>3105</v>
      </c>
      <c r="P128" s="164" t="s">
        <v>1229</v>
      </c>
      <c r="Q128" s="165"/>
      <c r="R128" s="165"/>
      <c r="S128" s="165"/>
      <c r="T128" s="165"/>
      <c r="U128" s="165"/>
      <c r="V128" s="165"/>
      <c r="W128" s="165"/>
      <c r="X128" s="165"/>
      <c r="Y128" s="165"/>
      <c r="Z128" s="165"/>
      <c r="AA128" s="165"/>
      <c r="AB128" s="165"/>
      <c r="AC128" s="165"/>
      <c r="AD128" s="166"/>
      <c r="AE128" s="167" t="str">
        <f t="shared" ca="1" si="71"/>
        <v>azn_202310_backup_merge_receiptd_si_day</v>
      </c>
      <c r="AF128" s="168"/>
      <c r="AG128" s="168"/>
      <c r="AH128" s="168"/>
      <c r="AI128" s="168"/>
      <c r="AJ128" s="168"/>
      <c r="AK128" s="168"/>
      <c r="AL128" s="169"/>
      <c r="AM128" s="167" t="str">
        <f t="shared" ca="1" si="72"/>
        <v>DPCレセプト_診療行為レコード_算定日情報テーブルから組入れ条件の第一条件で絞り込んだ結果を格納するテーブル</v>
      </c>
      <c r="AN128" s="168"/>
      <c r="AO128" s="168"/>
      <c r="AP128" s="168"/>
      <c r="AQ128" s="168"/>
      <c r="AR128" s="168"/>
      <c r="AS128" s="168"/>
      <c r="AT128" s="168"/>
      <c r="AU128" s="168"/>
      <c r="AV128" s="168"/>
      <c r="AW128" s="168"/>
      <c r="AX128" s="168"/>
      <c r="AY128" s="168"/>
      <c r="AZ128" s="168"/>
      <c r="BA128" s="168"/>
      <c r="BB128" s="168"/>
      <c r="BC128" s="168"/>
      <c r="BD128" s="168"/>
      <c r="BE128" s="168"/>
      <c r="BF128" s="168"/>
      <c r="BG128" s="168"/>
      <c r="BH128" s="168"/>
      <c r="BI128" s="168"/>
      <c r="BJ128" s="170"/>
      <c r="BK128" s="32" t="str">
        <f t="shared" si="63"/>
        <v>ENT_01_C3-17_バックアップ_DPCレセプト_診療行為レコード_算定日情報.sql</v>
      </c>
    </row>
    <row r="129" spans="1:64" ht="37.5" hidden="1" customHeight="1" outlineLevel="1">
      <c r="A129" s="34" t="str">
        <f t="shared" si="70"/>
        <v>バックアップ_DPCレセプト_医薬品レコード</v>
      </c>
      <c r="B129" s="171" t="str">
        <f t="shared" si="8"/>
        <v>01</v>
      </c>
      <c r="C129" s="172"/>
      <c r="D129" s="172"/>
      <c r="E129" s="172"/>
      <c r="F129" s="173"/>
      <c r="G129" s="174" t="s">
        <v>195</v>
      </c>
      <c r="H129" s="175"/>
      <c r="I129" s="175"/>
      <c r="J129" s="175"/>
      <c r="K129" s="175"/>
      <c r="L129" s="175"/>
      <c r="M129" s="175"/>
      <c r="N129" s="176"/>
      <c r="O129" s="79" t="s">
        <v>3106</v>
      </c>
      <c r="P129" s="164" t="s">
        <v>1232</v>
      </c>
      <c r="Q129" s="165"/>
      <c r="R129" s="165"/>
      <c r="S129" s="165"/>
      <c r="T129" s="165"/>
      <c r="U129" s="165"/>
      <c r="V129" s="165"/>
      <c r="W129" s="165"/>
      <c r="X129" s="165"/>
      <c r="Y129" s="165"/>
      <c r="Z129" s="165"/>
      <c r="AA129" s="165"/>
      <c r="AB129" s="165"/>
      <c r="AC129" s="165"/>
      <c r="AD129" s="166"/>
      <c r="AE129" s="167" t="str">
        <f t="shared" ca="1" si="71"/>
        <v>azn_202310_backup_merge_receiptd_iy</v>
      </c>
      <c r="AF129" s="168"/>
      <c r="AG129" s="168"/>
      <c r="AH129" s="168"/>
      <c r="AI129" s="168"/>
      <c r="AJ129" s="168"/>
      <c r="AK129" s="168"/>
      <c r="AL129" s="169"/>
      <c r="AM129" s="167" t="str">
        <f t="shared" ca="1" si="72"/>
        <v>DPCレセプト_医薬品レコードテーブルから組入れ条件の第一条件で絞り込んだ結果を格納するテーブル</v>
      </c>
      <c r="AN129" s="168"/>
      <c r="AO129" s="168"/>
      <c r="AP129" s="168"/>
      <c r="AQ129" s="168"/>
      <c r="AR129" s="168"/>
      <c r="AS129" s="168"/>
      <c r="AT129" s="168"/>
      <c r="AU129" s="168"/>
      <c r="AV129" s="168"/>
      <c r="AW129" s="168"/>
      <c r="AX129" s="168"/>
      <c r="AY129" s="168"/>
      <c r="AZ129" s="168"/>
      <c r="BA129" s="168"/>
      <c r="BB129" s="168"/>
      <c r="BC129" s="168"/>
      <c r="BD129" s="168"/>
      <c r="BE129" s="168"/>
      <c r="BF129" s="168"/>
      <c r="BG129" s="168"/>
      <c r="BH129" s="168"/>
      <c r="BI129" s="168"/>
      <c r="BJ129" s="170"/>
      <c r="BK129" s="32" t="str">
        <f t="shared" si="63"/>
        <v>ENT_01_C3-18_バックアップ_DPCレセプト_医薬品レコード.sql</v>
      </c>
    </row>
    <row r="130" spans="1:64" ht="37.5" hidden="1" customHeight="1" outlineLevel="1">
      <c r="A130" s="34" t="str">
        <f t="shared" si="70"/>
        <v>バックアップ_DPCレセプト_医薬品レコード_算定日情報</v>
      </c>
      <c r="B130" s="171" t="str">
        <f t="shared" si="8"/>
        <v>01</v>
      </c>
      <c r="C130" s="172"/>
      <c r="D130" s="172"/>
      <c r="E130" s="172"/>
      <c r="F130" s="173"/>
      <c r="G130" s="174" t="s">
        <v>195</v>
      </c>
      <c r="H130" s="175"/>
      <c r="I130" s="175"/>
      <c r="J130" s="175"/>
      <c r="K130" s="175"/>
      <c r="L130" s="175"/>
      <c r="M130" s="175"/>
      <c r="N130" s="176"/>
      <c r="O130" s="79" t="s">
        <v>3107</v>
      </c>
      <c r="P130" s="164" t="s">
        <v>1234</v>
      </c>
      <c r="Q130" s="165"/>
      <c r="R130" s="165"/>
      <c r="S130" s="165"/>
      <c r="T130" s="165"/>
      <c r="U130" s="165"/>
      <c r="V130" s="165"/>
      <c r="W130" s="165"/>
      <c r="X130" s="165"/>
      <c r="Y130" s="165"/>
      <c r="Z130" s="165"/>
      <c r="AA130" s="165"/>
      <c r="AB130" s="165"/>
      <c r="AC130" s="165"/>
      <c r="AD130" s="166"/>
      <c r="AE130" s="167" t="str">
        <f t="shared" ca="1" si="71"/>
        <v>azn_202310_backup_merge_receiptd_iy_day</v>
      </c>
      <c r="AF130" s="168"/>
      <c r="AG130" s="168"/>
      <c r="AH130" s="168"/>
      <c r="AI130" s="168"/>
      <c r="AJ130" s="168"/>
      <c r="AK130" s="168"/>
      <c r="AL130" s="169"/>
      <c r="AM130" s="167" t="str">
        <f t="shared" ca="1" si="72"/>
        <v>DPCレセプト_医薬品レコード_算定日情報テーブルから組入れ条件の第一条件で絞り込んだ結果を格納するテーブル</v>
      </c>
      <c r="AN130" s="168"/>
      <c r="AO130" s="168"/>
      <c r="AP130" s="168"/>
      <c r="AQ130" s="168"/>
      <c r="AR130" s="168"/>
      <c r="AS130" s="168"/>
      <c r="AT130" s="168"/>
      <c r="AU130" s="168"/>
      <c r="AV130" s="168"/>
      <c r="AW130" s="168"/>
      <c r="AX130" s="168"/>
      <c r="AY130" s="168"/>
      <c r="AZ130" s="168"/>
      <c r="BA130" s="168"/>
      <c r="BB130" s="168"/>
      <c r="BC130" s="168"/>
      <c r="BD130" s="168"/>
      <c r="BE130" s="168"/>
      <c r="BF130" s="168"/>
      <c r="BG130" s="168"/>
      <c r="BH130" s="168"/>
      <c r="BI130" s="168"/>
      <c r="BJ130" s="170"/>
      <c r="BK130" s="32" t="str">
        <f t="shared" si="63"/>
        <v>ENT_01_C3-19_バックアップ_DPCレセプト_医薬品レコード_算定日情報.sql</v>
      </c>
    </row>
    <row r="131" spans="1:64" ht="37.5" hidden="1" customHeight="1" outlineLevel="1">
      <c r="A131" s="34" t="str">
        <f t="shared" ref="A131:A148" si="73">P131</f>
        <v>バックアップ_DPCレセプト_臓器提供者レセプト情報レコード</v>
      </c>
      <c r="B131" s="171" t="str">
        <f t="shared" si="8"/>
        <v>01</v>
      </c>
      <c r="C131" s="172"/>
      <c r="D131" s="172"/>
      <c r="E131" s="172"/>
      <c r="F131" s="173"/>
      <c r="G131" s="174" t="s">
        <v>195</v>
      </c>
      <c r="H131" s="175"/>
      <c r="I131" s="175"/>
      <c r="J131" s="175"/>
      <c r="K131" s="175"/>
      <c r="L131" s="175"/>
      <c r="M131" s="175"/>
      <c r="N131" s="176"/>
      <c r="O131" s="79" t="s">
        <v>3108</v>
      </c>
      <c r="P131" s="164" t="s">
        <v>1236</v>
      </c>
      <c r="Q131" s="165"/>
      <c r="R131" s="165"/>
      <c r="S131" s="165"/>
      <c r="T131" s="165"/>
      <c r="U131" s="165"/>
      <c r="V131" s="165"/>
      <c r="W131" s="165"/>
      <c r="X131" s="165"/>
      <c r="Y131" s="165"/>
      <c r="Z131" s="165"/>
      <c r="AA131" s="165"/>
      <c r="AB131" s="165"/>
      <c r="AC131" s="165"/>
      <c r="AD131" s="166"/>
      <c r="AE131" s="167" t="str">
        <f t="shared" ca="1" si="68"/>
        <v>azn_202310_backup_merge_receiptd_tr</v>
      </c>
      <c r="AF131" s="168"/>
      <c r="AG131" s="168"/>
      <c r="AH131" s="168"/>
      <c r="AI131" s="168"/>
      <c r="AJ131" s="168"/>
      <c r="AK131" s="168"/>
      <c r="AL131" s="169"/>
      <c r="AM131" s="167" t="str">
        <f t="shared" ca="1" si="69"/>
        <v>DPCレセプト_臓器提供者レセプト情報レコードテーブルから組入れ条件の第一条件で絞り込んだ結果を格納するテーブル</v>
      </c>
      <c r="AN131" s="168"/>
      <c r="AO131" s="168"/>
      <c r="AP131" s="168"/>
      <c r="AQ131" s="168"/>
      <c r="AR131" s="168"/>
      <c r="AS131" s="168"/>
      <c r="AT131" s="168"/>
      <c r="AU131" s="168"/>
      <c r="AV131" s="168"/>
      <c r="AW131" s="168"/>
      <c r="AX131" s="168"/>
      <c r="AY131" s="168"/>
      <c r="AZ131" s="168"/>
      <c r="BA131" s="168"/>
      <c r="BB131" s="168"/>
      <c r="BC131" s="168"/>
      <c r="BD131" s="168"/>
      <c r="BE131" s="168"/>
      <c r="BF131" s="168"/>
      <c r="BG131" s="168"/>
      <c r="BH131" s="168"/>
      <c r="BI131" s="168"/>
      <c r="BJ131" s="170"/>
      <c r="BK131" s="32" t="str">
        <f t="shared" si="63"/>
        <v>ENT_01_C3-24_バックアップ_DPCレセプト_臓器提供者レセプト情報レコード.sql</v>
      </c>
    </row>
    <row r="132" spans="1:64" ht="37.5" hidden="1" customHeight="1" outlineLevel="1">
      <c r="A132" s="34" t="str">
        <f t="shared" si="73"/>
        <v>バックアップ_患者情報モジュール_患者情報</v>
      </c>
      <c r="B132" s="171" t="str">
        <f t="shared" si="8"/>
        <v>01</v>
      </c>
      <c r="C132" s="172"/>
      <c r="D132" s="172"/>
      <c r="E132" s="172"/>
      <c r="F132" s="173"/>
      <c r="G132" s="174" t="s">
        <v>195</v>
      </c>
      <c r="H132" s="175"/>
      <c r="I132" s="175"/>
      <c r="J132" s="175"/>
      <c r="K132" s="175"/>
      <c r="L132" s="175"/>
      <c r="M132" s="175"/>
      <c r="N132" s="176"/>
      <c r="O132" s="79" t="s">
        <v>3109</v>
      </c>
      <c r="P132" s="164" t="s">
        <v>1238</v>
      </c>
      <c r="Q132" s="165"/>
      <c r="R132" s="165"/>
      <c r="S132" s="165"/>
      <c r="T132" s="165"/>
      <c r="U132" s="165"/>
      <c r="V132" s="165"/>
      <c r="W132" s="165"/>
      <c r="X132" s="165"/>
      <c r="Y132" s="165"/>
      <c r="Z132" s="165"/>
      <c r="AA132" s="165"/>
      <c r="AB132" s="165"/>
      <c r="AC132" s="165"/>
      <c r="AD132" s="166"/>
      <c r="AE132" s="167" t="str">
        <f t="shared" ca="1" si="68"/>
        <v>azn_202310_backup_merge_mml_pi_master</v>
      </c>
      <c r="AF132" s="168"/>
      <c r="AG132" s="168"/>
      <c r="AH132" s="168"/>
      <c r="AI132" s="168"/>
      <c r="AJ132" s="168"/>
      <c r="AK132" s="168"/>
      <c r="AL132" s="169"/>
      <c r="AM132" s="167" t="str">
        <f t="shared" ca="1" si="69"/>
        <v>患者情報モジュール_患者情報テーブルから組入れ条件の第一条件で絞り込んだ結果を格納するテーブル</v>
      </c>
      <c r="AN132" s="168"/>
      <c r="AO132" s="168"/>
      <c r="AP132" s="168"/>
      <c r="AQ132" s="168"/>
      <c r="AR132" s="168"/>
      <c r="AS132" s="168"/>
      <c r="AT132" s="168"/>
      <c r="AU132" s="168"/>
      <c r="AV132" s="168"/>
      <c r="AW132" s="168"/>
      <c r="AX132" s="168"/>
      <c r="AY132" s="168"/>
      <c r="AZ132" s="168"/>
      <c r="BA132" s="168"/>
      <c r="BB132" s="168"/>
      <c r="BC132" s="168"/>
      <c r="BD132" s="168"/>
      <c r="BE132" s="168"/>
      <c r="BF132" s="168"/>
      <c r="BG132" s="168"/>
      <c r="BH132" s="168"/>
      <c r="BI132" s="168"/>
      <c r="BJ132" s="170"/>
      <c r="BK132" s="32" t="str">
        <f t="shared" si="63"/>
        <v>ENT_01_C4-01_バックアップ_患者情報モジュール_患者情報.sql</v>
      </c>
    </row>
    <row r="133" spans="1:64" ht="37.5" hidden="1" customHeight="1" outlineLevel="1">
      <c r="A133" s="34" t="str">
        <f t="shared" si="73"/>
        <v>バックアップ_診断履歴情報モジュール_診断履歴情報レコード</v>
      </c>
      <c r="B133" s="171" t="str">
        <f t="shared" si="8"/>
        <v>01</v>
      </c>
      <c r="C133" s="172"/>
      <c r="D133" s="172"/>
      <c r="E133" s="172"/>
      <c r="F133" s="173"/>
      <c r="G133" s="174" t="s">
        <v>195</v>
      </c>
      <c r="H133" s="175"/>
      <c r="I133" s="175"/>
      <c r="J133" s="175"/>
      <c r="K133" s="175"/>
      <c r="L133" s="175"/>
      <c r="M133" s="175"/>
      <c r="N133" s="176"/>
      <c r="O133" s="79" t="s">
        <v>3110</v>
      </c>
      <c r="P133" s="164" t="s">
        <v>1296</v>
      </c>
      <c r="Q133" s="165"/>
      <c r="R133" s="165"/>
      <c r="S133" s="165"/>
      <c r="T133" s="165"/>
      <c r="U133" s="165"/>
      <c r="V133" s="165"/>
      <c r="W133" s="165"/>
      <c r="X133" s="165"/>
      <c r="Y133" s="165"/>
      <c r="Z133" s="165"/>
      <c r="AA133" s="165"/>
      <c r="AB133" s="165"/>
      <c r="AC133" s="165"/>
      <c r="AD133" s="166"/>
      <c r="AE133" s="167" t="str">
        <f t="shared" ca="1" si="68"/>
        <v>azn_202310_backup_merge_mml_rd_register</v>
      </c>
      <c r="AF133" s="168"/>
      <c r="AG133" s="168"/>
      <c r="AH133" s="168"/>
      <c r="AI133" s="168"/>
      <c r="AJ133" s="168"/>
      <c r="AK133" s="168"/>
      <c r="AL133" s="169"/>
      <c r="AM133" s="167" t="str">
        <f t="shared" ca="1" si="69"/>
        <v>診断履歴情報モジュール_診断履歴情報レコードテーブルから組入れ条件の第一条件で絞り込んだ結果を格納するテーブル</v>
      </c>
      <c r="AN133" s="168"/>
      <c r="AO133" s="168"/>
      <c r="AP133" s="168"/>
      <c r="AQ133" s="168"/>
      <c r="AR133" s="168"/>
      <c r="AS133" s="168"/>
      <c r="AT133" s="168"/>
      <c r="AU133" s="168"/>
      <c r="AV133" s="168"/>
      <c r="AW133" s="168"/>
      <c r="AX133" s="168"/>
      <c r="AY133" s="168"/>
      <c r="AZ133" s="168"/>
      <c r="BA133" s="168"/>
      <c r="BB133" s="168"/>
      <c r="BC133" s="168"/>
      <c r="BD133" s="168"/>
      <c r="BE133" s="168"/>
      <c r="BF133" s="168"/>
      <c r="BG133" s="168"/>
      <c r="BH133" s="168"/>
      <c r="BI133" s="168"/>
      <c r="BJ133" s="170"/>
      <c r="BK133" s="32" t="str">
        <f t="shared" si="63"/>
        <v>ENT_01_C4-03_バックアップ_診断履歴情報モジュール_診断履歴情報レコード.sql</v>
      </c>
      <c r="BL133" s="32">
        <v>1</v>
      </c>
    </row>
    <row r="134" spans="1:64" ht="37.5" hidden="1" customHeight="1" outlineLevel="1">
      <c r="A134" s="34" t="str">
        <f t="shared" si="73"/>
        <v>バックアップ_診断履歴情報モジュール_診断病名レコード</v>
      </c>
      <c r="B134" s="171" t="str">
        <f t="shared" si="8"/>
        <v>01</v>
      </c>
      <c r="C134" s="172"/>
      <c r="D134" s="172"/>
      <c r="E134" s="172"/>
      <c r="F134" s="173"/>
      <c r="G134" s="174" t="s">
        <v>195</v>
      </c>
      <c r="H134" s="175"/>
      <c r="I134" s="175"/>
      <c r="J134" s="175"/>
      <c r="K134" s="175"/>
      <c r="L134" s="175"/>
      <c r="M134" s="175"/>
      <c r="N134" s="176"/>
      <c r="O134" s="79" t="s">
        <v>3111</v>
      </c>
      <c r="P134" s="164" t="s">
        <v>1315</v>
      </c>
      <c r="Q134" s="165"/>
      <c r="R134" s="165"/>
      <c r="S134" s="165"/>
      <c r="T134" s="165"/>
      <c r="U134" s="165"/>
      <c r="V134" s="165"/>
      <c r="W134" s="165"/>
      <c r="X134" s="165"/>
      <c r="Y134" s="165"/>
      <c r="Z134" s="165"/>
      <c r="AA134" s="165"/>
      <c r="AB134" s="165"/>
      <c r="AC134" s="165"/>
      <c r="AD134" s="166"/>
      <c r="AE134" s="167" t="str">
        <f t="shared" ca="1" si="68"/>
        <v>azn_202310_backup_merge_mml_rd_byomei</v>
      </c>
      <c r="AF134" s="168"/>
      <c r="AG134" s="168"/>
      <c r="AH134" s="168"/>
      <c r="AI134" s="168"/>
      <c r="AJ134" s="168"/>
      <c r="AK134" s="168"/>
      <c r="AL134" s="169"/>
      <c r="AM134" s="167" t="str">
        <f t="shared" ca="1" si="69"/>
        <v>診断履歴情報モジュール_診断病名レコードテーブルから組入れ条件の第一条件で絞り込んだ結果を格納するテーブル</v>
      </c>
      <c r="AN134" s="168"/>
      <c r="AO134" s="168"/>
      <c r="AP134" s="168"/>
      <c r="AQ134" s="168"/>
      <c r="AR134" s="168"/>
      <c r="AS134" s="168"/>
      <c r="AT134" s="168"/>
      <c r="AU134" s="168"/>
      <c r="AV134" s="168"/>
      <c r="AW134" s="168"/>
      <c r="AX134" s="168"/>
      <c r="AY134" s="168"/>
      <c r="AZ134" s="168"/>
      <c r="BA134" s="168"/>
      <c r="BB134" s="168"/>
      <c r="BC134" s="168"/>
      <c r="BD134" s="168"/>
      <c r="BE134" s="168"/>
      <c r="BF134" s="168"/>
      <c r="BG134" s="168"/>
      <c r="BH134" s="168"/>
      <c r="BI134" s="168"/>
      <c r="BJ134" s="170"/>
      <c r="BK134" s="32" t="str">
        <f t="shared" si="63"/>
        <v>ENT_01_C4-04_バックアップ_診断履歴情報モジュール_診断病名レコード.sql</v>
      </c>
      <c r="BL134" s="32">
        <v>1</v>
      </c>
    </row>
    <row r="135" spans="1:64" ht="37.5" hidden="1" customHeight="1" outlineLevel="1">
      <c r="A135" s="34" t="str">
        <f t="shared" si="73"/>
        <v>バックアップ_診断履歴情報モジュール_診断分類レコード</v>
      </c>
      <c r="B135" s="171" t="str">
        <f t="shared" si="8"/>
        <v>01</v>
      </c>
      <c r="C135" s="172"/>
      <c r="D135" s="172"/>
      <c r="E135" s="172"/>
      <c r="F135" s="173"/>
      <c r="G135" s="174" t="s">
        <v>195</v>
      </c>
      <c r="H135" s="175"/>
      <c r="I135" s="175"/>
      <c r="J135" s="175"/>
      <c r="K135" s="175"/>
      <c r="L135" s="175"/>
      <c r="M135" s="175"/>
      <c r="N135" s="176"/>
      <c r="O135" s="79" t="s">
        <v>3112</v>
      </c>
      <c r="P135" s="164" t="s">
        <v>1329</v>
      </c>
      <c r="Q135" s="165"/>
      <c r="R135" s="165"/>
      <c r="S135" s="165"/>
      <c r="T135" s="165"/>
      <c r="U135" s="165"/>
      <c r="V135" s="165"/>
      <c r="W135" s="165"/>
      <c r="X135" s="165"/>
      <c r="Y135" s="165"/>
      <c r="Z135" s="165"/>
      <c r="AA135" s="165"/>
      <c r="AB135" s="165"/>
      <c r="AC135" s="165"/>
      <c r="AD135" s="166"/>
      <c r="AE135" s="167" t="str">
        <f t="shared" ca="1" si="68"/>
        <v>azn_202310_backup_merge_mml_rd_category</v>
      </c>
      <c r="AF135" s="168"/>
      <c r="AG135" s="168"/>
      <c r="AH135" s="168"/>
      <c r="AI135" s="168"/>
      <c r="AJ135" s="168"/>
      <c r="AK135" s="168"/>
      <c r="AL135" s="169"/>
      <c r="AM135" s="167" t="str">
        <f t="shared" ca="1" si="69"/>
        <v>診断履歴情報モジュール_診断分類レコードテーブルから組入れ条件の第一条件で絞り込んだ結果を格納するテーブル</v>
      </c>
      <c r="AN135" s="168"/>
      <c r="AO135" s="168"/>
      <c r="AP135" s="168"/>
      <c r="AQ135" s="168"/>
      <c r="AR135" s="168"/>
      <c r="AS135" s="168"/>
      <c r="AT135" s="168"/>
      <c r="AU135" s="168"/>
      <c r="AV135" s="168"/>
      <c r="AW135" s="168"/>
      <c r="AX135" s="168"/>
      <c r="AY135" s="168"/>
      <c r="AZ135" s="168"/>
      <c r="BA135" s="168"/>
      <c r="BB135" s="168"/>
      <c r="BC135" s="168"/>
      <c r="BD135" s="168"/>
      <c r="BE135" s="168"/>
      <c r="BF135" s="168"/>
      <c r="BG135" s="168"/>
      <c r="BH135" s="168"/>
      <c r="BI135" s="168"/>
      <c r="BJ135" s="170"/>
      <c r="BK135" s="32" t="str">
        <f t="shared" si="63"/>
        <v>ENT_01_C4-05_バックアップ_診断履歴情報モジュール_診断分類レコード.sql</v>
      </c>
    </row>
    <row r="136" spans="1:64" ht="37.5" hidden="1" customHeight="1" outlineLevel="1">
      <c r="A136" s="34" t="str">
        <f t="shared" si="73"/>
        <v>バックアップ_経過記録情報モジュール_経過記録情報レコード</v>
      </c>
      <c r="B136" s="171" t="str">
        <f t="shared" si="8"/>
        <v>01</v>
      </c>
      <c r="C136" s="172"/>
      <c r="D136" s="172"/>
      <c r="E136" s="172"/>
      <c r="F136" s="173"/>
      <c r="G136" s="174" t="s">
        <v>195</v>
      </c>
      <c r="H136" s="175"/>
      <c r="I136" s="175"/>
      <c r="J136" s="175"/>
      <c r="K136" s="175"/>
      <c r="L136" s="175"/>
      <c r="M136" s="175"/>
      <c r="N136" s="176"/>
      <c r="O136" s="79" t="s">
        <v>3113</v>
      </c>
      <c r="P136" s="164" t="s">
        <v>1340</v>
      </c>
      <c r="Q136" s="165"/>
      <c r="R136" s="165"/>
      <c r="S136" s="165"/>
      <c r="T136" s="165"/>
      <c r="U136" s="165"/>
      <c r="V136" s="165"/>
      <c r="W136" s="165"/>
      <c r="X136" s="165"/>
      <c r="Y136" s="165"/>
      <c r="Z136" s="165"/>
      <c r="AA136" s="165"/>
      <c r="AB136" s="165"/>
      <c r="AC136" s="165"/>
      <c r="AD136" s="166"/>
      <c r="AE136" s="167" t="str">
        <f t="shared" ca="1" si="68"/>
        <v>azn_202310_backup_merge_mml_pc_progress_course</v>
      </c>
      <c r="AF136" s="168"/>
      <c r="AG136" s="168"/>
      <c r="AH136" s="168"/>
      <c r="AI136" s="168"/>
      <c r="AJ136" s="168"/>
      <c r="AK136" s="168"/>
      <c r="AL136" s="169"/>
      <c r="AM136" s="167" t="str">
        <f t="shared" ca="1" si="69"/>
        <v>経過記録情報モジュール_経過記録情報レコードテーブルから組入れ条件の第一条件で絞り込んだ結果を格納するテーブル</v>
      </c>
      <c r="AN136" s="168"/>
      <c r="AO136" s="168"/>
      <c r="AP136" s="168"/>
      <c r="AQ136" s="168"/>
      <c r="AR136" s="168"/>
      <c r="AS136" s="168"/>
      <c r="AT136" s="168"/>
      <c r="AU136" s="168"/>
      <c r="AV136" s="168"/>
      <c r="AW136" s="168"/>
      <c r="AX136" s="168"/>
      <c r="AY136" s="168"/>
      <c r="AZ136" s="168"/>
      <c r="BA136" s="168"/>
      <c r="BB136" s="168"/>
      <c r="BC136" s="168"/>
      <c r="BD136" s="168"/>
      <c r="BE136" s="168"/>
      <c r="BF136" s="168"/>
      <c r="BG136" s="168"/>
      <c r="BH136" s="168"/>
      <c r="BI136" s="168"/>
      <c r="BJ136" s="170"/>
      <c r="BK136" s="32" t="str">
        <f t="shared" si="63"/>
        <v>ENT_01_C4-06_バックアップ_経過記録情報モジュール_経過記録情報レコード.sql</v>
      </c>
      <c r="BL136" s="32">
        <v>1</v>
      </c>
    </row>
    <row r="137" spans="1:64" ht="37.5" hidden="1" customHeight="1" outlineLevel="1">
      <c r="A137" s="34" t="str">
        <f t="shared" si="73"/>
        <v>バックアップ_経過記録情報モジュール_プロブレムレコード</v>
      </c>
      <c r="B137" s="171" t="str">
        <f t="shared" si="8"/>
        <v>01</v>
      </c>
      <c r="C137" s="172"/>
      <c r="D137" s="172"/>
      <c r="E137" s="172"/>
      <c r="F137" s="173"/>
      <c r="G137" s="174" t="s">
        <v>195</v>
      </c>
      <c r="H137" s="175"/>
      <c r="I137" s="175"/>
      <c r="J137" s="175"/>
      <c r="K137" s="175"/>
      <c r="L137" s="175"/>
      <c r="M137" s="175"/>
      <c r="N137" s="176"/>
      <c r="O137" s="79" t="s">
        <v>3114</v>
      </c>
      <c r="P137" s="164" t="s">
        <v>1348</v>
      </c>
      <c r="Q137" s="165"/>
      <c r="R137" s="165"/>
      <c r="S137" s="165"/>
      <c r="T137" s="165"/>
      <c r="U137" s="165"/>
      <c r="V137" s="165"/>
      <c r="W137" s="165"/>
      <c r="X137" s="165"/>
      <c r="Y137" s="165"/>
      <c r="Z137" s="165"/>
      <c r="AA137" s="165"/>
      <c r="AB137" s="165"/>
      <c r="AC137" s="165"/>
      <c r="AD137" s="166"/>
      <c r="AE137" s="167" t="str">
        <f t="shared" ca="1" si="68"/>
        <v>azn_202310_backup_merge_mml_pc_problem</v>
      </c>
      <c r="AF137" s="168"/>
      <c r="AG137" s="168"/>
      <c r="AH137" s="168"/>
      <c r="AI137" s="168"/>
      <c r="AJ137" s="168"/>
      <c r="AK137" s="168"/>
      <c r="AL137" s="169"/>
      <c r="AM137" s="167" t="str">
        <f t="shared" ca="1" si="69"/>
        <v>経過記録情報モジュール_プロブレムレコードテーブルから組入れ条件の第一条件で絞り込んだ結果を格納するテーブル</v>
      </c>
      <c r="AN137" s="168"/>
      <c r="AO137" s="168"/>
      <c r="AP137" s="168"/>
      <c r="AQ137" s="168"/>
      <c r="AR137" s="168"/>
      <c r="AS137" s="168"/>
      <c r="AT137" s="168"/>
      <c r="AU137" s="168"/>
      <c r="AV137" s="168"/>
      <c r="AW137" s="168"/>
      <c r="AX137" s="168"/>
      <c r="AY137" s="168"/>
      <c r="AZ137" s="168"/>
      <c r="BA137" s="168"/>
      <c r="BB137" s="168"/>
      <c r="BC137" s="168"/>
      <c r="BD137" s="168"/>
      <c r="BE137" s="168"/>
      <c r="BF137" s="168"/>
      <c r="BG137" s="168"/>
      <c r="BH137" s="168"/>
      <c r="BI137" s="168"/>
      <c r="BJ137" s="170"/>
      <c r="BK137" s="32" t="str">
        <f t="shared" si="63"/>
        <v>ENT_01_C4-07_バックアップ_経過記録情報モジュール_プロブレムレコード.sql</v>
      </c>
      <c r="BL137" s="32">
        <v>1</v>
      </c>
    </row>
    <row r="138" spans="1:64" ht="37.5" hidden="1" customHeight="1" outlineLevel="1">
      <c r="A138" s="34" t="str">
        <f t="shared" si="73"/>
        <v>バックアップ_経過記録情報モジュール_身体所見レコード</v>
      </c>
      <c r="B138" s="171" t="str">
        <f t="shared" si="8"/>
        <v>01</v>
      </c>
      <c r="C138" s="172"/>
      <c r="D138" s="172"/>
      <c r="E138" s="172"/>
      <c r="F138" s="173"/>
      <c r="G138" s="174" t="s">
        <v>195</v>
      </c>
      <c r="H138" s="175"/>
      <c r="I138" s="175"/>
      <c r="J138" s="175"/>
      <c r="K138" s="175"/>
      <c r="L138" s="175"/>
      <c r="M138" s="175"/>
      <c r="N138" s="176"/>
      <c r="O138" s="79" t="s">
        <v>3115</v>
      </c>
      <c r="P138" s="164" t="s">
        <v>1386</v>
      </c>
      <c r="Q138" s="165"/>
      <c r="R138" s="165"/>
      <c r="S138" s="165"/>
      <c r="T138" s="165"/>
      <c r="U138" s="165"/>
      <c r="V138" s="165"/>
      <c r="W138" s="165"/>
      <c r="X138" s="165"/>
      <c r="Y138" s="165"/>
      <c r="Z138" s="165"/>
      <c r="AA138" s="165"/>
      <c r="AB138" s="165"/>
      <c r="AC138" s="165"/>
      <c r="AD138" s="166"/>
      <c r="AE138" s="167" t="str">
        <f t="shared" ca="1" si="68"/>
        <v>azn_202310_backup_merge_mml_pc_physical_exam</v>
      </c>
      <c r="AF138" s="168"/>
      <c r="AG138" s="168"/>
      <c r="AH138" s="168"/>
      <c r="AI138" s="168"/>
      <c r="AJ138" s="168"/>
      <c r="AK138" s="168"/>
      <c r="AL138" s="169"/>
      <c r="AM138" s="167" t="str">
        <f t="shared" ca="1" si="69"/>
        <v>経過記録情報モジュール_身体所見レコードテーブルから組入れ条件の第一条件で絞り込んだ結果を格納するテーブル</v>
      </c>
      <c r="AN138" s="168"/>
      <c r="AO138" s="168"/>
      <c r="AP138" s="168"/>
      <c r="AQ138" s="168"/>
      <c r="AR138" s="168"/>
      <c r="AS138" s="168"/>
      <c r="AT138" s="168"/>
      <c r="AU138" s="168"/>
      <c r="AV138" s="168"/>
      <c r="AW138" s="168"/>
      <c r="AX138" s="168"/>
      <c r="AY138" s="168"/>
      <c r="AZ138" s="168"/>
      <c r="BA138" s="168"/>
      <c r="BB138" s="168"/>
      <c r="BC138" s="168"/>
      <c r="BD138" s="168"/>
      <c r="BE138" s="168"/>
      <c r="BF138" s="168"/>
      <c r="BG138" s="168"/>
      <c r="BH138" s="168"/>
      <c r="BI138" s="168"/>
      <c r="BJ138" s="170"/>
      <c r="BK138" s="32" t="str">
        <f t="shared" si="63"/>
        <v>ENT_01_C4-08_バックアップ_経過記録情報モジュール_身体所見レコード.sql</v>
      </c>
      <c r="BL138" s="32">
        <v>1</v>
      </c>
    </row>
    <row r="139" spans="1:64" ht="37.5" hidden="1" customHeight="1" outlineLevel="1">
      <c r="A139" s="34" t="str">
        <f t="shared" si="73"/>
        <v>バックアップ_経過記録情報モジュール_アセスメントレコード</v>
      </c>
      <c r="B139" s="171" t="str">
        <f t="shared" si="8"/>
        <v>01</v>
      </c>
      <c r="C139" s="172"/>
      <c r="D139" s="172"/>
      <c r="E139" s="172"/>
      <c r="F139" s="173"/>
      <c r="G139" s="174" t="s">
        <v>195</v>
      </c>
      <c r="H139" s="175"/>
      <c r="I139" s="175"/>
      <c r="J139" s="175"/>
      <c r="K139" s="175"/>
      <c r="L139" s="175"/>
      <c r="M139" s="175"/>
      <c r="N139" s="176"/>
      <c r="O139" s="79" t="s">
        <v>3116</v>
      </c>
      <c r="P139" s="164" t="s">
        <v>1400</v>
      </c>
      <c r="Q139" s="165"/>
      <c r="R139" s="165"/>
      <c r="S139" s="165"/>
      <c r="T139" s="165"/>
      <c r="U139" s="165"/>
      <c r="V139" s="165"/>
      <c r="W139" s="165"/>
      <c r="X139" s="165"/>
      <c r="Y139" s="165"/>
      <c r="Z139" s="165"/>
      <c r="AA139" s="165"/>
      <c r="AB139" s="165"/>
      <c r="AC139" s="165"/>
      <c r="AD139" s="166"/>
      <c r="AE139" s="167" t="str">
        <f t="shared" ca="1" si="68"/>
        <v>azn_202310_backup_merge_mml_pc_assessment</v>
      </c>
      <c r="AF139" s="168"/>
      <c r="AG139" s="168"/>
      <c r="AH139" s="168"/>
      <c r="AI139" s="168"/>
      <c r="AJ139" s="168"/>
      <c r="AK139" s="168"/>
      <c r="AL139" s="169"/>
      <c r="AM139" s="167" t="str">
        <f t="shared" ca="1" si="69"/>
        <v>経過記録情報モジュール_アセスメントレコードテーブルから組入れ条件の第一条件で絞り込んだ結果を格納するテーブル</v>
      </c>
      <c r="AN139" s="168"/>
      <c r="AO139" s="168"/>
      <c r="AP139" s="168"/>
      <c r="AQ139" s="168"/>
      <c r="AR139" s="168"/>
      <c r="AS139" s="168"/>
      <c r="AT139" s="168"/>
      <c r="AU139" s="168"/>
      <c r="AV139" s="168"/>
      <c r="AW139" s="168"/>
      <c r="AX139" s="168"/>
      <c r="AY139" s="168"/>
      <c r="AZ139" s="168"/>
      <c r="BA139" s="168"/>
      <c r="BB139" s="168"/>
      <c r="BC139" s="168"/>
      <c r="BD139" s="168"/>
      <c r="BE139" s="168"/>
      <c r="BF139" s="168"/>
      <c r="BG139" s="168"/>
      <c r="BH139" s="168"/>
      <c r="BI139" s="168"/>
      <c r="BJ139" s="170"/>
      <c r="BK139" s="32" t="str">
        <f t="shared" ref="BK139:BK152" si="74">IF(P139&lt;&gt;"",O139&amp;"_"&amp;P139&amp;".sql","")</f>
        <v>ENT_01_C4-15_バックアップ_経過記録情報モジュール_アセスメントレコード.sql</v>
      </c>
      <c r="BL139" s="32">
        <v>1</v>
      </c>
    </row>
    <row r="140" spans="1:64" ht="37.5" hidden="1" customHeight="1" outlineLevel="1">
      <c r="A140" s="34" t="str">
        <f t="shared" si="73"/>
        <v>バックアップ_経過記録情報モジュール_外部参照レコード</v>
      </c>
      <c r="B140" s="171" t="str">
        <f t="shared" si="8"/>
        <v>01</v>
      </c>
      <c r="C140" s="172"/>
      <c r="D140" s="172"/>
      <c r="E140" s="172"/>
      <c r="F140" s="173"/>
      <c r="G140" s="174" t="s">
        <v>195</v>
      </c>
      <c r="H140" s="175"/>
      <c r="I140" s="175"/>
      <c r="J140" s="175"/>
      <c r="K140" s="175"/>
      <c r="L140" s="175"/>
      <c r="M140" s="175"/>
      <c r="N140" s="176"/>
      <c r="O140" s="79" t="s">
        <v>3117</v>
      </c>
      <c r="P140" s="164" t="s">
        <v>1408</v>
      </c>
      <c r="Q140" s="165"/>
      <c r="R140" s="165"/>
      <c r="S140" s="165"/>
      <c r="T140" s="165"/>
      <c r="U140" s="165"/>
      <c r="V140" s="165"/>
      <c r="W140" s="165"/>
      <c r="X140" s="165"/>
      <c r="Y140" s="165"/>
      <c r="Z140" s="165"/>
      <c r="AA140" s="165"/>
      <c r="AB140" s="165"/>
      <c r="AC140" s="165"/>
      <c r="AD140" s="166"/>
      <c r="AE140" s="167" t="str">
        <f t="shared" ca="1" si="68"/>
        <v>azn_202310_backup_merge_mml_pc_external_reference</v>
      </c>
      <c r="AF140" s="168"/>
      <c r="AG140" s="168"/>
      <c r="AH140" s="168"/>
      <c r="AI140" s="168"/>
      <c r="AJ140" s="168"/>
      <c r="AK140" s="168"/>
      <c r="AL140" s="169"/>
      <c r="AM140" s="167" t="str">
        <f t="shared" ca="1" si="69"/>
        <v>経過記録情報モジュール_外部参照レコードテーブルから組入れ条件の第一条件で絞り込んだ結果を格納するテーブル</v>
      </c>
      <c r="AN140" s="168"/>
      <c r="AO140" s="168"/>
      <c r="AP140" s="168"/>
      <c r="AQ140" s="168"/>
      <c r="AR140" s="168"/>
      <c r="AS140" s="168"/>
      <c r="AT140" s="168"/>
      <c r="AU140" s="168"/>
      <c r="AV140" s="168"/>
      <c r="AW140" s="168"/>
      <c r="AX140" s="168"/>
      <c r="AY140" s="168"/>
      <c r="AZ140" s="168"/>
      <c r="BA140" s="168"/>
      <c r="BB140" s="168"/>
      <c r="BC140" s="168"/>
      <c r="BD140" s="168"/>
      <c r="BE140" s="168"/>
      <c r="BF140" s="168"/>
      <c r="BG140" s="168"/>
      <c r="BH140" s="168"/>
      <c r="BI140" s="168"/>
      <c r="BJ140" s="170"/>
      <c r="BK140" s="32" t="str">
        <f t="shared" si="74"/>
        <v>ENT_01_C4-22_バックアップ_経過記録情報モジュール_外部参照レコード.sql</v>
      </c>
      <c r="BL140" s="32">
        <v>1</v>
      </c>
    </row>
    <row r="141" spans="1:64" ht="37.5" hidden="1" customHeight="1" outlineLevel="1">
      <c r="A141" s="34" t="str">
        <f t="shared" si="73"/>
        <v>バックアップ_臨床サマリーモジュール_臨床サマリー情報レコード</v>
      </c>
      <c r="B141" s="171" t="str">
        <f t="shared" si="8"/>
        <v>01</v>
      </c>
      <c r="C141" s="172"/>
      <c r="D141" s="172"/>
      <c r="E141" s="172"/>
      <c r="F141" s="173"/>
      <c r="G141" s="174" t="s">
        <v>195</v>
      </c>
      <c r="H141" s="175"/>
      <c r="I141" s="175"/>
      <c r="J141" s="175"/>
      <c r="K141" s="175"/>
      <c r="L141" s="175"/>
      <c r="M141" s="175"/>
      <c r="N141" s="176"/>
      <c r="O141" s="79" t="s">
        <v>3118</v>
      </c>
      <c r="P141" s="164" t="s">
        <v>1431</v>
      </c>
      <c r="Q141" s="165"/>
      <c r="R141" s="165"/>
      <c r="S141" s="165"/>
      <c r="T141" s="165"/>
      <c r="U141" s="165"/>
      <c r="V141" s="165"/>
      <c r="W141" s="165"/>
      <c r="X141" s="165"/>
      <c r="Y141" s="165"/>
      <c r="Z141" s="165"/>
      <c r="AA141" s="165"/>
      <c r="AB141" s="165"/>
      <c r="AC141" s="165"/>
      <c r="AD141" s="166"/>
      <c r="AE141" s="167" t="str">
        <f t="shared" ca="1" si="68"/>
        <v>azn_202310_backup_merge_mml_sm_summary</v>
      </c>
      <c r="AF141" s="168"/>
      <c r="AG141" s="168"/>
      <c r="AH141" s="168"/>
      <c r="AI141" s="168"/>
      <c r="AJ141" s="168"/>
      <c r="AK141" s="168"/>
      <c r="AL141" s="169"/>
      <c r="AM141" s="167" t="str">
        <f t="shared" ca="1" si="69"/>
        <v>臨床サマリーモジュール_臨床サマリー情報レコードテーブルから組入れ条件の第一条件で絞り込んだ結果を格納するテーブル</v>
      </c>
      <c r="AN141" s="168"/>
      <c r="AO141" s="168"/>
      <c r="AP141" s="168"/>
      <c r="AQ141" s="168"/>
      <c r="AR141" s="168"/>
      <c r="AS141" s="168"/>
      <c r="AT141" s="168"/>
      <c r="AU141" s="168"/>
      <c r="AV141" s="168"/>
      <c r="AW141" s="168"/>
      <c r="AX141" s="168"/>
      <c r="AY141" s="168"/>
      <c r="AZ141" s="168"/>
      <c r="BA141" s="168"/>
      <c r="BB141" s="168"/>
      <c r="BC141" s="168"/>
      <c r="BD141" s="168"/>
      <c r="BE141" s="168"/>
      <c r="BF141" s="168"/>
      <c r="BG141" s="168"/>
      <c r="BH141" s="168"/>
      <c r="BI141" s="168"/>
      <c r="BJ141" s="170"/>
      <c r="BK141" s="32" t="str">
        <f t="shared" si="74"/>
        <v>ENT_01_C4-23_バックアップ_臨床サマリーモジュール_臨床サマリー情報レコード.sql</v>
      </c>
      <c r="BL141" s="32">
        <v>1</v>
      </c>
    </row>
    <row r="142" spans="1:64" ht="37.5" hidden="1" customHeight="1" outlineLevel="1">
      <c r="A142" s="34" t="str">
        <f t="shared" si="73"/>
        <v>バックアップ_臨床サマリーモジュール_外来受診レコード</v>
      </c>
      <c r="B142" s="171" t="str">
        <f t="shared" si="8"/>
        <v>01</v>
      </c>
      <c r="C142" s="172"/>
      <c r="D142" s="172"/>
      <c r="E142" s="172"/>
      <c r="F142" s="173"/>
      <c r="G142" s="174" t="s">
        <v>195</v>
      </c>
      <c r="H142" s="175"/>
      <c r="I142" s="175"/>
      <c r="J142" s="175"/>
      <c r="K142" s="175"/>
      <c r="L142" s="175"/>
      <c r="M142" s="175"/>
      <c r="N142" s="176"/>
      <c r="O142" s="79" t="s">
        <v>3119</v>
      </c>
      <c r="P142" s="164" t="s">
        <v>1473</v>
      </c>
      <c r="Q142" s="165"/>
      <c r="R142" s="165"/>
      <c r="S142" s="165"/>
      <c r="T142" s="165"/>
      <c r="U142" s="165"/>
      <c r="V142" s="165"/>
      <c r="W142" s="165"/>
      <c r="X142" s="165"/>
      <c r="Y142" s="165"/>
      <c r="Z142" s="165"/>
      <c r="AA142" s="165"/>
      <c r="AB142" s="165"/>
      <c r="AC142" s="165"/>
      <c r="AD142" s="166"/>
      <c r="AE142" s="167" t="str">
        <f t="shared" ca="1" si="68"/>
        <v>azn_202310_backup_merge_mml_sm_out_patient</v>
      </c>
      <c r="AF142" s="168"/>
      <c r="AG142" s="168"/>
      <c r="AH142" s="168"/>
      <c r="AI142" s="168"/>
      <c r="AJ142" s="168"/>
      <c r="AK142" s="168"/>
      <c r="AL142" s="169"/>
      <c r="AM142" s="167" t="str">
        <f t="shared" ca="1" si="69"/>
        <v>臨床サマリーモジュール_外来受診レコードテーブルから組入れ条件の第一条件で絞り込んだ結果を格納するテーブル</v>
      </c>
      <c r="AN142" s="168"/>
      <c r="AO142" s="168"/>
      <c r="AP142" s="168"/>
      <c r="AQ142" s="168"/>
      <c r="AR142" s="168"/>
      <c r="AS142" s="168"/>
      <c r="AT142" s="168"/>
      <c r="AU142" s="168"/>
      <c r="AV142" s="168"/>
      <c r="AW142" s="168"/>
      <c r="AX142" s="168"/>
      <c r="AY142" s="168"/>
      <c r="AZ142" s="168"/>
      <c r="BA142" s="168"/>
      <c r="BB142" s="168"/>
      <c r="BC142" s="168"/>
      <c r="BD142" s="168"/>
      <c r="BE142" s="168"/>
      <c r="BF142" s="168"/>
      <c r="BG142" s="168"/>
      <c r="BH142" s="168"/>
      <c r="BI142" s="168"/>
      <c r="BJ142" s="170"/>
      <c r="BK142" s="32" t="str">
        <f t="shared" si="74"/>
        <v>ENT_01_C4-24_バックアップ_臨床サマリーモジュール_外来受診レコード.sql</v>
      </c>
      <c r="BL142" s="32">
        <v>1</v>
      </c>
    </row>
    <row r="143" spans="1:64" ht="37.5" hidden="1" customHeight="1" outlineLevel="1">
      <c r="A143" s="34" t="str">
        <f t="shared" si="73"/>
        <v>バックアップ_臨床サマリーモジュール_入院レコード</v>
      </c>
      <c r="B143" s="171" t="str">
        <f t="shared" si="8"/>
        <v>01</v>
      </c>
      <c r="C143" s="172"/>
      <c r="D143" s="172"/>
      <c r="E143" s="172"/>
      <c r="F143" s="173"/>
      <c r="G143" s="174" t="s">
        <v>195</v>
      </c>
      <c r="H143" s="175"/>
      <c r="I143" s="175"/>
      <c r="J143" s="175"/>
      <c r="K143" s="175"/>
      <c r="L143" s="175"/>
      <c r="M143" s="175"/>
      <c r="N143" s="176"/>
      <c r="O143" s="79" t="s">
        <v>3120</v>
      </c>
      <c r="P143" s="164" t="s">
        <v>1490</v>
      </c>
      <c r="Q143" s="165"/>
      <c r="R143" s="165"/>
      <c r="S143" s="165"/>
      <c r="T143" s="165"/>
      <c r="U143" s="165"/>
      <c r="V143" s="165"/>
      <c r="W143" s="165"/>
      <c r="X143" s="165"/>
      <c r="Y143" s="165"/>
      <c r="Z143" s="165"/>
      <c r="AA143" s="165"/>
      <c r="AB143" s="165"/>
      <c r="AC143" s="165"/>
      <c r="AD143" s="166"/>
      <c r="AE143" s="167" t="str">
        <f t="shared" ca="1" si="68"/>
        <v>azn_202310_backup_merge_mml_sm_in_patient</v>
      </c>
      <c r="AF143" s="168"/>
      <c r="AG143" s="168"/>
      <c r="AH143" s="168"/>
      <c r="AI143" s="168"/>
      <c r="AJ143" s="168"/>
      <c r="AK143" s="168"/>
      <c r="AL143" s="169"/>
      <c r="AM143" s="167" t="str">
        <f t="shared" ca="1" si="69"/>
        <v>臨床サマリーモジュール_入院レコードテーブルから組入れ条件の第一条件で絞り込んだ結果を格納するテーブル</v>
      </c>
      <c r="AN143" s="168"/>
      <c r="AO143" s="168"/>
      <c r="AP143" s="168"/>
      <c r="AQ143" s="168"/>
      <c r="AR143" s="168"/>
      <c r="AS143" s="168"/>
      <c r="AT143" s="168"/>
      <c r="AU143" s="168"/>
      <c r="AV143" s="168"/>
      <c r="AW143" s="168"/>
      <c r="AX143" s="168"/>
      <c r="AY143" s="168"/>
      <c r="AZ143" s="168"/>
      <c r="BA143" s="168"/>
      <c r="BB143" s="168"/>
      <c r="BC143" s="168"/>
      <c r="BD143" s="168"/>
      <c r="BE143" s="168"/>
      <c r="BF143" s="168"/>
      <c r="BG143" s="168"/>
      <c r="BH143" s="168"/>
      <c r="BI143" s="168"/>
      <c r="BJ143" s="170"/>
      <c r="BK143" s="32" t="str">
        <f t="shared" si="74"/>
        <v>ENT_01_C4-25_バックアップ_臨床サマリーモジュール_入院レコード.sql</v>
      </c>
      <c r="BL143" s="32">
        <v>1</v>
      </c>
    </row>
    <row r="144" spans="1:64" ht="37.5" hidden="1" customHeight="1" outlineLevel="1">
      <c r="A144" s="34" t="str">
        <f t="shared" si="73"/>
        <v>バックアップ_臨床サマリーモジュール_経過記録レコード</v>
      </c>
      <c r="B144" s="171" t="str">
        <f t="shared" si="8"/>
        <v>01</v>
      </c>
      <c r="C144" s="172"/>
      <c r="D144" s="172"/>
      <c r="E144" s="172"/>
      <c r="F144" s="173"/>
      <c r="G144" s="174" t="s">
        <v>195</v>
      </c>
      <c r="H144" s="175"/>
      <c r="I144" s="175"/>
      <c r="J144" s="175"/>
      <c r="K144" s="175"/>
      <c r="L144" s="175"/>
      <c r="M144" s="175"/>
      <c r="N144" s="176"/>
      <c r="O144" s="79" t="s">
        <v>3121</v>
      </c>
      <c r="P144" s="164" t="s">
        <v>1516</v>
      </c>
      <c r="Q144" s="165"/>
      <c r="R144" s="165"/>
      <c r="S144" s="165"/>
      <c r="T144" s="165"/>
      <c r="U144" s="165"/>
      <c r="V144" s="165"/>
      <c r="W144" s="165"/>
      <c r="X144" s="165"/>
      <c r="Y144" s="165"/>
      <c r="Z144" s="165"/>
      <c r="AA144" s="165"/>
      <c r="AB144" s="165"/>
      <c r="AC144" s="165"/>
      <c r="AD144" s="166"/>
      <c r="AE144" s="167" t="str">
        <f t="shared" ca="1" si="68"/>
        <v>azn_202310_backup_merge_mml_sm_clinical_course</v>
      </c>
      <c r="AF144" s="168"/>
      <c r="AG144" s="168"/>
      <c r="AH144" s="168"/>
      <c r="AI144" s="168"/>
      <c r="AJ144" s="168"/>
      <c r="AK144" s="168"/>
      <c r="AL144" s="169"/>
      <c r="AM144" s="167" t="str">
        <f t="shared" ca="1" si="69"/>
        <v>臨床サマリーモジュール_経過記録レコードテーブルから組入れ条件の第一条件で絞り込んだ結果を格納するテーブル</v>
      </c>
      <c r="AN144" s="168"/>
      <c r="AO144" s="168"/>
      <c r="AP144" s="168"/>
      <c r="AQ144" s="168"/>
      <c r="AR144" s="168"/>
      <c r="AS144" s="168"/>
      <c r="AT144" s="168"/>
      <c r="AU144" s="168"/>
      <c r="AV144" s="168"/>
      <c r="AW144" s="168"/>
      <c r="AX144" s="168"/>
      <c r="AY144" s="168"/>
      <c r="AZ144" s="168"/>
      <c r="BA144" s="168"/>
      <c r="BB144" s="168"/>
      <c r="BC144" s="168"/>
      <c r="BD144" s="168"/>
      <c r="BE144" s="168"/>
      <c r="BF144" s="168"/>
      <c r="BG144" s="168"/>
      <c r="BH144" s="168"/>
      <c r="BI144" s="168"/>
      <c r="BJ144" s="170"/>
      <c r="BK144" s="32" t="str">
        <f t="shared" si="74"/>
        <v>ENT_01_C4-29_バックアップ_臨床サマリーモジュール_経過記録レコード.sql</v>
      </c>
      <c r="BL144" s="32">
        <v>1</v>
      </c>
    </row>
    <row r="145" spans="1:64" ht="37.5" hidden="1" customHeight="1" outlineLevel="1">
      <c r="A145" s="34" t="str">
        <f t="shared" si="73"/>
        <v>バックアップ_臨床サマリーモジュール_検査結果レコード</v>
      </c>
      <c r="B145" s="171" t="str">
        <f t="shared" si="8"/>
        <v>01</v>
      </c>
      <c r="C145" s="172"/>
      <c r="D145" s="172"/>
      <c r="E145" s="172"/>
      <c r="F145" s="173"/>
      <c r="G145" s="174" t="s">
        <v>195</v>
      </c>
      <c r="H145" s="175"/>
      <c r="I145" s="175"/>
      <c r="J145" s="175"/>
      <c r="K145" s="175"/>
      <c r="L145" s="175"/>
      <c r="M145" s="175"/>
      <c r="N145" s="176"/>
      <c r="O145" s="79" t="s">
        <v>3122</v>
      </c>
      <c r="P145" s="164" t="s">
        <v>1531</v>
      </c>
      <c r="Q145" s="165"/>
      <c r="R145" s="165"/>
      <c r="S145" s="165"/>
      <c r="T145" s="165"/>
      <c r="U145" s="165"/>
      <c r="V145" s="165"/>
      <c r="W145" s="165"/>
      <c r="X145" s="165"/>
      <c r="Y145" s="165"/>
      <c r="Z145" s="165"/>
      <c r="AA145" s="165"/>
      <c r="AB145" s="165"/>
      <c r="AC145" s="165"/>
      <c r="AD145" s="166"/>
      <c r="AE145" s="167" t="str">
        <f t="shared" ca="1" si="68"/>
        <v>azn_202310_backup_merge_mml_sm_test_results</v>
      </c>
      <c r="AF145" s="168"/>
      <c r="AG145" s="168"/>
      <c r="AH145" s="168"/>
      <c r="AI145" s="168"/>
      <c r="AJ145" s="168"/>
      <c r="AK145" s="168"/>
      <c r="AL145" s="169"/>
      <c r="AM145" s="167" t="str">
        <f t="shared" ca="1" si="69"/>
        <v>臨床サマリーモジュール_検査結果レコードテーブルから組入れ条件の第一条件で絞り込んだ結果を格納するテーブル</v>
      </c>
      <c r="AN145" s="168"/>
      <c r="AO145" s="168"/>
      <c r="AP145" s="168"/>
      <c r="AQ145" s="168"/>
      <c r="AR145" s="168"/>
      <c r="AS145" s="168"/>
      <c r="AT145" s="168"/>
      <c r="AU145" s="168"/>
      <c r="AV145" s="168"/>
      <c r="AW145" s="168"/>
      <c r="AX145" s="168"/>
      <c r="AY145" s="168"/>
      <c r="AZ145" s="168"/>
      <c r="BA145" s="168"/>
      <c r="BB145" s="168"/>
      <c r="BC145" s="168"/>
      <c r="BD145" s="168"/>
      <c r="BE145" s="168"/>
      <c r="BF145" s="168"/>
      <c r="BG145" s="168"/>
      <c r="BH145" s="168"/>
      <c r="BI145" s="168"/>
      <c r="BJ145" s="170"/>
      <c r="BK145" s="32" t="str">
        <f t="shared" si="74"/>
        <v>ENT_01_C4-30_バックアップ_臨床サマリーモジュール_検査結果レコード.sql</v>
      </c>
      <c r="BL145" s="32">
        <v>1</v>
      </c>
    </row>
    <row r="146" spans="1:64" ht="37.5" hidden="1" customHeight="1" outlineLevel="1">
      <c r="A146" s="34" t="str">
        <f t="shared" si="73"/>
        <v>バックアップ_検歴情報モジュール_検歴情報</v>
      </c>
      <c r="B146" s="171" t="str">
        <f t="shared" si="8"/>
        <v>01</v>
      </c>
      <c r="C146" s="172"/>
      <c r="D146" s="172"/>
      <c r="E146" s="172"/>
      <c r="F146" s="173"/>
      <c r="G146" s="174" t="s">
        <v>195</v>
      </c>
      <c r="H146" s="175"/>
      <c r="I146" s="175"/>
      <c r="J146" s="175"/>
      <c r="K146" s="175"/>
      <c r="L146" s="175"/>
      <c r="M146" s="175"/>
      <c r="N146" s="176"/>
      <c r="O146" s="79" t="s">
        <v>3123</v>
      </c>
      <c r="P146" s="164" t="s">
        <v>1541</v>
      </c>
      <c r="Q146" s="165"/>
      <c r="R146" s="165"/>
      <c r="S146" s="165"/>
      <c r="T146" s="165"/>
      <c r="U146" s="165"/>
      <c r="V146" s="165"/>
      <c r="W146" s="165"/>
      <c r="X146" s="165"/>
      <c r="Y146" s="165"/>
      <c r="Z146" s="165"/>
      <c r="AA146" s="165"/>
      <c r="AB146" s="165"/>
      <c r="AC146" s="165"/>
      <c r="AD146" s="166"/>
      <c r="AE146" s="167" t="str">
        <f t="shared" ca="1" si="68"/>
        <v>azn_202310_backup_merge_mml_lb_test</v>
      </c>
      <c r="AF146" s="168"/>
      <c r="AG146" s="168"/>
      <c r="AH146" s="168"/>
      <c r="AI146" s="168"/>
      <c r="AJ146" s="168"/>
      <c r="AK146" s="168"/>
      <c r="AL146" s="169"/>
      <c r="AM146" s="167" t="str">
        <f t="shared" ca="1" si="69"/>
        <v>検歴情報モジュール_検歴情報テーブルから組入れ条件の第一条件で絞り込んだ結果を格納するテーブル</v>
      </c>
      <c r="AN146" s="168"/>
      <c r="AO146" s="168"/>
      <c r="AP146" s="168"/>
      <c r="AQ146" s="168"/>
      <c r="AR146" s="168"/>
      <c r="AS146" s="168"/>
      <c r="AT146" s="168"/>
      <c r="AU146" s="168"/>
      <c r="AV146" s="168"/>
      <c r="AW146" s="168"/>
      <c r="AX146" s="168"/>
      <c r="AY146" s="168"/>
      <c r="AZ146" s="168"/>
      <c r="BA146" s="168"/>
      <c r="BB146" s="168"/>
      <c r="BC146" s="168"/>
      <c r="BD146" s="168"/>
      <c r="BE146" s="168"/>
      <c r="BF146" s="168"/>
      <c r="BG146" s="168"/>
      <c r="BH146" s="168"/>
      <c r="BI146" s="168"/>
      <c r="BJ146" s="170"/>
      <c r="BK146" s="32" t="str">
        <f t="shared" si="74"/>
        <v>ENT_01_C4-31_バックアップ_検歴情報モジュール_検歴情報.sql</v>
      </c>
      <c r="BL146" s="32">
        <v>1</v>
      </c>
    </row>
    <row r="147" spans="1:64" ht="37.15" hidden="1" customHeight="1" outlineLevel="1">
      <c r="A147" s="34" t="str">
        <f t="shared" si="73"/>
        <v>バックアップ_検歴情報モジュール_検歴検体材料</v>
      </c>
      <c r="B147" s="171" t="str">
        <f t="shared" si="8"/>
        <v>01</v>
      </c>
      <c r="C147" s="172"/>
      <c r="D147" s="172"/>
      <c r="E147" s="172"/>
      <c r="F147" s="173"/>
      <c r="G147" s="174" t="s">
        <v>195</v>
      </c>
      <c r="H147" s="175"/>
      <c r="I147" s="175"/>
      <c r="J147" s="175"/>
      <c r="K147" s="175"/>
      <c r="L147" s="175"/>
      <c r="M147" s="175"/>
      <c r="N147" s="176"/>
      <c r="O147" s="79" t="s">
        <v>3124</v>
      </c>
      <c r="P147" s="164" t="s">
        <v>1599</v>
      </c>
      <c r="Q147" s="165"/>
      <c r="R147" s="165"/>
      <c r="S147" s="165"/>
      <c r="T147" s="165"/>
      <c r="U147" s="165"/>
      <c r="V147" s="165"/>
      <c r="W147" s="165"/>
      <c r="X147" s="165"/>
      <c r="Y147" s="165"/>
      <c r="Z147" s="165"/>
      <c r="AA147" s="165"/>
      <c r="AB147" s="165"/>
      <c r="AC147" s="165"/>
      <c r="AD147" s="166"/>
      <c r="AE147" s="167" t="str">
        <f t="shared" ca="1" si="68"/>
        <v>azn_202310_backup_merge_mml_lb_specimen</v>
      </c>
      <c r="AF147" s="168"/>
      <c r="AG147" s="168"/>
      <c r="AH147" s="168"/>
      <c r="AI147" s="168"/>
      <c r="AJ147" s="168"/>
      <c r="AK147" s="168"/>
      <c r="AL147" s="169"/>
      <c r="AM147" s="167" t="str">
        <f t="shared" ca="1" si="69"/>
        <v>検歴情報モジュール_検歴検体材料テーブルから組入れ条件の第一条件で絞り込んだ結果を格納するテーブル</v>
      </c>
      <c r="AN147" s="168"/>
      <c r="AO147" s="168"/>
      <c r="AP147" s="168"/>
      <c r="AQ147" s="168"/>
      <c r="AR147" s="168"/>
      <c r="AS147" s="168"/>
      <c r="AT147" s="168"/>
      <c r="AU147" s="168"/>
      <c r="AV147" s="168"/>
      <c r="AW147" s="168"/>
      <c r="AX147" s="168"/>
      <c r="AY147" s="168"/>
      <c r="AZ147" s="168"/>
      <c r="BA147" s="168"/>
      <c r="BB147" s="168"/>
      <c r="BC147" s="168"/>
      <c r="BD147" s="168"/>
      <c r="BE147" s="168"/>
      <c r="BF147" s="168"/>
      <c r="BG147" s="168"/>
      <c r="BH147" s="168"/>
      <c r="BI147" s="168"/>
      <c r="BJ147" s="170"/>
      <c r="BK147" s="32" t="str">
        <f t="shared" si="74"/>
        <v>ENT_01_C4-33_バックアップ_検歴情報モジュール_検歴検体材料.sql</v>
      </c>
      <c r="BL147" s="32">
        <v>1</v>
      </c>
    </row>
    <row r="148" spans="1:64" ht="37.5" hidden="1" customHeight="1" outlineLevel="1">
      <c r="A148" s="34" t="str">
        <f t="shared" si="73"/>
        <v>バックアップ_検歴情報モジュール_検歴項目情報</v>
      </c>
      <c r="B148" s="171" t="str">
        <f t="shared" si="8"/>
        <v>01</v>
      </c>
      <c r="C148" s="172"/>
      <c r="D148" s="172"/>
      <c r="E148" s="172"/>
      <c r="F148" s="173"/>
      <c r="G148" s="174" t="s">
        <v>195</v>
      </c>
      <c r="H148" s="175"/>
      <c r="I148" s="175"/>
      <c r="J148" s="175"/>
      <c r="K148" s="175"/>
      <c r="L148" s="175"/>
      <c r="M148" s="175"/>
      <c r="N148" s="176"/>
      <c r="O148" s="79" t="s">
        <v>3125</v>
      </c>
      <c r="P148" s="164" t="s">
        <v>1618</v>
      </c>
      <c r="Q148" s="165"/>
      <c r="R148" s="165"/>
      <c r="S148" s="165"/>
      <c r="T148" s="165"/>
      <c r="U148" s="165"/>
      <c r="V148" s="165"/>
      <c r="W148" s="165"/>
      <c r="X148" s="165"/>
      <c r="Y148" s="165"/>
      <c r="Z148" s="165"/>
      <c r="AA148" s="165"/>
      <c r="AB148" s="165"/>
      <c r="AC148" s="165"/>
      <c r="AD148" s="166"/>
      <c r="AE148" s="167" t="str">
        <f t="shared" ca="1" si="68"/>
        <v>azn_202310_backup_merge_mml_lb_item</v>
      </c>
      <c r="AF148" s="168"/>
      <c r="AG148" s="168"/>
      <c r="AH148" s="168"/>
      <c r="AI148" s="168"/>
      <c r="AJ148" s="168"/>
      <c r="AK148" s="168"/>
      <c r="AL148" s="169"/>
      <c r="AM148" s="167" t="str">
        <f t="shared" ca="1" si="69"/>
        <v>検歴情報モジュール_検歴項目情報テーブルから組入れ条件の第一条件で絞り込んだ結果を格納するテーブル</v>
      </c>
      <c r="AN148" s="168"/>
      <c r="AO148" s="168"/>
      <c r="AP148" s="168"/>
      <c r="AQ148" s="168"/>
      <c r="AR148" s="168"/>
      <c r="AS148" s="168"/>
      <c r="AT148" s="168"/>
      <c r="AU148" s="168"/>
      <c r="AV148" s="168"/>
      <c r="AW148" s="168"/>
      <c r="AX148" s="168"/>
      <c r="AY148" s="168"/>
      <c r="AZ148" s="168"/>
      <c r="BA148" s="168"/>
      <c r="BB148" s="168"/>
      <c r="BC148" s="168"/>
      <c r="BD148" s="168"/>
      <c r="BE148" s="168"/>
      <c r="BF148" s="168"/>
      <c r="BG148" s="168"/>
      <c r="BH148" s="168"/>
      <c r="BI148" s="168"/>
      <c r="BJ148" s="170"/>
      <c r="BK148" s="32" t="str">
        <f t="shared" si="74"/>
        <v>ENT_01_C4-35_バックアップ_検歴情報モジュール_検歴項目情報.sql</v>
      </c>
      <c r="BL148" s="32">
        <v>1</v>
      </c>
    </row>
    <row r="149" spans="1:64" ht="37.5" hidden="1" customHeight="1" outlineLevel="1">
      <c r="A149" s="34" t="str">
        <f t="shared" ref="A149:A151" si="75">P149</f>
        <v>バックアップ_バイタルサインモジュール_バイタルサイン</v>
      </c>
      <c r="B149" s="171" t="str">
        <f t="shared" si="8"/>
        <v>01</v>
      </c>
      <c r="C149" s="172"/>
      <c r="D149" s="172"/>
      <c r="E149" s="172"/>
      <c r="F149" s="173"/>
      <c r="G149" s="174" t="s">
        <v>195</v>
      </c>
      <c r="H149" s="175"/>
      <c r="I149" s="175"/>
      <c r="J149" s="175"/>
      <c r="K149" s="175"/>
      <c r="L149" s="175"/>
      <c r="M149" s="175"/>
      <c r="N149" s="176"/>
      <c r="O149" s="79" t="s">
        <v>3126</v>
      </c>
      <c r="P149" s="164" t="s">
        <v>1676</v>
      </c>
      <c r="Q149" s="165"/>
      <c r="R149" s="165"/>
      <c r="S149" s="165"/>
      <c r="T149" s="165"/>
      <c r="U149" s="165"/>
      <c r="V149" s="165"/>
      <c r="W149" s="165"/>
      <c r="X149" s="165"/>
      <c r="Y149" s="165"/>
      <c r="Z149" s="165"/>
      <c r="AA149" s="165"/>
      <c r="AB149" s="165"/>
      <c r="AC149" s="165"/>
      <c r="AD149" s="166"/>
      <c r="AE149" s="167" t="str">
        <f t="shared" ref="AE149:AE151" ca="1" si="76">IFERROR(INDIRECT(P149&amp;"!D8"),"")</f>
        <v>azn_202310_backup_merge_mml_vs_vitalsign</v>
      </c>
      <c r="AF149" s="168"/>
      <c r="AG149" s="168"/>
      <c r="AH149" s="168"/>
      <c r="AI149" s="168"/>
      <c r="AJ149" s="168"/>
      <c r="AK149" s="168"/>
      <c r="AL149" s="169"/>
      <c r="AM149" s="167" t="str">
        <f t="shared" ref="AM149:AM151" ca="1" si="77">IFERROR(INDIRECT(P149&amp;"!D9"),"")</f>
        <v>バイタルサインモジュール_バイタルサインテーブルから組入れ条件の第一条件で絞り込んだ結果を格納するテーブル</v>
      </c>
      <c r="AN149" s="168"/>
      <c r="AO149" s="168"/>
      <c r="AP149" s="168"/>
      <c r="AQ149" s="168"/>
      <c r="AR149" s="168"/>
      <c r="AS149" s="168"/>
      <c r="AT149" s="168"/>
      <c r="AU149" s="168"/>
      <c r="AV149" s="168"/>
      <c r="AW149" s="168"/>
      <c r="AX149" s="168"/>
      <c r="AY149" s="168"/>
      <c r="AZ149" s="168"/>
      <c r="BA149" s="168"/>
      <c r="BB149" s="168"/>
      <c r="BC149" s="168"/>
      <c r="BD149" s="168"/>
      <c r="BE149" s="168"/>
      <c r="BF149" s="168"/>
      <c r="BG149" s="168"/>
      <c r="BH149" s="168"/>
      <c r="BI149" s="168"/>
      <c r="BJ149" s="170"/>
      <c r="BK149" s="32" t="str">
        <f t="shared" si="74"/>
        <v>ENT_01_C4-37_バックアップ_バイタルサインモジュール_バイタルサイン.sql</v>
      </c>
    </row>
    <row r="150" spans="1:64" ht="37.5" hidden="1" customHeight="1" outlineLevel="1">
      <c r="A150" s="34" t="str">
        <f t="shared" si="75"/>
        <v>バックアップ_バイタルサインモジュール_記録項目</v>
      </c>
      <c r="B150" s="171" t="str">
        <f t="shared" si="8"/>
        <v>01</v>
      </c>
      <c r="C150" s="172"/>
      <c r="D150" s="172"/>
      <c r="E150" s="172"/>
      <c r="F150" s="173"/>
      <c r="G150" s="174" t="s">
        <v>195</v>
      </c>
      <c r="H150" s="175"/>
      <c r="I150" s="175"/>
      <c r="J150" s="175"/>
      <c r="K150" s="175"/>
      <c r="L150" s="175"/>
      <c r="M150" s="175"/>
      <c r="N150" s="176"/>
      <c r="O150" s="79" t="s">
        <v>3127</v>
      </c>
      <c r="P150" s="164" t="s">
        <v>1713</v>
      </c>
      <c r="Q150" s="165"/>
      <c r="R150" s="165"/>
      <c r="S150" s="165"/>
      <c r="T150" s="165"/>
      <c r="U150" s="165"/>
      <c r="V150" s="165"/>
      <c r="W150" s="165"/>
      <c r="X150" s="165"/>
      <c r="Y150" s="165"/>
      <c r="Z150" s="165"/>
      <c r="AA150" s="165"/>
      <c r="AB150" s="165"/>
      <c r="AC150" s="165"/>
      <c r="AD150" s="166"/>
      <c r="AE150" s="167" t="str">
        <f t="shared" ca="1" si="76"/>
        <v>azn_202310_backup_merge_mml_vs_item</v>
      </c>
      <c r="AF150" s="168"/>
      <c r="AG150" s="168"/>
      <c r="AH150" s="168"/>
      <c r="AI150" s="168"/>
      <c r="AJ150" s="168"/>
      <c r="AK150" s="168"/>
      <c r="AL150" s="169"/>
      <c r="AM150" s="167" t="str">
        <f t="shared" ca="1" si="77"/>
        <v>バイタルサインモジュール_記録項目テーブルから組入れ条件の第一条件で絞り込んだ結果を格納するテーブル</v>
      </c>
      <c r="AN150" s="168"/>
      <c r="AO150" s="168"/>
      <c r="AP150" s="168"/>
      <c r="AQ150" s="168"/>
      <c r="AR150" s="168"/>
      <c r="AS150" s="168"/>
      <c r="AT150" s="168"/>
      <c r="AU150" s="168"/>
      <c r="AV150" s="168"/>
      <c r="AW150" s="168"/>
      <c r="AX150" s="168"/>
      <c r="AY150" s="168"/>
      <c r="AZ150" s="168"/>
      <c r="BA150" s="168"/>
      <c r="BB150" s="168"/>
      <c r="BC150" s="168"/>
      <c r="BD150" s="168"/>
      <c r="BE150" s="168"/>
      <c r="BF150" s="168"/>
      <c r="BG150" s="168"/>
      <c r="BH150" s="168"/>
      <c r="BI150" s="168"/>
      <c r="BJ150" s="170"/>
      <c r="BK150" s="32" t="str">
        <f t="shared" si="74"/>
        <v>ENT_01_C4-38_バックアップ_バイタルサインモジュール_記録項目.sql</v>
      </c>
    </row>
    <row r="151" spans="1:64" ht="37.5" hidden="1" customHeight="1" outlineLevel="1">
      <c r="A151" s="34" t="str">
        <f t="shared" si="75"/>
        <v>バックアップ_体温表モジュール_バイタルサイン</v>
      </c>
      <c r="B151" s="171" t="str">
        <f t="shared" si="8"/>
        <v>01</v>
      </c>
      <c r="C151" s="172"/>
      <c r="D151" s="172"/>
      <c r="E151" s="172"/>
      <c r="F151" s="173"/>
      <c r="G151" s="174" t="s">
        <v>195</v>
      </c>
      <c r="H151" s="175"/>
      <c r="I151" s="175"/>
      <c r="J151" s="175"/>
      <c r="K151" s="175"/>
      <c r="L151" s="175"/>
      <c r="M151" s="175"/>
      <c r="N151" s="176"/>
      <c r="O151" s="79" t="s">
        <v>3128</v>
      </c>
      <c r="P151" s="164" t="s">
        <v>1727</v>
      </c>
      <c r="Q151" s="165"/>
      <c r="R151" s="165"/>
      <c r="S151" s="165"/>
      <c r="T151" s="165"/>
      <c r="U151" s="165"/>
      <c r="V151" s="165"/>
      <c r="W151" s="165"/>
      <c r="X151" s="165"/>
      <c r="Y151" s="165"/>
      <c r="Z151" s="165"/>
      <c r="AA151" s="165"/>
      <c r="AB151" s="165"/>
      <c r="AC151" s="165"/>
      <c r="AD151" s="166"/>
      <c r="AE151" s="167" t="str">
        <f t="shared" ca="1" si="76"/>
        <v>azn_202310_backup_merge_mml_fs_vitalsign</v>
      </c>
      <c r="AF151" s="168"/>
      <c r="AG151" s="168"/>
      <c r="AH151" s="168"/>
      <c r="AI151" s="168"/>
      <c r="AJ151" s="168"/>
      <c r="AK151" s="168"/>
      <c r="AL151" s="169"/>
      <c r="AM151" s="167" t="str">
        <f t="shared" ca="1" si="77"/>
        <v>体温表モジュール_バイタルサインテーブルから組入れ条件の第一条件で絞り込んだ結果を格納するテーブル</v>
      </c>
      <c r="AN151" s="168"/>
      <c r="AO151" s="168"/>
      <c r="AP151" s="168"/>
      <c r="AQ151" s="168"/>
      <c r="AR151" s="168"/>
      <c r="AS151" s="168"/>
      <c r="AT151" s="168"/>
      <c r="AU151" s="168"/>
      <c r="AV151" s="168"/>
      <c r="AW151" s="168"/>
      <c r="AX151" s="168"/>
      <c r="AY151" s="168"/>
      <c r="AZ151" s="168"/>
      <c r="BA151" s="168"/>
      <c r="BB151" s="168"/>
      <c r="BC151" s="168"/>
      <c r="BD151" s="168"/>
      <c r="BE151" s="168"/>
      <c r="BF151" s="168"/>
      <c r="BG151" s="168"/>
      <c r="BH151" s="168"/>
      <c r="BI151" s="168"/>
      <c r="BJ151" s="170"/>
      <c r="BK151" s="32" t="str">
        <f t="shared" si="74"/>
        <v>ENT_01_C4-40_バックアップ_体温表モジュール_バイタルサイン.sql</v>
      </c>
    </row>
    <row r="152" spans="1:64" ht="37.5" hidden="1" customHeight="1" outlineLevel="1">
      <c r="A152" s="34" t="str">
        <f>P152</f>
        <v>バックアップ_体温表モジュール_記録項目</v>
      </c>
      <c r="B152" s="171" t="str">
        <f t="shared" si="8"/>
        <v>01</v>
      </c>
      <c r="C152" s="172"/>
      <c r="D152" s="172"/>
      <c r="E152" s="172"/>
      <c r="F152" s="173"/>
      <c r="G152" s="174" t="s">
        <v>195</v>
      </c>
      <c r="H152" s="175"/>
      <c r="I152" s="175"/>
      <c r="J152" s="175"/>
      <c r="K152" s="175"/>
      <c r="L152" s="175"/>
      <c r="M152" s="175"/>
      <c r="N152" s="176"/>
      <c r="O152" s="79" t="s">
        <v>3129</v>
      </c>
      <c r="P152" s="164" t="s">
        <v>1731</v>
      </c>
      <c r="Q152" s="165"/>
      <c r="R152" s="165"/>
      <c r="S152" s="165"/>
      <c r="T152" s="165"/>
      <c r="U152" s="165"/>
      <c r="V152" s="165"/>
      <c r="W152" s="165"/>
      <c r="X152" s="165"/>
      <c r="Y152" s="165"/>
      <c r="Z152" s="165"/>
      <c r="AA152" s="165"/>
      <c r="AB152" s="165"/>
      <c r="AC152" s="165"/>
      <c r="AD152" s="166"/>
      <c r="AE152" s="167" t="str">
        <f t="shared" ca="1" si="68"/>
        <v>azn_202310_backup_merge_mml_fs_item</v>
      </c>
      <c r="AF152" s="168"/>
      <c r="AG152" s="168"/>
      <c r="AH152" s="168"/>
      <c r="AI152" s="168"/>
      <c r="AJ152" s="168"/>
      <c r="AK152" s="168"/>
      <c r="AL152" s="169"/>
      <c r="AM152" s="167" t="str">
        <f t="shared" ca="1" si="69"/>
        <v>体温表モジュール_記録項目テーブルから組入れ条件の第一条件で絞り込んだ結果を格納するテーブル</v>
      </c>
      <c r="AN152" s="168"/>
      <c r="AO152" s="168"/>
      <c r="AP152" s="168"/>
      <c r="AQ152" s="168"/>
      <c r="AR152" s="168"/>
      <c r="AS152" s="168"/>
      <c r="AT152" s="168"/>
      <c r="AU152" s="168"/>
      <c r="AV152" s="168"/>
      <c r="AW152" s="168"/>
      <c r="AX152" s="168"/>
      <c r="AY152" s="168"/>
      <c r="AZ152" s="168"/>
      <c r="BA152" s="168"/>
      <c r="BB152" s="168"/>
      <c r="BC152" s="168"/>
      <c r="BD152" s="168"/>
      <c r="BE152" s="168"/>
      <c r="BF152" s="168"/>
      <c r="BG152" s="168"/>
      <c r="BH152" s="168"/>
      <c r="BI152" s="168"/>
      <c r="BJ152" s="170"/>
      <c r="BK152" s="32" t="str">
        <f t="shared" si="74"/>
        <v>ENT_01_C4-41_バックアップ_体温表モジュール_記録項目.sql</v>
      </c>
    </row>
    <row r="153" spans="1:64" ht="37.5" customHeight="1" collapsed="1" thickTop="1">
      <c r="A153" s="34" t="str">
        <f t="shared" ref="A153:A219" si="78">P153</f>
        <v>組入れ_対象施設</v>
      </c>
      <c r="B153" s="193" t="str">
        <f>TEXT(11,"00")</f>
        <v>11</v>
      </c>
      <c r="C153" s="194"/>
      <c r="D153" s="194"/>
      <c r="E153" s="194"/>
      <c r="F153" s="195"/>
      <c r="G153" s="196" t="s">
        <v>196</v>
      </c>
      <c r="H153" s="197"/>
      <c r="I153" s="197"/>
      <c r="J153" s="197"/>
      <c r="K153" s="197"/>
      <c r="L153" s="197"/>
      <c r="M153" s="197"/>
      <c r="N153" s="198"/>
      <c r="O153" s="79" t="str">
        <f>IF(P153&lt;&gt;"","ENT_"&amp;RIGHT(B153,2)&amp;"_"&amp;TEXT(ROW(O153)-ROW(O$153)+1,"00"),"")</f>
        <v>ENT_11_01</v>
      </c>
      <c r="P153" s="164" t="s">
        <v>3788</v>
      </c>
      <c r="Q153" s="165"/>
      <c r="R153" s="165"/>
      <c r="S153" s="165"/>
      <c r="T153" s="165"/>
      <c r="U153" s="165"/>
      <c r="V153" s="165"/>
      <c r="W153" s="165"/>
      <c r="X153" s="165"/>
      <c r="Y153" s="165"/>
      <c r="Z153" s="165"/>
      <c r="AA153" s="165"/>
      <c r="AB153" s="165"/>
      <c r="AC153" s="165"/>
      <c r="AD153" s="166"/>
      <c r="AE153" s="167" t="str">
        <f t="shared" ref="AE153:AE154" ca="1" si="79">IFERROR(INDIRECT(P153&amp;"!D8"),"")</f>
        <v>azn_202310_enroll_shisetsu</v>
      </c>
      <c r="AF153" s="168"/>
      <c r="AG153" s="168"/>
      <c r="AH153" s="168"/>
      <c r="AI153" s="168"/>
      <c r="AJ153" s="168"/>
      <c r="AK153" s="168"/>
      <c r="AL153" s="169"/>
      <c r="AM153" s="167" t="str">
        <f t="shared" ref="AM153:AM154" ca="1" si="80">IFERROR(INDIRECT(P153&amp;"!D9"),"")</f>
        <v>バックアップ_処理対象施設マスタ管理テーブルから組入れ条件で絞り込んだ結果を登録するテーブル</v>
      </c>
      <c r="AN153" s="168"/>
      <c r="AO153" s="168"/>
      <c r="AP153" s="168"/>
      <c r="AQ153" s="168"/>
      <c r="AR153" s="168"/>
      <c r="AS153" s="168"/>
      <c r="AT153" s="168"/>
      <c r="AU153" s="168"/>
      <c r="AV153" s="168"/>
      <c r="AW153" s="168"/>
      <c r="AX153" s="168"/>
      <c r="AY153" s="168"/>
      <c r="AZ153" s="168"/>
      <c r="BA153" s="168"/>
      <c r="BB153" s="168"/>
      <c r="BC153" s="168"/>
      <c r="BD153" s="168"/>
      <c r="BE153" s="168"/>
      <c r="BF153" s="168"/>
      <c r="BG153" s="168"/>
      <c r="BH153" s="168"/>
      <c r="BI153" s="168"/>
      <c r="BJ153" s="170"/>
      <c r="BK153" s="32" t="str">
        <f t="shared" si="43"/>
        <v>ENT_11_01_組入れ_対象施設.sql</v>
      </c>
    </row>
    <row r="154" spans="1:64" ht="37.5" customHeight="1">
      <c r="A154" s="34" t="str">
        <f t="shared" si="78"/>
        <v>組入れ_対象疾患</v>
      </c>
      <c r="B154" s="171" t="str">
        <f>TEXT(11,"00")</f>
        <v>11</v>
      </c>
      <c r="C154" s="172"/>
      <c r="D154" s="172"/>
      <c r="E154" s="172"/>
      <c r="F154" s="173"/>
      <c r="G154" s="174" t="s">
        <v>196</v>
      </c>
      <c r="H154" s="175"/>
      <c r="I154" s="175"/>
      <c r="J154" s="175"/>
      <c r="K154" s="175"/>
      <c r="L154" s="175"/>
      <c r="M154" s="175"/>
      <c r="N154" s="176"/>
      <c r="O154" s="79" t="str">
        <f>IF(P154&lt;&gt;"","ENT_"&amp;RIGHT(B154,2)&amp;"_"&amp;TEXT(ROW(O154)-ROW(O$153)+1,"00"),"")</f>
        <v>ENT_11_02</v>
      </c>
      <c r="P154" s="164" t="s">
        <v>3989</v>
      </c>
      <c r="Q154" s="165"/>
      <c r="R154" s="165"/>
      <c r="S154" s="165"/>
      <c r="T154" s="165"/>
      <c r="U154" s="165"/>
      <c r="V154" s="165"/>
      <c r="W154" s="165"/>
      <c r="X154" s="165"/>
      <c r="Y154" s="165"/>
      <c r="Z154" s="165"/>
      <c r="AA154" s="165"/>
      <c r="AB154" s="165"/>
      <c r="AC154" s="165"/>
      <c r="AD154" s="166"/>
      <c r="AE154" s="167" t="str">
        <f t="shared" ca="1" si="79"/>
        <v>azn_202310_enroll_shikkan</v>
      </c>
      <c r="AF154" s="168"/>
      <c r="AG154" s="168"/>
      <c r="AH154" s="168"/>
      <c r="AI154" s="168"/>
      <c r="AJ154" s="168"/>
      <c r="AK154" s="168"/>
      <c r="AL154" s="169"/>
      <c r="AM154" s="167" t="str">
        <f t="shared" ca="1" si="80"/>
        <v>MML診断履歴情報から組入れ条件の疾患情報を登録するテーブル</v>
      </c>
      <c r="AN154" s="168"/>
      <c r="AO154" s="168"/>
      <c r="AP154" s="168"/>
      <c r="AQ154" s="168"/>
      <c r="AR154" s="168"/>
      <c r="AS154" s="168"/>
      <c r="AT154" s="168"/>
      <c r="AU154" s="168"/>
      <c r="AV154" s="168"/>
      <c r="AW154" s="168"/>
      <c r="AX154" s="168"/>
      <c r="AY154" s="168"/>
      <c r="AZ154" s="168"/>
      <c r="BA154" s="168"/>
      <c r="BB154" s="168"/>
      <c r="BC154" s="168"/>
      <c r="BD154" s="168"/>
      <c r="BE154" s="168"/>
      <c r="BF154" s="168"/>
      <c r="BG154" s="168"/>
      <c r="BH154" s="168"/>
      <c r="BI154" s="168"/>
      <c r="BJ154" s="170"/>
      <c r="BK154" s="32" t="str">
        <f t="shared" ref="BK154" si="81">IF(P154&lt;&gt;"",O154&amp;"_"&amp;P154&amp;".sql","")</f>
        <v>ENT_11_02_組入れ_対象疾患.sql</v>
      </c>
    </row>
    <row r="155" spans="1:64" ht="37.5" customHeight="1">
      <c r="A155" s="34" t="str">
        <f t="shared" ref="A155" si="82">P155</f>
        <v>組入れ_対象処方</v>
      </c>
      <c r="B155" s="171" t="str">
        <f>TEXT(11,"00")</f>
        <v>11</v>
      </c>
      <c r="C155" s="172"/>
      <c r="D155" s="172"/>
      <c r="E155" s="172"/>
      <c r="F155" s="173"/>
      <c r="G155" s="174" t="s">
        <v>196</v>
      </c>
      <c r="H155" s="175"/>
      <c r="I155" s="175"/>
      <c r="J155" s="175"/>
      <c r="K155" s="175"/>
      <c r="L155" s="175"/>
      <c r="M155" s="175"/>
      <c r="N155" s="176"/>
      <c r="O155" s="79" t="str">
        <f>IF(P155&lt;&gt;"","ENT_"&amp;RIGHT(B155,2)&amp;"_"&amp;TEXT(ROW(O155)-ROW(O$153)+1,"00"),"")</f>
        <v>ENT_11_03</v>
      </c>
      <c r="P155" s="164" t="s">
        <v>3789</v>
      </c>
      <c r="Q155" s="165"/>
      <c r="R155" s="165"/>
      <c r="S155" s="165"/>
      <c r="T155" s="165"/>
      <c r="U155" s="165"/>
      <c r="V155" s="165"/>
      <c r="W155" s="165"/>
      <c r="X155" s="165"/>
      <c r="Y155" s="165"/>
      <c r="Z155" s="165"/>
      <c r="AA155" s="165"/>
      <c r="AB155" s="165"/>
      <c r="AC155" s="165"/>
      <c r="AD155" s="166"/>
      <c r="AE155" s="167" t="str">
        <f t="shared" ref="AE155" ca="1" si="83">IFERROR(INDIRECT(P155&amp;"!D8"),"")</f>
        <v>azn_202310_enroll_shoho</v>
      </c>
      <c r="AF155" s="168"/>
      <c r="AG155" s="168"/>
      <c r="AH155" s="168"/>
      <c r="AI155" s="168"/>
      <c r="AJ155" s="168"/>
      <c r="AK155" s="168"/>
      <c r="AL155" s="169"/>
      <c r="AM155" s="167" t="str">
        <f t="shared" ref="AM155" ca="1" si="84">IFERROR(INDIRECT(P155&amp;"!D9"),"")</f>
        <v>外来EF統合ファイルと様式1から組入れ条件の患者一覧を登録するテーブル</v>
      </c>
      <c r="AN155" s="168"/>
      <c r="AO155" s="168"/>
      <c r="AP155" s="168"/>
      <c r="AQ155" s="168"/>
      <c r="AR155" s="168"/>
      <c r="AS155" s="168"/>
      <c r="AT155" s="168"/>
      <c r="AU155" s="168"/>
      <c r="AV155" s="168"/>
      <c r="AW155" s="168"/>
      <c r="AX155" s="168"/>
      <c r="AY155" s="168"/>
      <c r="AZ155" s="168"/>
      <c r="BA155" s="168"/>
      <c r="BB155" s="168"/>
      <c r="BC155" s="168"/>
      <c r="BD155" s="168"/>
      <c r="BE155" s="168"/>
      <c r="BF155" s="168"/>
      <c r="BG155" s="168"/>
      <c r="BH155" s="168"/>
      <c r="BI155" s="168"/>
      <c r="BJ155" s="170"/>
      <c r="BK155" s="32" t="str">
        <f t="shared" ref="BK155" si="85">IF(P155&lt;&gt;"",O155&amp;"_"&amp;P155&amp;".sql","")</f>
        <v>ENT_11_03_組入れ_対象処方.sql</v>
      </c>
    </row>
    <row r="156" spans="1:64" ht="37.5" customHeight="1">
      <c r="A156" s="34" t="str">
        <f t="shared" ref="A156" si="86">P156</f>
        <v>組入れ_対象患者</v>
      </c>
      <c r="B156" s="171" t="str">
        <f>TEXT(11,"00")</f>
        <v>11</v>
      </c>
      <c r="C156" s="172"/>
      <c r="D156" s="172"/>
      <c r="E156" s="172"/>
      <c r="F156" s="173"/>
      <c r="G156" s="174" t="s">
        <v>196</v>
      </c>
      <c r="H156" s="175"/>
      <c r="I156" s="175"/>
      <c r="J156" s="175"/>
      <c r="K156" s="175"/>
      <c r="L156" s="175"/>
      <c r="M156" s="175"/>
      <c r="N156" s="176"/>
      <c r="O156" s="79" t="str">
        <f>IF(P156&lt;&gt;"","ENT_"&amp;RIGHT(B156,2)&amp;"_"&amp;TEXT(ROW(O156)-ROW(O$153)+1,"00"),"")</f>
        <v>ENT_11_04</v>
      </c>
      <c r="P156" s="164" t="s">
        <v>303</v>
      </c>
      <c r="Q156" s="165"/>
      <c r="R156" s="165"/>
      <c r="S156" s="165"/>
      <c r="T156" s="165"/>
      <c r="U156" s="165"/>
      <c r="V156" s="165"/>
      <c r="W156" s="165"/>
      <c r="X156" s="165"/>
      <c r="Y156" s="165"/>
      <c r="Z156" s="165"/>
      <c r="AA156" s="165"/>
      <c r="AB156" s="165"/>
      <c r="AC156" s="165"/>
      <c r="AD156" s="166"/>
      <c r="AE156" s="167" t="str">
        <f t="shared" ref="AE156" ca="1" si="87">IFERROR(INDIRECT(P156&amp;"!D8"),"")</f>
        <v>azn_202310_enroll_kanja</v>
      </c>
      <c r="AF156" s="168"/>
      <c r="AG156" s="168"/>
      <c r="AH156" s="168"/>
      <c r="AI156" s="168"/>
      <c r="AJ156" s="168"/>
      <c r="AK156" s="168"/>
      <c r="AL156" s="169"/>
      <c r="AM156" s="167" t="str">
        <f t="shared" ref="AM156" ca="1" si="88">IFERROR(INDIRECT(P156&amp;"!D9"),"")</f>
        <v>組入れ_対象患者から患者一覧を登録するテーブル</v>
      </c>
      <c r="AN156" s="168"/>
      <c r="AO156" s="168"/>
      <c r="AP156" s="168"/>
      <c r="AQ156" s="168"/>
      <c r="AR156" s="168"/>
      <c r="AS156" s="168"/>
      <c r="AT156" s="168"/>
      <c r="AU156" s="168"/>
      <c r="AV156" s="168"/>
      <c r="AW156" s="168"/>
      <c r="AX156" s="168"/>
      <c r="AY156" s="168"/>
      <c r="AZ156" s="168"/>
      <c r="BA156" s="168"/>
      <c r="BB156" s="168"/>
      <c r="BC156" s="168"/>
      <c r="BD156" s="168"/>
      <c r="BE156" s="168"/>
      <c r="BF156" s="168"/>
      <c r="BG156" s="168"/>
      <c r="BH156" s="168"/>
      <c r="BI156" s="168"/>
      <c r="BJ156" s="170"/>
      <c r="BK156" s="32" t="str">
        <f t="shared" si="43"/>
        <v>ENT_11_04_組入れ_対象患者.sql</v>
      </c>
    </row>
    <row r="157" spans="1:64" ht="37.5" customHeight="1">
      <c r="A157" s="34" t="str">
        <f t="shared" si="78"/>
        <v>患者ID一覧マスタ</v>
      </c>
      <c r="B157" s="193" t="str">
        <f>TEXT(21,"00")</f>
        <v>21</v>
      </c>
      <c r="C157" s="194"/>
      <c r="D157" s="194"/>
      <c r="E157" s="194"/>
      <c r="F157" s="195"/>
      <c r="G157" s="196" t="s">
        <v>304</v>
      </c>
      <c r="H157" s="197"/>
      <c r="I157" s="197"/>
      <c r="J157" s="197"/>
      <c r="K157" s="197"/>
      <c r="L157" s="197"/>
      <c r="M157" s="197"/>
      <c r="N157" s="198"/>
      <c r="O157" s="79" t="str">
        <f>IF(P157&lt;&gt;"","ENT_"&amp;RIGHT(B157,2)&amp;"_"&amp;TEXT(ROW(O157)-ROW(O$157)+1,"00"),"")</f>
        <v>ENT_21_01</v>
      </c>
      <c r="P157" s="164" t="s">
        <v>3993</v>
      </c>
      <c r="Q157" s="165"/>
      <c r="R157" s="165"/>
      <c r="S157" s="165"/>
      <c r="T157" s="165"/>
      <c r="U157" s="165"/>
      <c r="V157" s="165"/>
      <c r="W157" s="165"/>
      <c r="X157" s="165"/>
      <c r="Y157" s="165"/>
      <c r="Z157" s="165"/>
      <c r="AA157" s="165"/>
      <c r="AB157" s="165"/>
      <c r="AC157" s="165"/>
      <c r="AD157" s="166"/>
      <c r="AE157" s="167" t="str">
        <f ca="1">IFERROR(INDIRECT(P157&amp;"!D8"),"")</f>
        <v>azn_202310_mt_kanja_id_list</v>
      </c>
      <c r="AF157" s="168"/>
      <c r="AG157" s="168"/>
      <c r="AH157" s="168"/>
      <c r="AI157" s="168"/>
      <c r="AJ157" s="168"/>
      <c r="AK157" s="168"/>
      <c r="AL157" s="169"/>
      <c r="AM157" s="167" t="str">
        <f ca="1">IFERROR(INDIRECT(P157&amp;"!D9"),"")</f>
        <v>バックアップ_二次利用DB登録患者紐付けデータテーブルから組入れ_対象患者テーブルに存在する患者で絞り込んだ結果を格納するテーブル</v>
      </c>
      <c r="AN157" s="168"/>
      <c r="AO157" s="168"/>
      <c r="AP157" s="168"/>
      <c r="AQ157" s="168"/>
      <c r="AR157" s="168"/>
      <c r="AS157" s="168"/>
      <c r="AT157" s="168"/>
      <c r="AU157" s="168"/>
      <c r="AV157" s="168"/>
      <c r="AW157" s="168"/>
      <c r="AX157" s="168"/>
      <c r="AY157" s="168"/>
      <c r="AZ157" s="168"/>
      <c r="BA157" s="168"/>
      <c r="BB157" s="168"/>
      <c r="BC157" s="168"/>
      <c r="BD157" s="168"/>
      <c r="BE157" s="168"/>
      <c r="BF157" s="168"/>
      <c r="BG157" s="168"/>
      <c r="BH157" s="168"/>
      <c r="BI157" s="168"/>
      <c r="BJ157" s="170"/>
      <c r="BK157" s="32" t="str">
        <f t="shared" si="43"/>
        <v>ENT_21_01_患者ID一覧マスタ.sql</v>
      </c>
    </row>
    <row r="158" spans="1:64" ht="37.5" customHeight="1">
      <c r="A158" s="34" t="str">
        <f t="shared" si="78"/>
        <v>施設マスタ</v>
      </c>
      <c r="B158" s="171" t="str">
        <f>TEXT(21,"00")</f>
        <v>21</v>
      </c>
      <c r="C158" s="172"/>
      <c r="D158" s="172"/>
      <c r="E158" s="172"/>
      <c r="F158" s="173"/>
      <c r="G158" s="174" t="s">
        <v>304</v>
      </c>
      <c r="H158" s="175"/>
      <c r="I158" s="175"/>
      <c r="J158" s="175"/>
      <c r="K158" s="175"/>
      <c r="L158" s="175"/>
      <c r="M158" s="175"/>
      <c r="N158" s="176"/>
      <c r="O158" s="79" t="str">
        <f>IF(P158&lt;&gt;"","ENT_"&amp;RIGHT(B158,2)&amp;"_"&amp;TEXT(ROW(O158)-ROW(O$157)+1,"00"),"")</f>
        <v>ENT_21_02</v>
      </c>
      <c r="P158" s="164" t="s">
        <v>3994</v>
      </c>
      <c r="Q158" s="165"/>
      <c r="R158" s="165"/>
      <c r="S158" s="165"/>
      <c r="T158" s="165"/>
      <c r="U158" s="165"/>
      <c r="V158" s="165"/>
      <c r="W158" s="165"/>
      <c r="X158" s="165"/>
      <c r="Y158" s="165"/>
      <c r="Z158" s="165"/>
      <c r="AA158" s="165"/>
      <c r="AB158" s="165"/>
      <c r="AC158" s="165"/>
      <c r="AD158" s="166"/>
      <c r="AE158" s="167" t="str">
        <f ca="1">IFERROR(INDIRECT(P158&amp;"!D8"),"")</f>
        <v>azn_202310_mt_shisetsu</v>
      </c>
      <c r="AF158" s="168"/>
      <c r="AG158" s="168"/>
      <c r="AH158" s="168"/>
      <c r="AI158" s="168"/>
      <c r="AJ158" s="168"/>
      <c r="AK158" s="168"/>
      <c r="AL158" s="169"/>
      <c r="AM158" s="167" t="str">
        <f ca="1">IFERROR(INDIRECT(P158&amp;"!D9"),"")</f>
        <v>組入れ_対象施設テーブルに施設マスクIDを付与した結果を格納するテーブル</v>
      </c>
      <c r="AN158" s="168"/>
      <c r="AO158" s="168"/>
      <c r="AP158" s="168"/>
      <c r="AQ158" s="168"/>
      <c r="AR158" s="168"/>
      <c r="AS158" s="168"/>
      <c r="AT158" s="168"/>
      <c r="AU158" s="168"/>
      <c r="AV158" s="168"/>
      <c r="AW158" s="168"/>
      <c r="AX158" s="168"/>
      <c r="AY158" s="168"/>
      <c r="AZ158" s="168"/>
      <c r="BA158" s="168"/>
      <c r="BB158" s="168"/>
      <c r="BC158" s="168"/>
      <c r="BD158" s="168"/>
      <c r="BE158" s="168"/>
      <c r="BF158" s="168"/>
      <c r="BG158" s="168"/>
      <c r="BH158" s="168"/>
      <c r="BI158" s="168"/>
      <c r="BJ158" s="170"/>
      <c r="BK158" s="32" t="str">
        <f t="shared" si="43"/>
        <v>ENT_21_02_施設マスタ.sql</v>
      </c>
    </row>
    <row r="159" spans="1:64" ht="37.5" customHeight="1">
      <c r="A159" s="34" t="str">
        <f t="shared" ref="A159" si="89">P159</f>
        <v>患者マスタ</v>
      </c>
      <c r="B159" s="171" t="str">
        <f>TEXT(21,"00")</f>
        <v>21</v>
      </c>
      <c r="C159" s="172"/>
      <c r="D159" s="172"/>
      <c r="E159" s="172"/>
      <c r="F159" s="173"/>
      <c r="G159" s="174" t="s">
        <v>304</v>
      </c>
      <c r="H159" s="175"/>
      <c r="I159" s="175"/>
      <c r="J159" s="175"/>
      <c r="K159" s="175"/>
      <c r="L159" s="175"/>
      <c r="M159" s="175"/>
      <c r="N159" s="176"/>
      <c r="O159" s="79" t="str">
        <f>IF(P159&lt;&gt;"","ENT_"&amp;RIGHT(B159,2)&amp;"_"&amp;TEXT(ROW(O159)-ROW(O$157)+1,"00"),"")</f>
        <v>ENT_21_03</v>
      </c>
      <c r="P159" s="164" t="s">
        <v>305</v>
      </c>
      <c r="Q159" s="165"/>
      <c r="R159" s="165"/>
      <c r="S159" s="165"/>
      <c r="T159" s="165"/>
      <c r="U159" s="165"/>
      <c r="V159" s="165"/>
      <c r="W159" s="165"/>
      <c r="X159" s="165"/>
      <c r="Y159" s="165"/>
      <c r="Z159" s="165"/>
      <c r="AA159" s="165"/>
      <c r="AB159" s="165"/>
      <c r="AC159" s="165"/>
      <c r="AD159" s="166"/>
      <c r="AE159" s="167" t="str">
        <f ca="1">IFERROR(INDIRECT(P159&amp;"!D8"),"")</f>
        <v>azn_202310_mt_kanja</v>
      </c>
      <c r="AF159" s="168"/>
      <c r="AG159" s="168"/>
      <c r="AH159" s="168"/>
      <c r="AI159" s="168"/>
      <c r="AJ159" s="168"/>
      <c r="AK159" s="168"/>
      <c r="AL159" s="169"/>
      <c r="AM159" s="167" t="str">
        <f ca="1">IFERROR(INDIRECT(P159&amp;"!D9"),"")</f>
        <v>患者ID一覧マスタテーブルを施設IDと紐づけIDで集約し、マスクIDを付与した結果を格納するテーブル</v>
      </c>
      <c r="AN159" s="168"/>
      <c r="AO159" s="168"/>
      <c r="AP159" s="168"/>
      <c r="AQ159" s="168"/>
      <c r="AR159" s="168"/>
      <c r="AS159" s="168"/>
      <c r="AT159" s="168"/>
      <c r="AU159" s="168"/>
      <c r="AV159" s="168"/>
      <c r="AW159" s="168"/>
      <c r="AX159" s="168"/>
      <c r="AY159" s="168"/>
      <c r="AZ159" s="168"/>
      <c r="BA159" s="168"/>
      <c r="BB159" s="168"/>
      <c r="BC159" s="168"/>
      <c r="BD159" s="168"/>
      <c r="BE159" s="168"/>
      <c r="BF159" s="168"/>
      <c r="BG159" s="168"/>
      <c r="BH159" s="168"/>
      <c r="BI159" s="168"/>
      <c r="BJ159" s="170"/>
      <c r="BK159" s="32" t="str">
        <f t="shared" ref="BK159" si="90">IF(P159&lt;&gt;"",O159&amp;"_"&amp;P159&amp;".sql","")</f>
        <v>ENT_21_03_患者マスタ.sql</v>
      </c>
    </row>
    <row r="160" spans="1:64" ht="37.5" customHeight="1">
      <c r="A160" s="34" t="str">
        <f t="shared" ref="A160:A162" si="91">P160</f>
        <v>疾患マスタ</v>
      </c>
      <c r="B160" s="171" t="str">
        <f t="shared" ref="B160:B162" si="92">TEXT(21,"00")</f>
        <v>21</v>
      </c>
      <c r="C160" s="172"/>
      <c r="D160" s="172"/>
      <c r="E160" s="172"/>
      <c r="F160" s="173"/>
      <c r="G160" s="174" t="s">
        <v>304</v>
      </c>
      <c r="H160" s="175"/>
      <c r="I160" s="175"/>
      <c r="J160" s="175"/>
      <c r="K160" s="175"/>
      <c r="L160" s="175"/>
      <c r="M160" s="175"/>
      <c r="N160" s="176"/>
      <c r="O160" s="79" t="str">
        <f t="shared" ref="O160:O162" si="93">IF(P160&lt;&gt;"","ENT_"&amp;RIGHT(B160,2)&amp;"_"&amp;TEXT(ROW(O160)-ROW(O$157)+1,"00"),"")</f>
        <v>ENT_21_04</v>
      </c>
      <c r="P160" s="164" t="s">
        <v>3995</v>
      </c>
      <c r="Q160" s="165"/>
      <c r="R160" s="165"/>
      <c r="S160" s="165"/>
      <c r="T160" s="165"/>
      <c r="U160" s="165"/>
      <c r="V160" s="165"/>
      <c r="W160" s="165"/>
      <c r="X160" s="165"/>
      <c r="Y160" s="165"/>
      <c r="Z160" s="165"/>
      <c r="AA160" s="165"/>
      <c r="AB160" s="165"/>
      <c r="AC160" s="165"/>
      <c r="AD160" s="166"/>
      <c r="AE160" s="167" t="str">
        <f t="shared" ref="AE160:AE162" ca="1" si="94">IFERROR(INDIRECT(P160&amp;"!D8"),"")</f>
        <v>azn_202310_mt_shikkan</v>
      </c>
      <c r="AF160" s="168"/>
      <c r="AG160" s="168"/>
      <c r="AH160" s="168"/>
      <c r="AI160" s="168"/>
      <c r="AJ160" s="168"/>
      <c r="AK160" s="168"/>
      <c r="AL160" s="169"/>
      <c r="AM160" s="167" t="str">
        <f t="shared" ref="AM160:AM162" ca="1" si="95">IFERROR(INDIRECT(P160&amp;"!D9"),"")</f>
        <v>疾患マスタ情報を格納するテーブル</v>
      </c>
      <c r="AN160" s="168"/>
      <c r="AO160" s="168"/>
      <c r="AP160" s="168"/>
      <c r="AQ160" s="168"/>
      <c r="AR160" s="168"/>
      <c r="AS160" s="168"/>
      <c r="AT160" s="168"/>
      <c r="AU160" s="168"/>
      <c r="AV160" s="168"/>
      <c r="AW160" s="168"/>
      <c r="AX160" s="168"/>
      <c r="AY160" s="168"/>
      <c r="AZ160" s="168"/>
      <c r="BA160" s="168"/>
      <c r="BB160" s="168"/>
      <c r="BC160" s="168"/>
      <c r="BD160" s="168"/>
      <c r="BE160" s="168"/>
      <c r="BF160" s="168"/>
      <c r="BG160" s="168"/>
      <c r="BH160" s="168"/>
      <c r="BI160" s="168"/>
      <c r="BJ160" s="170"/>
      <c r="BK160" s="32" t="str">
        <f t="shared" ref="BK160:BK162" si="96">IF(P160&lt;&gt;"",O160&amp;"_"&amp;P160&amp;".sql","")</f>
        <v>ENT_21_04_疾患マスタ.sql</v>
      </c>
    </row>
    <row r="161" spans="1:63" ht="37.5" customHeight="1">
      <c r="A161" s="34" t="str">
        <f t="shared" si="91"/>
        <v>薬剤マスタ</v>
      </c>
      <c r="B161" s="171" t="str">
        <f t="shared" si="92"/>
        <v>21</v>
      </c>
      <c r="C161" s="172"/>
      <c r="D161" s="172"/>
      <c r="E161" s="172"/>
      <c r="F161" s="173"/>
      <c r="G161" s="174" t="s">
        <v>304</v>
      </c>
      <c r="H161" s="175"/>
      <c r="I161" s="175"/>
      <c r="J161" s="175"/>
      <c r="K161" s="175"/>
      <c r="L161" s="175"/>
      <c r="M161" s="175"/>
      <c r="N161" s="176"/>
      <c r="O161" s="79" t="str">
        <f t="shared" si="93"/>
        <v>ENT_21_05</v>
      </c>
      <c r="P161" s="164" t="s">
        <v>3996</v>
      </c>
      <c r="Q161" s="165"/>
      <c r="R161" s="165"/>
      <c r="S161" s="165"/>
      <c r="T161" s="165"/>
      <c r="U161" s="165"/>
      <c r="V161" s="165"/>
      <c r="W161" s="165"/>
      <c r="X161" s="165"/>
      <c r="Y161" s="165"/>
      <c r="Z161" s="165"/>
      <c r="AA161" s="165"/>
      <c r="AB161" s="165"/>
      <c r="AC161" s="165"/>
      <c r="AD161" s="166"/>
      <c r="AE161" s="167" t="str">
        <f t="shared" ca="1" si="94"/>
        <v>azn_202310_mt_yakuzai</v>
      </c>
      <c r="AF161" s="168"/>
      <c r="AG161" s="168"/>
      <c r="AH161" s="168"/>
      <c r="AI161" s="168"/>
      <c r="AJ161" s="168"/>
      <c r="AK161" s="168"/>
      <c r="AL161" s="169"/>
      <c r="AM161" s="167" t="str">
        <f t="shared" ca="1" si="95"/>
        <v>薬剤マスタ情報を格納するテーブル</v>
      </c>
      <c r="AN161" s="168"/>
      <c r="AO161" s="168"/>
      <c r="AP161" s="168"/>
      <c r="AQ161" s="168"/>
      <c r="AR161" s="168"/>
      <c r="AS161" s="168"/>
      <c r="AT161" s="168"/>
      <c r="AU161" s="168"/>
      <c r="AV161" s="168"/>
      <c r="AW161" s="168"/>
      <c r="AX161" s="168"/>
      <c r="AY161" s="168"/>
      <c r="AZ161" s="168"/>
      <c r="BA161" s="168"/>
      <c r="BB161" s="168"/>
      <c r="BC161" s="168"/>
      <c r="BD161" s="168"/>
      <c r="BE161" s="168"/>
      <c r="BF161" s="168"/>
      <c r="BG161" s="168"/>
      <c r="BH161" s="168"/>
      <c r="BI161" s="168"/>
      <c r="BJ161" s="170"/>
      <c r="BK161" s="32" t="str">
        <f t="shared" si="96"/>
        <v>ENT_21_05_薬剤マスタ.sql</v>
      </c>
    </row>
    <row r="162" spans="1:63" ht="37.5" customHeight="1">
      <c r="A162" s="34" t="str">
        <f t="shared" si="91"/>
        <v>診療行為マスタ</v>
      </c>
      <c r="B162" s="171" t="str">
        <f t="shared" si="92"/>
        <v>21</v>
      </c>
      <c r="C162" s="172"/>
      <c r="D162" s="172"/>
      <c r="E162" s="172"/>
      <c r="F162" s="173"/>
      <c r="G162" s="174" t="s">
        <v>304</v>
      </c>
      <c r="H162" s="175"/>
      <c r="I162" s="175"/>
      <c r="J162" s="175"/>
      <c r="K162" s="175"/>
      <c r="L162" s="175"/>
      <c r="M162" s="175"/>
      <c r="N162" s="176"/>
      <c r="O162" s="79" t="str">
        <f t="shared" si="93"/>
        <v>ENT_21_06</v>
      </c>
      <c r="P162" s="164" t="s">
        <v>3997</v>
      </c>
      <c r="Q162" s="165"/>
      <c r="R162" s="165"/>
      <c r="S162" s="165"/>
      <c r="T162" s="165"/>
      <c r="U162" s="165"/>
      <c r="V162" s="165"/>
      <c r="W162" s="165"/>
      <c r="X162" s="165"/>
      <c r="Y162" s="165"/>
      <c r="Z162" s="165"/>
      <c r="AA162" s="165"/>
      <c r="AB162" s="165"/>
      <c r="AC162" s="165"/>
      <c r="AD162" s="166"/>
      <c r="AE162" s="167" t="str">
        <f t="shared" ca="1" si="94"/>
        <v>azn_202310_mt_shinryo_koi</v>
      </c>
      <c r="AF162" s="168"/>
      <c r="AG162" s="168"/>
      <c r="AH162" s="168"/>
      <c r="AI162" s="168"/>
      <c r="AJ162" s="168"/>
      <c r="AK162" s="168"/>
      <c r="AL162" s="169"/>
      <c r="AM162" s="167" t="str">
        <f t="shared" ca="1" si="95"/>
        <v>診療行為マスタ情報を格納するテーブル</v>
      </c>
      <c r="AN162" s="168"/>
      <c r="AO162" s="168"/>
      <c r="AP162" s="168"/>
      <c r="AQ162" s="168"/>
      <c r="AR162" s="168"/>
      <c r="AS162" s="168"/>
      <c r="AT162" s="168"/>
      <c r="AU162" s="168"/>
      <c r="AV162" s="168"/>
      <c r="AW162" s="168"/>
      <c r="AX162" s="168"/>
      <c r="AY162" s="168"/>
      <c r="AZ162" s="168"/>
      <c r="BA162" s="168"/>
      <c r="BB162" s="168"/>
      <c r="BC162" s="168"/>
      <c r="BD162" s="168"/>
      <c r="BE162" s="168"/>
      <c r="BF162" s="168"/>
      <c r="BG162" s="168"/>
      <c r="BH162" s="168"/>
      <c r="BI162" s="168"/>
      <c r="BJ162" s="170"/>
      <c r="BK162" s="32" t="str">
        <f t="shared" si="96"/>
        <v>ENT_21_06_診療行為マスタ.sql</v>
      </c>
    </row>
    <row r="163" spans="1:63" ht="37.5" customHeight="1">
      <c r="A163" s="34" t="str">
        <f t="shared" ref="A163" si="97">P163</f>
        <v>検体検査マスタ</v>
      </c>
      <c r="B163" s="171" t="str">
        <f>TEXT(21,"00")</f>
        <v>21</v>
      </c>
      <c r="C163" s="172"/>
      <c r="D163" s="172"/>
      <c r="E163" s="172"/>
      <c r="F163" s="173"/>
      <c r="G163" s="174" t="s">
        <v>304</v>
      </c>
      <c r="H163" s="175"/>
      <c r="I163" s="175"/>
      <c r="J163" s="175"/>
      <c r="K163" s="175"/>
      <c r="L163" s="175"/>
      <c r="M163" s="175"/>
      <c r="N163" s="176"/>
      <c r="O163" s="79" t="str">
        <f>IF(P163&lt;&gt;"","ENT_"&amp;RIGHT(B163,2)&amp;"_"&amp;TEXT(ROW(O163)-ROW(O$157)+1,"00"),"")</f>
        <v>ENT_21_07</v>
      </c>
      <c r="P163" s="164" t="s">
        <v>3998</v>
      </c>
      <c r="Q163" s="165"/>
      <c r="R163" s="165"/>
      <c r="S163" s="165"/>
      <c r="T163" s="165"/>
      <c r="U163" s="165"/>
      <c r="V163" s="165"/>
      <c r="W163" s="165"/>
      <c r="X163" s="165"/>
      <c r="Y163" s="165"/>
      <c r="Z163" s="165"/>
      <c r="AA163" s="165"/>
      <c r="AB163" s="165"/>
      <c r="AC163" s="165"/>
      <c r="AD163" s="166"/>
      <c r="AE163" s="167" t="str">
        <f ca="1">IFERROR(INDIRECT(P163&amp;"!D8"),"")</f>
        <v>azn_202310_mt_kensa</v>
      </c>
      <c r="AF163" s="168"/>
      <c r="AG163" s="168"/>
      <c r="AH163" s="168"/>
      <c r="AI163" s="168"/>
      <c r="AJ163" s="168"/>
      <c r="AK163" s="168"/>
      <c r="AL163" s="169"/>
      <c r="AM163" s="167" t="str">
        <f ca="1">IFERROR(INDIRECT(P163&amp;"!D9"),"")</f>
        <v>検体検査マスタ情報を格納するテーブル</v>
      </c>
      <c r="AN163" s="168"/>
      <c r="AO163" s="168"/>
      <c r="AP163" s="168"/>
      <c r="AQ163" s="168"/>
      <c r="AR163" s="168"/>
      <c r="AS163" s="168"/>
      <c r="AT163" s="168"/>
      <c r="AU163" s="168"/>
      <c r="AV163" s="168"/>
      <c r="AW163" s="168"/>
      <c r="AX163" s="168"/>
      <c r="AY163" s="168"/>
      <c r="AZ163" s="168"/>
      <c r="BA163" s="168"/>
      <c r="BB163" s="168"/>
      <c r="BC163" s="168"/>
      <c r="BD163" s="168"/>
      <c r="BE163" s="168"/>
      <c r="BF163" s="168"/>
      <c r="BG163" s="168"/>
      <c r="BH163" s="168"/>
      <c r="BI163" s="168"/>
      <c r="BJ163" s="170"/>
      <c r="BK163" s="32" t="str">
        <f t="shared" ref="BK163" si="98">IF(P163&lt;&gt;"",O163&amp;"_"&amp;P163&amp;".sql","")</f>
        <v>ENT_21_07_検体検査マスタ.sql</v>
      </c>
    </row>
    <row r="164" spans="1:63" ht="37.5" hidden="1" customHeight="1" outlineLevel="1">
      <c r="A164" s="34" t="str">
        <f t="shared" si="78"/>
        <v>ベース_処方データ</v>
      </c>
      <c r="B164" s="193" t="str">
        <f>TEXT(31,"00")</f>
        <v>31</v>
      </c>
      <c r="C164" s="194"/>
      <c r="D164" s="194"/>
      <c r="E164" s="194"/>
      <c r="F164" s="195"/>
      <c r="G164" s="196" t="s">
        <v>307</v>
      </c>
      <c r="H164" s="197"/>
      <c r="I164" s="197"/>
      <c r="J164" s="197"/>
      <c r="K164" s="197"/>
      <c r="L164" s="197"/>
      <c r="M164" s="197"/>
      <c r="N164" s="198"/>
      <c r="O164" s="79" t="s">
        <v>3950</v>
      </c>
      <c r="P164" s="164" t="s">
        <v>3706</v>
      </c>
      <c r="Q164" s="165"/>
      <c r="R164" s="165"/>
      <c r="S164" s="165"/>
      <c r="T164" s="165"/>
      <c r="U164" s="165"/>
      <c r="V164" s="165"/>
      <c r="W164" s="165"/>
      <c r="X164" s="165"/>
      <c r="Y164" s="165"/>
      <c r="Z164" s="165"/>
      <c r="AA164" s="165"/>
      <c r="AB164" s="165"/>
      <c r="AC164" s="165"/>
      <c r="AD164" s="166"/>
      <c r="AE164" s="167" t="str">
        <f t="shared" ref="AE164" ca="1" si="99">IFERROR(INDIRECT(P164&amp;"!D8"),"")</f>
        <v>azn_202310_base_mart_shohou</v>
      </c>
      <c r="AF164" s="168"/>
      <c r="AG164" s="168"/>
      <c r="AH164" s="168"/>
      <c r="AI164" s="168"/>
      <c r="AJ164" s="168"/>
      <c r="AK164" s="168"/>
      <c r="AL164" s="169"/>
      <c r="AM164" s="167" t="str">
        <f t="shared" ref="AM164" ca="1" si="100">IFERROR(INDIRECT(P164&amp;"!D9"),"")</f>
        <v>バックアップ_処方データテーブルから対象患者で絞り込んだ結果を格納するテーブル</v>
      </c>
      <c r="AN164" s="168"/>
      <c r="AO164" s="168"/>
      <c r="AP164" s="168"/>
      <c r="AQ164" s="168"/>
      <c r="AR164" s="168"/>
      <c r="AS164" s="168"/>
      <c r="AT164" s="168"/>
      <c r="AU164" s="168"/>
      <c r="AV164" s="168"/>
      <c r="AW164" s="168"/>
      <c r="AX164" s="168"/>
      <c r="AY164" s="168"/>
      <c r="AZ164" s="168"/>
      <c r="BA164" s="168"/>
      <c r="BB164" s="168"/>
      <c r="BC164" s="168"/>
      <c r="BD164" s="168"/>
      <c r="BE164" s="168"/>
      <c r="BF164" s="168"/>
      <c r="BG164" s="168"/>
      <c r="BH164" s="168"/>
      <c r="BI164" s="168"/>
      <c r="BJ164" s="170"/>
      <c r="BK164" s="32" t="str">
        <f t="shared" si="43"/>
        <v>ENT_31_A1-02_ベース_処方データ.sql</v>
      </c>
    </row>
    <row r="165" spans="1:63" ht="37.5" hidden="1" customHeight="1" outlineLevel="1">
      <c r="A165" s="34" t="str">
        <f t="shared" ref="A165:A199" si="101">P165</f>
        <v>ベース_診療行為データ</v>
      </c>
      <c r="B165" s="171" t="str">
        <f t="shared" ref="B165:B199" si="102">TEXT(31,"00")</f>
        <v>31</v>
      </c>
      <c r="C165" s="172"/>
      <c r="D165" s="172"/>
      <c r="E165" s="172"/>
      <c r="F165" s="173"/>
      <c r="G165" s="174" t="s">
        <v>307</v>
      </c>
      <c r="H165" s="175"/>
      <c r="I165" s="175"/>
      <c r="J165" s="175"/>
      <c r="K165" s="175"/>
      <c r="L165" s="175"/>
      <c r="M165" s="175"/>
      <c r="N165" s="176"/>
      <c r="O165" s="79" t="s">
        <v>3951</v>
      </c>
      <c r="P165" s="164" t="s">
        <v>3707</v>
      </c>
      <c r="Q165" s="165"/>
      <c r="R165" s="165"/>
      <c r="S165" s="165"/>
      <c r="T165" s="165"/>
      <c r="U165" s="165"/>
      <c r="V165" s="165"/>
      <c r="W165" s="165"/>
      <c r="X165" s="165"/>
      <c r="Y165" s="165"/>
      <c r="Z165" s="165"/>
      <c r="AA165" s="165"/>
      <c r="AB165" s="165"/>
      <c r="AC165" s="165"/>
      <c r="AD165" s="166"/>
      <c r="AE165" s="167" t="str">
        <f t="shared" ref="AE165:AE199" ca="1" si="103">IFERROR(INDIRECT(P165&amp;"!D8"),"")</f>
        <v>azn_202310_base_mart_shinryou_koui</v>
      </c>
      <c r="AF165" s="168"/>
      <c r="AG165" s="168"/>
      <c r="AH165" s="168"/>
      <c r="AI165" s="168"/>
      <c r="AJ165" s="168"/>
      <c r="AK165" s="168"/>
      <c r="AL165" s="169"/>
      <c r="AM165" s="167" t="str">
        <f t="shared" ref="AM165:AM199" ca="1" si="104">IFERROR(INDIRECT(P165&amp;"!D9"),"")</f>
        <v>バックアップ_診療行為データテーブルから対象患者で絞り込んだ結果を格納するテーブル</v>
      </c>
      <c r="AN165" s="168"/>
      <c r="AO165" s="168"/>
      <c r="AP165" s="168"/>
      <c r="AQ165" s="168"/>
      <c r="AR165" s="168"/>
      <c r="AS165" s="168"/>
      <c r="AT165" s="168"/>
      <c r="AU165" s="168"/>
      <c r="AV165" s="168"/>
      <c r="AW165" s="168"/>
      <c r="AX165" s="168"/>
      <c r="AY165" s="168"/>
      <c r="AZ165" s="168"/>
      <c r="BA165" s="168"/>
      <c r="BB165" s="168"/>
      <c r="BC165" s="168"/>
      <c r="BD165" s="168"/>
      <c r="BE165" s="168"/>
      <c r="BF165" s="168"/>
      <c r="BG165" s="168"/>
      <c r="BH165" s="168"/>
      <c r="BI165" s="168"/>
      <c r="BJ165" s="170"/>
      <c r="BK165" s="32" t="str">
        <f t="shared" ref="BK165:BK199" si="105">IF(P165&lt;&gt;"",O165&amp;"_"&amp;P165&amp;".sql","")</f>
        <v>ENT_31_A1-03_ベース_診療行為データ.sql</v>
      </c>
    </row>
    <row r="166" spans="1:63" ht="37.5" hidden="1" customHeight="1" outlineLevel="1">
      <c r="A166" s="34" t="str">
        <f t="shared" ref="A166" si="106">P166</f>
        <v>ベース_疾患データ</v>
      </c>
      <c r="B166" s="171" t="str">
        <f t="shared" si="102"/>
        <v>31</v>
      </c>
      <c r="C166" s="172"/>
      <c r="D166" s="172"/>
      <c r="E166" s="172"/>
      <c r="F166" s="173"/>
      <c r="G166" s="174" t="s">
        <v>307</v>
      </c>
      <c r="H166" s="175"/>
      <c r="I166" s="175"/>
      <c r="J166" s="175"/>
      <c r="K166" s="175"/>
      <c r="L166" s="175"/>
      <c r="M166" s="175"/>
      <c r="N166" s="176"/>
      <c r="O166" s="79" t="s">
        <v>4076</v>
      </c>
      <c r="P166" s="164" t="s">
        <v>4075</v>
      </c>
      <c r="Q166" s="165"/>
      <c r="R166" s="165"/>
      <c r="S166" s="165"/>
      <c r="T166" s="165"/>
      <c r="U166" s="165"/>
      <c r="V166" s="165"/>
      <c r="W166" s="165"/>
      <c r="X166" s="165"/>
      <c r="Y166" s="165"/>
      <c r="Z166" s="165"/>
      <c r="AA166" s="165"/>
      <c r="AB166" s="165"/>
      <c r="AC166" s="165"/>
      <c r="AD166" s="166"/>
      <c r="AE166" s="167" t="str">
        <f t="shared" ref="AE166" ca="1" si="107">IFERROR(INDIRECT(P166&amp;"!D8"),"")</f>
        <v>azn_202310_base_mart_shikkan</v>
      </c>
      <c r="AF166" s="168"/>
      <c r="AG166" s="168"/>
      <c r="AH166" s="168"/>
      <c r="AI166" s="168"/>
      <c r="AJ166" s="168"/>
      <c r="AK166" s="168"/>
      <c r="AL166" s="169"/>
      <c r="AM166" s="167" t="str">
        <f t="shared" ref="AM166" ca="1" si="108">IFERROR(INDIRECT(P166&amp;"!D9"),"")</f>
        <v>バックアップ_疾患データテーブルから対象患者で絞り込んだ結果を格納するテーブル</v>
      </c>
      <c r="AN166" s="168"/>
      <c r="AO166" s="168"/>
      <c r="AP166" s="168"/>
      <c r="AQ166" s="168"/>
      <c r="AR166" s="168"/>
      <c r="AS166" s="168"/>
      <c r="AT166" s="168"/>
      <c r="AU166" s="168"/>
      <c r="AV166" s="168"/>
      <c r="AW166" s="168"/>
      <c r="AX166" s="168"/>
      <c r="AY166" s="168"/>
      <c r="AZ166" s="168"/>
      <c r="BA166" s="168"/>
      <c r="BB166" s="168"/>
      <c r="BC166" s="168"/>
      <c r="BD166" s="168"/>
      <c r="BE166" s="168"/>
      <c r="BF166" s="168"/>
      <c r="BG166" s="168"/>
      <c r="BH166" s="168"/>
      <c r="BI166" s="168"/>
      <c r="BJ166" s="170"/>
      <c r="BK166" s="32" t="str">
        <f t="shared" ref="BK166" si="109">IF(P166&lt;&gt;"",O166&amp;"_"&amp;P166&amp;".sql","")</f>
        <v>ENT_31_A1-04_ベース_疾患データ.sql</v>
      </c>
    </row>
    <row r="167" spans="1:63" ht="37.5" hidden="1" customHeight="1" outlineLevel="1">
      <c r="A167" s="34" t="str">
        <f t="shared" si="101"/>
        <v>ベース_入院退院データ</v>
      </c>
      <c r="B167" s="171" t="str">
        <f t="shared" si="102"/>
        <v>31</v>
      </c>
      <c r="C167" s="172"/>
      <c r="D167" s="172"/>
      <c r="E167" s="172"/>
      <c r="F167" s="173"/>
      <c r="G167" s="174" t="s">
        <v>307</v>
      </c>
      <c r="H167" s="175"/>
      <c r="I167" s="175"/>
      <c r="J167" s="175"/>
      <c r="K167" s="175"/>
      <c r="L167" s="175"/>
      <c r="M167" s="175"/>
      <c r="N167" s="176"/>
      <c r="O167" s="79" t="s">
        <v>3952</v>
      </c>
      <c r="P167" s="164" t="s">
        <v>3708</v>
      </c>
      <c r="Q167" s="165"/>
      <c r="R167" s="165"/>
      <c r="S167" s="165"/>
      <c r="T167" s="165"/>
      <c r="U167" s="165"/>
      <c r="V167" s="165"/>
      <c r="W167" s="165"/>
      <c r="X167" s="165"/>
      <c r="Y167" s="165"/>
      <c r="Z167" s="165"/>
      <c r="AA167" s="165"/>
      <c r="AB167" s="165"/>
      <c r="AC167" s="165"/>
      <c r="AD167" s="166"/>
      <c r="AE167" s="167" t="str">
        <f t="shared" ca="1" si="103"/>
        <v>azn_202310_base_mart_nyu_tai_in</v>
      </c>
      <c r="AF167" s="168"/>
      <c r="AG167" s="168"/>
      <c r="AH167" s="168"/>
      <c r="AI167" s="168"/>
      <c r="AJ167" s="168"/>
      <c r="AK167" s="168"/>
      <c r="AL167" s="169"/>
      <c r="AM167" s="167" t="str">
        <f t="shared" ca="1" si="104"/>
        <v>バックアップ_入院退院データテーブルから対象患者で絞り込んだ結果を格納するテーブル</v>
      </c>
      <c r="AN167" s="168"/>
      <c r="AO167" s="168"/>
      <c r="AP167" s="168"/>
      <c r="AQ167" s="168"/>
      <c r="AR167" s="168"/>
      <c r="AS167" s="168"/>
      <c r="AT167" s="168"/>
      <c r="AU167" s="168"/>
      <c r="AV167" s="168"/>
      <c r="AW167" s="168"/>
      <c r="AX167" s="168"/>
      <c r="AY167" s="168"/>
      <c r="AZ167" s="168"/>
      <c r="BA167" s="168"/>
      <c r="BB167" s="168"/>
      <c r="BC167" s="168"/>
      <c r="BD167" s="168"/>
      <c r="BE167" s="168"/>
      <c r="BF167" s="168"/>
      <c r="BG167" s="168"/>
      <c r="BH167" s="168"/>
      <c r="BI167" s="168"/>
      <c r="BJ167" s="170"/>
      <c r="BK167" s="32" t="str">
        <f t="shared" si="105"/>
        <v>ENT_31_A1-06_ベース_入院退院データ.sql</v>
      </c>
    </row>
    <row r="168" spans="1:63" ht="37.5" hidden="1" customHeight="1" outlineLevel="1">
      <c r="A168" s="34" t="str">
        <f t="shared" si="101"/>
        <v>ベース_患者基本データ</v>
      </c>
      <c r="B168" s="171" t="str">
        <f t="shared" si="102"/>
        <v>31</v>
      </c>
      <c r="C168" s="172"/>
      <c r="D168" s="172"/>
      <c r="E168" s="172"/>
      <c r="F168" s="173"/>
      <c r="G168" s="174" t="s">
        <v>307</v>
      </c>
      <c r="H168" s="175"/>
      <c r="I168" s="175"/>
      <c r="J168" s="175"/>
      <c r="K168" s="175"/>
      <c r="L168" s="175"/>
      <c r="M168" s="175"/>
      <c r="N168" s="176"/>
      <c r="O168" s="79" t="s">
        <v>3953</v>
      </c>
      <c r="P168" s="164" t="s">
        <v>3709</v>
      </c>
      <c r="Q168" s="165"/>
      <c r="R168" s="165"/>
      <c r="S168" s="165"/>
      <c r="T168" s="165"/>
      <c r="U168" s="165"/>
      <c r="V168" s="165"/>
      <c r="W168" s="165"/>
      <c r="X168" s="165"/>
      <c r="Y168" s="165"/>
      <c r="Z168" s="165"/>
      <c r="AA168" s="165"/>
      <c r="AB168" s="165"/>
      <c r="AC168" s="165"/>
      <c r="AD168" s="166"/>
      <c r="AE168" s="167" t="str">
        <f t="shared" ca="1" si="103"/>
        <v>azn_202310_base_mart_patient_basic</v>
      </c>
      <c r="AF168" s="168"/>
      <c r="AG168" s="168"/>
      <c r="AH168" s="168"/>
      <c r="AI168" s="168"/>
      <c r="AJ168" s="168"/>
      <c r="AK168" s="168"/>
      <c r="AL168" s="169"/>
      <c r="AM168" s="167" t="str">
        <f t="shared" ca="1" si="104"/>
        <v>バックアップ_患者基本データテーブルから対象患者で絞り込んだ結果を格納するテーブル</v>
      </c>
      <c r="AN168" s="168"/>
      <c r="AO168" s="168"/>
      <c r="AP168" s="168"/>
      <c r="AQ168" s="168"/>
      <c r="AR168" s="168"/>
      <c r="AS168" s="168"/>
      <c r="AT168" s="168"/>
      <c r="AU168" s="168"/>
      <c r="AV168" s="168"/>
      <c r="AW168" s="168"/>
      <c r="AX168" s="168"/>
      <c r="AY168" s="168"/>
      <c r="AZ168" s="168"/>
      <c r="BA168" s="168"/>
      <c r="BB168" s="168"/>
      <c r="BC168" s="168"/>
      <c r="BD168" s="168"/>
      <c r="BE168" s="168"/>
      <c r="BF168" s="168"/>
      <c r="BG168" s="168"/>
      <c r="BH168" s="168"/>
      <c r="BI168" s="168"/>
      <c r="BJ168" s="170"/>
      <c r="BK168" s="32" t="str">
        <f t="shared" si="105"/>
        <v>ENT_31_A1-14_ベース_患者基本データ.sql</v>
      </c>
    </row>
    <row r="169" spans="1:63" ht="37.5" hidden="1" customHeight="1" outlineLevel="1">
      <c r="A169" s="34" t="str">
        <f t="shared" si="101"/>
        <v>ベース_MML共通</v>
      </c>
      <c r="B169" s="171" t="str">
        <f t="shared" si="102"/>
        <v>31</v>
      </c>
      <c r="C169" s="172"/>
      <c r="D169" s="172"/>
      <c r="E169" s="172"/>
      <c r="F169" s="173"/>
      <c r="G169" s="174" t="s">
        <v>307</v>
      </c>
      <c r="H169" s="175"/>
      <c r="I169" s="175"/>
      <c r="J169" s="175"/>
      <c r="K169" s="175"/>
      <c r="L169" s="175"/>
      <c r="M169" s="175"/>
      <c r="N169" s="176"/>
      <c r="O169" s="79" t="s">
        <v>3954</v>
      </c>
      <c r="P169" s="164" t="s">
        <v>3710</v>
      </c>
      <c r="Q169" s="165"/>
      <c r="R169" s="165"/>
      <c r="S169" s="165"/>
      <c r="T169" s="165"/>
      <c r="U169" s="165"/>
      <c r="V169" s="165"/>
      <c r="W169" s="165"/>
      <c r="X169" s="165"/>
      <c r="Y169" s="165"/>
      <c r="Z169" s="165"/>
      <c r="AA169" s="165"/>
      <c r="AB169" s="165"/>
      <c r="AC169" s="165"/>
      <c r="AD169" s="166"/>
      <c r="AE169" s="167" t="str">
        <f t="shared" ca="1" si="103"/>
        <v>azn_202310_base_text_mml_common</v>
      </c>
      <c r="AF169" s="168"/>
      <c r="AG169" s="168"/>
      <c r="AH169" s="168"/>
      <c r="AI169" s="168"/>
      <c r="AJ169" s="168"/>
      <c r="AK169" s="168"/>
      <c r="AL169" s="169"/>
      <c r="AM169" s="167" t="str">
        <f t="shared" ca="1" si="104"/>
        <v>バックアップ_MML共通テーブルから対象患者で絞り込んだ結果を格納するテーブル</v>
      </c>
      <c r="AN169" s="168"/>
      <c r="AO169" s="168"/>
      <c r="AP169" s="168"/>
      <c r="AQ169" s="168"/>
      <c r="AR169" s="168"/>
      <c r="AS169" s="168"/>
      <c r="AT169" s="168"/>
      <c r="AU169" s="168"/>
      <c r="AV169" s="168"/>
      <c r="AW169" s="168"/>
      <c r="AX169" s="168"/>
      <c r="AY169" s="168"/>
      <c r="AZ169" s="168"/>
      <c r="BA169" s="168"/>
      <c r="BB169" s="168"/>
      <c r="BC169" s="168"/>
      <c r="BD169" s="168"/>
      <c r="BE169" s="168"/>
      <c r="BF169" s="168"/>
      <c r="BG169" s="168"/>
      <c r="BH169" s="168"/>
      <c r="BI169" s="168"/>
      <c r="BJ169" s="170"/>
      <c r="BK169" s="32" t="str">
        <f t="shared" si="105"/>
        <v>ENT_31_A6-02_ベース_MML共通.sql</v>
      </c>
    </row>
    <row r="170" spans="1:63" ht="37.5" hidden="1" customHeight="1" outlineLevel="1">
      <c r="A170" s="34" t="str">
        <f t="shared" si="101"/>
        <v>ベース_MML_診断履歴情報モジュール_本文</v>
      </c>
      <c r="B170" s="171" t="str">
        <f t="shared" si="102"/>
        <v>31</v>
      </c>
      <c r="C170" s="172"/>
      <c r="D170" s="172"/>
      <c r="E170" s="172"/>
      <c r="F170" s="173"/>
      <c r="G170" s="174" t="s">
        <v>307</v>
      </c>
      <c r="H170" s="175"/>
      <c r="I170" s="175"/>
      <c r="J170" s="175"/>
      <c r="K170" s="175"/>
      <c r="L170" s="175"/>
      <c r="M170" s="175"/>
      <c r="N170" s="176"/>
      <c r="O170" s="79" t="s">
        <v>3955</v>
      </c>
      <c r="P170" s="164" t="s">
        <v>3711</v>
      </c>
      <c r="Q170" s="165"/>
      <c r="R170" s="165"/>
      <c r="S170" s="165"/>
      <c r="T170" s="165"/>
      <c r="U170" s="165"/>
      <c r="V170" s="165"/>
      <c r="W170" s="165"/>
      <c r="X170" s="165"/>
      <c r="Y170" s="165"/>
      <c r="Z170" s="165"/>
      <c r="AA170" s="165"/>
      <c r="AB170" s="165"/>
      <c r="AC170" s="165"/>
      <c r="AD170" s="166"/>
      <c r="AE170" s="167" t="str">
        <f t="shared" ca="1" si="103"/>
        <v>azn_202310_base_text_mml_mmlrd_body</v>
      </c>
      <c r="AF170" s="168"/>
      <c r="AG170" s="168"/>
      <c r="AH170" s="168"/>
      <c r="AI170" s="168"/>
      <c r="AJ170" s="168"/>
      <c r="AK170" s="168"/>
      <c r="AL170" s="169"/>
      <c r="AM170" s="167" t="str">
        <f t="shared" ca="1" si="104"/>
        <v>バックアップ_MML_診断履歴情報モジュール_本文テーブルから対象患者で絞り込んだ結果を格納するテーブル</v>
      </c>
      <c r="AN170" s="168"/>
      <c r="AO170" s="168"/>
      <c r="AP170" s="168"/>
      <c r="AQ170" s="168"/>
      <c r="AR170" s="168"/>
      <c r="AS170" s="168"/>
      <c r="AT170" s="168"/>
      <c r="AU170" s="168"/>
      <c r="AV170" s="168"/>
      <c r="AW170" s="168"/>
      <c r="AX170" s="168"/>
      <c r="AY170" s="168"/>
      <c r="AZ170" s="168"/>
      <c r="BA170" s="168"/>
      <c r="BB170" s="168"/>
      <c r="BC170" s="168"/>
      <c r="BD170" s="168"/>
      <c r="BE170" s="168"/>
      <c r="BF170" s="168"/>
      <c r="BG170" s="168"/>
      <c r="BH170" s="168"/>
      <c r="BI170" s="168"/>
      <c r="BJ170" s="170"/>
      <c r="BK170" s="32" t="str">
        <f t="shared" si="105"/>
        <v>ENT_31_A6-03_ベース_MML_診断履歴情報モジュール_本文.sql</v>
      </c>
    </row>
    <row r="171" spans="1:63" ht="37.5" hidden="1" customHeight="1" outlineLevel="1">
      <c r="A171" s="34" t="str">
        <f t="shared" si="101"/>
        <v>ベース_MML_診断履歴情報モジュール_病名</v>
      </c>
      <c r="B171" s="171" t="str">
        <f t="shared" si="102"/>
        <v>31</v>
      </c>
      <c r="C171" s="172"/>
      <c r="D171" s="172"/>
      <c r="E171" s="172"/>
      <c r="F171" s="173"/>
      <c r="G171" s="174" t="s">
        <v>307</v>
      </c>
      <c r="H171" s="175"/>
      <c r="I171" s="175"/>
      <c r="J171" s="175"/>
      <c r="K171" s="175"/>
      <c r="L171" s="175"/>
      <c r="M171" s="175"/>
      <c r="N171" s="176"/>
      <c r="O171" s="79" t="s">
        <v>3956</v>
      </c>
      <c r="P171" s="164" t="s">
        <v>3712</v>
      </c>
      <c r="Q171" s="165"/>
      <c r="R171" s="165"/>
      <c r="S171" s="165"/>
      <c r="T171" s="165"/>
      <c r="U171" s="165"/>
      <c r="V171" s="165"/>
      <c r="W171" s="165"/>
      <c r="X171" s="165"/>
      <c r="Y171" s="165"/>
      <c r="Z171" s="165"/>
      <c r="AA171" s="165"/>
      <c r="AB171" s="165"/>
      <c r="AC171" s="165"/>
      <c r="AD171" s="166"/>
      <c r="AE171" s="167" t="str">
        <f t="shared" ca="1" si="103"/>
        <v>azn_202310_base_text_mml_mmlrd_byomei</v>
      </c>
      <c r="AF171" s="168"/>
      <c r="AG171" s="168"/>
      <c r="AH171" s="168"/>
      <c r="AI171" s="168"/>
      <c r="AJ171" s="168"/>
      <c r="AK171" s="168"/>
      <c r="AL171" s="169"/>
      <c r="AM171" s="167" t="str">
        <f t="shared" ca="1" si="104"/>
        <v>バックアップ_MML_診断履歴情報モジュール_病名テーブルから対象患者で絞り込んだ結果を格納するテーブル</v>
      </c>
      <c r="AN171" s="168"/>
      <c r="AO171" s="168"/>
      <c r="AP171" s="168"/>
      <c r="AQ171" s="168"/>
      <c r="AR171" s="168"/>
      <c r="AS171" s="168"/>
      <c r="AT171" s="168"/>
      <c r="AU171" s="168"/>
      <c r="AV171" s="168"/>
      <c r="AW171" s="168"/>
      <c r="AX171" s="168"/>
      <c r="AY171" s="168"/>
      <c r="AZ171" s="168"/>
      <c r="BA171" s="168"/>
      <c r="BB171" s="168"/>
      <c r="BC171" s="168"/>
      <c r="BD171" s="168"/>
      <c r="BE171" s="168"/>
      <c r="BF171" s="168"/>
      <c r="BG171" s="168"/>
      <c r="BH171" s="168"/>
      <c r="BI171" s="168"/>
      <c r="BJ171" s="170"/>
      <c r="BK171" s="32" t="str">
        <f t="shared" si="105"/>
        <v>ENT_31_A6-04_ベース_MML_診断履歴情報モジュール_病名.sql</v>
      </c>
    </row>
    <row r="172" spans="1:63" ht="37.5" hidden="1" customHeight="1" outlineLevel="1">
      <c r="A172" s="34" t="str">
        <f t="shared" ref="A172:A177" si="110">P172</f>
        <v>ベース_MML_検歴情報モジュール_本文</v>
      </c>
      <c r="B172" s="171" t="str">
        <f t="shared" ref="B172:B204" si="111">TEXT(31,"00")</f>
        <v>31</v>
      </c>
      <c r="C172" s="172"/>
      <c r="D172" s="172"/>
      <c r="E172" s="172"/>
      <c r="F172" s="173"/>
      <c r="G172" s="174" t="s">
        <v>307</v>
      </c>
      <c r="H172" s="175"/>
      <c r="I172" s="175"/>
      <c r="J172" s="175"/>
      <c r="K172" s="175"/>
      <c r="L172" s="175"/>
      <c r="M172" s="175"/>
      <c r="N172" s="176"/>
      <c r="O172" s="79" t="s">
        <v>3980</v>
      </c>
      <c r="P172" s="164" t="s">
        <v>3938</v>
      </c>
      <c r="Q172" s="165"/>
      <c r="R172" s="165"/>
      <c r="S172" s="165"/>
      <c r="T172" s="165"/>
      <c r="U172" s="165"/>
      <c r="V172" s="165"/>
      <c r="W172" s="165"/>
      <c r="X172" s="165"/>
      <c r="Y172" s="165"/>
      <c r="Z172" s="165"/>
      <c r="AA172" s="165"/>
      <c r="AB172" s="165"/>
      <c r="AC172" s="165"/>
      <c r="AD172" s="166"/>
      <c r="AE172" s="167" t="str">
        <f t="shared" ref="AE172:AE177" ca="1" si="112">IFERROR(INDIRECT(P172&amp;"!D8"),"")</f>
        <v>azn_202310_base_text_mml_mmllb_body</v>
      </c>
      <c r="AF172" s="168"/>
      <c r="AG172" s="168"/>
      <c r="AH172" s="168"/>
      <c r="AI172" s="168"/>
      <c r="AJ172" s="168"/>
      <c r="AK172" s="168"/>
      <c r="AL172" s="169"/>
      <c r="AM172" s="167" t="str">
        <f t="shared" ref="AM172:AM177" ca="1" si="113">IFERROR(INDIRECT(P172&amp;"!D9"),"")</f>
        <v>ベース_MML_検歴情報モジュール_本文テーブルから組入れ条件の第一条件で絞り込んだ結果を格納するテーブル</v>
      </c>
      <c r="AN172" s="168"/>
      <c r="AO172" s="168"/>
      <c r="AP172" s="168"/>
      <c r="AQ172" s="168"/>
      <c r="AR172" s="168"/>
      <c r="AS172" s="168"/>
      <c r="AT172" s="168"/>
      <c r="AU172" s="168"/>
      <c r="AV172" s="168"/>
      <c r="AW172" s="168"/>
      <c r="AX172" s="168"/>
      <c r="AY172" s="168"/>
      <c r="AZ172" s="168"/>
      <c r="BA172" s="168"/>
      <c r="BB172" s="168"/>
      <c r="BC172" s="168"/>
      <c r="BD172" s="168"/>
      <c r="BE172" s="168"/>
      <c r="BF172" s="168"/>
      <c r="BG172" s="168"/>
      <c r="BH172" s="168"/>
      <c r="BI172" s="168"/>
      <c r="BJ172" s="170"/>
      <c r="BK172" s="32" t="str">
        <f t="shared" ref="BK172:BK177" si="114">IF(P172&lt;&gt;"",O172&amp;"_"&amp;P172&amp;".sql","")</f>
        <v>ENT_31_A6-18_ベース_MML_検歴情報モジュール_本文.sql</v>
      </c>
    </row>
    <row r="173" spans="1:63" ht="37.5" hidden="1" customHeight="1" outlineLevel="1">
      <c r="A173" s="34" t="str">
        <f t="shared" si="110"/>
        <v>ベース_MML_検歴情報モジュール_報告コメント</v>
      </c>
      <c r="B173" s="171" t="str">
        <f t="shared" si="111"/>
        <v>31</v>
      </c>
      <c r="C173" s="172"/>
      <c r="D173" s="172"/>
      <c r="E173" s="172"/>
      <c r="F173" s="173"/>
      <c r="G173" s="174" t="s">
        <v>307</v>
      </c>
      <c r="H173" s="175"/>
      <c r="I173" s="175"/>
      <c r="J173" s="175"/>
      <c r="K173" s="175"/>
      <c r="L173" s="175"/>
      <c r="M173" s="175"/>
      <c r="N173" s="176"/>
      <c r="O173" s="79" t="s">
        <v>3981</v>
      </c>
      <c r="P173" s="164" t="s">
        <v>3939</v>
      </c>
      <c r="Q173" s="165"/>
      <c r="R173" s="165"/>
      <c r="S173" s="165"/>
      <c r="T173" s="165"/>
      <c r="U173" s="165"/>
      <c r="V173" s="165"/>
      <c r="W173" s="165"/>
      <c r="X173" s="165"/>
      <c r="Y173" s="165"/>
      <c r="Z173" s="165"/>
      <c r="AA173" s="165"/>
      <c r="AB173" s="165"/>
      <c r="AC173" s="165"/>
      <c r="AD173" s="166"/>
      <c r="AE173" s="167" t="str">
        <f t="shared" ca="1" si="112"/>
        <v>azn_202310_base_text_mml_mmllb_memo</v>
      </c>
      <c r="AF173" s="168"/>
      <c r="AG173" s="168"/>
      <c r="AH173" s="168"/>
      <c r="AI173" s="168"/>
      <c r="AJ173" s="168"/>
      <c r="AK173" s="168"/>
      <c r="AL173" s="169"/>
      <c r="AM173" s="167" t="str">
        <f t="shared" ca="1" si="113"/>
        <v>ベース_MML_検歴情報モジュール_報告コメントテーブルから組入れ条件の第一条件で絞り込んだ結果を格納するテーブル</v>
      </c>
      <c r="AN173" s="168"/>
      <c r="AO173" s="168"/>
      <c r="AP173" s="168"/>
      <c r="AQ173" s="168"/>
      <c r="AR173" s="168"/>
      <c r="AS173" s="168"/>
      <c r="AT173" s="168"/>
      <c r="AU173" s="168"/>
      <c r="AV173" s="168"/>
      <c r="AW173" s="168"/>
      <c r="AX173" s="168"/>
      <c r="AY173" s="168"/>
      <c r="AZ173" s="168"/>
      <c r="BA173" s="168"/>
      <c r="BB173" s="168"/>
      <c r="BC173" s="168"/>
      <c r="BD173" s="168"/>
      <c r="BE173" s="168"/>
      <c r="BF173" s="168"/>
      <c r="BG173" s="168"/>
      <c r="BH173" s="168"/>
      <c r="BI173" s="168"/>
      <c r="BJ173" s="170"/>
      <c r="BK173" s="32" t="str">
        <f t="shared" si="114"/>
        <v>ENT_31_A6-19_ベース_MML_検歴情報モジュール_報告コメント.sql</v>
      </c>
    </row>
    <row r="174" spans="1:63" ht="37.5" hidden="1" customHeight="1" outlineLevel="1">
      <c r="A174" s="34" t="str">
        <f t="shared" si="110"/>
        <v>ベース_MML_検歴情報モジュール_検体検査結果情報</v>
      </c>
      <c r="B174" s="171" t="str">
        <f t="shared" si="111"/>
        <v>31</v>
      </c>
      <c r="C174" s="172"/>
      <c r="D174" s="172"/>
      <c r="E174" s="172"/>
      <c r="F174" s="173"/>
      <c r="G174" s="174" t="s">
        <v>307</v>
      </c>
      <c r="H174" s="175"/>
      <c r="I174" s="175"/>
      <c r="J174" s="175"/>
      <c r="K174" s="175"/>
      <c r="L174" s="175"/>
      <c r="M174" s="175"/>
      <c r="N174" s="176"/>
      <c r="O174" s="79" t="s">
        <v>3982</v>
      </c>
      <c r="P174" s="164" t="s">
        <v>3940</v>
      </c>
      <c r="Q174" s="165"/>
      <c r="R174" s="165"/>
      <c r="S174" s="165"/>
      <c r="T174" s="165"/>
      <c r="U174" s="165"/>
      <c r="V174" s="165"/>
      <c r="W174" s="165"/>
      <c r="X174" s="165"/>
      <c r="Y174" s="165"/>
      <c r="Z174" s="165"/>
      <c r="AA174" s="165"/>
      <c r="AB174" s="165"/>
      <c r="AC174" s="165"/>
      <c r="AD174" s="166"/>
      <c r="AE174" s="167" t="str">
        <f t="shared" ca="1" si="112"/>
        <v>azn_202310_base_text_mml_mmllb_labo_test</v>
      </c>
      <c r="AF174" s="168"/>
      <c r="AG174" s="168"/>
      <c r="AH174" s="168"/>
      <c r="AI174" s="168"/>
      <c r="AJ174" s="168"/>
      <c r="AK174" s="168"/>
      <c r="AL174" s="169"/>
      <c r="AM174" s="167" t="str">
        <f t="shared" ca="1" si="113"/>
        <v>ベース_MML_検歴情報モジュール_検体検査結果情報テーブルから組入れ条件の第一条件で絞り込んだ結果を格納するテーブル</v>
      </c>
      <c r="AN174" s="168"/>
      <c r="AO174" s="168"/>
      <c r="AP174" s="168"/>
      <c r="AQ174" s="168"/>
      <c r="AR174" s="168"/>
      <c r="AS174" s="168"/>
      <c r="AT174" s="168"/>
      <c r="AU174" s="168"/>
      <c r="AV174" s="168"/>
      <c r="AW174" s="168"/>
      <c r="AX174" s="168"/>
      <c r="AY174" s="168"/>
      <c r="AZ174" s="168"/>
      <c r="BA174" s="168"/>
      <c r="BB174" s="168"/>
      <c r="BC174" s="168"/>
      <c r="BD174" s="168"/>
      <c r="BE174" s="168"/>
      <c r="BF174" s="168"/>
      <c r="BG174" s="168"/>
      <c r="BH174" s="168"/>
      <c r="BI174" s="168"/>
      <c r="BJ174" s="170"/>
      <c r="BK174" s="32" t="str">
        <f t="shared" si="114"/>
        <v>ENT_31_A6-20_ベース_MML_検歴情報モジュール_検体検査結果情報.sql</v>
      </c>
    </row>
    <row r="175" spans="1:63" ht="37.5" hidden="1" customHeight="1" outlineLevel="1">
      <c r="A175" s="34" t="str">
        <f t="shared" si="110"/>
        <v>ベース_MML_検歴情報モジュール_検体コメント</v>
      </c>
      <c r="B175" s="171" t="str">
        <f t="shared" si="111"/>
        <v>31</v>
      </c>
      <c r="C175" s="172"/>
      <c r="D175" s="172"/>
      <c r="E175" s="172"/>
      <c r="F175" s="173"/>
      <c r="G175" s="174" t="s">
        <v>307</v>
      </c>
      <c r="H175" s="175"/>
      <c r="I175" s="175"/>
      <c r="J175" s="175"/>
      <c r="K175" s="175"/>
      <c r="L175" s="175"/>
      <c r="M175" s="175"/>
      <c r="N175" s="176"/>
      <c r="O175" s="79" t="s">
        <v>3983</v>
      </c>
      <c r="P175" s="164" t="s">
        <v>3941</v>
      </c>
      <c r="Q175" s="165"/>
      <c r="R175" s="165"/>
      <c r="S175" s="165"/>
      <c r="T175" s="165"/>
      <c r="U175" s="165"/>
      <c r="V175" s="165"/>
      <c r="W175" s="165"/>
      <c r="X175" s="165"/>
      <c r="Y175" s="165"/>
      <c r="Z175" s="165"/>
      <c r="AA175" s="165"/>
      <c r="AB175" s="165"/>
      <c r="AC175" s="165"/>
      <c r="AD175" s="166"/>
      <c r="AE175" s="167" t="str">
        <f t="shared" ca="1" si="112"/>
        <v>azn_202310_base_text_mml_mmllb_spc_memo</v>
      </c>
      <c r="AF175" s="168"/>
      <c r="AG175" s="168"/>
      <c r="AH175" s="168"/>
      <c r="AI175" s="168"/>
      <c r="AJ175" s="168"/>
      <c r="AK175" s="168"/>
      <c r="AL175" s="169"/>
      <c r="AM175" s="167" t="str">
        <f t="shared" ca="1" si="113"/>
        <v>ベース_MML_検歴情報モジュール_検体コメントテーブルから組入れ条件の第一条件で絞り込んだ結果を格納するテーブル</v>
      </c>
      <c r="AN175" s="168"/>
      <c r="AO175" s="168"/>
      <c r="AP175" s="168"/>
      <c r="AQ175" s="168"/>
      <c r="AR175" s="168"/>
      <c r="AS175" s="168"/>
      <c r="AT175" s="168"/>
      <c r="AU175" s="168"/>
      <c r="AV175" s="168"/>
      <c r="AW175" s="168"/>
      <c r="AX175" s="168"/>
      <c r="AY175" s="168"/>
      <c r="AZ175" s="168"/>
      <c r="BA175" s="168"/>
      <c r="BB175" s="168"/>
      <c r="BC175" s="168"/>
      <c r="BD175" s="168"/>
      <c r="BE175" s="168"/>
      <c r="BF175" s="168"/>
      <c r="BG175" s="168"/>
      <c r="BH175" s="168"/>
      <c r="BI175" s="168"/>
      <c r="BJ175" s="170"/>
      <c r="BK175" s="32" t="str">
        <f t="shared" si="114"/>
        <v>ENT_31_A6-21_ベース_MML_検歴情報モジュール_検体コメント.sql</v>
      </c>
    </row>
    <row r="176" spans="1:63" ht="37.5" hidden="1" customHeight="1" outlineLevel="1">
      <c r="A176" s="34" t="str">
        <f t="shared" si="110"/>
        <v>ベース_MML_検歴情報モジュール_検査項目</v>
      </c>
      <c r="B176" s="171" t="str">
        <f t="shared" si="111"/>
        <v>31</v>
      </c>
      <c r="C176" s="172"/>
      <c r="D176" s="172"/>
      <c r="E176" s="172"/>
      <c r="F176" s="173"/>
      <c r="G176" s="174" t="s">
        <v>307</v>
      </c>
      <c r="H176" s="175"/>
      <c r="I176" s="175"/>
      <c r="J176" s="175"/>
      <c r="K176" s="175"/>
      <c r="L176" s="175"/>
      <c r="M176" s="175"/>
      <c r="N176" s="176"/>
      <c r="O176" s="79" t="s">
        <v>3984</v>
      </c>
      <c r="P176" s="164" t="s">
        <v>3942</v>
      </c>
      <c r="Q176" s="165"/>
      <c r="R176" s="165"/>
      <c r="S176" s="165"/>
      <c r="T176" s="165"/>
      <c r="U176" s="165"/>
      <c r="V176" s="165"/>
      <c r="W176" s="165"/>
      <c r="X176" s="165"/>
      <c r="Y176" s="165"/>
      <c r="Z176" s="165"/>
      <c r="AA176" s="165"/>
      <c r="AB176" s="165"/>
      <c r="AC176" s="165"/>
      <c r="AD176" s="166"/>
      <c r="AE176" s="167" t="str">
        <f t="shared" ca="1" si="112"/>
        <v>azn_202310_base_text_mml_mmllb_item</v>
      </c>
      <c r="AF176" s="168"/>
      <c r="AG176" s="168"/>
      <c r="AH176" s="168"/>
      <c r="AI176" s="168"/>
      <c r="AJ176" s="168"/>
      <c r="AK176" s="168"/>
      <c r="AL176" s="169"/>
      <c r="AM176" s="167" t="str">
        <f t="shared" ca="1" si="113"/>
        <v>ベース_MML_検歴情報モジュール_検査項目テーブルから組入れ条件の第一条件で絞り込んだ結果を格納するテーブル</v>
      </c>
      <c r="AN176" s="168"/>
      <c r="AO176" s="168"/>
      <c r="AP176" s="168"/>
      <c r="AQ176" s="168"/>
      <c r="AR176" s="168"/>
      <c r="AS176" s="168"/>
      <c r="AT176" s="168"/>
      <c r="AU176" s="168"/>
      <c r="AV176" s="168"/>
      <c r="AW176" s="168"/>
      <c r="AX176" s="168"/>
      <c r="AY176" s="168"/>
      <c r="AZ176" s="168"/>
      <c r="BA176" s="168"/>
      <c r="BB176" s="168"/>
      <c r="BC176" s="168"/>
      <c r="BD176" s="168"/>
      <c r="BE176" s="168"/>
      <c r="BF176" s="168"/>
      <c r="BG176" s="168"/>
      <c r="BH176" s="168"/>
      <c r="BI176" s="168"/>
      <c r="BJ176" s="170"/>
      <c r="BK176" s="32" t="str">
        <f t="shared" si="114"/>
        <v>ENT_31_A6-22_ベース_MML_検歴情報モジュール_検査項目.sql</v>
      </c>
    </row>
    <row r="177" spans="1:63" ht="37.5" hidden="1" customHeight="1" outlineLevel="1">
      <c r="A177" s="34" t="str">
        <f t="shared" si="110"/>
        <v>ベース_MML_検歴情報モジュール_検査項目コメント</v>
      </c>
      <c r="B177" s="171" t="str">
        <f t="shared" si="111"/>
        <v>31</v>
      </c>
      <c r="C177" s="172"/>
      <c r="D177" s="172"/>
      <c r="E177" s="172"/>
      <c r="F177" s="173"/>
      <c r="G177" s="174" t="s">
        <v>307</v>
      </c>
      <c r="H177" s="175"/>
      <c r="I177" s="175"/>
      <c r="J177" s="175"/>
      <c r="K177" s="175"/>
      <c r="L177" s="175"/>
      <c r="M177" s="175"/>
      <c r="N177" s="176"/>
      <c r="O177" s="79" t="s">
        <v>3985</v>
      </c>
      <c r="P177" s="164" t="s">
        <v>3943</v>
      </c>
      <c r="Q177" s="165"/>
      <c r="R177" s="165"/>
      <c r="S177" s="165"/>
      <c r="T177" s="165"/>
      <c r="U177" s="165"/>
      <c r="V177" s="165"/>
      <c r="W177" s="165"/>
      <c r="X177" s="165"/>
      <c r="Y177" s="165"/>
      <c r="Z177" s="165"/>
      <c r="AA177" s="165"/>
      <c r="AB177" s="165"/>
      <c r="AC177" s="165"/>
      <c r="AD177" s="166"/>
      <c r="AE177" s="167" t="str">
        <f t="shared" ca="1" si="112"/>
        <v>azn_202310_base_text_mml_mmllb_item_memo</v>
      </c>
      <c r="AF177" s="168"/>
      <c r="AG177" s="168"/>
      <c r="AH177" s="168"/>
      <c r="AI177" s="168"/>
      <c r="AJ177" s="168"/>
      <c r="AK177" s="168"/>
      <c r="AL177" s="169"/>
      <c r="AM177" s="167" t="str">
        <f t="shared" ca="1" si="113"/>
        <v>ベース_MML_検歴情報モジュール_検査項目コメントテーブルから組入れ条件の第一条件で絞り込んだ結果を格納するテーブル</v>
      </c>
      <c r="AN177" s="168"/>
      <c r="AO177" s="168"/>
      <c r="AP177" s="168"/>
      <c r="AQ177" s="168"/>
      <c r="AR177" s="168"/>
      <c r="AS177" s="168"/>
      <c r="AT177" s="168"/>
      <c r="AU177" s="168"/>
      <c r="AV177" s="168"/>
      <c r="AW177" s="168"/>
      <c r="AX177" s="168"/>
      <c r="AY177" s="168"/>
      <c r="AZ177" s="168"/>
      <c r="BA177" s="168"/>
      <c r="BB177" s="168"/>
      <c r="BC177" s="168"/>
      <c r="BD177" s="168"/>
      <c r="BE177" s="168"/>
      <c r="BF177" s="168"/>
      <c r="BG177" s="168"/>
      <c r="BH177" s="168"/>
      <c r="BI177" s="168"/>
      <c r="BJ177" s="170"/>
      <c r="BK177" s="32" t="str">
        <f t="shared" si="114"/>
        <v>ENT_31_A6-23_ベース_MML_検歴情報モジュール_検査項目コメント.sql</v>
      </c>
    </row>
    <row r="178" spans="1:63" ht="37.5" hidden="1" customHeight="1" outlineLevel="1">
      <c r="A178" s="34" t="str">
        <f t="shared" si="101"/>
        <v>ベース_MML_処方箋モジュール_本文</v>
      </c>
      <c r="B178" s="171" t="str">
        <f t="shared" si="102"/>
        <v>31</v>
      </c>
      <c r="C178" s="172"/>
      <c r="D178" s="172"/>
      <c r="E178" s="172"/>
      <c r="F178" s="173"/>
      <c r="G178" s="174" t="s">
        <v>307</v>
      </c>
      <c r="H178" s="175"/>
      <c r="I178" s="175"/>
      <c r="J178" s="175"/>
      <c r="K178" s="175"/>
      <c r="L178" s="175"/>
      <c r="M178" s="175"/>
      <c r="N178" s="176"/>
      <c r="O178" s="79" t="s">
        <v>3957</v>
      </c>
      <c r="P178" s="164" t="s">
        <v>3713</v>
      </c>
      <c r="Q178" s="165"/>
      <c r="R178" s="165"/>
      <c r="S178" s="165"/>
      <c r="T178" s="165"/>
      <c r="U178" s="165"/>
      <c r="V178" s="165"/>
      <c r="W178" s="165"/>
      <c r="X178" s="165"/>
      <c r="Y178" s="165"/>
      <c r="Z178" s="165"/>
      <c r="AA178" s="165"/>
      <c r="AB178" s="165"/>
      <c r="AC178" s="165"/>
      <c r="AD178" s="166"/>
      <c r="AE178" s="167" t="str">
        <f t="shared" ca="1" si="103"/>
        <v>azn_202310_base_text_mml_mmlps_body</v>
      </c>
      <c r="AF178" s="168"/>
      <c r="AG178" s="168"/>
      <c r="AH178" s="168"/>
      <c r="AI178" s="168"/>
      <c r="AJ178" s="168"/>
      <c r="AK178" s="168"/>
      <c r="AL178" s="169"/>
      <c r="AM178" s="167" t="str">
        <f t="shared" ca="1" si="104"/>
        <v>バックアップ_MML_処方箋モジュール_本文テーブルから対象患者で絞り込んだ結果を格納するテーブル</v>
      </c>
      <c r="AN178" s="168"/>
      <c r="AO178" s="168"/>
      <c r="AP178" s="168"/>
      <c r="AQ178" s="168"/>
      <c r="AR178" s="168"/>
      <c r="AS178" s="168"/>
      <c r="AT178" s="168"/>
      <c r="AU178" s="168"/>
      <c r="AV178" s="168"/>
      <c r="AW178" s="168"/>
      <c r="AX178" s="168"/>
      <c r="AY178" s="168"/>
      <c r="AZ178" s="168"/>
      <c r="BA178" s="168"/>
      <c r="BB178" s="168"/>
      <c r="BC178" s="168"/>
      <c r="BD178" s="168"/>
      <c r="BE178" s="168"/>
      <c r="BF178" s="168"/>
      <c r="BG178" s="168"/>
      <c r="BH178" s="168"/>
      <c r="BI178" s="168"/>
      <c r="BJ178" s="170"/>
      <c r="BK178" s="32" t="str">
        <f t="shared" si="105"/>
        <v>ENT_31_A6-24_ベース_MML_処方箋モジュール_本文.sql</v>
      </c>
    </row>
    <row r="179" spans="1:63" ht="37.5" hidden="1" customHeight="1" outlineLevel="1">
      <c r="A179" s="34" t="str">
        <f t="shared" si="101"/>
        <v>ベース_MML_処方箋モジュール_投薬</v>
      </c>
      <c r="B179" s="171" t="str">
        <f t="shared" si="102"/>
        <v>31</v>
      </c>
      <c r="C179" s="172"/>
      <c r="D179" s="172"/>
      <c r="E179" s="172"/>
      <c r="F179" s="173"/>
      <c r="G179" s="174" t="s">
        <v>307</v>
      </c>
      <c r="H179" s="175"/>
      <c r="I179" s="175"/>
      <c r="J179" s="175"/>
      <c r="K179" s="175"/>
      <c r="L179" s="175"/>
      <c r="M179" s="175"/>
      <c r="N179" s="176"/>
      <c r="O179" s="79" t="s">
        <v>3958</v>
      </c>
      <c r="P179" s="164" t="s">
        <v>3714</v>
      </c>
      <c r="Q179" s="165"/>
      <c r="R179" s="165"/>
      <c r="S179" s="165"/>
      <c r="T179" s="165"/>
      <c r="U179" s="165"/>
      <c r="V179" s="165"/>
      <c r="W179" s="165"/>
      <c r="X179" s="165"/>
      <c r="Y179" s="165"/>
      <c r="Z179" s="165"/>
      <c r="AA179" s="165"/>
      <c r="AB179" s="165"/>
      <c r="AC179" s="165"/>
      <c r="AD179" s="166"/>
      <c r="AE179" s="167" t="str">
        <f t="shared" ca="1" si="103"/>
        <v>azn_202310_base_text_mml_mmlps_medication</v>
      </c>
      <c r="AF179" s="168"/>
      <c r="AG179" s="168"/>
      <c r="AH179" s="168"/>
      <c r="AI179" s="168"/>
      <c r="AJ179" s="168"/>
      <c r="AK179" s="168"/>
      <c r="AL179" s="169"/>
      <c r="AM179" s="167" t="str">
        <f t="shared" ca="1" si="104"/>
        <v>バックアップ_MML_処方箋モジュール_投薬テーブルから対象患者で絞り込んだ結果を格納するテーブル</v>
      </c>
      <c r="AN179" s="168"/>
      <c r="AO179" s="168"/>
      <c r="AP179" s="168"/>
      <c r="AQ179" s="168"/>
      <c r="AR179" s="168"/>
      <c r="AS179" s="168"/>
      <c r="AT179" s="168"/>
      <c r="AU179" s="168"/>
      <c r="AV179" s="168"/>
      <c r="AW179" s="168"/>
      <c r="AX179" s="168"/>
      <c r="AY179" s="168"/>
      <c r="AZ179" s="168"/>
      <c r="BA179" s="168"/>
      <c r="BB179" s="168"/>
      <c r="BC179" s="168"/>
      <c r="BD179" s="168"/>
      <c r="BE179" s="168"/>
      <c r="BF179" s="168"/>
      <c r="BG179" s="168"/>
      <c r="BH179" s="168"/>
      <c r="BI179" s="168"/>
      <c r="BJ179" s="170"/>
      <c r="BK179" s="32" t="str">
        <f t="shared" si="105"/>
        <v>ENT_31_A6-25_ベース_MML_処方箋モジュール_投薬.sql</v>
      </c>
    </row>
    <row r="180" spans="1:63" ht="37.5" hidden="1" customHeight="1" outlineLevel="1">
      <c r="A180" s="34" t="str">
        <f t="shared" si="101"/>
        <v>ベース_MML_処方箋モジュール_薬剤</v>
      </c>
      <c r="B180" s="171" t="str">
        <f t="shared" si="102"/>
        <v>31</v>
      </c>
      <c r="C180" s="172"/>
      <c r="D180" s="172"/>
      <c r="E180" s="172"/>
      <c r="F180" s="173"/>
      <c r="G180" s="174" t="s">
        <v>307</v>
      </c>
      <c r="H180" s="175"/>
      <c r="I180" s="175"/>
      <c r="J180" s="175"/>
      <c r="K180" s="175"/>
      <c r="L180" s="175"/>
      <c r="M180" s="175"/>
      <c r="N180" s="176"/>
      <c r="O180" s="79" t="s">
        <v>3959</v>
      </c>
      <c r="P180" s="164" t="s">
        <v>3715</v>
      </c>
      <c r="Q180" s="165"/>
      <c r="R180" s="165"/>
      <c r="S180" s="165"/>
      <c r="T180" s="165"/>
      <c r="U180" s="165"/>
      <c r="V180" s="165"/>
      <c r="W180" s="165"/>
      <c r="X180" s="165"/>
      <c r="Y180" s="165"/>
      <c r="Z180" s="165"/>
      <c r="AA180" s="165"/>
      <c r="AB180" s="165"/>
      <c r="AC180" s="165"/>
      <c r="AD180" s="166"/>
      <c r="AE180" s="167" t="str">
        <f t="shared" ca="1" si="103"/>
        <v>azn_202310_base_text_mml_mmlps_medicine</v>
      </c>
      <c r="AF180" s="168"/>
      <c r="AG180" s="168"/>
      <c r="AH180" s="168"/>
      <c r="AI180" s="168"/>
      <c r="AJ180" s="168"/>
      <c r="AK180" s="168"/>
      <c r="AL180" s="169"/>
      <c r="AM180" s="167" t="str">
        <f t="shared" ca="1" si="104"/>
        <v>バックアップ_MML_処方箋モジュール_薬剤テーブルから対象患者で絞り込んだ結果を格納するテーブル</v>
      </c>
      <c r="AN180" s="168"/>
      <c r="AO180" s="168"/>
      <c r="AP180" s="168"/>
      <c r="AQ180" s="168"/>
      <c r="AR180" s="168"/>
      <c r="AS180" s="168"/>
      <c r="AT180" s="168"/>
      <c r="AU180" s="168"/>
      <c r="AV180" s="168"/>
      <c r="AW180" s="168"/>
      <c r="AX180" s="168"/>
      <c r="AY180" s="168"/>
      <c r="AZ180" s="168"/>
      <c r="BA180" s="168"/>
      <c r="BB180" s="168"/>
      <c r="BC180" s="168"/>
      <c r="BD180" s="168"/>
      <c r="BE180" s="168"/>
      <c r="BF180" s="168"/>
      <c r="BG180" s="168"/>
      <c r="BH180" s="168"/>
      <c r="BI180" s="168"/>
      <c r="BJ180" s="170"/>
      <c r="BK180" s="32" t="str">
        <f t="shared" si="105"/>
        <v>ENT_31_A6-26_ベース_MML_処方箋モジュール_薬剤.sql</v>
      </c>
    </row>
    <row r="181" spans="1:63" ht="37.5" hidden="1" customHeight="1" outlineLevel="1">
      <c r="A181" s="34" t="str">
        <f t="shared" si="101"/>
        <v>ベース_DPC調査データ_入院EF統合ファイル</v>
      </c>
      <c r="B181" s="171" t="str">
        <f t="shared" si="102"/>
        <v>31</v>
      </c>
      <c r="C181" s="172"/>
      <c r="D181" s="172"/>
      <c r="E181" s="172"/>
      <c r="F181" s="173"/>
      <c r="G181" s="174" t="s">
        <v>307</v>
      </c>
      <c r="H181" s="175"/>
      <c r="I181" s="175"/>
      <c r="J181" s="175"/>
      <c r="K181" s="175"/>
      <c r="L181" s="175"/>
      <c r="M181" s="175"/>
      <c r="N181" s="176"/>
      <c r="O181" s="79" t="s">
        <v>3960</v>
      </c>
      <c r="P181" s="164" t="s">
        <v>3716</v>
      </c>
      <c r="Q181" s="165"/>
      <c r="R181" s="165"/>
      <c r="S181" s="165"/>
      <c r="T181" s="165"/>
      <c r="U181" s="165"/>
      <c r="V181" s="165"/>
      <c r="W181" s="165"/>
      <c r="X181" s="165"/>
      <c r="Y181" s="165"/>
      <c r="Z181" s="165"/>
      <c r="AA181" s="165"/>
      <c r="AB181" s="165"/>
      <c r="AC181" s="165"/>
      <c r="AD181" s="166"/>
      <c r="AE181" s="167" t="str">
        <f t="shared" ca="1" si="103"/>
        <v>azn_202310_base_merge_dpc_efn</v>
      </c>
      <c r="AF181" s="168"/>
      <c r="AG181" s="168"/>
      <c r="AH181" s="168"/>
      <c r="AI181" s="168"/>
      <c r="AJ181" s="168"/>
      <c r="AK181" s="168"/>
      <c r="AL181" s="169"/>
      <c r="AM181" s="167" t="str">
        <f t="shared" ca="1" si="104"/>
        <v>バックアップ_DPC調査データ_入院EF統合ファイルテーブルから対象患者で絞り込んだ結果を格納するテーブル</v>
      </c>
      <c r="AN181" s="168"/>
      <c r="AO181" s="168"/>
      <c r="AP181" s="168"/>
      <c r="AQ181" s="168"/>
      <c r="AR181" s="168"/>
      <c r="AS181" s="168"/>
      <c r="AT181" s="168"/>
      <c r="AU181" s="168"/>
      <c r="AV181" s="168"/>
      <c r="AW181" s="168"/>
      <c r="AX181" s="168"/>
      <c r="AY181" s="168"/>
      <c r="AZ181" s="168"/>
      <c r="BA181" s="168"/>
      <c r="BB181" s="168"/>
      <c r="BC181" s="168"/>
      <c r="BD181" s="168"/>
      <c r="BE181" s="168"/>
      <c r="BF181" s="168"/>
      <c r="BG181" s="168"/>
      <c r="BH181" s="168"/>
      <c r="BI181" s="168"/>
      <c r="BJ181" s="170"/>
      <c r="BK181" s="32" t="str">
        <f t="shared" si="105"/>
        <v>ENT_31_C1-02_ベース_DPC調査データ_入院EF統合ファイル.sql</v>
      </c>
    </row>
    <row r="182" spans="1:63" ht="37.5" hidden="1" customHeight="1" outlineLevel="1">
      <c r="A182" s="34" t="str">
        <f t="shared" si="101"/>
        <v>ベース_DPC調査データ_外来EF統合ファイル</v>
      </c>
      <c r="B182" s="171" t="str">
        <f t="shared" si="102"/>
        <v>31</v>
      </c>
      <c r="C182" s="172"/>
      <c r="D182" s="172"/>
      <c r="E182" s="172"/>
      <c r="F182" s="173"/>
      <c r="G182" s="174" t="s">
        <v>307</v>
      </c>
      <c r="H182" s="175"/>
      <c r="I182" s="175"/>
      <c r="J182" s="175"/>
      <c r="K182" s="175"/>
      <c r="L182" s="175"/>
      <c r="M182" s="175"/>
      <c r="N182" s="176"/>
      <c r="O182" s="79" t="s">
        <v>3961</v>
      </c>
      <c r="P182" s="164" t="s">
        <v>3717</v>
      </c>
      <c r="Q182" s="165"/>
      <c r="R182" s="165"/>
      <c r="S182" s="165"/>
      <c r="T182" s="165"/>
      <c r="U182" s="165"/>
      <c r="V182" s="165"/>
      <c r="W182" s="165"/>
      <c r="X182" s="165"/>
      <c r="Y182" s="165"/>
      <c r="Z182" s="165"/>
      <c r="AA182" s="165"/>
      <c r="AB182" s="165"/>
      <c r="AC182" s="165"/>
      <c r="AD182" s="166"/>
      <c r="AE182" s="167" t="str">
        <f t="shared" ca="1" si="103"/>
        <v>azn_202310_base_merge_dpc_efg</v>
      </c>
      <c r="AF182" s="168"/>
      <c r="AG182" s="168"/>
      <c r="AH182" s="168"/>
      <c r="AI182" s="168"/>
      <c r="AJ182" s="168"/>
      <c r="AK182" s="168"/>
      <c r="AL182" s="169"/>
      <c r="AM182" s="167" t="str">
        <f t="shared" ca="1" si="104"/>
        <v>バックアップ_DPC調査データ_外来EF統合ファイルテーブルから対象患者で絞り込んだ結果を格納するテーブル</v>
      </c>
      <c r="AN182" s="168"/>
      <c r="AO182" s="168"/>
      <c r="AP182" s="168"/>
      <c r="AQ182" s="168"/>
      <c r="AR182" s="168"/>
      <c r="AS182" s="168"/>
      <c r="AT182" s="168"/>
      <c r="AU182" s="168"/>
      <c r="AV182" s="168"/>
      <c r="AW182" s="168"/>
      <c r="AX182" s="168"/>
      <c r="AY182" s="168"/>
      <c r="AZ182" s="168"/>
      <c r="BA182" s="168"/>
      <c r="BB182" s="168"/>
      <c r="BC182" s="168"/>
      <c r="BD182" s="168"/>
      <c r="BE182" s="168"/>
      <c r="BF182" s="168"/>
      <c r="BG182" s="168"/>
      <c r="BH182" s="168"/>
      <c r="BI182" s="168"/>
      <c r="BJ182" s="170"/>
      <c r="BK182" s="32" t="str">
        <f t="shared" si="105"/>
        <v>ENT_31_C1-03_ベース_DPC調査データ_外来EF統合ファイル.sql</v>
      </c>
    </row>
    <row r="183" spans="1:63" ht="37.5" hidden="1" customHeight="1" outlineLevel="1">
      <c r="A183" s="34" t="str">
        <f t="shared" si="101"/>
        <v>ベース_DPC調査データ_様式1</v>
      </c>
      <c r="B183" s="171" t="str">
        <f t="shared" si="102"/>
        <v>31</v>
      </c>
      <c r="C183" s="172"/>
      <c r="D183" s="172"/>
      <c r="E183" s="172"/>
      <c r="F183" s="173"/>
      <c r="G183" s="174" t="s">
        <v>307</v>
      </c>
      <c r="H183" s="175"/>
      <c r="I183" s="175"/>
      <c r="J183" s="175"/>
      <c r="K183" s="175"/>
      <c r="L183" s="175"/>
      <c r="M183" s="175"/>
      <c r="N183" s="176"/>
      <c r="O183" s="79" t="s">
        <v>3962</v>
      </c>
      <c r="P183" s="164" t="s">
        <v>3718</v>
      </c>
      <c r="Q183" s="165"/>
      <c r="R183" s="165"/>
      <c r="S183" s="165"/>
      <c r="T183" s="165"/>
      <c r="U183" s="165"/>
      <c r="V183" s="165"/>
      <c r="W183" s="165"/>
      <c r="X183" s="165"/>
      <c r="Y183" s="165"/>
      <c r="Z183" s="165"/>
      <c r="AA183" s="165"/>
      <c r="AB183" s="165"/>
      <c r="AC183" s="165"/>
      <c r="AD183" s="166"/>
      <c r="AE183" s="167" t="str">
        <f t="shared" ca="1" si="103"/>
        <v>azn_202310_base_merge_dpc_ff1</v>
      </c>
      <c r="AF183" s="168"/>
      <c r="AG183" s="168"/>
      <c r="AH183" s="168"/>
      <c r="AI183" s="168"/>
      <c r="AJ183" s="168"/>
      <c r="AK183" s="168"/>
      <c r="AL183" s="169"/>
      <c r="AM183" s="167" t="str">
        <f t="shared" ca="1" si="104"/>
        <v>バックアップ_DPC調査データ_様式1テーブルから対象患者で絞り込んだ結果を格納するテーブル</v>
      </c>
      <c r="AN183" s="168"/>
      <c r="AO183" s="168"/>
      <c r="AP183" s="168"/>
      <c r="AQ183" s="168"/>
      <c r="AR183" s="168"/>
      <c r="AS183" s="168"/>
      <c r="AT183" s="168"/>
      <c r="AU183" s="168"/>
      <c r="AV183" s="168"/>
      <c r="AW183" s="168"/>
      <c r="AX183" s="168"/>
      <c r="AY183" s="168"/>
      <c r="AZ183" s="168"/>
      <c r="BA183" s="168"/>
      <c r="BB183" s="168"/>
      <c r="BC183" s="168"/>
      <c r="BD183" s="168"/>
      <c r="BE183" s="168"/>
      <c r="BF183" s="168"/>
      <c r="BG183" s="168"/>
      <c r="BH183" s="168"/>
      <c r="BI183" s="168"/>
      <c r="BJ183" s="170"/>
      <c r="BK183" s="32" t="str">
        <f t="shared" si="105"/>
        <v>ENT_31_C1-05_ベース_DPC調査データ_様式1.sql</v>
      </c>
    </row>
    <row r="184" spans="1:63" ht="37.5" hidden="1" customHeight="1" outlineLevel="1">
      <c r="A184" s="34" t="str">
        <f t="shared" si="101"/>
        <v>ベース_DPC調査データ_様式1_診断情報_併存症</v>
      </c>
      <c r="B184" s="171" t="str">
        <f t="shared" si="102"/>
        <v>31</v>
      </c>
      <c r="C184" s="172"/>
      <c r="D184" s="172"/>
      <c r="E184" s="172"/>
      <c r="F184" s="173"/>
      <c r="G184" s="174" t="s">
        <v>307</v>
      </c>
      <c r="H184" s="175"/>
      <c r="I184" s="175"/>
      <c r="J184" s="175"/>
      <c r="K184" s="175"/>
      <c r="L184" s="175"/>
      <c r="M184" s="175"/>
      <c r="N184" s="176"/>
      <c r="O184" s="79" t="s">
        <v>3963</v>
      </c>
      <c r="P184" s="164" t="s">
        <v>3719</v>
      </c>
      <c r="Q184" s="165"/>
      <c r="R184" s="165"/>
      <c r="S184" s="165"/>
      <c r="T184" s="165"/>
      <c r="U184" s="165"/>
      <c r="V184" s="165"/>
      <c r="W184" s="165"/>
      <c r="X184" s="165"/>
      <c r="Y184" s="165"/>
      <c r="Z184" s="165"/>
      <c r="AA184" s="165"/>
      <c r="AB184" s="165"/>
      <c r="AC184" s="165"/>
      <c r="AD184" s="166"/>
      <c r="AE184" s="167" t="str">
        <f t="shared" ca="1" si="103"/>
        <v>azn_202310_base_merge_dpc_ff1_a006040</v>
      </c>
      <c r="AF184" s="168"/>
      <c r="AG184" s="168"/>
      <c r="AH184" s="168"/>
      <c r="AI184" s="168"/>
      <c r="AJ184" s="168"/>
      <c r="AK184" s="168"/>
      <c r="AL184" s="169"/>
      <c r="AM184" s="167" t="str">
        <f t="shared" ca="1" si="104"/>
        <v>バックアップ_DPC調査データ_様式1_診断情報_併存症テーブルから対象患者で絞り込んだ結果を格納するテーブル</v>
      </c>
      <c r="AN184" s="168"/>
      <c r="AO184" s="168"/>
      <c r="AP184" s="168"/>
      <c r="AQ184" s="168"/>
      <c r="AR184" s="168"/>
      <c r="AS184" s="168"/>
      <c r="AT184" s="168"/>
      <c r="AU184" s="168"/>
      <c r="AV184" s="168"/>
      <c r="AW184" s="168"/>
      <c r="AX184" s="168"/>
      <c r="AY184" s="168"/>
      <c r="AZ184" s="168"/>
      <c r="BA184" s="168"/>
      <c r="BB184" s="168"/>
      <c r="BC184" s="168"/>
      <c r="BD184" s="168"/>
      <c r="BE184" s="168"/>
      <c r="BF184" s="168"/>
      <c r="BG184" s="168"/>
      <c r="BH184" s="168"/>
      <c r="BI184" s="168"/>
      <c r="BJ184" s="170"/>
      <c r="BK184" s="32" t="str">
        <f t="shared" si="105"/>
        <v>ENT_31_C1-07_ベース_DPC調査データ_様式1_診断情報_併存症.sql</v>
      </c>
    </row>
    <row r="185" spans="1:63" ht="37.5" hidden="1" customHeight="1" outlineLevel="1">
      <c r="A185" s="34" t="str">
        <f t="shared" si="101"/>
        <v>ベース_DPC調査データ_様式1_診断情報_続発症</v>
      </c>
      <c r="B185" s="171" t="str">
        <f t="shared" si="102"/>
        <v>31</v>
      </c>
      <c r="C185" s="172"/>
      <c r="D185" s="172"/>
      <c r="E185" s="172"/>
      <c r="F185" s="173"/>
      <c r="G185" s="174" t="s">
        <v>307</v>
      </c>
      <c r="H185" s="175"/>
      <c r="I185" s="175"/>
      <c r="J185" s="175"/>
      <c r="K185" s="175"/>
      <c r="L185" s="175"/>
      <c r="M185" s="175"/>
      <c r="N185" s="176"/>
      <c r="O185" s="79" t="s">
        <v>3964</v>
      </c>
      <c r="P185" s="164" t="s">
        <v>3720</v>
      </c>
      <c r="Q185" s="165"/>
      <c r="R185" s="165"/>
      <c r="S185" s="165"/>
      <c r="T185" s="165"/>
      <c r="U185" s="165"/>
      <c r="V185" s="165"/>
      <c r="W185" s="165"/>
      <c r="X185" s="165"/>
      <c r="Y185" s="165"/>
      <c r="Z185" s="165"/>
      <c r="AA185" s="165"/>
      <c r="AB185" s="165"/>
      <c r="AC185" s="165"/>
      <c r="AD185" s="166"/>
      <c r="AE185" s="167" t="str">
        <f t="shared" ca="1" si="103"/>
        <v>azn_202310_base_merge_dpc_ff1_a006050</v>
      </c>
      <c r="AF185" s="168"/>
      <c r="AG185" s="168"/>
      <c r="AH185" s="168"/>
      <c r="AI185" s="168"/>
      <c r="AJ185" s="168"/>
      <c r="AK185" s="168"/>
      <c r="AL185" s="169"/>
      <c r="AM185" s="167" t="str">
        <f t="shared" ca="1" si="104"/>
        <v>バックアップ_DPC調査データ_様式1_診断情報_続発症テーブルから対象患者で絞り込んだ結果を格納するテーブル</v>
      </c>
      <c r="AN185" s="168"/>
      <c r="AO185" s="168"/>
      <c r="AP185" s="168"/>
      <c r="AQ185" s="168"/>
      <c r="AR185" s="168"/>
      <c r="AS185" s="168"/>
      <c r="AT185" s="168"/>
      <c r="AU185" s="168"/>
      <c r="AV185" s="168"/>
      <c r="AW185" s="168"/>
      <c r="AX185" s="168"/>
      <c r="AY185" s="168"/>
      <c r="AZ185" s="168"/>
      <c r="BA185" s="168"/>
      <c r="BB185" s="168"/>
      <c r="BC185" s="168"/>
      <c r="BD185" s="168"/>
      <c r="BE185" s="168"/>
      <c r="BF185" s="168"/>
      <c r="BG185" s="168"/>
      <c r="BH185" s="168"/>
      <c r="BI185" s="168"/>
      <c r="BJ185" s="170"/>
      <c r="BK185" s="32" t="str">
        <f t="shared" si="105"/>
        <v>ENT_31_C1-08_ベース_DPC調査データ_様式1_診断情報_続発症.sql</v>
      </c>
    </row>
    <row r="186" spans="1:63" ht="37.5" hidden="1" customHeight="1" outlineLevel="1">
      <c r="A186" s="34" t="str">
        <f t="shared" si="101"/>
        <v>ベース_診断履歴情報モジュール_診断履歴情報レコード</v>
      </c>
      <c r="B186" s="171" t="str">
        <f t="shared" si="102"/>
        <v>31</v>
      </c>
      <c r="C186" s="172"/>
      <c r="D186" s="172"/>
      <c r="E186" s="172"/>
      <c r="F186" s="173"/>
      <c r="G186" s="174" t="s">
        <v>307</v>
      </c>
      <c r="H186" s="175"/>
      <c r="I186" s="175"/>
      <c r="J186" s="175"/>
      <c r="K186" s="175"/>
      <c r="L186" s="175"/>
      <c r="M186" s="175"/>
      <c r="N186" s="176"/>
      <c r="O186" s="79" t="s">
        <v>3965</v>
      </c>
      <c r="P186" s="164" t="s">
        <v>3721</v>
      </c>
      <c r="Q186" s="165"/>
      <c r="R186" s="165"/>
      <c r="S186" s="165"/>
      <c r="T186" s="165"/>
      <c r="U186" s="165"/>
      <c r="V186" s="165"/>
      <c r="W186" s="165"/>
      <c r="X186" s="165"/>
      <c r="Y186" s="165"/>
      <c r="Z186" s="165"/>
      <c r="AA186" s="165"/>
      <c r="AB186" s="165"/>
      <c r="AC186" s="165"/>
      <c r="AD186" s="166"/>
      <c r="AE186" s="167" t="str">
        <f t="shared" ca="1" si="103"/>
        <v>azn_202310_base_merge_mml_rd_register</v>
      </c>
      <c r="AF186" s="168"/>
      <c r="AG186" s="168"/>
      <c r="AH186" s="168"/>
      <c r="AI186" s="168"/>
      <c r="AJ186" s="168"/>
      <c r="AK186" s="168"/>
      <c r="AL186" s="169"/>
      <c r="AM186" s="167" t="str">
        <f t="shared" ca="1" si="104"/>
        <v>バックアップ_診断履歴情報モジュール_診断履歴情報レコードテーブルから対象患者で絞り込んだ結果を格納するテーブル</v>
      </c>
      <c r="AN186" s="168"/>
      <c r="AO186" s="168"/>
      <c r="AP186" s="168"/>
      <c r="AQ186" s="168"/>
      <c r="AR186" s="168"/>
      <c r="AS186" s="168"/>
      <c r="AT186" s="168"/>
      <c r="AU186" s="168"/>
      <c r="AV186" s="168"/>
      <c r="AW186" s="168"/>
      <c r="AX186" s="168"/>
      <c r="AY186" s="168"/>
      <c r="AZ186" s="168"/>
      <c r="BA186" s="168"/>
      <c r="BB186" s="168"/>
      <c r="BC186" s="168"/>
      <c r="BD186" s="168"/>
      <c r="BE186" s="168"/>
      <c r="BF186" s="168"/>
      <c r="BG186" s="168"/>
      <c r="BH186" s="168"/>
      <c r="BI186" s="168"/>
      <c r="BJ186" s="170"/>
      <c r="BK186" s="32" t="str">
        <f t="shared" si="105"/>
        <v>ENT_31_C4-03_ベース_診断履歴情報モジュール_診断履歴情報レコード.sql</v>
      </c>
    </row>
    <row r="187" spans="1:63" ht="37.5" hidden="1" customHeight="1" outlineLevel="1">
      <c r="A187" s="34" t="str">
        <f t="shared" si="101"/>
        <v>ベース_診断履歴情報モジュール_診断病名レコード</v>
      </c>
      <c r="B187" s="171" t="str">
        <f t="shared" si="102"/>
        <v>31</v>
      </c>
      <c r="C187" s="172"/>
      <c r="D187" s="172"/>
      <c r="E187" s="172"/>
      <c r="F187" s="173"/>
      <c r="G187" s="174" t="s">
        <v>307</v>
      </c>
      <c r="H187" s="175"/>
      <c r="I187" s="175"/>
      <c r="J187" s="175"/>
      <c r="K187" s="175"/>
      <c r="L187" s="175"/>
      <c r="M187" s="175"/>
      <c r="N187" s="176"/>
      <c r="O187" s="79" t="s">
        <v>3966</v>
      </c>
      <c r="P187" s="164" t="s">
        <v>3722</v>
      </c>
      <c r="Q187" s="165"/>
      <c r="R187" s="165"/>
      <c r="S187" s="165"/>
      <c r="T187" s="165"/>
      <c r="U187" s="165"/>
      <c r="V187" s="165"/>
      <c r="W187" s="165"/>
      <c r="X187" s="165"/>
      <c r="Y187" s="165"/>
      <c r="Z187" s="165"/>
      <c r="AA187" s="165"/>
      <c r="AB187" s="165"/>
      <c r="AC187" s="165"/>
      <c r="AD187" s="166"/>
      <c r="AE187" s="167" t="str">
        <f t="shared" ca="1" si="103"/>
        <v>azn_202310_base_merge_mml_rd_byomei</v>
      </c>
      <c r="AF187" s="168"/>
      <c r="AG187" s="168"/>
      <c r="AH187" s="168"/>
      <c r="AI187" s="168"/>
      <c r="AJ187" s="168"/>
      <c r="AK187" s="168"/>
      <c r="AL187" s="169"/>
      <c r="AM187" s="167" t="str">
        <f t="shared" ca="1" si="104"/>
        <v>バックアップ_診断履歴情報モジュール_診断病名レコードテーブルから対象患者で絞り込んだ結果を格納するテーブル</v>
      </c>
      <c r="AN187" s="168"/>
      <c r="AO187" s="168"/>
      <c r="AP187" s="168"/>
      <c r="AQ187" s="168"/>
      <c r="AR187" s="168"/>
      <c r="AS187" s="168"/>
      <c r="AT187" s="168"/>
      <c r="AU187" s="168"/>
      <c r="AV187" s="168"/>
      <c r="AW187" s="168"/>
      <c r="AX187" s="168"/>
      <c r="AY187" s="168"/>
      <c r="AZ187" s="168"/>
      <c r="BA187" s="168"/>
      <c r="BB187" s="168"/>
      <c r="BC187" s="168"/>
      <c r="BD187" s="168"/>
      <c r="BE187" s="168"/>
      <c r="BF187" s="168"/>
      <c r="BG187" s="168"/>
      <c r="BH187" s="168"/>
      <c r="BI187" s="168"/>
      <c r="BJ187" s="170"/>
      <c r="BK187" s="32" t="str">
        <f t="shared" si="105"/>
        <v>ENT_31_C4-04_ベース_診断履歴情報モジュール_診断病名レコード.sql</v>
      </c>
    </row>
    <row r="188" spans="1:63" ht="37.5" hidden="1" customHeight="1" outlineLevel="1">
      <c r="A188" s="34" t="str">
        <f t="shared" si="101"/>
        <v>ベース_経過記録情報モジュール_経過記録情報レコード</v>
      </c>
      <c r="B188" s="171" t="str">
        <f t="shared" si="102"/>
        <v>31</v>
      </c>
      <c r="C188" s="172"/>
      <c r="D188" s="172"/>
      <c r="E188" s="172"/>
      <c r="F188" s="173"/>
      <c r="G188" s="174" t="s">
        <v>307</v>
      </c>
      <c r="H188" s="175"/>
      <c r="I188" s="175"/>
      <c r="J188" s="175"/>
      <c r="K188" s="175"/>
      <c r="L188" s="175"/>
      <c r="M188" s="175"/>
      <c r="N188" s="176"/>
      <c r="O188" s="79" t="s">
        <v>3967</v>
      </c>
      <c r="P188" s="164" t="s">
        <v>3723</v>
      </c>
      <c r="Q188" s="165"/>
      <c r="R188" s="165"/>
      <c r="S188" s="165"/>
      <c r="T188" s="165"/>
      <c r="U188" s="165"/>
      <c r="V188" s="165"/>
      <c r="W188" s="165"/>
      <c r="X188" s="165"/>
      <c r="Y188" s="165"/>
      <c r="Z188" s="165"/>
      <c r="AA188" s="165"/>
      <c r="AB188" s="165"/>
      <c r="AC188" s="165"/>
      <c r="AD188" s="166"/>
      <c r="AE188" s="167" t="str">
        <f t="shared" ca="1" si="103"/>
        <v>azn_202310_base_merge_mml_pc_progress_course</v>
      </c>
      <c r="AF188" s="168"/>
      <c r="AG188" s="168"/>
      <c r="AH188" s="168"/>
      <c r="AI188" s="168"/>
      <c r="AJ188" s="168"/>
      <c r="AK188" s="168"/>
      <c r="AL188" s="169"/>
      <c r="AM188" s="167" t="str">
        <f t="shared" ca="1" si="104"/>
        <v>バックアップ_経過記録情報モジュール_経過記録情報レコードテーブルから対象患者で絞り込んだ結果を格納するテーブル</v>
      </c>
      <c r="AN188" s="168"/>
      <c r="AO188" s="168"/>
      <c r="AP188" s="168"/>
      <c r="AQ188" s="168"/>
      <c r="AR188" s="168"/>
      <c r="AS188" s="168"/>
      <c r="AT188" s="168"/>
      <c r="AU188" s="168"/>
      <c r="AV188" s="168"/>
      <c r="AW188" s="168"/>
      <c r="AX188" s="168"/>
      <c r="AY188" s="168"/>
      <c r="AZ188" s="168"/>
      <c r="BA188" s="168"/>
      <c r="BB188" s="168"/>
      <c r="BC188" s="168"/>
      <c r="BD188" s="168"/>
      <c r="BE188" s="168"/>
      <c r="BF188" s="168"/>
      <c r="BG188" s="168"/>
      <c r="BH188" s="168"/>
      <c r="BI188" s="168"/>
      <c r="BJ188" s="170"/>
      <c r="BK188" s="32" t="str">
        <f t="shared" si="105"/>
        <v>ENT_31_C4-06_ベース_経過記録情報モジュール_経過記録情報レコード.sql</v>
      </c>
    </row>
    <row r="189" spans="1:63" ht="37.5" hidden="1" customHeight="1" outlineLevel="1">
      <c r="A189" s="34" t="str">
        <f t="shared" si="101"/>
        <v>ベース_経過記録情報モジュール_プロブレムレコード</v>
      </c>
      <c r="B189" s="171" t="str">
        <f t="shared" si="102"/>
        <v>31</v>
      </c>
      <c r="C189" s="172"/>
      <c r="D189" s="172"/>
      <c r="E189" s="172"/>
      <c r="F189" s="173"/>
      <c r="G189" s="174" t="s">
        <v>307</v>
      </c>
      <c r="H189" s="175"/>
      <c r="I189" s="175"/>
      <c r="J189" s="175"/>
      <c r="K189" s="175"/>
      <c r="L189" s="175"/>
      <c r="M189" s="175"/>
      <c r="N189" s="176"/>
      <c r="O189" s="79" t="s">
        <v>3968</v>
      </c>
      <c r="P189" s="164" t="s">
        <v>3724</v>
      </c>
      <c r="Q189" s="165"/>
      <c r="R189" s="165"/>
      <c r="S189" s="165"/>
      <c r="T189" s="165"/>
      <c r="U189" s="165"/>
      <c r="V189" s="165"/>
      <c r="W189" s="165"/>
      <c r="X189" s="165"/>
      <c r="Y189" s="165"/>
      <c r="Z189" s="165"/>
      <c r="AA189" s="165"/>
      <c r="AB189" s="165"/>
      <c r="AC189" s="165"/>
      <c r="AD189" s="166"/>
      <c r="AE189" s="167" t="str">
        <f t="shared" ca="1" si="103"/>
        <v>azn_202310_base_merge_mml_pc_problem</v>
      </c>
      <c r="AF189" s="168"/>
      <c r="AG189" s="168"/>
      <c r="AH189" s="168"/>
      <c r="AI189" s="168"/>
      <c r="AJ189" s="168"/>
      <c r="AK189" s="168"/>
      <c r="AL189" s="169"/>
      <c r="AM189" s="167" t="str">
        <f t="shared" ca="1" si="104"/>
        <v>バックアップ_経過記録情報モジュール_プロブレムレコードテーブルから対象患者で絞り込んだ結果を格納するテーブル</v>
      </c>
      <c r="AN189" s="168"/>
      <c r="AO189" s="168"/>
      <c r="AP189" s="168"/>
      <c r="AQ189" s="168"/>
      <c r="AR189" s="168"/>
      <c r="AS189" s="168"/>
      <c r="AT189" s="168"/>
      <c r="AU189" s="168"/>
      <c r="AV189" s="168"/>
      <c r="AW189" s="168"/>
      <c r="AX189" s="168"/>
      <c r="AY189" s="168"/>
      <c r="AZ189" s="168"/>
      <c r="BA189" s="168"/>
      <c r="BB189" s="168"/>
      <c r="BC189" s="168"/>
      <c r="BD189" s="168"/>
      <c r="BE189" s="168"/>
      <c r="BF189" s="168"/>
      <c r="BG189" s="168"/>
      <c r="BH189" s="168"/>
      <c r="BI189" s="168"/>
      <c r="BJ189" s="170"/>
      <c r="BK189" s="32" t="str">
        <f t="shared" si="105"/>
        <v>ENT_31_C4-07_ベース_経過記録情報モジュール_プロブレムレコード.sql</v>
      </c>
    </row>
    <row r="190" spans="1:63" ht="37.5" hidden="1" customHeight="1" outlineLevel="1">
      <c r="A190" s="34" t="str">
        <f t="shared" si="101"/>
        <v>ベース_経過記録情報モジュール_身体所見レコード</v>
      </c>
      <c r="B190" s="171" t="str">
        <f t="shared" si="102"/>
        <v>31</v>
      </c>
      <c r="C190" s="172"/>
      <c r="D190" s="172"/>
      <c r="E190" s="172"/>
      <c r="F190" s="173"/>
      <c r="G190" s="174" t="s">
        <v>307</v>
      </c>
      <c r="H190" s="175"/>
      <c r="I190" s="175"/>
      <c r="J190" s="175"/>
      <c r="K190" s="175"/>
      <c r="L190" s="175"/>
      <c r="M190" s="175"/>
      <c r="N190" s="176"/>
      <c r="O190" s="79" t="s">
        <v>3969</v>
      </c>
      <c r="P190" s="164" t="s">
        <v>3725</v>
      </c>
      <c r="Q190" s="165"/>
      <c r="R190" s="165"/>
      <c r="S190" s="165"/>
      <c r="T190" s="165"/>
      <c r="U190" s="165"/>
      <c r="V190" s="165"/>
      <c r="W190" s="165"/>
      <c r="X190" s="165"/>
      <c r="Y190" s="165"/>
      <c r="Z190" s="165"/>
      <c r="AA190" s="165"/>
      <c r="AB190" s="165"/>
      <c r="AC190" s="165"/>
      <c r="AD190" s="166"/>
      <c r="AE190" s="167" t="str">
        <f t="shared" ca="1" si="103"/>
        <v>azn_202310_base_merge_mml_pc_physical_exam</v>
      </c>
      <c r="AF190" s="168"/>
      <c r="AG190" s="168"/>
      <c r="AH190" s="168"/>
      <c r="AI190" s="168"/>
      <c r="AJ190" s="168"/>
      <c r="AK190" s="168"/>
      <c r="AL190" s="169"/>
      <c r="AM190" s="167" t="str">
        <f t="shared" ca="1" si="104"/>
        <v>バックアップ_経過記録情報モジュール_身体所見レコードテーブルから対象患者で絞り込んだ結果を格納するテーブル</v>
      </c>
      <c r="AN190" s="168"/>
      <c r="AO190" s="168"/>
      <c r="AP190" s="168"/>
      <c r="AQ190" s="168"/>
      <c r="AR190" s="168"/>
      <c r="AS190" s="168"/>
      <c r="AT190" s="168"/>
      <c r="AU190" s="168"/>
      <c r="AV190" s="168"/>
      <c r="AW190" s="168"/>
      <c r="AX190" s="168"/>
      <c r="AY190" s="168"/>
      <c r="AZ190" s="168"/>
      <c r="BA190" s="168"/>
      <c r="BB190" s="168"/>
      <c r="BC190" s="168"/>
      <c r="BD190" s="168"/>
      <c r="BE190" s="168"/>
      <c r="BF190" s="168"/>
      <c r="BG190" s="168"/>
      <c r="BH190" s="168"/>
      <c r="BI190" s="168"/>
      <c r="BJ190" s="170"/>
      <c r="BK190" s="32" t="str">
        <f t="shared" si="105"/>
        <v>ENT_31_C4-08_ベース_経過記録情報モジュール_身体所見レコード.sql</v>
      </c>
    </row>
    <row r="191" spans="1:63" ht="37.5" hidden="1" customHeight="1" outlineLevel="1">
      <c r="A191" s="34" t="str">
        <f t="shared" si="101"/>
        <v>ベース_経過記録情報モジュール_アセスメントレコード</v>
      </c>
      <c r="B191" s="171" t="str">
        <f t="shared" si="102"/>
        <v>31</v>
      </c>
      <c r="C191" s="172"/>
      <c r="D191" s="172"/>
      <c r="E191" s="172"/>
      <c r="F191" s="173"/>
      <c r="G191" s="174" t="s">
        <v>307</v>
      </c>
      <c r="H191" s="175"/>
      <c r="I191" s="175"/>
      <c r="J191" s="175"/>
      <c r="K191" s="175"/>
      <c r="L191" s="175"/>
      <c r="M191" s="175"/>
      <c r="N191" s="176"/>
      <c r="O191" s="79" t="s">
        <v>3970</v>
      </c>
      <c r="P191" s="164" t="s">
        <v>3726</v>
      </c>
      <c r="Q191" s="165"/>
      <c r="R191" s="165"/>
      <c r="S191" s="165"/>
      <c r="T191" s="165"/>
      <c r="U191" s="165"/>
      <c r="V191" s="165"/>
      <c r="W191" s="165"/>
      <c r="X191" s="165"/>
      <c r="Y191" s="165"/>
      <c r="Z191" s="165"/>
      <c r="AA191" s="165"/>
      <c r="AB191" s="165"/>
      <c r="AC191" s="165"/>
      <c r="AD191" s="166"/>
      <c r="AE191" s="167" t="str">
        <f t="shared" ca="1" si="103"/>
        <v>azn_202310_base_merge_mml_pc_assessment</v>
      </c>
      <c r="AF191" s="168"/>
      <c r="AG191" s="168"/>
      <c r="AH191" s="168"/>
      <c r="AI191" s="168"/>
      <c r="AJ191" s="168"/>
      <c r="AK191" s="168"/>
      <c r="AL191" s="169"/>
      <c r="AM191" s="167" t="str">
        <f t="shared" ca="1" si="104"/>
        <v>バックアップ_経過記録情報モジュール_アセスメントレコードテーブルから対象患者で絞り込んだ結果を格納するテーブル</v>
      </c>
      <c r="AN191" s="168"/>
      <c r="AO191" s="168"/>
      <c r="AP191" s="168"/>
      <c r="AQ191" s="168"/>
      <c r="AR191" s="168"/>
      <c r="AS191" s="168"/>
      <c r="AT191" s="168"/>
      <c r="AU191" s="168"/>
      <c r="AV191" s="168"/>
      <c r="AW191" s="168"/>
      <c r="AX191" s="168"/>
      <c r="AY191" s="168"/>
      <c r="AZ191" s="168"/>
      <c r="BA191" s="168"/>
      <c r="BB191" s="168"/>
      <c r="BC191" s="168"/>
      <c r="BD191" s="168"/>
      <c r="BE191" s="168"/>
      <c r="BF191" s="168"/>
      <c r="BG191" s="168"/>
      <c r="BH191" s="168"/>
      <c r="BI191" s="168"/>
      <c r="BJ191" s="170"/>
      <c r="BK191" s="32" t="str">
        <f t="shared" si="105"/>
        <v>ENT_31_C4-15_ベース_経過記録情報モジュール_アセスメントレコード.sql</v>
      </c>
    </row>
    <row r="192" spans="1:63" ht="37.5" hidden="1" customHeight="1" outlineLevel="1">
      <c r="A192" s="34" t="str">
        <f t="shared" si="101"/>
        <v>ベース_経過記録情報モジュール_外部参照レコード</v>
      </c>
      <c r="B192" s="171" t="str">
        <f t="shared" si="102"/>
        <v>31</v>
      </c>
      <c r="C192" s="172"/>
      <c r="D192" s="172"/>
      <c r="E192" s="172"/>
      <c r="F192" s="173"/>
      <c r="G192" s="174" t="s">
        <v>307</v>
      </c>
      <c r="H192" s="175"/>
      <c r="I192" s="175"/>
      <c r="J192" s="175"/>
      <c r="K192" s="175"/>
      <c r="L192" s="175"/>
      <c r="M192" s="175"/>
      <c r="N192" s="176"/>
      <c r="O192" s="79" t="s">
        <v>3971</v>
      </c>
      <c r="P192" s="164" t="s">
        <v>3727</v>
      </c>
      <c r="Q192" s="165"/>
      <c r="R192" s="165"/>
      <c r="S192" s="165"/>
      <c r="T192" s="165"/>
      <c r="U192" s="165"/>
      <c r="V192" s="165"/>
      <c r="W192" s="165"/>
      <c r="X192" s="165"/>
      <c r="Y192" s="165"/>
      <c r="Z192" s="165"/>
      <c r="AA192" s="165"/>
      <c r="AB192" s="165"/>
      <c r="AC192" s="165"/>
      <c r="AD192" s="166"/>
      <c r="AE192" s="167" t="str">
        <f t="shared" ca="1" si="103"/>
        <v>azn_202310_base_merge_mml_pc_external_reference</v>
      </c>
      <c r="AF192" s="168"/>
      <c r="AG192" s="168"/>
      <c r="AH192" s="168"/>
      <c r="AI192" s="168"/>
      <c r="AJ192" s="168"/>
      <c r="AK192" s="168"/>
      <c r="AL192" s="169"/>
      <c r="AM192" s="167" t="str">
        <f t="shared" ca="1" si="104"/>
        <v>バックアップ_経過記録情報モジュール_外部参照レコードテーブルから対象患者で絞り込んだ結果を格納するテーブル</v>
      </c>
      <c r="AN192" s="168"/>
      <c r="AO192" s="168"/>
      <c r="AP192" s="168"/>
      <c r="AQ192" s="168"/>
      <c r="AR192" s="168"/>
      <c r="AS192" s="168"/>
      <c r="AT192" s="168"/>
      <c r="AU192" s="168"/>
      <c r="AV192" s="168"/>
      <c r="AW192" s="168"/>
      <c r="AX192" s="168"/>
      <c r="AY192" s="168"/>
      <c r="AZ192" s="168"/>
      <c r="BA192" s="168"/>
      <c r="BB192" s="168"/>
      <c r="BC192" s="168"/>
      <c r="BD192" s="168"/>
      <c r="BE192" s="168"/>
      <c r="BF192" s="168"/>
      <c r="BG192" s="168"/>
      <c r="BH192" s="168"/>
      <c r="BI192" s="168"/>
      <c r="BJ192" s="170"/>
      <c r="BK192" s="32" t="str">
        <f t="shared" si="105"/>
        <v>ENT_31_C4-22_ベース_経過記録情報モジュール_外部参照レコード.sql</v>
      </c>
    </row>
    <row r="193" spans="1:63" ht="37.5" hidden="1" customHeight="1" outlineLevel="1">
      <c r="A193" s="34" t="str">
        <f t="shared" si="101"/>
        <v>ベース_臨床サマリーモジュール_臨床サマリー情報レコード</v>
      </c>
      <c r="B193" s="171" t="str">
        <f t="shared" si="102"/>
        <v>31</v>
      </c>
      <c r="C193" s="172"/>
      <c r="D193" s="172"/>
      <c r="E193" s="172"/>
      <c r="F193" s="173"/>
      <c r="G193" s="174" t="s">
        <v>307</v>
      </c>
      <c r="H193" s="175"/>
      <c r="I193" s="175"/>
      <c r="J193" s="175"/>
      <c r="K193" s="175"/>
      <c r="L193" s="175"/>
      <c r="M193" s="175"/>
      <c r="N193" s="176"/>
      <c r="O193" s="79" t="s">
        <v>3972</v>
      </c>
      <c r="P193" s="164" t="s">
        <v>3728</v>
      </c>
      <c r="Q193" s="165"/>
      <c r="R193" s="165"/>
      <c r="S193" s="165"/>
      <c r="T193" s="165"/>
      <c r="U193" s="165"/>
      <c r="V193" s="165"/>
      <c r="W193" s="165"/>
      <c r="X193" s="165"/>
      <c r="Y193" s="165"/>
      <c r="Z193" s="165"/>
      <c r="AA193" s="165"/>
      <c r="AB193" s="165"/>
      <c r="AC193" s="165"/>
      <c r="AD193" s="166"/>
      <c r="AE193" s="167" t="str">
        <f t="shared" ca="1" si="103"/>
        <v>azn_202310_base_merge_mml_sm_summary</v>
      </c>
      <c r="AF193" s="168"/>
      <c r="AG193" s="168"/>
      <c r="AH193" s="168"/>
      <c r="AI193" s="168"/>
      <c r="AJ193" s="168"/>
      <c r="AK193" s="168"/>
      <c r="AL193" s="169"/>
      <c r="AM193" s="167" t="str">
        <f t="shared" ca="1" si="104"/>
        <v>バックアップ_臨床サマリーモジュール_臨床サマリー情報レコードテーブルから対象患者で絞り込んだ結果を格納するテーブル</v>
      </c>
      <c r="AN193" s="168"/>
      <c r="AO193" s="168"/>
      <c r="AP193" s="168"/>
      <c r="AQ193" s="168"/>
      <c r="AR193" s="168"/>
      <c r="AS193" s="168"/>
      <c r="AT193" s="168"/>
      <c r="AU193" s="168"/>
      <c r="AV193" s="168"/>
      <c r="AW193" s="168"/>
      <c r="AX193" s="168"/>
      <c r="AY193" s="168"/>
      <c r="AZ193" s="168"/>
      <c r="BA193" s="168"/>
      <c r="BB193" s="168"/>
      <c r="BC193" s="168"/>
      <c r="BD193" s="168"/>
      <c r="BE193" s="168"/>
      <c r="BF193" s="168"/>
      <c r="BG193" s="168"/>
      <c r="BH193" s="168"/>
      <c r="BI193" s="168"/>
      <c r="BJ193" s="170"/>
      <c r="BK193" s="32" t="str">
        <f t="shared" si="105"/>
        <v>ENT_31_C4-23_ベース_臨床サマリーモジュール_臨床サマリー情報レコード.sql</v>
      </c>
    </row>
    <row r="194" spans="1:63" ht="37.5" hidden="1" customHeight="1" outlineLevel="1">
      <c r="A194" s="34" t="str">
        <f t="shared" si="101"/>
        <v>ベース_臨床サマリーモジュール_外来受診レコード</v>
      </c>
      <c r="B194" s="171" t="str">
        <f t="shared" si="102"/>
        <v>31</v>
      </c>
      <c r="C194" s="172"/>
      <c r="D194" s="172"/>
      <c r="E194" s="172"/>
      <c r="F194" s="173"/>
      <c r="G194" s="174" t="s">
        <v>307</v>
      </c>
      <c r="H194" s="175"/>
      <c r="I194" s="175"/>
      <c r="J194" s="175"/>
      <c r="K194" s="175"/>
      <c r="L194" s="175"/>
      <c r="M194" s="175"/>
      <c r="N194" s="176"/>
      <c r="O194" s="79" t="s">
        <v>3973</v>
      </c>
      <c r="P194" s="164" t="s">
        <v>3729</v>
      </c>
      <c r="Q194" s="165"/>
      <c r="R194" s="165"/>
      <c r="S194" s="165"/>
      <c r="T194" s="165"/>
      <c r="U194" s="165"/>
      <c r="V194" s="165"/>
      <c r="W194" s="165"/>
      <c r="X194" s="165"/>
      <c r="Y194" s="165"/>
      <c r="Z194" s="165"/>
      <c r="AA194" s="165"/>
      <c r="AB194" s="165"/>
      <c r="AC194" s="165"/>
      <c r="AD194" s="166"/>
      <c r="AE194" s="167" t="str">
        <f t="shared" ca="1" si="103"/>
        <v>azn_202310_base_merge_mml_sm_out_patient</v>
      </c>
      <c r="AF194" s="168"/>
      <c r="AG194" s="168"/>
      <c r="AH194" s="168"/>
      <c r="AI194" s="168"/>
      <c r="AJ194" s="168"/>
      <c r="AK194" s="168"/>
      <c r="AL194" s="169"/>
      <c r="AM194" s="167" t="str">
        <f t="shared" ca="1" si="104"/>
        <v>バックアップ_臨床サマリーモジュール_外来受診レコードテーブルから対象患者で絞り込んだ結果を格納するテーブル</v>
      </c>
      <c r="AN194" s="168"/>
      <c r="AO194" s="168"/>
      <c r="AP194" s="168"/>
      <c r="AQ194" s="168"/>
      <c r="AR194" s="168"/>
      <c r="AS194" s="168"/>
      <c r="AT194" s="168"/>
      <c r="AU194" s="168"/>
      <c r="AV194" s="168"/>
      <c r="AW194" s="168"/>
      <c r="AX194" s="168"/>
      <c r="AY194" s="168"/>
      <c r="AZ194" s="168"/>
      <c r="BA194" s="168"/>
      <c r="BB194" s="168"/>
      <c r="BC194" s="168"/>
      <c r="BD194" s="168"/>
      <c r="BE194" s="168"/>
      <c r="BF194" s="168"/>
      <c r="BG194" s="168"/>
      <c r="BH194" s="168"/>
      <c r="BI194" s="168"/>
      <c r="BJ194" s="170"/>
      <c r="BK194" s="32" t="str">
        <f t="shared" si="105"/>
        <v>ENT_31_C4-24_ベース_臨床サマリーモジュール_外来受診レコード.sql</v>
      </c>
    </row>
    <row r="195" spans="1:63" ht="37.5" hidden="1" customHeight="1" outlineLevel="1">
      <c r="A195" s="34" t="str">
        <f t="shared" si="101"/>
        <v>ベース_臨床サマリーモジュール_入院レコード</v>
      </c>
      <c r="B195" s="171" t="str">
        <f t="shared" si="102"/>
        <v>31</v>
      </c>
      <c r="C195" s="172"/>
      <c r="D195" s="172"/>
      <c r="E195" s="172"/>
      <c r="F195" s="173"/>
      <c r="G195" s="174" t="s">
        <v>307</v>
      </c>
      <c r="H195" s="175"/>
      <c r="I195" s="175"/>
      <c r="J195" s="175"/>
      <c r="K195" s="175"/>
      <c r="L195" s="175"/>
      <c r="M195" s="175"/>
      <c r="N195" s="176"/>
      <c r="O195" s="79" t="s">
        <v>3974</v>
      </c>
      <c r="P195" s="164" t="s">
        <v>3730</v>
      </c>
      <c r="Q195" s="165"/>
      <c r="R195" s="165"/>
      <c r="S195" s="165"/>
      <c r="T195" s="165"/>
      <c r="U195" s="165"/>
      <c r="V195" s="165"/>
      <c r="W195" s="165"/>
      <c r="X195" s="165"/>
      <c r="Y195" s="165"/>
      <c r="Z195" s="165"/>
      <c r="AA195" s="165"/>
      <c r="AB195" s="165"/>
      <c r="AC195" s="165"/>
      <c r="AD195" s="166"/>
      <c r="AE195" s="167" t="str">
        <f t="shared" ca="1" si="103"/>
        <v>azn_202310_base_merge_mml_sm_in_patient</v>
      </c>
      <c r="AF195" s="168"/>
      <c r="AG195" s="168"/>
      <c r="AH195" s="168"/>
      <c r="AI195" s="168"/>
      <c r="AJ195" s="168"/>
      <c r="AK195" s="168"/>
      <c r="AL195" s="169"/>
      <c r="AM195" s="167" t="str">
        <f t="shared" ca="1" si="104"/>
        <v>バックアップ_臨床サマリーモジュール_入院レコードテーブルから対象患者で絞り込んだ結果を格納するテーブル</v>
      </c>
      <c r="AN195" s="168"/>
      <c r="AO195" s="168"/>
      <c r="AP195" s="168"/>
      <c r="AQ195" s="168"/>
      <c r="AR195" s="168"/>
      <c r="AS195" s="168"/>
      <c r="AT195" s="168"/>
      <c r="AU195" s="168"/>
      <c r="AV195" s="168"/>
      <c r="AW195" s="168"/>
      <c r="AX195" s="168"/>
      <c r="AY195" s="168"/>
      <c r="AZ195" s="168"/>
      <c r="BA195" s="168"/>
      <c r="BB195" s="168"/>
      <c r="BC195" s="168"/>
      <c r="BD195" s="168"/>
      <c r="BE195" s="168"/>
      <c r="BF195" s="168"/>
      <c r="BG195" s="168"/>
      <c r="BH195" s="168"/>
      <c r="BI195" s="168"/>
      <c r="BJ195" s="170"/>
      <c r="BK195" s="32" t="str">
        <f t="shared" si="105"/>
        <v>ENT_31_C4-25_ベース_臨床サマリーモジュール_入院レコード.sql</v>
      </c>
    </row>
    <row r="196" spans="1:63" ht="37.5" hidden="1" customHeight="1" outlineLevel="1">
      <c r="A196" s="34" t="str">
        <f t="shared" si="101"/>
        <v>ベース_臨床サマリーモジュール_経過記録レコード</v>
      </c>
      <c r="B196" s="171" t="str">
        <f t="shared" si="102"/>
        <v>31</v>
      </c>
      <c r="C196" s="172"/>
      <c r="D196" s="172"/>
      <c r="E196" s="172"/>
      <c r="F196" s="173"/>
      <c r="G196" s="174" t="s">
        <v>307</v>
      </c>
      <c r="H196" s="175"/>
      <c r="I196" s="175"/>
      <c r="J196" s="175"/>
      <c r="K196" s="175"/>
      <c r="L196" s="175"/>
      <c r="M196" s="175"/>
      <c r="N196" s="176"/>
      <c r="O196" s="79" t="s">
        <v>3975</v>
      </c>
      <c r="P196" s="164" t="s">
        <v>3731</v>
      </c>
      <c r="Q196" s="165"/>
      <c r="R196" s="165"/>
      <c r="S196" s="165"/>
      <c r="T196" s="165"/>
      <c r="U196" s="165"/>
      <c r="V196" s="165"/>
      <c r="W196" s="165"/>
      <c r="X196" s="165"/>
      <c r="Y196" s="165"/>
      <c r="Z196" s="165"/>
      <c r="AA196" s="165"/>
      <c r="AB196" s="165"/>
      <c r="AC196" s="165"/>
      <c r="AD196" s="166"/>
      <c r="AE196" s="167" t="str">
        <f t="shared" ca="1" si="103"/>
        <v>azn_202310_base_merge_mml_sm_clinical_course</v>
      </c>
      <c r="AF196" s="168"/>
      <c r="AG196" s="168"/>
      <c r="AH196" s="168"/>
      <c r="AI196" s="168"/>
      <c r="AJ196" s="168"/>
      <c r="AK196" s="168"/>
      <c r="AL196" s="169"/>
      <c r="AM196" s="167" t="str">
        <f t="shared" ca="1" si="104"/>
        <v>バックアップ_臨床サマリーモジュール_経過記録レコードテーブルから対象患者で絞り込んだ結果を格納するテーブル</v>
      </c>
      <c r="AN196" s="168"/>
      <c r="AO196" s="168"/>
      <c r="AP196" s="168"/>
      <c r="AQ196" s="168"/>
      <c r="AR196" s="168"/>
      <c r="AS196" s="168"/>
      <c r="AT196" s="168"/>
      <c r="AU196" s="168"/>
      <c r="AV196" s="168"/>
      <c r="AW196" s="168"/>
      <c r="AX196" s="168"/>
      <c r="AY196" s="168"/>
      <c r="AZ196" s="168"/>
      <c r="BA196" s="168"/>
      <c r="BB196" s="168"/>
      <c r="BC196" s="168"/>
      <c r="BD196" s="168"/>
      <c r="BE196" s="168"/>
      <c r="BF196" s="168"/>
      <c r="BG196" s="168"/>
      <c r="BH196" s="168"/>
      <c r="BI196" s="168"/>
      <c r="BJ196" s="170"/>
      <c r="BK196" s="32" t="str">
        <f t="shared" si="105"/>
        <v>ENT_31_C4-29_ベース_臨床サマリーモジュール_経過記録レコード.sql</v>
      </c>
    </row>
    <row r="197" spans="1:63" ht="37.5" hidden="1" customHeight="1" outlineLevel="1">
      <c r="A197" s="34" t="str">
        <f t="shared" si="101"/>
        <v>ベース_臨床サマリーモジュール_検査結果レコード</v>
      </c>
      <c r="B197" s="171" t="str">
        <f t="shared" si="102"/>
        <v>31</v>
      </c>
      <c r="C197" s="172"/>
      <c r="D197" s="172"/>
      <c r="E197" s="172"/>
      <c r="F197" s="173"/>
      <c r="G197" s="174" t="s">
        <v>307</v>
      </c>
      <c r="H197" s="175"/>
      <c r="I197" s="175"/>
      <c r="J197" s="175"/>
      <c r="K197" s="175"/>
      <c r="L197" s="175"/>
      <c r="M197" s="175"/>
      <c r="N197" s="176"/>
      <c r="O197" s="79" t="s">
        <v>3976</v>
      </c>
      <c r="P197" s="164" t="s">
        <v>3732</v>
      </c>
      <c r="Q197" s="165"/>
      <c r="R197" s="165"/>
      <c r="S197" s="165"/>
      <c r="T197" s="165"/>
      <c r="U197" s="165"/>
      <c r="V197" s="165"/>
      <c r="W197" s="165"/>
      <c r="X197" s="165"/>
      <c r="Y197" s="165"/>
      <c r="Z197" s="165"/>
      <c r="AA197" s="165"/>
      <c r="AB197" s="165"/>
      <c r="AC197" s="165"/>
      <c r="AD197" s="166"/>
      <c r="AE197" s="167" t="str">
        <f t="shared" ca="1" si="103"/>
        <v>azn_202310_base_merge_mml_sm_test_results</v>
      </c>
      <c r="AF197" s="168"/>
      <c r="AG197" s="168"/>
      <c r="AH197" s="168"/>
      <c r="AI197" s="168"/>
      <c r="AJ197" s="168"/>
      <c r="AK197" s="168"/>
      <c r="AL197" s="169"/>
      <c r="AM197" s="167" t="str">
        <f t="shared" ca="1" si="104"/>
        <v>バックアップ_臨床サマリーモジュール_検査結果レコードテーブルから対象患者で絞り込んだ結果を格納するテーブル</v>
      </c>
      <c r="AN197" s="168"/>
      <c r="AO197" s="168"/>
      <c r="AP197" s="168"/>
      <c r="AQ197" s="168"/>
      <c r="AR197" s="168"/>
      <c r="AS197" s="168"/>
      <c r="AT197" s="168"/>
      <c r="AU197" s="168"/>
      <c r="AV197" s="168"/>
      <c r="AW197" s="168"/>
      <c r="AX197" s="168"/>
      <c r="AY197" s="168"/>
      <c r="AZ197" s="168"/>
      <c r="BA197" s="168"/>
      <c r="BB197" s="168"/>
      <c r="BC197" s="168"/>
      <c r="BD197" s="168"/>
      <c r="BE197" s="168"/>
      <c r="BF197" s="168"/>
      <c r="BG197" s="168"/>
      <c r="BH197" s="168"/>
      <c r="BI197" s="168"/>
      <c r="BJ197" s="170"/>
      <c r="BK197" s="32" t="str">
        <f t="shared" si="105"/>
        <v>ENT_31_C4-30_ベース_臨床サマリーモジュール_検査結果レコード.sql</v>
      </c>
    </row>
    <row r="198" spans="1:63" ht="37.5" hidden="1" customHeight="1" outlineLevel="1">
      <c r="A198" s="34" t="str">
        <f t="shared" si="101"/>
        <v>ベース_検歴情報モジュール_検歴情報</v>
      </c>
      <c r="B198" s="171" t="str">
        <f t="shared" si="102"/>
        <v>31</v>
      </c>
      <c r="C198" s="172"/>
      <c r="D198" s="172"/>
      <c r="E198" s="172"/>
      <c r="F198" s="173"/>
      <c r="G198" s="174" t="s">
        <v>307</v>
      </c>
      <c r="H198" s="175"/>
      <c r="I198" s="175"/>
      <c r="J198" s="175"/>
      <c r="K198" s="175"/>
      <c r="L198" s="175"/>
      <c r="M198" s="175"/>
      <c r="N198" s="176"/>
      <c r="O198" s="79" t="s">
        <v>3977</v>
      </c>
      <c r="P198" s="164" t="s">
        <v>3733</v>
      </c>
      <c r="Q198" s="165"/>
      <c r="R198" s="165"/>
      <c r="S198" s="165"/>
      <c r="T198" s="165"/>
      <c r="U198" s="165"/>
      <c r="V198" s="165"/>
      <c r="W198" s="165"/>
      <c r="X198" s="165"/>
      <c r="Y198" s="165"/>
      <c r="Z198" s="165"/>
      <c r="AA198" s="165"/>
      <c r="AB198" s="165"/>
      <c r="AC198" s="165"/>
      <c r="AD198" s="166"/>
      <c r="AE198" s="167" t="str">
        <f t="shared" ca="1" si="103"/>
        <v>azn_202310_base_merge_mml_lb_test</v>
      </c>
      <c r="AF198" s="168"/>
      <c r="AG198" s="168"/>
      <c r="AH198" s="168"/>
      <c r="AI198" s="168"/>
      <c r="AJ198" s="168"/>
      <c r="AK198" s="168"/>
      <c r="AL198" s="169"/>
      <c r="AM198" s="167" t="str">
        <f t="shared" ca="1" si="104"/>
        <v>バックアップ_検歴情報モジュール_検歴情報テーブルから対象患者で絞り込んだ結果を格納するテーブル</v>
      </c>
      <c r="AN198" s="168"/>
      <c r="AO198" s="168"/>
      <c r="AP198" s="168"/>
      <c r="AQ198" s="168"/>
      <c r="AR198" s="168"/>
      <c r="AS198" s="168"/>
      <c r="AT198" s="168"/>
      <c r="AU198" s="168"/>
      <c r="AV198" s="168"/>
      <c r="AW198" s="168"/>
      <c r="AX198" s="168"/>
      <c r="AY198" s="168"/>
      <c r="AZ198" s="168"/>
      <c r="BA198" s="168"/>
      <c r="BB198" s="168"/>
      <c r="BC198" s="168"/>
      <c r="BD198" s="168"/>
      <c r="BE198" s="168"/>
      <c r="BF198" s="168"/>
      <c r="BG198" s="168"/>
      <c r="BH198" s="168"/>
      <c r="BI198" s="168"/>
      <c r="BJ198" s="170"/>
      <c r="BK198" s="32" t="str">
        <f t="shared" si="105"/>
        <v>ENT_31_C4-31_ベース_検歴情報モジュール_検歴情報.sql</v>
      </c>
    </row>
    <row r="199" spans="1:63" ht="37.5" hidden="1" customHeight="1" outlineLevel="1">
      <c r="A199" s="34" t="str">
        <f t="shared" si="101"/>
        <v>ベース_検歴情報モジュール_検歴検体材料</v>
      </c>
      <c r="B199" s="171" t="str">
        <f t="shared" si="102"/>
        <v>31</v>
      </c>
      <c r="C199" s="172"/>
      <c r="D199" s="172"/>
      <c r="E199" s="172"/>
      <c r="F199" s="173"/>
      <c r="G199" s="174" t="s">
        <v>307</v>
      </c>
      <c r="H199" s="175"/>
      <c r="I199" s="175"/>
      <c r="J199" s="175"/>
      <c r="K199" s="175"/>
      <c r="L199" s="175"/>
      <c r="M199" s="175"/>
      <c r="N199" s="176"/>
      <c r="O199" s="79" t="s">
        <v>3978</v>
      </c>
      <c r="P199" s="164" t="s">
        <v>3734</v>
      </c>
      <c r="Q199" s="165"/>
      <c r="R199" s="165"/>
      <c r="S199" s="165"/>
      <c r="T199" s="165"/>
      <c r="U199" s="165"/>
      <c r="V199" s="165"/>
      <c r="W199" s="165"/>
      <c r="X199" s="165"/>
      <c r="Y199" s="165"/>
      <c r="Z199" s="165"/>
      <c r="AA199" s="165"/>
      <c r="AB199" s="165"/>
      <c r="AC199" s="165"/>
      <c r="AD199" s="166"/>
      <c r="AE199" s="167" t="str">
        <f t="shared" ca="1" si="103"/>
        <v>azn_202310_base_merge_mml_lb_specimen</v>
      </c>
      <c r="AF199" s="168"/>
      <c r="AG199" s="168"/>
      <c r="AH199" s="168"/>
      <c r="AI199" s="168"/>
      <c r="AJ199" s="168"/>
      <c r="AK199" s="168"/>
      <c r="AL199" s="169"/>
      <c r="AM199" s="167" t="str">
        <f t="shared" ca="1" si="104"/>
        <v>バックアップ_検歴情報モジュール_検歴検体材料テーブルから対象患者で絞り込んだ結果を格納するテーブル</v>
      </c>
      <c r="AN199" s="168"/>
      <c r="AO199" s="168"/>
      <c r="AP199" s="168"/>
      <c r="AQ199" s="168"/>
      <c r="AR199" s="168"/>
      <c r="AS199" s="168"/>
      <c r="AT199" s="168"/>
      <c r="AU199" s="168"/>
      <c r="AV199" s="168"/>
      <c r="AW199" s="168"/>
      <c r="AX199" s="168"/>
      <c r="AY199" s="168"/>
      <c r="AZ199" s="168"/>
      <c r="BA199" s="168"/>
      <c r="BB199" s="168"/>
      <c r="BC199" s="168"/>
      <c r="BD199" s="168"/>
      <c r="BE199" s="168"/>
      <c r="BF199" s="168"/>
      <c r="BG199" s="168"/>
      <c r="BH199" s="168"/>
      <c r="BI199" s="168"/>
      <c r="BJ199" s="170"/>
      <c r="BK199" s="32" t="str">
        <f t="shared" si="105"/>
        <v>ENT_31_C4-33_ベース_検歴情報モジュール_検歴検体材料.sql</v>
      </c>
    </row>
    <row r="200" spans="1:63" ht="37.5" hidden="1" customHeight="1" outlineLevel="1">
      <c r="A200" s="34" t="str">
        <f t="shared" si="78"/>
        <v>ベース_検歴情報モジュール_検歴項目情報</v>
      </c>
      <c r="B200" s="171" t="str">
        <f t="shared" si="111"/>
        <v>31</v>
      </c>
      <c r="C200" s="172"/>
      <c r="D200" s="172"/>
      <c r="E200" s="172"/>
      <c r="F200" s="173"/>
      <c r="G200" s="174" t="s">
        <v>307</v>
      </c>
      <c r="H200" s="175"/>
      <c r="I200" s="175"/>
      <c r="J200" s="175"/>
      <c r="K200" s="175"/>
      <c r="L200" s="175"/>
      <c r="M200" s="175"/>
      <c r="N200" s="176"/>
      <c r="O200" s="79" t="s">
        <v>3979</v>
      </c>
      <c r="P200" s="164" t="s">
        <v>3735</v>
      </c>
      <c r="Q200" s="165"/>
      <c r="R200" s="165"/>
      <c r="S200" s="165"/>
      <c r="T200" s="165"/>
      <c r="U200" s="165"/>
      <c r="V200" s="165"/>
      <c r="W200" s="165"/>
      <c r="X200" s="165"/>
      <c r="Y200" s="165"/>
      <c r="Z200" s="165"/>
      <c r="AA200" s="165"/>
      <c r="AB200" s="165"/>
      <c r="AC200" s="165"/>
      <c r="AD200" s="166"/>
      <c r="AE200" s="167" t="str">
        <f ca="1">IFERROR(INDIRECT(P200&amp;"!D8"),"")</f>
        <v>azn_202310_base_merge_mml_lb_item</v>
      </c>
      <c r="AF200" s="168"/>
      <c r="AG200" s="168"/>
      <c r="AH200" s="168"/>
      <c r="AI200" s="168"/>
      <c r="AJ200" s="168"/>
      <c r="AK200" s="168"/>
      <c r="AL200" s="169"/>
      <c r="AM200" s="167" t="str">
        <f ca="1">IFERROR(INDIRECT(P200&amp;"!D9"),"")</f>
        <v>バックアップ_検歴情報モジュール_検歴項目情報テーブルから対象患者で絞り込んだ結果を格納するテーブル</v>
      </c>
      <c r="AN200" s="168"/>
      <c r="AO200" s="168"/>
      <c r="AP200" s="168"/>
      <c r="AQ200" s="168"/>
      <c r="AR200" s="168"/>
      <c r="AS200" s="168"/>
      <c r="AT200" s="168"/>
      <c r="AU200" s="168"/>
      <c r="AV200" s="168"/>
      <c r="AW200" s="168"/>
      <c r="AX200" s="168"/>
      <c r="AY200" s="168"/>
      <c r="AZ200" s="168"/>
      <c r="BA200" s="168"/>
      <c r="BB200" s="168"/>
      <c r="BC200" s="168"/>
      <c r="BD200" s="168"/>
      <c r="BE200" s="168"/>
      <c r="BF200" s="168"/>
      <c r="BG200" s="168"/>
      <c r="BH200" s="168"/>
      <c r="BI200" s="168"/>
      <c r="BJ200" s="170"/>
      <c r="BK200" s="32" t="str">
        <f t="shared" si="43"/>
        <v>ENT_31_C4-35_ベース_検歴情報モジュール_検歴項目情報.sql</v>
      </c>
    </row>
    <row r="201" spans="1:63" ht="37.5" hidden="1" customHeight="1" outlineLevel="1">
      <c r="A201" s="34" t="str">
        <f t="shared" ref="A201:A204" si="115">P201</f>
        <v>ベース_バイタルサインモジュール_バイタルサイン</v>
      </c>
      <c r="B201" s="171" t="str">
        <f t="shared" si="111"/>
        <v>31</v>
      </c>
      <c r="C201" s="172"/>
      <c r="D201" s="172"/>
      <c r="E201" s="172"/>
      <c r="F201" s="173"/>
      <c r="G201" s="174" t="s">
        <v>307</v>
      </c>
      <c r="H201" s="175"/>
      <c r="I201" s="175"/>
      <c r="J201" s="175"/>
      <c r="K201" s="175"/>
      <c r="L201" s="175"/>
      <c r="M201" s="175"/>
      <c r="N201" s="176"/>
      <c r="O201" s="79" t="s">
        <v>4078</v>
      </c>
      <c r="P201" s="164" t="s">
        <v>4082</v>
      </c>
      <c r="Q201" s="165"/>
      <c r="R201" s="165"/>
      <c r="S201" s="165"/>
      <c r="T201" s="165"/>
      <c r="U201" s="165"/>
      <c r="V201" s="165"/>
      <c r="W201" s="165"/>
      <c r="X201" s="165"/>
      <c r="Y201" s="165"/>
      <c r="Z201" s="165"/>
      <c r="AA201" s="165"/>
      <c r="AB201" s="165"/>
      <c r="AC201" s="165"/>
      <c r="AD201" s="166"/>
      <c r="AE201" s="167" t="str">
        <f t="shared" ref="AE201:AE204" ca="1" si="116">IFERROR(INDIRECT(P201&amp;"!D8"),"")</f>
        <v>azn_202310_base_merge_mml_vs_vitalsign</v>
      </c>
      <c r="AF201" s="168"/>
      <c r="AG201" s="168"/>
      <c r="AH201" s="168"/>
      <c r="AI201" s="168"/>
      <c r="AJ201" s="168"/>
      <c r="AK201" s="168"/>
      <c r="AL201" s="169"/>
      <c r="AM201" s="167" t="str">
        <f t="shared" ref="AM201:AM204" ca="1" si="117">IFERROR(INDIRECT(P201&amp;"!D9"),"")</f>
        <v>バックアップ_バイタルサインモジュール_バイタルサインテーブルから対象患者で絞り込んだ結果を格納するテーブル</v>
      </c>
      <c r="AN201" s="168"/>
      <c r="AO201" s="168"/>
      <c r="AP201" s="168"/>
      <c r="AQ201" s="168"/>
      <c r="AR201" s="168"/>
      <c r="AS201" s="168"/>
      <c r="AT201" s="168"/>
      <c r="AU201" s="168"/>
      <c r="AV201" s="168"/>
      <c r="AW201" s="168"/>
      <c r="AX201" s="168"/>
      <c r="AY201" s="168"/>
      <c r="AZ201" s="168"/>
      <c r="BA201" s="168"/>
      <c r="BB201" s="168"/>
      <c r="BC201" s="168"/>
      <c r="BD201" s="168"/>
      <c r="BE201" s="168"/>
      <c r="BF201" s="168"/>
      <c r="BG201" s="168"/>
      <c r="BH201" s="168"/>
      <c r="BI201" s="168"/>
      <c r="BJ201" s="170"/>
      <c r="BK201" s="32" t="str">
        <f t="shared" ref="BK201:BK204" si="118">IF(P201&lt;&gt;"",O201&amp;"_"&amp;P201&amp;".sql","")</f>
        <v>ENT_31_C4-37_ベース_バイタルサインモジュール_バイタルサイン.sql</v>
      </c>
    </row>
    <row r="202" spans="1:63" ht="37.5" hidden="1" customHeight="1" outlineLevel="1">
      <c r="A202" s="34" t="str">
        <f t="shared" si="115"/>
        <v>ベース_バイタルサインモジュール_記録項目</v>
      </c>
      <c r="B202" s="171" t="str">
        <f t="shared" si="111"/>
        <v>31</v>
      </c>
      <c r="C202" s="172"/>
      <c r="D202" s="172"/>
      <c r="E202" s="172"/>
      <c r="F202" s="173"/>
      <c r="G202" s="174" t="s">
        <v>307</v>
      </c>
      <c r="H202" s="175"/>
      <c r="I202" s="175"/>
      <c r="J202" s="175"/>
      <c r="K202" s="175"/>
      <c r="L202" s="175"/>
      <c r="M202" s="175"/>
      <c r="N202" s="176"/>
      <c r="O202" s="79" t="s">
        <v>4079</v>
      </c>
      <c r="P202" s="164" t="s">
        <v>4083</v>
      </c>
      <c r="Q202" s="165"/>
      <c r="R202" s="165"/>
      <c r="S202" s="165"/>
      <c r="T202" s="165"/>
      <c r="U202" s="165"/>
      <c r="V202" s="165"/>
      <c r="W202" s="165"/>
      <c r="X202" s="165"/>
      <c r="Y202" s="165"/>
      <c r="Z202" s="165"/>
      <c r="AA202" s="165"/>
      <c r="AB202" s="165"/>
      <c r="AC202" s="165"/>
      <c r="AD202" s="166"/>
      <c r="AE202" s="167" t="str">
        <f t="shared" ca="1" si="116"/>
        <v>azn_202310_base_merge_mml_vs_item</v>
      </c>
      <c r="AF202" s="168"/>
      <c r="AG202" s="168"/>
      <c r="AH202" s="168"/>
      <c r="AI202" s="168"/>
      <c r="AJ202" s="168"/>
      <c r="AK202" s="168"/>
      <c r="AL202" s="169"/>
      <c r="AM202" s="167" t="str">
        <f t="shared" ca="1" si="117"/>
        <v>バックアップ_バイタルサインモジュール_記録項目テーブルから対象患者で絞り込んだ結果を格納するテーブル</v>
      </c>
      <c r="AN202" s="168"/>
      <c r="AO202" s="168"/>
      <c r="AP202" s="168"/>
      <c r="AQ202" s="168"/>
      <c r="AR202" s="168"/>
      <c r="AS202" s="168"/>
      <c r="AT202" s="168"/>
      <c r="AU202" s="168"/>
      <c r="AV202" s="168"/>
      <c r="AW202" s="168"/>
      <c r="AX202" s="168"/>
      <c r="AY202" s="168"/>
      <c r="AZ202" s="168"/>
      <c r="BA202" s="168"/>
      <c r="BB202" s="168"/>
      <c r="BC202" s="168"/>
      <c r="BD202" s="168"/>
      <c r="BE202" s="168"/>
      <c r="BF202" s="168"/>
      <c r="BG202" s="168"/>
      <c r="BH202" s="168"/>
      <c r="BI202" s="168"/>
      <c r="BJ202" s="170"/>
      <c r="BK202" s="32" t="str">
        <f t="shared" si="118"/>
        <v>ENT_31_C4-38_ベース_バイタルサインモジュール_記録項目.sql</v>
      </c>
    </row>
    <row r="203" spans="1:63" ht="37.5" hidden="1" customHeight="1" outlineLevel="1">
      <c r="A203" s="34" t="str">
        <f t="shared" ref="A203" si="119">P203</f>
        <v>ベース_体温表モジュール_バイタルサイン</v>
      </c>
      <c r="B203" s="171" t="str">
        <f t="shared" si="111"/>
        <v>31</v>
      </c>
      <c r="C203" s="172"/>
      <c r="D203" s="172"/>
      <c r="E203" s="172"/>
      <c r="F203" s="173"/>
      <c r="G203" s="174" t="s">
        <v>307</v>
      </c>
      <c r="H203" s="175"/>
      <c r="I203" s="175"/>
      <c r="J203" s="175"/>
      <c r="K203" s="175"/>
      <c r="L203" s="175"/>
      <c r="M203" s="175"/>
      <c r="N203" s="176"/>
      <c r="O203" s="79" t="s">
        <v>4080</v>
      </c>
      <c r="P203" s="164" t="s">
        <v>4084</v>
      </c>
      <c r="Q203" s="165"/>
      <c r="R203" s="165"/>
      <c r="S203" s="165"/>
      <c r="T203" s="165"/>
      <c r="U203" s="165"/>
      <c r="V203" s="165"/>
      <c r="W203" s="165"/>
      <c r="X203" s="165"/>
      <c r="Y203" s="165"/>
      <c r="Z203" s="165"/>
      <c r="AA203" s="165"/>
      <c r="AB203" s="165"/>
      <c r="AC203" s="165"/>
      <c r="AD203" s="166"/>
      <c r="AE203" s="167" t="str">
        <f t="shared" ref="AE203" ca="1" si="120">IFERROR(INDIRECT(P203&amp;"!D8"),"")</f>
        <v>azn_202310_base_merge_mml_fs_vitalsign</v>
      </c>
      <c r="AF203" s="168"/>
      <c r="AG203" s="168"/>
      <c r="AH203" s="168"/>
      <c r="AI203" s="168"/>
      <c r="AJ203" s="168"/>
      <c r="AK203" s="168"/>
      <c r="AL203" s="169"/>
      <c r="AM203" s="167" t="str">
        <f t="shared" ref="AM203" ca="1" si="121">IFERROR(INDIRECT(P203&amp;"!D9"),"")</f>
        <v>バックアップ_体温表モジュール_バイタルサインテーブルから対象患者で絞り込んだ結果を格納するテーブル</v>
      </c>
      <c r="AN203" s="168"/>
      <c r="AO203" s="168"/>
      <c r="AP203" s="168"/>
      <c r="AQ203" s="168"/>
      <c r="AR203" s="168"/>
      <c r="AS203" s="168"/>
      <c r="AT203" s="168"/>
      <c r="AU203" s="168"/>
      <c r="AV203" s="168"/>
      <c r="AW203" s="168"/>
      <c r="AX203" s="168"/>
      <c r="AY203" s="168"/>
      <c r="AZ203" s="168"/>
      <c r="BA203" s="168"/>
      <c r="BB203" s="168"/>
      <c r="BC203" s="168"/>
      <c r="BD203" s="168"/>
      <c r="BE203" s="168"/>
      <c r="BF203" s="168"/>
      <c r="BG203" s="168"/>
      <c r="BH203" s="168"/>
      <c r="BI203" s="168"/>
      <c r="BJ203" s="170"/>
      <c r="BK203" s="32" t="str">
        <f t="shared" ref="BK203" si="122">IF(P203&lt;&gt;"",O203&amp;"_"&amp;P203&amp;".sql","")</f>
        <v>ENT_31_C4-40_ベース_体温表モジュール_バイタルサイン.sql</v>
      </c>
    </row>
    <row r="204" spans="1:63" ht="37.5" hidden="1" customHeight="1" outlineLevel="1">
      <c r="A204" s="34" t="str">
        <f t="shared" si="115"/>
        <v>ベース_体温表モジュール_記録項目</v>
      </c>
      <c r="B204" s="171" t="str">
        <f t="shared" si="111"/>
        <v>31</v>
      </c>
      <c r="C204" s="172"/>
      <c r="D204" s="172"/>
      <c r="E204" s="172"/>
      <c r="F204" s="173"/>
      <c r="G204" s="174" t="s">
        <v>307</v>
      </c>
      <c r="H204" s="175"/>
      <c r="I204" s="175"/>
      <c r="J204" s="175"/>
      <c r="K204" s="175"/>
      <c r="L204" s="175"/>
      <c r="M204" s="175"/>
      <c r="N204" s="176"/>
      <c r="O204" s="79" t="s">
        <v>4081</v>
      </c>
      <c r="P204" s="164" t="s">
        <v>4085</v>
      </c>
      <c r="Q204" s="165"/>
      <c r="R204" s="165"/>
      <c r="S204" s="165"/>
      <c r="T204" s="165"/>
      <c r="U204" s="165"/>
      <c r="V204" s="165"/>
      <c r="W204" s="165"/>
      <c r="X204" s="165"/>
      <c r="Y204" s="165"/>
      <c r="Z204" s="165"/>
      <c r="AA204" s="165"/>
      <c r="AB204" s="165"/>
      <c r="AC204" s="165"/>
      <c r="AD204" s="166"/>
      <c r="AE204" s="167" t="str">
        <f t="shared" ca="1" si="116"/>
        <v>azn_202310_base_merge_mml_fs_item</v>
      </c>
      <c r="AF204" s="168"/>
      <c r="AG204" s="168"/>
      <c r="AH204" s="168"/>
      <c r="AI204" s="168"/>
      <c r="AJ204" s="168"/>
      <c r="AK204" s="168"/>
      <c r="AL204" s="169"/>
      <c r="AM204" s="167" t="str">
        <f t="shared" ca="1" si="117"/>
        <v>バックアップ_体温表モジュール_記録項目テーブルから対象患者で絞り込んだ結果を格納するテーブル</v>
      </c>
      <c r="AN204" s="168"/>
      <c r="AO204" s="168"/>
      <c r="AP204" s="168"/>
      <c r="AQ204" s="168"/>
      <c r="AR204" s="168"/>
      <c r="AS204" s="168"/>
      <c r="AT204" s="168"/>
      <c r="AU204" s="168"/>
      <c r="AV204" s="168"/>
      <c r="AW204" s="168"/>
      <c r="AX204" s="168"/>
      <c r="AY204" s="168"/>
      <c r="AZ204" s="168"/>
      <c r="BA204" s="168"/>
      <c r="BB204" s="168"/>
      <c r="BC204" s="168"/>
      <c r="BD204" s="168"/>
      <c r="BE204" s="168"/>
      <c r="BF204" s="168"/>
      <c r="BG204" s="168"/>
      <c r="BH204" s="168"/>
      <c r="BI204" s="168"/>
      <c r="BJ204" s="170"/>
      <c r="BK204" s="32" t="str">
        <f t="shared" si="118"/>
        <v>ENT_31_C4-41_ベース_体温表モジュール_記録項目.sql</v>
      </c>
    </row>
    <row r="205" spans="1:63" ht="37.5" customHeight="1" collapsed="1">
      <c r="A205" s="34" t="str">
        <f t="shared" si="78"/>
        <v>ワーク_患者基本データ</v>
      </c>
      <c r="B205" s="193" t="str">
        <f>TEXT(41,"00")</f>
        <v>41</v>
      </c>
      <c r="C205" s="194"/>
      <c r="D205" s="194"/>
      <c r="E205" s="194"/>
      <c r="F205" s="195"/>
      <c r="G205" s="196" t="s">
        <v>558</v>
      </c>
      <c r="H205" s="197"/>
      <c r="I205" s="197"/>
      <c r="J205" s="197"/>
      <c r="K205" s="197"/>
      <c r="L205" s="197"/>
      <c r="M205" s="197"/>
      <c r="N205" s="198"/>
      <c r="O205" s="79" t="str">
        <f>IF(P205&lt;&gt;"","ENT_"&amp;RIGHT(B205,2)&amp;"_"&amp;TEXT(ROW(O205)-ROW(O$205)+1,"00"),"")</f>
        <v>ENT_41_01</v>
      </c>
      <c r="P205" s="199" t="s">
        <v>4291</v>
      </c>
      <c r="Q205" s="200"/>
      <c r="R205" s="200"/>
      <c r="S205" s="200"/>
      <c r="T205" s="200"/>
      <c r="U205" s="200"/>
      <c r="V205" s="200"/>
      <c r="W205" s="200"/>
      <c r="X205" s="200"/>
      <c r="Y205" s="200"/>
      <c r="Z205" s="200"/>
      <c r="AA205" s="200"/>
      <c r="AB205" s="200"/>
      <c r="AC205" s="200"/>
      <c r="AD205" s="201"/>
      <c r="AE205" s="190" t="str">
        <f t="shared" ref="AE205:AE219" ca="1" si="123">IFERROR(INDIRECT(P205&amp;"!D8"),"")</f>
        <v>azn_202310_work_patient_basic</v>
      </c>
      <c r="AF205" s="191"/>
      <c r="AG205" s="191"/>
      <c r="AH205" s="191"/>
      <c r="AI205" s="191"/>
      <c r="AJ205" s="191"/>
      <c r="AK205" s="191"/>
      <c r="AL205" s="202"/>
      <c r="AM205" s="190" t="str">
        <f t="shared" ref="AM205:AM219" ca="1" si="124">IFERROR(INDIRECT(P205&amp;"!D9"),"")</f>
        <v>MMLの患者データを抽出し、格納するテーブル</v>
      </c>
      <c r="AN205" s="191"/>
      <c r="AO205" s="191"/>
      <c r="AP205" s="191"/>
      <c r="AQ205" s="191"/>
      <c r="AR205" s="191"/>
      <c r="AS205" s="191"/>
      <c r="AT205" s="191"/>
      <c r="AU205" s="191"/>
      <c r="AV205" s="191"/>
      <c r="AW205" s="191"/>
      <c r="AX205" s="191"/>
      <c r="AY205" s="191"/>
      <c r="AZ205" s="191"/>
      <c r="BA205" s="191"/>
      <c r="BB205" s="191"/>
      <c r="BC205" s="191"/>
      <c r="BD205" s="191"/>
      <c r="BE205" s="191"/>
      <c r="BF205" s="191"/>
      <c r="BG205" s="191"/>
      <c r="BH205" s="191"/>
      <c r="BI205" s="191"/>
      <c r="BJ205" s="192"/>
      <c r="BK205" s="32" t="str">
        <f t="shared" si="43"/>
        <v>ENT_41_01_ワーク_患者基本データ.sql</v>
      </c>
    </row>
    <row r="206" spans="1:63" ht="37.5" customHeight="1">
      <c r="A206" s="34" t="str">
        <f t="shared" si="78"/>
        <v>ワーク_look_back</v>
      </c>
      <c r="B206" s="171" t="str">
        <f>TEXT(41,"00")</f>
        <v>41</v>
      </c>
      <c r="C206" s="172"/>
      <c r="D206" s="172"/>
      <c r="E206" s="172"/>
      <c r="F206" s="173"/>
      <c r="G206" s="174" t="s">
        <v>558</v>
      </c>
      <c r="H206" s="175"/>
      <c r="I206" s="175"/>
      <c r="J206" s="175"/>
      <c r="K206" s="175"/>
      <c r="L206" s="175"/>
      <c r="M206" s="175"/>
      <c r="N206" s="176"/>
      <c r="O206" s="79" t="str">
        <f>IF(P206&lt;&gt;"","ENT_"&amp;RIGHT(B206,2)&amp;"_"&amp;TEXT(ROW(O206)-ROW(O$205)+1,"00"),"")</f>
        <v>ENT_41_02</v>
      </c>
      <c r="P206" s="164" t="s">
        <v>4156</v>
      </c>
      <c r="Q206" s="165"/>
      <c r="R206" s="165"/>
      <c r="S206" s="165"/>
      <c r="T206" s="165"/>
      <c r="U206" s="165"/>
      <c r="V206" s="165"/>
      <c r="W206" s="165"/>
      <c r="X206" s="165"/>
      <c r="Y206" s="165"/>
      <c r="Z206" s="165"/>
      <c r="AA206" s="165"/>
      <c r="AB206" s="165"/>
      <c r="AC206" s="165"/>
      <c r="AD206" s="166"/>
      <c r="AE206" s="167" t="str">
        <f t="shared" ca="1" si="123"/>
        <v>azn_202310_work_look_back</v>
      </c>
      <c r="AF206" s="168"/>
      <c r="AG206" s="168"/>
      <c r="AH206" s="168"/>
      <c r="AI206" s="168"/>
      <c r="AJ206" s="168"/>
      <c r="AK206" s="168"/>
      <c r="AL206" s="169"/>
      <c r="AM206" s="167" t="str">
        <f t="shared" ca="1" si="124"/>
        <v>DPCの患者データを抽出し、格納するテーブル</v>
      </c>
      <c r="AN206" s="168"/>
      <c r="AO206" s="168"/>
      <c r="AP206" s="168"/>
      <c r="AQ206" s="168"/>
      <c r="AR206" s="168"/>
      <c r="AS206" s="168"/>
      <c r="AT206" s="168"/>
      <c r="AU206" s="168"/>
      <c r="AV206" s="168"/>
      <c r="AW206" s="168"/>
      <c r="AX206" s="168"/>
      <c r="AY206" s="168"/>
      <c r="AZ206" s="168"/>
      <c r="BA206" s="168"/>
      <c r="BB206" s="168"/>
      <c r="BC206" s="168"/>
      <c r="BD206" s="168"/>
      <c r="BE206" s="168"/>
      <c r="BF206" s="168"/>
      <c r="BG206" s="168"/>
      <c r="BH206" s="168"/>
      <c r="BI206" s="168"/>
      <c r="BJ206" s="170"/>
      <c r="BK206" s="32" t="str">
        <f t="shared" ref="BK206" si="125">IF(P206&lt;&gt;"",O206&amp;"_"&amp;P206&amp;".sql","")</f>
        <v>ENT_41_02_ワーク_look_back.sql</v>
      </c>
    </row>
    <row r="207" spans="1:63" ht="37.5" customHeight="1">
      <c r="A207" s="34" t="str">
        <f t="shared" ref="A207:A212" si="126">P207</f>
        <v>ワーク_疾患データ_DPC</v>
      </c>
      <c r="B207" s="171" t="str">
        <f t="shared" ref="B207:B217" si="127">TEXT(41,"00")</f>
        <v>41</v>
      </c>
      <c r="C207" s="172"/>
      <c r="D207" s="172"/>
      <c r="E207" s="172"/>
      <c r="F207" s="173"/>
      <c r="G207" s="174" t="s">
        <v>558</v>
      </c>
      <c r="H207" s="175"/>
      <c r="I207" s="175"/>
      <c r="J207" s="175"/>
      <c r="K207" s="175"/>
      <c r="L207" s="175"/>
      <c r="M207" s="175"/>
      <c r="N207" s="176"/>
      <c r="O207" s="79" t="str">
        <f t="shared" ref="O207:O212" si="128">IF(P207&lt;&gt;"","ENT_"&amp;RIGHT(B207,2)&amp;"_"&amp;TEXT(ROW(O207)-ROW(O$205)+1,"00"),"")</f>
        <v>ENT_41_03</v>
      </c>
      <c r="P207" s="164" t="s">
        <v>4131</v>
      </c>
      <c r="Q207" s="165"/>
      <c r="R207" s="165"/>
      <c r="S207" s="165"/>
      <c r="T207" s="165"/>
      <c r="U207" s="165"/>
      <c r="V207" s="165"/>
      <c r="W207" s="165"/>
      <c r="X207" s="165"/>
      <c r="Y207" s="165"/>
      <c r="Z207" s="165"/>
      <c r="AA207" s="165"/>
      <c r="AB207" s="165"/>
      <c r="AC207" s="165"/>
      <c r="AD207" s="166"/>
      <c r="AE207" s="167" t="str">
        <f t="shared" ref="AE207:AE212" ca="1" si="129">IFERROR(INDIRECT(P207&amp;"!D8"),"")</f>
        <v>azn_202310_work_shikkan_dpc</v>
      </c>
      <c r="AF207" s="168"/>
      <c r="AG207" s="168"/>
      <c r="AH207" s="168"/>
      <c r="AI207" s="168"/>
      <c r="AJ207" s="168"/>
      <c r="AK207" s="168"/>
      <c r="AL207" s="169"/>
      <c r="AM207" s="167" t="str">
        <f t="shared" ref="AM207:AM212" ca="1" si="130">IFERROR(INDIRECT(P207&amp;"!D9"),"")</f>
        <v>DPCの疾患データ（疑いを除く）を抽出し、疾患マスタに登録されている疾患コードのデータを格納するテーブル</v>
      </c>
      <c r="AN207" s="168"/>
      <c r="AO207" s="168"/>
      <c r="AP207" s="168"/>
      <c r="AQ207" s="168"/>
      <c r="AR207" s="168"/>
      <c r="AS207" s="168"/>
      <c r="AT207" s="168"/>
      <c r="AU207" s="168"/>
      <c r="AV207" s="168"/>
      <c r="AW207" s="168"/>
      <c r="AX207" s="168"/>
      <c r="AY207" s="168"/>
      <c r="AZ207" s="168"/>
      <c r="BA207" s="168"/>
      <c r="BB207" s="168"/>
      <c r="BC207" s="168"/>
      <c r="BD207" s="168"/>
      <c r="BE207" s="168"/>
      <c r="BF207" s="168"/>
      <c r="BG207" s="168"/>
      <c r="BH207" s="168"/>
      <c r="BI207" s="168"/>
      <c r="BJ207" s="170"/>
      <c r="BK207" s="32" t="str">
        <f t="shared" ref="BK207:BK212" si="131">IF(P207&lt;&gt;"",O207&amp;"_"&amp;P207&amp;".sql","")</f>
        <v>ENT_41_03_ワーク_疾患データ_DPC.sql</v>
      </c>
    </row>
    <row r="208" spans="1:63" ht="37.5" customHeight="1">
      <c r="A208" s="34" t="str">
        <f t="shared" si="126"/>
        <v>ワーク_処方データ</v>
      </c>
      <c r="B208" s="171" t="str">
        <f t="shared" si="127"/>
        <v>41</v>
      </c>
      <c r="C208" s="172"/>
      <c r="D208" s="172"/>
      <c r="E208" s="172"/>
      <c r="F208" s="173"/>
      <c r="G208" s="174" t="s">
        <v>558</v>
      </c>
      <c r="H208" s="175"/>
      <c r="I208" s="175"/>
      <c r="J208" s="175"/>
      <c r="K208" s="175"/>
      <c r="L208" s="175"/>
      <c r="M208" s="175"/>
      <c r="N208" s="176"/>
      <c r="O208" s="79" t="str">
        <f t="shared" si="128"/>
        <v>ENT_41_04</v>
      </c>
      <c r="P208" s="164" t="s">
        <v>4295</v>
      </c>
      <c r="Q208" s="165"/>
      <c r="R208" s="165"/>
      <c r="S208" s="165"/>
      <c r="T208" s="165"/>
      <c r="U208" s="165"/>
      <c r="V208" s="165"/>
      <c r="W208" s="165"/>
      <c r="X208" s="165"/>
      <c r="Y208" s="165"/>
      <c r="Z208" s="165"/>
      <c r="AA208" s="165"/>
      <c r="AB208" s="165"/>
      <c r="AC208" s="165"/>
      <c r="AD208" s="166"/>
      <c r="AE208" s="167" t="str">
        <f t="shared" ca="1" si="129"/>
        <v>azn_202310_work_shohou</v>
      </c>
      <c r="AF208" s="168"/>
      <c r="AG208" s="168"/>
      <c r="AH208" s="168"/>
      <c r="AI208" s="168"/>
      <c r="AJ208" s="168"/>
      <c r="AK208" s="168"/>
      <c r="AL208" s="169"/>
      <c r="AM208" s="167" t="str">
        <f t="shared" ca="1" si="130"/>
        <v>DPCの処方データを抽出し、格納するテーブル</v>
      </c>
      <c r="AN208" s="168"/>
      <c r="AO208" s="168"/>
      <c r="AP208" s="168"/>
      <c r="AQ208" s="168"/>
      <c r="AR208" s="168"/>
      <c r="AS208" s="168"/>
      <c r="AT208" s="168"/>
      <c r="AU208" s="168"/>
      <c r="AV208" s="168"/>
      <c r="AW208" s="168"/>
      <c r="AX208" s="168"/>
      <c r="AY208" s="168"/>
      <c r="AZ208" s="168"/>
      <c r="BA208" s="168"/>
      <c r="BB208" s="168"/>
      <c r="BC208" s="168"/>
      <c r="BD208" s="168"/>
      <c r="BE208" s="168"/>
      <c r="BF208" s="168"/>
      <c r="BG208" s="168"/>
      <c r="BH208" s="168"/>
      <c r="BI208" s="168"/>
      <c r="BJ208" s="170"/>
      <c r="BK208" s="32" t="str">
        <f t="shared" si="131"/>
        <v>ENT_41_04_ワーク_処方データ.sql</v>
      </c>
    </row>
    <row r="209" spans="1:63" ht="37.5" customHeight="1">
      <c r="A209" s="34" t="str">
        <f t="shared" si="126"/>
        <v>ワーク_バイタル_DPC</v>
      </c>
      <c r="B209" s="171" t="str">
        <f t="shared" si="127"/>
        <v>41</v>
      </c>
      <c r="C209" s="172"/>
      <c r="D209" s="172"/>
      <c r="E209" s="172"/>
      <c r="F209" s="173"/>
      <c r="G209" s="174" t="s">
        <v>558</v>
      </c>
      <c r="H209" s="175"/>
      <c r="I209" s="175"/>
      <c r="J209" s="175"/>
      <c r="K209" s="175"/>
      <c r="L209" s="175"/>
      <c r="M209" s="175"/>
      <c r="N209" s="176"/>
      <c r="O209" s="79" t="str">
        <f t="shared" si="128"/>
        <v>ENT_41_05</v>
      </c>
      <c r="P209" s="164" t="s">
        <v>4132</v>
      </c>
      <c r="Q209" s="165"/>
      <c r="R209" s="165"/>
      <c r="S209" s="165"/>
      <c r="T209" s="165"/>
      <c r="U209" s="165"/>
      <c r="V209" s="165"/>
      <c r="W209" s="165"/>
      <c r="X209" s="165"/>
      <c r="Y209" s="165"/>
      <c r="Z209" s="165"/>
      <c r="AA209" s="165"/>
      <c r="AB209" s="165"/>
      <c r="AC209" s="165"/>
      <c r="AD209" s="166"/>
      <c r="AE209" s="167" t="str">
        <f t="shared" ca="1" si="129"/>
        <v>azn_202310_work_vital_dpc</v>
      </c>
      <c r="AF209" s="168"/>
      <c r="AG209" s="168"/>
      <c r="AH209" s="168"/>
      <c r="AI209" s="168"/>
      <c r="AJ209" s="168"/>
      <c r="AK209" s="168"/>
      <c r="AL209" s="169"/>
      <c r="AM209" s="167" t="str">
        <f t="shared" ca="1" si="130"/>
        <v>DPCの患者データから身長、体重を抽出し、格納するテーブル</v>
      </c>
      <c r="AN209" s="168"/>
      <c r="AO209" s="168"/>
      <c r="AP209" s="168"/>
      <c r="AQ209" s="168"/>
      <c r="AR209" s="168"/>
      <c r="AS209" s="168"/>
      <c r="AT209" s="168"/>
      <c r="AU209" s="168"/>
      <c r="AV209" s="168"/>
      <c r="AW209" s="168"/>
      <c r="AX209" s="168"/>
      <c r="AY209" s="168"/>
      <c r="AZ209" s="168"/>
      <c r="BA209" s="168"/>
      <c r="BB209" s="168"/>
      <c r="BC209" s="168"/>
      <c r="BD209" s="168"/>
      <c r="BE209" s="168"/>
      <c r="BF209" s="168"/>
      <c r="BG209" s="168"/>
      <c r="BH209" s="168"/>
      <c r="BI209" s="168"/>
      <c r="BJ209" s="170"/>
      <c r="BK209" s="32" t="str">
        <f t="shared" si="131"/>
        <v>ENT_41_05_ワーク_バイタル_DPC.sql</v>
      </c>
    </row>
    <row r="210" spans="1:63" ht="37.5" customHeight="1">
      <c r="A210" s="34" t="str">
        <f t="shared" si="126"/>
        <v>ワーク_バイタル_MML</v>
      </c>
      <c r="B210" s="171" t="str">
        <f t="shared" si="127"/>
        <v>41</v>
      </c>
      <c r="C210" s="172"/>
      <c r="D210" s="172"/>
      <c r="E210" s="172"/>
      <c r="F210" s="173"/>
      <c r="G210" s="174" t="s">
        <v>558</v>
      </c>
      <c r="H210" s="175"/>
      <c r="I210" s="175"/>
      <c r="J210" s="175"/>
      <c r="K210" s="175"/>
      <c r="L210" s="175"/>
      <c r="M210" s="175"/>
      <c r="N210" s="176"/>
      <c r="O210" s="79" t="str">
        <f t="shared" si="128"/>
        <v>ENT_41_06</v>
      </c>
      <c r="P210" s="164" t="s">
        <v>4133</v>
      </c>
      <c r="Q210" s="165"/>
      <c r="R210" s="165"/>
      <c r="S210" s="165"/>
      <c r="T210" s="165"/>
      <c r="U210" s="165"/>
      <c r="V210" s="165"/>
      <c r="W210" s="165"/>
      <c r="X210" s="165"/>
      <c r="Y210" s="165"/>
      <c r="Z210" s="165"/>
      <c r="AA210" s="165"/>
      <c r="AB210" s="165"/>
      <c r="AC210" s="165"/>
      <c r="AD210" s="166"/>
      <c r="AE210" s="167" t="str">
        <f t="shared" ca="1" si="129"/>
        <v>azn_202310_work_vital_mml</v>
      </c>
      <c r="AF210" s="168"/>
      <c r="AG210" s="168"/>
      <c r="AH210" s="168"/>
      <c r="AI210" s="168"/>
      <c r="AJ210" s="168"/>
      <c r="AK210" s="168"/>
      <c r="AL210" s="169"/>
      <c r="AM210" s="167" t="str">
        <f t="shared" ca="1" si="130"/>
        <v>MMLの患者データから身長、体重を抽出し、格納するテーブル</v>
      </c>
      <c r="AN210" s="168"/>
      <c r="AO210" s="168"/>
      <c r="AP210" s="168"/>
      <c r="AQ210" s="168"/>
      <c r="AR210" s="168"/>
      <c r="AS210" s="168"/>
      <c r="AT210" s="168"/>
      <c r="AU210" s="168"/>
      <c r="AV210" s="168"/>
      <c r="AW210" s="168"/>
      <c r="AX210" s="168"/>
      <c r="AY210" s="168"/>
      <c r="AZ210" s="168"/>
      <c r="BA210" s="168"/>
      <c r="BB210" s="168"/>
      <c r="BC210" s="168"/>
      <c r="BD210" s="168"/>
      <c r="BE210" s="168"/>
      <c r="BF210" s="168"/>
      <c r="BG210" s="168"/>
      <c r="BH210" s="168"/>
      <c r="BI210" s="168"/>
      <c r="BJ210" s="170"/>
      <c r="BK210" s="32" t="str">
        <f t="shared" si="131"/>
        <v>ENT_41_06_ワーク_バイタル_MML.sql</v>
      </c>
    </row>
    <row r="211" spans="1:63" ht="37.5" customHeight="1">
      <c r="A211" s="34" t="str">
        <f t="shared" si="126"/>
        <v>ワーク_バイタル</v>
      </c>
      <c r="B211" s="171" t="str">
        <f t="shared" si="127"/>
        <v>41</v>
      </c>
      <c r="C211" s="172"/>
      <c r="D211" s="172"/>
      <c r="E211" s="172"/>
      <c r="F211" s="173"/>
      <c r="G211" s="174" t="s">
        <v>558</v>
      </c>
      <c r="H211" s="175"/>
      <c r="I211" s="175"/>
      <c r="J211" s="175"/>
      <c r="K211" s="175"/>
      <c r="L211" s="175"/>
      <c r="M211" s="175"/>
      <c r="N211" s="176"/>
      <c r="O211" s="79" t="str">
        <f t="shared" si="128"/>
        <v>ENT_41_07</v>
      </c>
      <c r="P211" s="164" t="s">
        <v>4134</v>
      </c>
      <c r="Q211" s="165"/>
      <c r="R211" s="165"/>
      <c r="S211" s="165"/>
      <c r="T211" s="165"/>
      <c r="U211" s="165"/>
      <c r="V211" s="165"/>
      <c r="W211" s="165"/>
      <c r="X211" s="165"/>
      <c r="Y211" s="165"/>
      <c r="Z211" s="165"/>
      <c r="AA211" s="165"/>
      <c r="AB211" s="165"/>
      <c r="AC211" s="165"/>
      <c r="AD211" s="166"/>
      <c r="AE211" s="167" t="str">
        <f t="shared" ca="1" si="129"/>
        <v>azn_202310_work_vital</v>
      </c>
      <c r="AF211" s="168"/>
      <c r="AG211" s="168"/>
      <c r="AH211" s="168"/>
      <c r="AI211" s="168"/>
      <c r="AJ211" s="168"/>
      <c r="AK211" s="168"/>
      <c r="AL211" s="169"/>
      <c r="AM211" s="167" t="str">
        <f t="shared" ca="1" si="130"/>
        <v>ワーク_バイタル_DPCとワーク_バイタル_MMLの患者データを結合し、格納するテーブル</v>
      </c>
      <c r="AN211" s="168"/>
      <c r="AO211" s="168"/>
      <c r="AP211" s="168"/>
      <c r="AQ211" s="168"/>
      <c r="AR211" s="168"/>
      <c r="AS211" s="168"/>
      <c r="AT211" s="168"/>
      <c r="AU211" s="168"/>
      <c r="AV211" s="168"/>
      <c r="AW211" s="168"/>
      <c r="AX211" s="168"/>
      <c r="AY211" s="168"/>
      <c r="AZ211" s="168"/>
      <c r="BA211" s="168"/>
      <c r="BB211" s="168"/>
      <c r="BC211" s="168"/>
      <c r="BD211" s="168"/>
      <c r="BE211" s="168"/>
      <c r="BF211" s="168"/>
      <c r="BG211" s="168"/>
      <c r="BH211" s="168"/>
      <c r="BI211" s="168"/>
      <c r="BJ211" s="170"/>
      <c r="BK211" s="32" t="str">
        <f t="shared" si="131"/>
        <v>ENT_41_07_ワーク_バイタル.sql</v>
      </c>
    </row>
    <row r="212" spans="1:63" ht="37.5" customHeight="1">
      <c r="A212" s="34" t="str">
        <f t="shared" si="126"/>
        <v>ワーク_診療行為データ</v>
      </c>
      <c r="B212" s="171" t="str">
        <f t="shared" si="127"/>
        <v>41</v>
      </c>
      <c r="C212" s="172"/>
      <c r="D212" s="172"/>
      <c r="E212" s="172"/>
      <c r="F212" s="173"/>
      <c r="G212" s="174" t="s">
        <v>558</v>
      </c>
      <c r="H212" s="175"/>
      <c r="I212" s="175"/>
      <c r="J212" s="175"/>
      <c r="K212" s="175"/>
      <c r="L212" s="175"/>
      <c r="M212" s="175"/>
      <c r="N212" s="176"/>
      <c r="O212" s="79" t="str">
        <f t="shared" si="128"/>
        <v>ENT_41_08</v>
      </c>
      <c r="P212" s="164" t="s">
        <v>4135</v>
      </c>
      <c r="Q212" s="165"/>
      <c r="R212" s="165"/>
      <c r="S212" s="165"/>
      <c r="T212" s="165"/>
      <c r="U212" s="165"/>
      <c r="V212" s="165"/>
      <c r="W212" s="165"/>
      <c r="X212" s="165"/>
      <c r="Y212" s="165"/>
      <c r="Z212" s="165"/>
      <c r="AA212" s="165"/>
      <c r="AB212" s="165"/>
      <c r="AC212" s="165"/>
      <c r="AD212" s="166"/>
      <c r="AE212" s="167" t="str">
        <f t="shared" ca="1" si="129"/>
        <v>azn_202310_work_shinryou_koui</v>
      </c>
      <c r="AF212" s="168"/>
      <c r="AG212" s="168"/>
      <c r="AH212" s="168"/>
      <c r="AI212" s="168"/>
      <c r="AJ212" s="168"/>
      <c r="AK212" s="168"/>
      <c r="AL212" s="169"/>
      <c r="AM212" s="167" t="str">
        <f t="shared" ca="1" si="130"/>
        <v>ベース_診療行為データから診療行為マスタに存在するデータを抽出し、格納するテーブル</v>
      </c>
      <c r="AN212" s="168"/>
      <c r="AO212" s="168"/>
      <c r="AP212" s="168"/>
      <c r="AQ212" s="168"/>
      <c r="AR212" s="168"/>
      <c r="AS212" s="168"/>
      <c r="AT212" s="168"/>
      <c r="AU212" s="168"/>
      <c r="AV212" s="168"/>
      <c r="AW212" s="168"/>
      <c r="AX212" s="168"/>
      <c r="AY212" s="168"/>
      <c r="AZ212" s="168"/>
      <c r="BA212" s="168"/>
      <c r="BB212" s="168"/>
      <c r="BC212" s="168"/>
      <c r="BD212" s="168"/>
      <c r="BE212" s="168"/>
      <c r="BF212" s="168"/>
      <c r="BG212" s="168"/>
      <c r="BH212" s="168"/>
      <c r="BI212" s="168"/>
      <c r="BJ212" s="170"/>
      <c r="BK212" s="32" t="str">
        <f t="shared" si="131"/>
        <v>ENT_41_08_ワーク_診療行為データ.sql</v>
      </c>
    </row>
    <row r="213" spans="1:63" ht="37.5" customHeight="1">
      <c r="A213" s="34" t="str">
        <f t="shared" ref="A213:A216" si="132">P213</f>
        <v>ワーク_検体検査データ_スキーマ2</v>
      </c>
      <c r="B213" s="171" t="str">
        <f t="shared" si="127"/>
        <v>41</v>
      </c>
      <c r="C213" s="172"/>
      <c r="D213" s="172"/>
      <c r="E213" s="172"/>
      <c r="F213" s="173"/>
      <c r="G213" s="174" t="s">
        <v>558</v>
      </c>
      <c r="H213" s="175"/>
      <c r="I213" s="175"/>
      <c r="J213" s="175"/>
      <c r="K213" s="175"/>
      <c r="L213" s="175"/>
      <c r="M213" s="175"/>
      <c r="N213" s="176"/>
      <c r="O213" s="79" t="str">
        <f t="shared" ref="O213:O216" si="133">IF(P213&lt;&gt;"","ENT_"&amp;RIGHT(B213,2)&amp;"_"&amp;TEXT(ROW(O213)-ROW(O$205)+1,"00"),"")</f>
        <v>ENT_41_09</v>
      </c>
      <c r="P213" s="164" t="s">
        <v>4136</v>
      </c>
      <c r="Q213" s="165"/>
      <c r="R213" s="165"/>
      <c r="S213" s="165"/>
      <c r="T213" s="165"/>
      <c r="U213" s="165"/>
      <c r="V213" s="165"/>
      <c r="W213" s="165"/>
      <c r="X213" s="165"/>
      <c r="Y213" s="165"/>
      <c r="Z213" s="165"/>
      <c r="AA213" s="165"/>
      <c r="AB213" s="165"/>
      <c r="AC213" s="165"/>
      <c r="AD213" s="166"/>
      <c r="AE213" s="167" t="str">
        <f t="shared" ref="AE213:AE216" ca="1" si="134">IFERROR(INDIRECT(P213&amp;"!D8"),"")</f>
        <v>azn_202310_work_kensa_scm2</v>
      </c>
      <c r="AF213" s="168"/>
      <c r="AG213" s="168"/>
      <c r="AH213" s="168"/>
      <c r="AI213" s="168"/>
      <c r="AJ213" s="168"/>
      <c r="AK213" s="168"/>
      <c r="AL213" s="169"/>
      <c r="AM213" s="167" t="str">
        <f t="shared" ref="AM213:AM216" ca="1" si="135">IFERROR(INDIRECT(P213&amp;"!D9"),"")</f>
        <v>MMLの検体検査データを抽出し、格納するテーブル</v>
      </c>
      <c r="AN213" s="168"/>
      <c r="AO213" s="168"/>
      <c r="AP213" s="168"/>
      <c r="AQ213" s="168"/>
      <c r="AR213" s="168"/>
      <c r="AS213" s="168"/>
      <c r="AT213" s="168"/>
      <c r="AU213" s="168"/>
      <c r="AV213" s="168"/>
      <c r="AW213" s="168"/>
      <c r="AX213" s="168"/>
      <c r="AY213" s="168"/>
      <c r="AZ213" s="168"/>
      <c r="BA213" s="168"/>
      <c r="BB213" s="168"/>
      <c r="BC213" s="168"/>
      <c r="BD213" s="168"/>
      <c r="BE213" s="168"/>
      <c r="BF213" s="168"/>
      <c r="BG213" s="168"/>
      <c r="BH213" s="168"/>
      <c r="BI213" s="168"/>
      <c r="BJ213" s="170"/>
      <c r="BK213" s="32" t="str">
        <f t="shared" ref="BK213:BK216" si="136">IF(P213&lt;&gt;"",O213&amp;"_"&amp;P213&amp;".sql","")</f>
        <v>ENT_41_09_ワーク_検体検査データ_スキーマ2.sql</v>
      </c>
    </row>
    <row r="214" spans="1:63" ht="37.5" customHeight="1">
      <c r="A214" s="34" t="str">
        <f t="shared" si="132"/>
        <v>ワーク_検体検査データ_スキーマ4</v>
      </c>
      <c r="B214" s="171" t="str">
        <f t="shared" si="127"/>
        <v>41</v>
      </c>
      <c r="C214" s="172"/>
      <c r="D214" s="172"/>
      <c r="E214" s="172"/>
      <c r="F214" s="173"/>
      <c r="G214" s="174" t="s">
        <v>558</v>
      </c>
      <c r="H214" s="175"/>
      <c r="I214" s="175"/>
      <c r="J214" s="175"/>
      <c r="K214" s="175"/>
      <c r="L214" s="175"/>
      <c r="M214" s="175"/>
      <c r="N214" s="176"/>
      <c r="O214" s="79" t="str">
        <f t="shared" si="133"/>
        <v>ENT_41_10</v>
      </c>
      <c r="P214" s="164" t="s">
        <v>4137</v>
      </c>
      <c r="Q214" s="165"/>
      <c r="R214" s="165"/>
      <c r="S214" s="165"/>
      <c r="T214" s="165"/>
      <c r="U214" s="165"/>
      <c r="V214" s="165"/>
      <c r="W214" s="165"/>
      <c r="X214" s="165"/>
      <c r="Y214" s="165"/>
      <c r="Z214" s="165"/>
      <c r="AA214" s="165"/>
      <c r="AB214" s="165"/>
      <c r="AC214" s="165"/>
      <c r="AD214" s="166"/>
      <c r="AE214" s="167" t="str">
        <f t="shared" ca="1" si="134"/>
        <v>azn_202310_work_kensa_scm4</v>
      </c>
      <c r="AF214" s="168"/>
      <c r="AG214" s="168"/>
      <c r="AH214" s="168"/>
      <c r="AI214" s="168"/>
      <c r="AJ214" s="168"/>
      <c r="AK214" s="168"/>
      <c r="AL214" s="169"/>
      <c r="AM214" s="167" t="str">
        <f t="shared" ca="1" si="135"/>
        <v>MML（スキーマ4）の検体検査データを抽出し、格納するテーブル</v>
      </c>
      <c r="AN214" s="168"/>
      <c r="AO214" s="168"/>
      <c r="AP214" s="168"/>
      <c r="AQ214" s="168"/>
      <c r="AR214" s="168"/>
      <c r="AS214" s="168"/>
      <c r="AT214" s="168"/>
      <c r="AU214" s="168"/>
      <c r="AV214" s="168"/>
      <c r="AW214" s="168"/>
      <c r="AX214" s="168"/>
      <c r="AY214" s="168"/>
      <c r="AZ214" s="168"/>
      <c r="BA214" s="168"/>
      <c r="BB214" s="168"/>
      <c r="BC214" s="168"/>
      <c r="BD214" s="168"/>
      <c r="BE214" s="168"/>
      <c r="BF214" s="168"/>
      <c r="BG214" s="168"/>
      <c r="BH214" s="168"/>
      <c r="BI214" s="168"/>
      <c r="BJ214" s="170"/>
      <c r="BK214" s="32" t="str">
        <f t="shared" si="136"/>
        <v>ENT_41_10_ワーク_検体検査データ_スキーマ4.sql</v>
      </c>
    </row>
    <row r="215" spans="1:63" ht="37.5" customHeight="1">
      <c r="A215" s="34" t="str">
        <f t="shared" si="132"/>
        <v>ワーク_検体検査データ</v>
      </c>
      <c r="B215" s="171" t="str">
        <f t="shared" si="127"/>
        <v>41</v>
      </c>
      <c r="C215" s="172"/>
      <c r="D215" s="172"/>
      <c r="E215" s="172"/>
      <c r="F215" s="173"/>
      <c r="G215" s="174" t="s">
        <v>558</v>
      </c>
      <c r="H215" s="175"/>
      <c r="I215" s="175"/>
      <c r="J215" s="175"/>
      <c r="K215" s="175"/>
      <c r="L215" s="175"/>
      <c r="M215" s="175"/>
      <c r="N215" s="176"/>
      <c r="O215" s="79" t="str">
        <f t="shared" si="133"/>
        <v>ENT_41_11</v>
      </c>
      <c r="P215" s="164" t="s">
        <v>4138</v>
      </c>
      <c r="Q215" s="165"/>
      <c r="R215" s="165"/>
      <c r="S215" s="165"/>
      <c r="T215" s="165"/>
      <c r="U215" s="165"/>
      <c r="V215" s="165"/>
      <c r="W215" s="165"/>
      <c r="X215" s="165"/>
      <c r="Y215" s="165"/>
      <c r="Z215" s="165"/>
      <c r="AA215" s="165"/>
      <c r="AB215" s="165"/>
      <c r="AC215" s="165"/>
      <c r="AD215" s="166"/>
      <c r="AE215" s="167" t="str">
        <f t="shared" ca="1" si="134"/>
        <v>azn_202310_work_kensa</v>
      </c>
      <c r="AF215" s="168"/>
      <c r="AG215" s="168"/>
      <c r="AH215" s="168"/>
      <c r="AI215" s="168"/>
      <c r="AJ215" s="168"/>
      <c r="AK215" s="168"/>
      <c r="AL215" s="169"/>
      <c r="AM215" s="167" t="str">
        <f t="shared" ca="1" si="135"/>
        <v>MMLの検体検査データを抽出し、格納するテーブル</v>
      </c>
      <c r="AN215" s="168"/>
      <c r="AO215" s="168"/>
      <c r="AP215" s="168"/>
      <c r="AQ215" s="168"/>
      <c r="AR215" s="168"/>
      <c r="AS215" s="168"/>
      <c r="AT215" s="168"/>
      <c r="AU215" s="168"/>
      <c r="AV215" s="168"/>
      <c r="AW215" s="168"/>
      <c r="AX215" s="168"/>
      <c r="AY215" s="168"/>
      <c r="AZ215" s="168"/>
      <c r="BA215" s="168"/>
      <c r="BB215" s="168"/>
      <c r="BC215" s="168"/>
      <c r="BD215" s="168"/>
      <c r="BE215" s="168"/>
      <c r="BF215" s="168"/>
      <c r="BG215" s="168"/>
      <c r="BH215" s="168"/>
      <c r="BI215" s="168"/>
      <c r="BJ215" s="170"/>
      <c r="BK215" s="32" t="str">
        <f t="shared" si="136"/>
        <v>ENT_41_11_ワーク_検体検査データ.sql</v>
      </c>
    </row>
    <row r="216" spans="1:63" ht="37.5" customHeight="1">
      <c r="A216" s="34" t="str">
        <f t="shared" si="132"/>
        <v>ワーク_テキスト情報_一時</v>
      </c>
      <c r="B216" s="171" t="str">
        <f t="shared" si="127"/>
        <v>41</v>
      </c>
      <c r="C216" s="172"/>
      <c r="D216" s="172"/>
      <c r="E216" s="172"/>
      <c r="F216" s="173"/>
      <c r="G216" s="174" t="s">
        <v>558</v>
      </c>
      <c r="H216" s="175"/>
      <c r="I216" s="175"/>
      <c r="J216" s="175"/>
      <c r="K216" s="175"/>
      <c r="L216" s="175"/>
      <c r="M216" s="175"/>
      <c r="N216" s="176"/>
      <c r="O216" s="79" t="str">
        <f t="shared" si="133"/>
        <v>ENT_41_12</v>
      </c>
      <c r="P216" s="164" t="s">
        <v>4139</v>
      </c>
      <c r="Q216" s="165"/>
      <c r="R216" s="165"/>
      <c r="S216" s="165"/>
      <c r="T216" s="165"/>
      <c r="U216" s="165"/>
      <c r="V216" s="165"/>
      <c r="W216" s="165"/>
      <c r="X216" s="165"/>
      <c r="Y216" s="165"/>
      <c r="Z216" s="165"/>
      <c r="AA216" s="165"/>
      <c r="AB216" s="165"/>
      <c r="AC216" s="165"/>
      <c r="AD216" s="166"/>
      <c r="AE216" s="167" t="str">
        <f t="shared" ca="1" si="134"/>
        <v>azn_202310_work_text_temp</v>
      </c>
      <c r="AF216" s="168"/>
      <c r="AG216" s="168"/>
      <c r="AH216" s="168"/>
      <c r="AI216" s="168"/>
      <c r="AJ216" s="168"/>
      <c r="AK216" s="168"/>
      <c r="AL216" s="169"/>
      <c r="AM216" s="167" t="str">
        <f t="shared" ca="1" si="135"/>
        <v>MMLのテキストデータを抽出し、格納するテーブル</v>
      </c>
      <c r="AN216" s="168"/>
      <c r="AO216" s="168"/>
      <c r="AP216" s="168"/>
      <c r="AQ216" s="168"/>
      <c r="AR216" s="168"/>
      <c r="AS216" s="168"/>
      <c r="AT216" s="168"/>
      <c r="AU216" s="168"/>
      <c r="AV216" s="168"/>
      <c r="AW216" s="168"/>
      <c r="AX216" s="168"/>
      <c r="AY216" s="168"/>
      <c r="AZ216" s="168"/>
      <c r="BA216" s="168"/>
      <c r="BB216" s="168"/>
      <c r="BC216" s="168"/>
      <c r="BD216" s="168"/>
      <c r="BE216" s="168"/>
      <c r="BF216" s="168"/>
      <c r="BG216" s="168"/>
      <c r="BH216" s="168"/>
      <c r="BI216" s="168"/>
      <c r="BJ216" s="170"/>
      <c r="BK216" s="32" t="str">
        <f t="shared" si="136"/>
        <v>ENT_41_12_ワーク_テキスト情報_一時.sql</v>
      </c>
    </row>
    <row r="217" spans="1:63" ht="37.5" customHeight="1">
      <c r="A217" s="34" t="str">
        <f t="shared" ref="A217" si="137">P217</f>
        <v>ワーク_テキスト情報</v>
      </c>
      <c r="B217" s="171" t="str">
        <f t="shared" si="127"/>
        <v>41</v>
      </c>
      <c r="C217" s="172"/>
      <c r="D217" s="172"/>
      <c r="E217" s="172"/>
      <c r="F217" s="173"/>
      <c r="G217" s="174" t="s">
        <v>558</v>
      </c>
      <c r="H217" s="175"/>
      <c r="I217" s="175"/>
      <c r="J217" s="175"/>
      <c r="K217" s="175"/>
      <c r="L217" s="175"/>
      <c r="M217" s="175"/>
      <c r="N217" s="176"/>
      <c r="O217" s="79" t="str">
        <f>IF(P217&lt;&gt;"","ENT_"&amp;RIGHT(B217,2)&amp;"_"&amp;TEXT(ROW(O217)-ROW(O$205)+1,"00"),"")</f>
        <v>ENT_41_13</v>
      </c>
      <c r="P217" s="164" t="s">
        <v>4176</v>
      </c>
      <c r="Q217" s="165"/>
      <c r="R217" s="165"/>
      <c r="S217" s="165"/>
      <c r="T217" s="165"/>
      <c r="U217" s="165"/>
      <c r="V217" s="165"/>
      <c r="W217" s="165"/>
      <c r="X217" s="165"/>
      <c r="Y217" s="165"/>
      <c r="Z217" s="165"/>
      <c r="AA217" s="165"/>
      <c r="AB217" s="165"/>
      <c r="AC217" s="165"/>
      <c r="AD217" s="166"/>
      <c r="AE217" s="167" t="str">
        <f t="shared" ref="AE217" ca="1" si="138">IFERROR(INDIRECT(P217&amp;"!D8"),"")</f>
        <v>azn_202310_work_text</v>
      </c>
      <c r="AF217" s="168"/>
      <c r="AG217" s="168"/>
      <c r="AH217" s="168"/>
      <c r="AI217" s="168"/>
      <c r="AJ217" s="168"/>
      <c r="AK217" s="168"/>
      <c r="AL217" s="169"/>
      <c r="AM217" s="167" t="str">
        <f t="shared" ref="AM217" ca="1" si="139">IFERROR(INDIRECT(P217&amp;"!D9"),"")</f>
        <v>MMLのテキストデータを格納するテーブル</v>
      </c>
      <c r="AN217" s="168"/>
      <c r="AO217" s="168"/>
      <c r="AP217" s="168"/>
      <c r="AQ217" s="168"/>
      <c r="AR217" s="168"/>
      <c r="AS217" s="168"/>
      <c r="AT217" s="168"/>
      <c r="AU217" s="168"/>
      <c r="AV217" s="168"/>
      <c r="AW217" s="168"/>
      <c r="AX217" s="168"/>
      <c r="AY217" s="168"/>
      <c r="AZ217" s="168"/>
      <c r="BA217" s="168"/>
      <c r="BB217" s="168"/>
      <c r="BC217" s="168"/>
      <c r="BD217" s="168"/>
      <c r="BE217" s="168"/>
      <c r="BF217" s="168"/>
      <c r="BG217" s="168"/>
      <c r="BH217" s="168"/>
      <c r="BI217" s="168"/>
      <c r="BJ217" s="170"/>
      <c r="BK217" s="32" t="str">
        <f t="shared" ref="BK217" si="140">IF(P217&lt;&gt;"",O217&amp;"_"&amp;P217&amp;".sql","")</f>
        <v>ENT_41_13_ワーク_テキスト情報.sql</v>
      </c>
    </row>
    <row r="218" spans="1:63" ht="37.5" customHeight="1">
      <c r="A218" s="34" t="str">
        <f t="shared" ref="A218" si="141">P218</f>
        <v>ワーク_処方データ_index</v>
      </c>
      <c r="B218" s="171" t="str">
        <f>TEXT(41,"00")</f>
        <v>41</v>
      </c>
      <c r="C218" s="172"/>
      <c r="D218" s="172"/>
      <c r="E218" s="172"/>
      <c r="F218" s="173"/>
      <c r="G218" s="239" t="s">
        <v>558</v>
      </c>
      <c r="H218" s="240"/>
      <c r="I218" s="240"/>
      <c r="J218" s="240"/>
      <c r="K218" s="240"/>
      <c r="L218" s="240"/>
      <c r="M218" s="240"/>
      <c r="N218" s="241"/>
      <c r="O218" s="79" t="str">
        <f>IF(P218&lt;&gt;"","ENT_"&amp;RIGHT(B218,2)&amp;"_"&amp;TEXT(ROW(O218)-ROW(O$205)+1,"00"),"")</f>
        <v>ENT_41_14</v>
      </c>
      <c r="P218" s="164" t="s">
        <v>4345</v>
      </c>
      <c r="Q218" s="165"/>
      <c r="R218" s="165"/>
      <c r="S218" s="165"/>
      <c r="T218" s="165"/>
      <c r="U218" s="165"/>
      <c r="V218" s="165"/>
      <c r="W218" s="165"/>
      <c r="X218" s="165"/>
      <c r="Y218" s="165"/>
      <c r="Z218" s="165"/>
      <c r="AA218" s="165"/>
      <c r="AB218" s="165"/>
      <c r="AC218" s="165"/>
      <c r="AD218" s="166"/>
      <c r="AE218" s="167" t="str">
        <f t="shared" ref="AE218" ca="1" si="142">IFERROR(INDIRECT(P218&amp;"!D8"),"")</f>
        <v>azn_202310_work_shohou_index</v>
      </c>
      <c r="AF218" s="168"/>
      <c r="AG218" s="168"/>
      <c r="AH218" s="168"/>
      <c r="AI218" s="168"/>
      <c r="AJ218" s="168"/>
      <c r="AK218" s="168"/>
      <c r="AL218" s="169"/>
      <c r="AM218" s="167" t="str">
        <f t="shared" ref="AM218" ca="1" si="143">IFERROR(INDIRECT(P218&amp;"!D9"),"")</f>
        <v>DPCの処方データからロケルマに関するデータを抽出し、格納するテーブル</v>
      </c>
      <c r="AN218" s="168"/>
      <c r="AO218" s="168"/>
      <c r="AP218" s="168"/>
      <c r="AQ218" s="168"/>
      <c r="AR218" s="168"/>
      <c r="AS218" s="168"/>
      <c r="AT218" s="168"/>
      <c r="AU218" s="168"/>
      <c r="AV218" s="168"/>
      <c r="AW218" s="168"/>
      <c r="AX218" s="168"/>
      <c r="AY218" s="168"/>
      <c r="AZ218" s="168"/>
      <c r="BA218" s="168"/>
      <c r="BB218" s="168"/>
      <c r="BC218" s="168"/>
      <c r="BD218" s="168"/>
      <c r="BE218" s="168"/>
      <c r="BF218" s="168"/>
      <c r="BG218" s="168"/>
      <c r="BH218" s="168"/>
      <c r="BI218" s="168"/>
      <c r="BJ218" s="170"/>
      <c r="BK218" s="32" t="str">
        <f t="shared" ref="BK218" si="144">IF(P218&lt;&gt;"",O218&amp;"_"&amp;P218&amp;".sql","")</f>
        <v>ENT_41_14_ワーク_処方データ_index.sql</v>
      </c>
    </row>
    <row r="219" spans="1:63" ht="37.5" customHeight="1">
      <c r="A219" s="34" t="str">
        <f t="shared" si="78"/>
        <v>セレクト_患者データ</v>
      </c>
      <c r="B219" s="193" t="str">
        <f>TEXT(51,"00")</f>
        <v>51</v>
      </c>
      <c r="C219" s="194"/>
      <c r="D219" s="194"/>
      <c r="E219" s="194"/>
      <c r="F219" s="195"/>
      <c r="G219" s="174" t="s">
        <v>559</v>
      </c>
      <c r="H219" s="175"/>
      <c r="I219" s="175"/>
      <c r="J219" s="175"/>
      <c r="K219" s="175"/>
      <c r="L219" s="175"/>
      <c r="M219" s="175"/>
      <c r="N219" s="176"/>
      <c r="O219" s="79" t="str">
        <f>IF(P219&lt;&gt;"","ENT_"&amp;RIGHT(B219,2)&amp;"_"&amp;TEXT(ROW(O219)-ROW(O$219)+1,"00"),"")</f>
        <v>ENT_51_01</v>
      </c>
      <c r="P219" s="199" t="s">
        <v>4140</v>
      </c>
      <c r="Q219" s="200"/>
      <c r="R219" s="200"/>
      <c r="S219" s="200"/>
      <c r="T219" s="200"/>
      <c r="U219" s="200"/>
      <c r="V219" s="200"/>
      <c r="W219" s="200"/>
      <c r="X219" s="200"/>
      <c r="Y219" s="200"/>
      <c r="Z219" s="200"/>
      <c r="AA219" s="200"/>
      <c r="AB219" s="200"/>
      <c r="AC219" s="200"/>
      <c r="AD219" s="201"/>
      <c r="AE219" s="190" t="str">
        <f t="shared" ca="1" si="123"/>
        <v>azn_202310_select_patient_basic</v>
      </c>
      <c r="AF219" s="191"/>
      <c r="AG219" s="191"/>
      <c r="AH219" s="191"/>
      <c r="AI219" s="191"/>
      <c r="AJ219" s="191"/>
      <c r="AK219" s="191"/>
      <c r="AL219" s="202"/>
      <c r="AM219" s="190" t="str">
        <f t="shared" ca="1" si="124"/>
        <v>患者データの抽出結果を格納するテーブル</v>
      </c>
      <c r="AN219" s="191"/>
      <c r="AO219" s="191"/>
      <c r="AP219" s="191"/>
      <c r="AQ219" s="191"/>
      <c r="AR219" s="191"/>
      <c r="AS219" s="191"/>
      <c r="AT219" s="191"/>
      <c r="AU219" s="191"/>
      <c r="AV219" s="191"/>
      <c r="AW219" s="191"/>
      <c r="AX219" s="191"/>
      <c r="AY219" s="191"/>
      <c r="AZ219" s="191"/>
      <c r="BA219" s="191"/>
      <c r="BB219" s="191"/>
      <c r="BC219" s="191"/>
      <c r="BD219" s="191"/>
      <c r="BE219" s="191"/>
      <c r="BF219" s="191"/>
      <c r="BG219" s="191"/>
      <c r="BH219" s="191"/>
      <c r="BI219" s="191"/>
      <c r="BJ219" s="192"/>
      <c r="BK219" s="32" t="str">
        <f t="shared" si="43"/>
        <v>ENT_51_01_セレクト_患者データ.sql</v>
      </c>
    </row>
    <row r="220" spans="1:63" ht="37.5" customHeight="1">
      <c r="A220" s="34" t="str">
        <f t="shared" ref="A220" si="145">P220</f>
        <v>セレクト_検査データ</v>
      </c>
      <c r="B220" s="171" t="str">
        <f>TEXT(51,"00")</f>
        <v>51</v>
      </c>
      <c r="C220" s="172"/>
      <c r="D220" s="172"/>
      <c r="E220" s="172"/>
      <c r="F220" s="173"/>
      <c r="G220" s="174" t="s">
        <v>559</v>
      </c>
      <c r="H220" s="175"/>
      <c r="I220" s="175"/>
      <c r="J220" s="175"/>
      <c r="K220" s="175"/>
      <c r="L220" s="175"/>
      <c r="M220" s="175"/>
      <c r="N220" s="176"/>
      <c r="O220" s="79" t="str">
        <f>IF(P220&lt;&gt;"","ENT_"&amp;RIGHT(B220,2)&amp;"_"&amp;TEXT(ROW(O220)-ROW(O$219)+1,"00"),"")</f>
        <v>ENT_51_02</v>
      </c>
      <c r="P220" s="164" t="s">
        <v>4141</v>
      </c>
      <c r="Q220" s="165"/>
      <c r="R220" s="165"/>
      <c r="S220" s="165"/>
      <c r="T220" s="165"/>
      <c r="U220" s="165"/>
      <c r="V220" s="165"/>
      <c r="W220" s="165"/>
      <c r="X220" s="165"/>
      <c r="Y220" s="165"/>
      <c r="Z220" s="165"/>
      <c r="AA220" s="165"/>
      <c r="AB220" s="165"/>
      <c r="AC220" s="165"/>
      <c r="AD220" s="166"/>
      <c r="AE220" s="167" t="str">
        <f t="shared" ref="AE220" ca="1" si="146">IFERROR(INDIRECT(P220&amp;"!D8"),"")</f>
        <v>azn_202310_select_kensa</v>
      </c>
      <c r="AF220" s="168"/>
      <c r="AG220" s="168"/>
      <c r="AH220" s="168"/>
      <c r="AI220" s="168"/>
      <c r="AJ220" s="168"/>
      <c r="AK220" s="168"/>
      <c r="AL220" s="169"/>
      <c r="AM220" s="167" t="str">
        <f t="shared" ref="AM220" ca="1" si="147">IFERROR(INDIRECT(P220&amp;"!D9"),"")</f>
        <v>検査データの抽出結果を格納するテーブル</v>
      </c>
      <c r="AN220" s="168"/>
      <c r="AO220" s="168"/>
      <c r="AP220" s="168"/>
      <c r="AQ220" s="168"/>
      <c r="AR220" s="168"/>
      <c r="AS220" s="168"/>
      <c r="AT220" s="168"/>
      <c r="AU220" s="168"/>
      <c r="AV220" s="168"/>
      <c r="AW220" s="168"/>
      <c r="AX220" s="168"/>
      <c r="AY220" s="168"/>
      <c r="AZ220" s="168"/>
      <c r="BA220" s="168"/>
      <c r="BB220" s="168"/>
      <c r="BC220" s="168"/>
      <c r="BD220" s="168"/>
      <c r="BE220" s="168"/>
      <c r="BF220" s="168"/>
      <c r="BG220" s="168"/>
      <c r="BH220" s="168"/>
      <c r="BI220" s="168"/>
      <c r="BJ220" s="170"/>
      <c r="BK220" s="32" t="str">
        <f t="shared" si="43"/>
        <v>ENT_51_02_セレクト_検査データ.sql</v>
      </c>
    </row>
    <row r="221" spans="1:63" ht="37.5" customHeight="1">
      <c r="A221" s="34" t="str">
        <f t="shared" ref="A221:A227" si="148">P221</f>
        <v>セレクト_検査データ_患者背景用</v>
      </c>
      <c r="B221" s="171" t="str">
        <f t="shared" ref="B221:B227" si="149">TEXT(51,"00")</f>
        <v>51</v>
      </c>
      <c r="C221" s="172"/>
      <c r="D221" s="172"/>
      <c r="E221" s="172"/>
      <c r="F221" s="173"/>
      <c r="G221" s="174" t="s">
        <v>559</v>
      </c>
      <c r="H221" s="175"/>
      <c r="I221" s="175"/>
      <c r="J221" s="175"/>
      <c r="K221" s="175"/>
      <c r="L221" s="175"/>
      <c r="M221" s="175"/>
      <c r="N221" s="176"/>
      <c r="O221" s="79" t="str">
        <f t="shared" ref="O221:O227" si="150">IF(P221&lt;&gt;"","ENT_"&amp;RIGHT(B221,2)&amp;"_"&amp;TEXT(ROW(O221)-ROW(O$219)+1,"00"),"")</f>
        <v>ENT_51_03</v>
      </c>
      <c r="P221" s="164" t="s">
        <v>4142</v>
      </c>
      <c r="Q221" s="165"/>
      <c r="R221" s="165"/>
      <c r="S221" s="165"/>
      <c r="T221" s="165"/>
      <c r="U221" s="165"/>
      <c r="V221" s="165"/>
      <c r="W221" s="165"/>
      <c r="X221" s="165"/>
      <c r="Y221" s="165"/>
      <c r="Z221" s="165"/>
      <c r="AA221" s="165"/>
      <c r="AB221" s="165"/>
      <c r="AC221" s="165"/>
      <c r="AD221" s="166"/>
      <c r="AE221" s="167" t="str">
        <f t="shared" ref="AE221:AE227" ca="1" si="151">IFERROR(INDIRECT(P221&amp;"!D8"),"")</f>
        <v>azn_202310_select_kanja_backborn_kensa</v>
      </c>
      <c r="AF221" s="168"/>
      <c r="AG221" s="168"/>
      <c r="AH221" s="168"/>
      <c r="AI221" s="168"/>
      <c r="AJ221" s="168"/>
      <c r="AK221" s="168"/>
      <c r="AL221" s="169"/>
      <c r="AM221" s="167" t="str">
        <f t="shared" ref="AM221:AM227" ca="1" si="152">IFERROR(INDIRECT(P221&amp;"!D9"),"")</f>
        <v>検査データを患者背景用に表示名ごとに集計した結果を格納するテーブル</v>
      </c>
      <c r="AN221" s="168"/>
      <c r="AO221" s="168"/>
      <c r="AP221" s="168"/>
      <c r="AQ221" s="168"/>
      <c r="AR221" s="168"/>
      <c r="AS221" s="168"/>
      <c r="AT221" s="168"/>
      <c r="AU221" s="168"/>
      <c r="AV221" s="168"/>
      <c r="AW221" s="168"/>
      <c r="AX221" s="168"/>
      <c r="AY221" s="168"/>
      <c r="AZ221" s="168"/>
      <c r="BA221" s="168"/>
      <c r="BB221" s="168"/>
      <c r="BC221" s="168"/>
      <c r="BD221" s="168"/>
      <c r="BE221" s="168"/>
      <c r="BF221" s="168"/>
      <c r="BG221" s="168"/>
      <c r="BH221" s="168"/>
      <c r="BI221" s="168"/>
      <c r="BJ221" s="170"/>
      <c r="BK221" s="32" t="str">
        <f t="shared" ref="BK221:BK227" si="153">IF(P221&lt;&gt;"",O221&amp;"_"&amp;P221&amp;".sql","")</f>
        <v>ENT_51_03_セレクト_検査データ_患者背景用.sql</v>
      </c>
    </row>
    <row r="222" spans="1:63" ht="37.5" customHeight="1">
      <c r="A222" s="34" t="str">
        <f t="shared" si="148"/>
        <v>セレクト_検査データ_カリウム</v>
      </c>
      <c r="B222" s="171" t="str">
        <f t="shared" si="149"/>
        <v>51</v>
      </c>
      <c r="C222" s="172"/>
      <c r="D222" s="172"/>
      <c r="E222" s="172"/>
      <c r="F222" s="173"/>
      <c r="G222" s="174" t="s">
        <v>559</v>
      </c>
      <c r="H222" s="175"/>
      <c r="I222" s="175"/>
      <c r="J222" s="175"/>
      <c r="K222" s="175"/>
      <c r="L222" s="175"/>
      <c r="M222" s="175"/>
      <c r="N222" s="176"/>
      <c r="O222" s="79" t="str">
        <f t="shared" si="150"/>
        <v>ENT_51_04</v>
      </c>
      <c r="P222" s="164" t="s">
        <v>4143</v>
      </c>
      <c r="Q222" s="165"/>
      <c r="R222" s="165"/>
      <c r="S222" s="165"/>
      <c r="T222" s="165"/>
      <c r="U222" s="165"/>
      <c r="V222" s="165"/>
      <c r="W222" s="165"/>
      <c r="X222" s="165"/>
      <c r="Y222" s="165"/>
      <c r="Z222" s="165"/>
      <c r="AA222" s="165"/>
      <c r="AB222" s="165"/>
      <c r="AC222" s="165"/>
      <c r="AD222" s="166"/>
      <c r="AE222" s="167" t="str">
        <f t="shared" ca="1" si="151"/>
        <v>azn_202310_select_kensa_k</v>
      </c>
      <c r="AF222" s="168"/>
      <c r="AG222" s="168"/>
      <c r="AH222" s="168"/>
      <c r="AI222" s="168"/>
      <c r="AJ222" s="168"/>
      <c r="AK222" s="168"/>
      <c r="AL222" s="169"/>
      <c r="AM222" s="167" t="str">
        <f t="shared" ca="1" si="152"/>
        <v>カリウムに関する検査データを格納するテーブル</v>
      </c>
      <c r="AN222" s="168"/>
      <c r="AO222" s="168"/>
      <c r="AP222" s="168"/>
      <c r="AQ222" s="168"/>
      <c r="AR222" s="168"/>
      <c r="AS222" s="168"/>
      <c r="AT222" s="168"/>
      <c r="AU222" s="168"/>
      <c r="AV222" s="168"/>
      <c r="AW222" s="168"/>
      <c r="AX222" s="168"/>
      <c r="AY222" s="168"/>
      <c r="AZ222" s="168"/>
      <c r="BA222" s="168"/>
      <c r="BB222" s="168"/>
      <c r="BC222" s="168"/>
      <c r="BD222" s="168"/>
      <c r="BE222" s="168"/>
      <c r="BF222" s="168"/>
      <c r="BG222" s="168"/>
      <c r="BH222" s="168"/>
      <c r="BI222" s="168"/>
      <c r="BJ222" s="170"/>
      <c r="BK222" s="32" t="str">
        <f t="shared" si="153"/>
        <v>ENT_51_04_セレクト_検査データ_カリウム.sql</v>
      </c>
    </row>
    <row r="223" spans="1:63" ht="37.5" customHeight="1">
      <c r="A223" s="34" t="str">
        <f t="shared" si="148"/>
        <v>セレクト_併用薬データ_患者背景用</v>
      </c>
      <c r="B223" s="171" t="str">
        <f t="shared" si="149"/>
        <v>51</v>
      </c>
      <c r="C223" s="172"/>
      <c r="D223" s="172"/>
      <c r="E223" s="172"/>
      <c r="F223" s="173"/>
      <c r="G223" s="174" t="s">
        <v>559</v>
      </c>
      <c r="H223" s="175"/>
      <c r="I223" s="175"/>
      <c r="J223" s="175"/>
      <c r="K223" s="175"/>
      <c r="L223" s="175"/>
      <c r="M223" s="175"/>
      <c r="N223" s="176"/>
      <c r="O223" s="79" t="str">
        <f t="shared" si="150"/>
        <v>ENT_51_05</v>
      </c>
      <c r="P223" s="164" t="s">
        <v>4144</v>
      </c>
      <c r="Q223" s="165"/>
      <c r="R223" s="165"/>
      <c r="S223" s="165"/>
      <c r="T223" s="165"/>
      <c r="U223" s="165"/>
      <c r="V223" s="165"/>
      <c r="W223" s="165"/>
      <c r="X223" s="165"/>
      <c r="Y223" s="165"/>
      <c r="Z223" s="165"/>
      <c r="AA223" s="165"/>
      <c r="AB223" s="165"/>
      <c r="AC223" s="165"/>
      <c r="AD223" s="166"/>
      <c r="AE223" s="167" t="str">
        <f t="shared" ca="1" si="151"/>
        <v>azn_202310_select_kanja_backborn_yakuzai</v>
      </c>
      <c r="AF223" s="168"/>
      <c r="AG223" s="168"/>
      <c r="AH223" s="168"/>
      <c r="AI223" s="168"/>
      <c r="AJ223" s="168"/>
      <c r="AK223" s="168"/>
      <c r="AL223" s="169"/>
      <c r="AM223" s="167" t="str">
        <f t="shared" ca="1" si="152"/>
        <v>併用薬データを格納するテーブル</v>
      </c>
      <c r="AN223" s="168"/>
      <c r="AO223" s="168"/>
      <c r="AP223" s="168"/>
      <c r="AQ223" s="168"/>
      <c r="AR223" s="168"/>
      <c r="AS223" s="168"/>
      <c r="AT223" s="168"/>
      <c r="AU223" s="168"/>
      <c r="AV223" s="168"/>
      <c r="AW223" s="168"/>
      <c r="AX223" s="168"/>
      <c r="AY223" s="168"/>
      <c r="AZ223" s="168"/>
      <c r="BA223" s="168"/>
      <c r="BB223" s="168"/>
      <c r="BC223" s="168"/>
      <c r="BD223" s="168"/>
      <c r="BE223" s="168"/>
      <c r="BF223" s="168"/>
      <c r="BG223" s="168"/>
      <c r="BH223" s="168"/>
      <c r="BI223" s="168"/>
      <c r="BJ223" s="170"/>
      <c r="BK223" s="32" t="str">
        <f t="shared" si="153"/>
        <v>ENT_51_05_セレクト_併用薬データ_患者背景用.sql</v>
      </c>
    </row>
    <row r="224" spans="1:63" ht="37.5" customHeight="1">
      <c r="A224" s="34" t="str">
        <f t="shared" si="148"/>
        <v>セレクト_合併症有無_CKD_患者背景用</v>
      </c>
      <c r="B224" s="171" t="str">
        <f t="shared" si="149"/>
        <v>51</v>
      </c>
      <c r="C224" s="172"/>
      <c r="D224" s="172"/>
      <c r="E224" s="172"/>
      <c r="F224" s="173"/>
      <c r="G224" s="174" t="s">
        <v>559</v>
      </c>
      <c r="H224" s="175"/>
      <c r="I224" s="175"/>
      <c r="J224" s="175"/>
      <c r="K224" s="175"/>
      <c r="L224" s="175"/>
      <c r="M224" s="175"/>
      <c r="N224" s="176"/>
      <c r="O224" s="79" t="str">
        <f t="shared" si="150"/>
        <v>ENT_51_06</v>
      </c>
      <c r="P224" s="164" t="s">
        <v>4145</v>
      </c>
      <c r="Q224" s="165"/>
      <c r="R224" s="165"/>
      <c r="S224" s="165"/>
      <c r="T224" s="165"/>
      <c r="U224" s="165"/>
      <c r="V224" s="165"/>
      <c r="W224" s="165"/>
      <c r="X224" s="165"/>
      <c r="Y224" s="165"/>
      <c r="Z224" s="165"/>
      <c r="AA224" s="165"/>
      <c r="AB224" s="165"/>
      <c r="AC224" s="165"/>
      <c r="AD224" s="166"/>
      <c r="AE224" s="167" t="str">
        <f t="shared" ca="1" si="151"/>
        <v>azn_202310_select_kanja_backborn_gappei01</v>
      </c>
      <c r="AF224" s="168"/>
      <c r="AG224" s="168"/>
      <c r="AH224" s="168"/>
      <c r="AI224" s="168"/>
      <c r="AJ224" s="168"/>
      <c r="AK224" s="168"/>
      <c r="AL224" s="169"/>
      <c r="AM224" s="167" t="str">
        <f t="shared" ca="1" si="152"/>
        <v>合併症有無_CKDのデータを格納するテーブル</v>
      </c>
      <c r="AN224" s="168"/>
      <c r="AO224" s="168"/>
      <c r="AP224" s="168"/>
      <c r="AQ224" s="168"/>
      <c r="AR224" s="168"/>
      <c r="AS224" s="168"/>
      <c r="AT224" s="168"/>
      <c r="AU224" s="168"/>
      <c r="AV224" s="168"/>
      <c r="AW224" s="168"/>
      <c r="AX224" s="168"/>
      <c r="AY224" s="168"/>
      <c r="AZ224" s="168"/>
      <c r="BA224" s="168"/>
      <c r="BB224" s="168"/>
      <c r="BC224" s="168"/>
      <c r="BD224" s="168"/>
      <c r="BE224" s="168"/>
      <c r="BF224" s="168"/>
      <c r="BG224" s="168"/>
      <c r="BH224" s="168"/>
      <c r="BI224" s="168"/>
      <c r="BJ224" s="170"/>
      <c r="BK224" s="32" t="str">
        <f t="shared" si="153"/>
        <v>ENT_51_06_セレクト_合併症有無_CKD_患者背景用.sql</v>
      </c>
    </row>
    <row r="225" spans="1:63" ht="37.5" customHeight="1">
      <c r="A225" s="34" t="str">
        <f t="shared" si="148"/>
        <v>セレクト_合併症有無_CKD以外_患者背景用</v>
      </c>
      <c r="B225" s="171" t="str">
        <f t="shared" si="149"/>
        <v>51</v>
      </c>
      <c r="C225" s="172"/>
      <c r="D225" s="172"/>
      <c r="E225" s="172"/>
      <c r="F225" s="173"/>
      <c r="G225" s="174" t="s">
        <v>559</v>
      </c>
      <c r="H225" s="175"/>
      <c r="I225" s="175"/>
      <c r="J225" s="175"/>
      <c r="K225" s="175"/>
      <c r="L225" s="175"/>
      <c r="M225" s="175"/>
      <c r="N225" s="176"/>
      <c r="O225" s="79" t="str">
        <f t="shared" si="150"/>
        <v>ENT_51_07</v>
      </c>
      <c r="P225" s="164" t="s">
        <v>4146</v>
      </c>
      <c r="Q225" s="165"/>
      <c r="R225" s="165"/>
      <c r="S225" s="165"/>
      <c r="T225" s="165"/>
      <c r="U225" s="165"/>
      <c r="V225" s="165"/>
      <c r="W225" s="165"/>
      <c r="X225" s="165"/>
      <c r="Y225" s="165"/>
      <c r="Z225" s="165"/>
      <c r="AA225" s="165"/>
      <c r="AB225" s="165"/>
      <c r="AC225" s="165"/>
      <c r="AD225" s="166"/>
      <c r="AE225" s="167" t="str">
        <f t="shared" ca="1" si="151"/>
        <v>azn_202310_select_kanja_backborn_gappei02</v>
      </c>
      <c r="AF225" s="168"/>
      <c r="AG225" s="168"/>
      <c r="AH225" s="168"/>
      <c r="AI225" s="168"/>
      <c r="AJ225" s="168"/>
      <c r="AK225" s="168"/>
      <c r="AL225" s="169"/>
      <c r="AM225" s="167" t="str">
        <f t="shared" ca="1" si="152"/>
        <v>合併症有無_CKD以外のデータを格納するテーブル</v>
      </c>
      <c r="AN225" s="168"/>
      <c r="AO225" s="168"/>
      <c r="AP225" s="168"/>
      <c r="AQ225" s="168"/>
      <c r="AR225" s="168"/>
      <c r="AS225" s="168"/>
      <c r="AT225" s="168"/>
      <c r="AU225" s="168"/>
      <c r="AV225" s="168"/>
      <c r="AW225" s="168"/>
      <c r="AX225" s="168"/>
      <c r="AY225" s="168"/>
      <c r="AZ225" s="168"/>
      <c r="BA225" s="168"/>
      <c r="BB225" s="168"/>
      <c r="BC225" s="168"/>
      <c r="BD225" s="168"/>
      <c r="BE225" s="168"/>
      <c r="BF225" s="168"/>
      <c r="BG225" s="168"/>
      <c r="BH225" s="168"/>
      <c r="BI225" s="168"/>
      <c r="BJ225" s="170"/>
      <c r="BK225" s="32" t="str">
        <f t="shared" si="153"/>
        <v>ENT_51_07_セレクト_合併症有無_CKD以外_患者背景用.sql</v>
      </c>
    </row>
    <row r="226" spans="1:63" ht="37.5" customHeight="1">
      <c r="A226" s="34" t="str">
        <f t="shared" si="148"/>
        <v>セレクト_透析有無_患者背景用</v>
      </c>
      <c r="B226" s="171" t="str">
        <f t="shared" si="149"/>
        <v>51</v>
      </c>
      <c r="C226" s="172"/>
      <c r="D226" s="172"/>
      <c r="E226" s="172"/>
      <c r="F226" s="173"/>
      <c r="G226" s="174" t="s">
        <v>559</v>
      </c>
      <c r="H226" s="175"/>
      <c r="I226" s="175"/>
      <c r="J226" s="175"/>
      <c r="K226" s="175"/>
      <c r="L226" s="175"/>
      <c r="M226" s="175"/>
      <c r="N226" s="176"/>
      <c r="O226" s="79" t="str">
        <f t="shared" si="150"/>
        <v>ENT_51_08</v>
      </c>
      <c r="P226" s="164" t="s">
        <v>4147</v>
      </c>
      <c r="Q226" s="165"/>
      <c r="R226" s="165"/>
      <c r="S226" s="165"/>
      <c r="T226" s="165"/>
      <c r="U226" s="165"/>
      <c r="V226" s="165"/>
      <c r="W226" s="165"/>
      <c r="X226" s="165"/>
      <c r="Y226" s="165"/>
      <c r="Z226" s="165"/>
      <c r="AA226" s="165"/>
      <c r="AB226" s="165"/>
      <c r="AC226" s="165"/>
      <c r="AD226" s="166"/>
      <c r="AE226" s="167" t="str">
        <f t="shared" ca="1" si="151"/>
        <v>azn_202310_select_kanja_backborn_hd</v>
      </c>
      <c r="AF226" s="168"/>
      <c r="AG226" s="168"/>
      <c r="AH226" s="168"/>
      <c r="AI226" s="168"/>
      <c r="AJ226" s="168"/>
      <c r="AK226" s="168"/>
      <c r="AL226" s="169"/>
      <c r="AM226" s="167" t="str">
        <f t="shared" ca="1" si="152"/>
        <v>透析有無のデータを格納するテーブル</v>
      </c>
      <c r="AN226" s="168"/>
      <c r="AO226" s="168"/>
      <c r="AP226" s="168"/>
      <c r="AQ226" s="168"/>
      <c r="AR226" s="168"/>
      <c r="AS226" s="168"/>
      <c r="AT226" s="168"/>
      <c r="AU226" s="168"/>
      <c r="AV226" s="168"/>
      <c r="AW226" s="168"/>
      <c r="AX226" s="168"/>
      <c r="AY226" s="168"/>
      <c r="AZ226" s="168"/>
      <c r="BA226" s="168"/>
      <c r="BB226" s="168"/>
      <c r="BC226" s="168"/>
      <c r="BD226" s="168"/>
      <c r="BE226" s="168"/>
      <c r="BF226" s="168"/>
      <c r="BG226" s="168"/>
      <c r="BH226" s="168"/>
      <c r="BI226" s="168"/>
      <c r="BJ226" s="170"/>
      <c r="BK226" s="32" t="str">
        <f t="shared" si="153"/>
        <v>ENT_51_08_セレクト_透析有無_患者背景用.sql</v>
      </c>
    </row>
    <row r="227" spans="1:63" ht="37.5" customHeight="1">
      <c r="A227" s="34" t="str">
        <f t="shared" si="148"/>
        <v>セレクト_バイタル</v>
      </c>
      <c r="B227" s="242" t="str">
        <f t="shared" si="149"/>
        <v>51</v>
      </c>
      <c r="C227" s="243"/>
      <c r="D227" s="243"/>
      <c r="E227" s="243"/>
      <c r="F227" s="244"/>
      <c r="G227" s="239" t="s">
        <v>559</v>
      </c>
      <c r="H227" s="240"/>
      <c r="I227" s="240"/>
      <c r="J227" s="240"/>
      <c r="K227" s="240"/>
      <c r="L227" s="240"/>
      <c r="M227" s="240"/>
      <c r="N227" s="241"/>
      <c r="O227" s="79" t="str">
        <f t="shared" si="150"/>
        <v>ENT_51_09</v>
      </c>
      <c r="P227" s="164" t="s">
        <v>4148</v>
      </c>
      <c r="Q227" s="165"/>
      <c r="R227" s="165"/>
      <c r="S227" s="165"/>
      <c r="T227" s="165"/>
      <c r="U227" s="165"/>
      <c r="V227" s="165"/>
      <c r="W227" s="165"/>
      <c r="X227" s="165"/>
      <c r="Y227" s="165"/>
      <c r="Z227" s="165"/>
      <c r="AA227" s="165"/>
      <c r="AB227" s="165"/>
      <c r="AC227" s="165"/>
      <c r="AD227" s="166"/>
      <c r="AE227" s="167" t="str">
        <f t="shared" ca="1" si="151"/>
        <v>azn_202310_select_vital</v>
      </c>
      <c r="AF227" s="168"/>
      <c r="AG227" s="168"/>
      <c r="AH227" s="168"/>
      <c r="AI227" s="168"/>
      <c r="AJ227" s="168"/>
      <c r="AK227" s="168"/>
      <c r="AL227" s="169"/>
      <c r="AM227" s="167" t="str">
        <f t="shared" ca="1" si="152"/>
        <v>バイタルデータを格納するテーブル</v>
      </c>
      <c r="AN227" s="168"/>
      <c r="AO227" s="168"/>
      <c r="AP227" s="168"/>
      <c r="AQ227" s="168"/>
      <c r="AR227" s="168"/>
      <c r="AS227" s="168"/>
      <c r="AT227" s="168"/>
      <c r="AU227" s="168"/>
      <c r="AV227" s="168"/>
      <c r="AW227" s="168"/>
      <c r="AX227" s="168"/>
      <c r="AY227" s="168"/>
      <c r="AZ227" s="168"/>
      <c r="BA227" s="168"/>
      <c r="BB227" s="168"/>
      <c r="BC227" s="168"/>
      <c r="BD227" s="168"/>
      <c r="BE227" s="168"/>
      <c r="BF227" s="168"/>
      <c r="BG227" s="168"/>
      <c r="BH227" s="168"/>
      <c r="BI227" s="168"/>
      <c r="BJ227" s="170"/>
      <c r="BK227" s="32" t="str">
        <f t="shared" si="153"/>
        <v>ENT_51_09_セレクト_バイタル.sql</v>
      </c>
    </row>
    <row r="228" spans="1:63" ht="37.5" customHeight="1">
      <c r="A228" s="34" t="str">
        <f t="shared" ref="A228" si="154">P228</f>
        <v>デリバリ_患者背景</v>
      </c>
      <c r="B228" s="171" t="str">
        <f>TEXT(61,"00")</f>
        <v>61</v>
      </c>
      <c r="C228" s="172"/>
      <c r="D228" s="172"/>
      <c r="E228" s="172"/>
      <c r="F228" s="173"/>
      <c r="G228" s="174" t="s">
        <v>4495</v>
      </c>
      <c r="H228" s="175"/>
      <c r="I228" s="175"/>
      <c r="J228" s="175"/>
      <c r="K228" s="175"/>
      <c r="L228" s="175"/>
      <c r="M228" s="175"/>
      <c r="N228" s="176"/>
      <c r="O228" s="79" t="str">
        <f>IF(P228&lt;&gt;"","ENT_"&amp;RIGHT(B228,2)&amp;"_"&amp;TEXT(ROW(O228)-ROW(O$228)+1,"00"),"")</f>
        <v>ENT_61_01</v>
      </c>
      <c r="P228" s="164" t="s">
        <v>4353</v>
      </c>
      <c r="Q228" s="165"/>
      <c r="R228" s="165"/>
      <c r="S228" s="165"/>
      <c r="T228" s="165"/>
      <c r="U228" s="165"/>
      <c r="V228" s="165"/>
      <c r="W228" s="165"/>
      <c r="X228" s="165"/>
      <c r="Y228" s="165"/>
      <c r="Z228" s="165"/>
      <c r="AA228" s="165"/>
      <c r="AB228" s="165"/>
      <c r="AC228" s="165"/>
      <c r="AD228" s="166"/>
      <c r="AE228" s="167" t="str">
        <f t="shared" ref="AE228" ca="1" si="155">IFERROR(INDIRECT(P228&amp;"!D8"),"")</f>
        <v>azn_202310_delivery_kanja_backborn_kensa</v>
      </c>
      <c r="AF228" s="168"/>
      <c r="AG228" s="168"/>
      <c r="AH228" s="168"/>
      <c r="AI228" s="168"/>
      <c r="AJ228" s="168"/>
      <c r="AK228" s="168"/>
      <c r="AL228" s="169"/>
      <c r="AM228" s="167" t="str">
        <f t="shared" ref="AM228" ca="1" si="156">IFERROR(INDIRECT(P228&amp;"!D9"),"")</f>
        <v>患者背景の集計結果を格納するテーブル</v>
      </c>
      <c r="AN228" s="168"/>
      <c r="AO228" s="168"/>
      <c r="AP228" s="168"/>
      <c r="AQ228" s="168"/>
      <c r="AR228" s="168"/>
      <c r="AS228" s="168"/>
      <c r="AT228" s="168"/>
      <c r="AU228" s="168"/>
      <c r="AV228" s="168"/>
      <c r="AW228" s="168"/>
      <c r="AX228" s="168"/>
      <c r="AY228" s="168"/>
      <c r="AZ228" s="168"/>
      <c r="BA228" s="168"/>
      <c r="BB228" s="168"/>
      <c r="BC228" s="168"/>
      <c r="BD228" s="168"/>
      <c r="BE228" s="168"/>
      <c r="BF228" s="168"/>
      <c r="BG228" s="168"/>
      <c r="BH228" s="168"/>
      <c r="BI228" s="168"/>
      <c r="BJ228" s="170"/>
      <c r="BK228" s="32" t="str">
        <f t="shared" ref="BK228" si="157">IF(P228&lt;&gt;"",O228&amp;"_"&amp;P228&amp;".sql","")</f>
        <v>ENT_61_01_デリバリ_患者背景.sql</v>
      </c>
    </row>
    <row r="229" spans="1:63" ht="37.5" customHeight="1">
      <c r="A229" s="34" t="str">
        <f t="shared" ref="A229" si="158">P229</f>
        <v>デリバリ_患者背景_サマリ</v>
      </c>
      <c r="B229" s="171" t="str">
        <f>TEXT(61,"00")</f>
        <v>61</v>
      </c>
      <c r="C229" s="172"/>
      <c r="D229" s="172"/>
      <c r="E229" s="172"/>
      <c r="F229" s="173"/>
      <c r="G229" s="174" t="s">
        <v>4494</v>
      </c>
      <c r="H229" s="175"/>
      <c r="I229" s="175"/>
      <c r="J229" s="175"/>
      <c r="K229" s="175"/>
      <c r="L229" s="175"/>
      <c r="M229" s="175"/>
      <c r="N229" s="176"/>
      <c r="O229" s="79" t="str">
        <f>IF(P229&lt;&gt;"","ENT_"&amp;RIGHT(B229,2)&amp;"_"&amp;TEXT(ROW(O229)-ROW(O$228)+1,"00"),"")</f>
        <v>ENT_61_02</v>
      </c>
      <c r="P229" s="164" t="s">
        <v>4380</v>
      </c>
      <c r="Q229" s="165"/>
      <c r="R229" s="165"/>
      <c r="S229" s="165"/>
      <c r="T229" s="165"/>
      <c r="U229" s="165"/>
      <c r="V229" s="165"/>
      <c r="W229" s="165"/>
      <c r="X229" s="165"/>
      <c r="Y229" s="165"/>
      <c r="Z229" s="165"/>
      <c r="AA229" s="165"/>
      <c r="AB229" s="165"/>
      <c r="AC229" s="165"/>
      <c r="AD229" s="166"/>
      <c r="AE229" s="167" t="str">
        <f t="shared" ref="AE229" ca="1" si="159">IFERROR(INDIRECT(P229&amp;"!D8"),"")</f>
        <v>azn_202310_delivery_kanja_backborn_sum</v>
      </c>
      <c r="AF229" s="168"/>
      <c r="AG229" s="168"/>
      <c r="AH229" s="168"/>
      <c r="AI229" s="168"/>
      <c r="AJ229" s="168"/>
      <c r="AK229" s="168"/>
      <c r="AL229" s="169"/>
      <c r="AM229" s="167" t="str">
        <f t="shared" ref="AM229" ca="1" si="160">IFERROR(INDIRECT(P229&amp;"!D9"),"")</f>
        <v>患者背景の集計結果のサマリを格納するテーブル</v>
      </c>
      <c r="AN229" s="168"/>
      <c r="AO229" s="168"/>
      <c r="AP229" s="168"/>
      <c r="AQ229" s="168"/>
      <c r="AR229" s="168"/>
      <c r="AS229" s="168"/>
      <c r="AT229" s="168"/>
      <c r="AU229" s="168"/>
      <c r="AV229" s="168"/>
      <c r="AW229" s="168"/>
      <c r="AX229" s="168"/>
      <c r="AY229" s="168"/>
      <c r="AZ229" s="168"/>
      <c r="BA229" s="168"/>
      <c r="BB229" s="168"/>
      <c r="BC229" s="168"/>
      <c r="BD229" s="168"/>
      <c r="BE229" s="168"/>
      <c r="BF229" s="168"/>
      <c r="BG229" s="168"/>
      <c r="BH229" s="168"/>
      <c r="BI229" s="168"/>
      <c r="BJ229" s="170"/>
      <c r="BK229" s="32" t="str">
        <f t="shared" ref="BK229" si="161">IF(P229&lt;&gt;"",O229&amp;"_"&amp;P229&amp;".sql","")</f>
        <v>ENT_61_02_デリバリ_患者背景_サマリ.sql</v>
      </c>
    </row>
    <row r="230" spans="1:63" ht="37.5" customHeight="1">
      <c r="A230" s="34" t="str">
        <f t="shared" ref="A230" si="162">P230</f>
        <v>デリバリ_カリウム平均推移_日別</v>
      </c>
      <c r="B230" s="171" t="str">
        <f>TEXT(61,"00")</f>
        <v>61</v>
      </c>
      <c r="C230" s="172"/>
      <c r="D230" s="172"/>
      <c r="E230" s="172"/>
      <c r="F230" s="173"/>
      <c r="G230" s="174" t="s">
        <v>4494</v>
      </c>
      <c r="H230" s="175"/>
      <c r="I230" s="175"/>
      <c r="J230" s="175"/>
      <c r="K230" s="175"/>
      <c r="L230" s="175"/>
      <c r="M230" s="175"/>
      <c r="N230" s="176"/>
      <c r="O230" s="79" t="str">
        <f>IF(P230&lt;&gt;"","ENT_"&amp;RIGHT(B230,2)&amp;"_"&amp;TEXT(ROW(O230)-ROW(O$228)+1,"00"),"")</f>
        <v>ENT_61_03</v>
      </c>
      <c r="P230" s="164" t="s">
        <v>4411</v>
      </c>
      <c r="Q230" s="165"/>
      <c r="R230" s="165"/>
      <c r="S230" s="165"/>
      <c r="T230" s="165"/>
      <c r="U230" s="165"/>
      <c r="V230" s="165"/>
      <c r="W230" s="165"/>
      <c r="X230" s="165"/>
      <c r="Y230" s="165"/>
      <c r="Z230" s="165"/>
      <c r="AA230" s="165"/>
      <c r="AB230" s="165"/>
      <c r="AC230" s="165"/>
      <c r="AD230" s="166"/>
      <c r="AE230" s="167" t="str">
        <f t="shared" ref="AE230" ca="1" si="163">IFERROR(INDIRECT(P230&amp;"!D8"),"")</f>
        <v>azn_202310_delivery_k_days</v>
      </c>
      <c r="AF230" s="168"/>
      <c r="AG230" s="168"/>
      <c r="AH230" s="168"/>
      <c r="AI230" s="168"/>
      <c r="AJ230" s="168"/>
      <c r="AK230" s="168"/>
      <c r="AL230" s="169"/>
      <c r="AM230" s="167" t="str">
        <f t="shared" ref="AM230" ca="1" si="164">IFERROR(INDIRECT(P230&amp;"!D9"),"")</f>
        <v>日別のカリウム平均推移を格納するテーブル</v>
      </c>
      <c r="AN230" s="168"/>
      <c r="AO230" s="168"/>
      <c r="AP230" s="168"/>
      <c r="AQ230" s="168"/>
      <c r="AR230" s="168"/>
      <c r="AS230" s="168"/>
      <c r="AT230" s="168"/>
      <c r="AU230" s="168"/>
      <c r="AV230" s="168"/>
      <c r="AW230" s="168"/>
      <c r="AX230" s="168"/>
      <c r="AY230" s="168"/>
      <c r="AZ230" s="168"/>
      <c r="BA230" s="168"/>
      <c r="BB230" s="168"/>
      <c r="BC230" s="168"/>
      <c r="BD230" s="168"/>
      <c r="BE230" s="168"/>
      <c r="BF230" s="168"/>
      <c r="BG230" s="168"/>
      <c r="BH230" s="168"/>
      <c r="BI230" s="168"/>
      <c r="BJ230" s="170"/>
      <c r="BK230" s="32" t="str">
        <f t="shared" ref="BK230" si="165">IF(P230&lt;&gt;"",O230&amp;"_"&amp;P230&amp;".sql","")</f>
        <v>ENT_61_03_デリバリ_カリウム平均推移_日別.sql</v>
      </c>
    </row>
    <row r="231" spans="1:63" ht="37.5" customHeight="1">
      <c r="A231" s="34" t="str">
        <f t="shared" ref="A231" si="166">P231</f>
        <v>デリバリ_カリウム平均推移_日別_look back期間30日以上</v>
      </c>
      <c r="B231" s="171" t="str">
        <f>TEXT(61,"00")</f>
        <v>61</v>
      </c>
      <c r="C231" s="172"/>
      <c r="D231" s="172"/>
      <c r="E231" s="172"/>
      <c r="F231" s="173"/>
      <c r="G231" s="174" t="s">
        <v>4494</v>
      </c>
      <c r="H231" s="175"/>
      <c r="I231" s="175"/>
      <c r="J231" s="175"/>
      <c r="K231" s="175"/>
      <c r="L231" s="175"/>
      <c r="M231" s="175"/>
      <c r="N231" s="176"/>
      <c r="O231" s="79" t="str">
        <f>IF(P231&lt;&gt;"","ENT_"&amp;RIGHT(B231,2)&amp;"_"&amp;TEXT(ROW(O231)-ROW(O$228)+1,"00"),"")</f>
        <v>ENT_61_04</v>
      </c>
      <c r="P231" s="164" t="s">
        <v>4501</v>
      </c>
      <c r="Q231" s="165"/>
      <c r="R231" s="165"/>
      <c r="S231" s="165"/>
      <c r="T231" s="165"/>
      <c r="U231" s="165"/>
      <c r="V231" s="165"/>
      <c r="W231" s="165"/>
      <c r="X231" s="165"/>
      <c r="Y231" s="165"/>
      <c r="Z231" s="165"/>
      <c r="AA231" s="165"/>
      <c r="AB231" s="165"/>
      <c r="AC231" s="165"/>
      <c r="AD231" s="166"/>
      <c r="AE231" s="167" t="s">
        <v>4502</v>
      </c>
      <c r="AF231" s="168"/>
      <c r="AG231" s="168"/>
      <c r="AH231" s="168"/>
      <c r="AI231" s="168"/>
      <c r="AJ231" s="168"/>
      <c r="AK231" s="168"/>
      <c r="AL231" s="169"/>
      <c r="AM231" s="167" t="s">
        <v>4510</v>
      </c>
      <c r="AN231" s="168"/>
      <c r="AO231" s="168"/>
      <c r="AP231" s="168"/>
      <c r="AQ231" s="168"/>
      <c r="AR231" s="168"/>
      <c r="AS231" s="168"/>
      <c r="AT231" s="168"/>
      <c r="AU231" s="168"/>
      <c r="AV231" s="168"/>
      <c r="AW231" s="168"/>
      <c r="AX231" s="168"/>
      <c r="AY231" s="168"/>
      <c r="AZ231" s="168"/>
      <c r="BA231" s="168"/>
      <c r="BB231" s="168"/>
      <c r="BC231" s="168"/>
      <c r="BD231" s="168"/>
      <c r="BE231" s="168"/>
      <c r="BF231" s="168"/>
      <c r="BG231" s="168"/>
      <c r="BH231" s="168"/>
      <c r="BI231" s="168"/>
      <c r="BJ231" s="170"/>
      <c r="BK231" s="32" t="str">
        <f t="shared" ref="BK231" si="167">IF(P231&lt;&gt;"",O231&amp;"_"&amp;P231&amp;".sql","")</f>
        <v>ENT_61_04_デリバリ_カリウム平均推移_日別_look back期間30日以上.sql</v>
      </c>
    </row>
    <row r="232" spans="1:63" ht="37.5" customHeight="1">
      <c r="A232" s="34" t="str">
        <f t="shared" ref="A232:A237" si="168">P232</f>
        <v>デリバリ_カリウム平均推移_週別</v>
      </c>
      <c r="B232" s="171" t="str">
        <f t="shared" ref="B232:B247" si="169">TEXT(61,"00")</f>
        <v>61</v>
      </c>
      <c r="C232" s="172"/>
      <c r="D232" s="172"/>
      <c r="E232" s="172"/>
      <c r="F232" s="173"/>
      <c r="G232" s="174" t="s">
        <v>4494</v>
      </c>
      <c r="H232" s="175"/>
      <c r="I232" s="175"/>
      <c r="J232" s="175"/>
      <c r="K232" s="175"/>
      <c r="L232" s="175"/>
      <c r="M232" s="175"/>
      <c r="N232" s="176"/>
      <c r="O232" s="79" t="str">
        <f t="shared" ref="O232:O237" si="170">IF(P232&lt;&gt;"","ENT_"&amp;RIGHT(B232,2)&amp;"_"&amp;TEXT(ROW(O232)-ROW(O$228)+1,"00"),"")</f>
        <v>ENT_61_05</v>
      </c>
      <c r="P232" s="164" t="s">
        <v>4428</v>
      </c>
      <c r="Q232" s="165"/>
      <c r="R232" s="165"/>
      <c r="S232" s="165"/>
      <c r="T232" s="165"/>
      <c r="U232" s="165"/>
      <c r="V232" s="165"/>
      <c r="W232" s="165"/>
      <c r="X232" s="165"/>
      <c r="Y232" s="165"/>
      <c r="Z232" s="165"/>
      <c r="AA232" s="165"/>
      <c r="AB232" s="165"/>
      <c r="AC232" s="165"/>
      <c r="AD232" s="166"/>
      <c r="AE232" s="167" t="str">
        <f t="shared" ref="AE232:AE236" ca="1" si="171">IFERROR(INDIRECT(P232&amp;"!D8"),"")</f>
        <v>azn_202310_delivery_k_weeks</v>
      </c>
      <c r="AF232" s="168"/>
      <c r="AG232" s="168"/>
      <c r="AH232" s="168"/>
      <c r="AI232" s="168"/>
      <c r="AJ232" s="168"/>
      <c r="AK232" s="168"/>
      <c r="AL232" s="169"/>
      <c r="AM232" s="167" t="str">
        <f t="shared" ref="AM232:AM237" ca="1" si="172">IFERROR(INDIRECT(P232&amp;"!D9"),"")</f>
        <v>週別のカリウム平均推移を格納するテーブル</v>
      </c>
      <c r="AN232" s="168"/>
      <c r="AO232" s="168"/>
      <c r="AP232" s="168"/>
      <c r="AQ232" s="168"/>
      <c r="AR232" s="168"/>
      <c r="AS232" s="168"/>
      <c r="AT232" s="168"/>
      <c r="AU232" s="168"/>
      <c r="AV232" s="168"/>
      <c r="AW232" s="168"/>
      <c r="AX232" s="168"/>
      <c r="AY232" s="168"/>
      <c r="AZ232" s="168"/>
      <c r="BA232" s="168"/>
      <c r="BB232" s="168"/>
      <c r="BC232" s="168"/>
      <c r="BD232" s="168"/>
      <c r="BE232" s="168"/>
      <c r="BF232" s="168"/>
      <c r="BG232" s="168"/>
      <c r="BH232" s="168"/>
      <c r="BI232" s="168"/>
      <c r="BJ232" s="170"/>
      <c r="BK232" s="32" t="str">
        <f t="shared" ref="BK232:BK237" si="173">IF(P232&lt;&gt;"",O232&amp;"_"&amp;P232&amp;".sql","")</f>
        <v>ENT_61_05_デリバリ_カリウム平均推移_週別.sql</v>
      </c>
    </row>
    <row r="233" spans="1:63" ht="37.5" customHeight="1">
      <c r="A233" s="34" t="str">
        <f t="shared" si="168"/>
        <v>デリバリ_カリウム平均推移_週別_lb30以上</v>
      </c>
      <c r="B233" s="171" t="str">
        <f t="shared" si="169"/>
        <v>61</v>
      </c>
      <c r="C233" s="172"/>
      <c r="D233" s="172"/>
      <c r="E233" s="172"/>
      <c r="F233" s="173"/>
      <c r="G233" s="174" t="s">
        <v>4494</v>
      </c>
      <c r="H233" s="175"/>
      <c r="I233" s="175"/>
      <c r="J233" s="175"/>
      <c r="K233" s="175"/>
      <c r="L233" s="175"/>
      <c r="M233" s="175"/>
      <c r="N233" s="176"/>
      <c r="O233" s="79" t="str">
        <f t="shared" si="170"/>
        <v>ENT_61_06</v>
      </c>
      <c r="P233" s="164" t="s">
        <v>4432</v>
      </c>
      <c r="Q233" s="165"/>
      <c r="R233" s="165"/>
      <c r="S233" s="165"/>
      <c r="T233" s="165"/>
      <c r="U233" s="165"/>
      <c r="V233" s="165"/>
      <c r="W233" s="165"/>
      <c r="X233" s="165"/>
      <c r="Y233" s="165"/>
      <c r="Z233" s="165"/>
      <c r="AA233" s="165"/>
      <c r="AB233" s="165"/>
      <c r="AC233" s="165"/>
      <c r="AD233" s="166"/>
      <c r="AE233" s="167" t="s">
        <v>4503</v>
      </c>
      <c r="AF233" s="168"/>
      <c r="AG233" s="168"/>
      <c r="AH233" s="168"/>
      <c r="AI233" s="168"/>
      <c r="AJ233" s="168"/>
      <c r="AK233" s="168"/>
      <c r="AL233" s="169"/>
      <c r="AM233" s="167">
        <f t="shared" ca="1" si="172"/>
        <v>0</v>
      </c>
      <c r="AN233" s="168"/>
      <c r="AO233" s="168"/>
      <c r="AP233" s="168"/>
      <c r="AQ233" s="168"/>
      <c r="AR233" s="168"/>
      <c r="AS233" s="168"/>
      <c r="AT233" s="168"/>
      <c r="AU233" s="168"/>
      <c r="AV233" s="168"/>
      <c r="AW233" s="168"/>
      <c r="AX233" s="168"/>
      <c r="AY233" s="168"/>
      <c r="AZ233" s="168"/>
      <c r="BA233" s="168"/>
      <c r="BB233" s="168"/>
      <c r="BC233" s="168"/>
      <c r="BD233" s="168"/>
      <c r="BE233" s="168"/>
      <c r="BF233" s="168"/>
      <c r="BG233" s="168"/>
      <c r="BH233" s="168"/>
      <c r="BI233" s="168"/>
      <c r="BJ233" s="170"/>
      <c r="BK233" s="32" t="str">
        <f t="shared" si="173"/>
        <v>ENT_61_06_デリバリ_カリウム平均推移_週別_lb30以上.sql</v>
      </c>
    </row>
    <row r="234" spans="1:63" ht="37.5" customHeight="1">
      <c r="A234" s="34" t="str">
        <f t="shared" si="168"/>
        <v>デリバリ_カリウム平均推移_月別</v>
      </c>
      <c r="B234" s="171" t="str">
        <f t="shared" si="169"/>
        <v>61</v>
      </c>
      <c r="C234" s="172"/>
      <c r="D234" s="172"/>
      <c r="E234" s="172"/>
      <c r="F234" s="173"/>
      <c r="G234" s="174" t="s">
        <v>4494</v>
      </c>
      <c r="H234" s="175"/>
      <c r="I234" s="175"/>
      <c r="J234" s="175"/>
      <c r="K234" s="175"/>
      <c r="L234" s="175"/>
      <c r="M234" s="175"/>
      <c r="N234" s="176"/>
      <c r="O234" s="79" t="str">
        <f t="shared" si="170"/>
        <v>ENT_61_07</v>
      </c>
      <c r="P234" s="164" t="s">
        <v>4436</v>
      </c>
      <c r="Q234" s="165"/>
      <c r="R234" s="165"/>
      <c r="S234" s="165"/>
      <c r="T234" s="165"/>
      <c r="U234" s="165"/>
      <c r="V234" s="165"/>
      <c r="W234" s="165"/>
      <c r="X234" s="165"/>
      <c r="Y234" s="165"/>
      <c r="Z234" s="165"/>
      <c r="AA234" s="165"/>
      <c r="AB234" s="165"/>
      <c r="AC234" s="165"/>
      <c r="AD234" s="166"/>
      <c r="AE234" s="167" t="str">
        <f t="shared" ca="1" si="171"/>
        <v>azn_202310_delivery_k_months</v>
      </c>
      <c r="AF234" s="168"/>
      <c r="AG234" s="168"/>
      <c r="AH234" s="168"/>
      <c r="AI234" s="168"/>
      <c r="AJ234" s="168"/>
      <c r="AK234" s="168"/>
      <c r="AL234" s="169"/>
      <c r="AM234" s="167" t="str">
        <f t="shared" ca="1" si="172"/>
        <v>月別のカリウム平均推移を格納するテーブル</v>
      </c>
      <c r="AN234" s="168"/>
      <c r="AO234" s="168"/>
      <c r="AP234" s="168"/>
      <c r="AQ234" s="168"/>
      <c r="AR234" s="168"/>
      <c r="AS234" s="168"/>
      <c r="AT234" s="168"/>
      <c r="AU234" s="168"/>
      <c r="AV234" s="168"/>
      <c r="AW234" s="168"/>
      <c r="AX234" s="168"/>
      <c r="AY234" s="168"/>
      <c r="AZ234" s="168"/>
      <c r="BA234" s="168"/>
      <c r="BB234" s="168"/>
      <c r="BC234" s="168"/>
      <c r="BD234" s="168"/>
      <c r="BE234" s="168"/>
      <c r="BF234" s="168"/>
      <c r="BG234" s="168"/>
      <c r="BH234" s="168"/>
      <c r="BI234" s="168"/>
      <c r="BJ234" s="170"/>
      <c r="BK234" s="32" t="str">
        <f t="shared" si="173"/>
        <v>ENT_61_07_デリバリ_カリウム平均推移_月別.sql</v>
      </c>
    </row>
    <row r="235" spans="1:63" ht="37.5" customHeight="1">
      <c r="A235" s="34" t="str">
        <f t="shared" si="168"/>
        <v>デリバリ_カリウム平均推移_月別_lb30以上</v>
      </c>
      <c r="B235" s="171" t="str">
        <f t="shared" si="169"/>
        <v>61</v>
      </c>
      <c r="C235" s="172"/>
      <c r="D235" s="172"/>
      <c r="E235" s="172"/>
      <c r="F235" s="173"/>
      <c r="G235" s="174" t="s">
        <v>4494</v>
      </c>
      <c r="H235" s="175"/>
      <c r="I235" s="175"/>
      <c r="J235" s="175"/>
      <c r="K235" s="175"/>
      <c r="L235" s="175"/>
      <c r="M235" s="175"/>
      <c r="N235" s="176"/>
      <c r="O235" s="79" t="str">
        <f t="shared" si="170"/>
        <v>ENT_61_08</v>
      </c>
      <c r="P235" s="164" t="s">
        <v>4439</v>
      </c>
      <c r="Q235" s="165"/>
      <c r="R235" s="165"/>
      <c r="S235" s="165"/>
      <c r="T235" s="165"/>
      <c r="U235" s="165"/>
      <c r="V235" s="165"/>
      <c r="W235" s="165"/>
      <c r="X235" s="165"/>
      <c r="Y235" s="165"/>
      <c r="Z235" s="165"/>
      <c r="AA235" s="165"/>
      <c r="AB235" s="165"/>
      <c r="AC235" s="165"/>
      <c r="AD235" s="166"/>
      <c r="AE235" s="167" t="s">
        <v>4504</v>
      </c>
      <c r="AF235" s="168"/>
      <c r="AG235" s="168"/>
      <c r="AH235" s="168"/>
      <c r="AI235" s="168"/>
      <c r="AJ235" s="168"/>
      <c r="AK235" s="168"/>
      <c r="AL235" s="169"/>
      <c r="AM235" s="167">
        <f t="shared" ca="1" si="172"/>
        <v>0</v>
      </c>
      <c r="AN235" s="168"/>
      <c r="AO235" s="168"/>
      <c r="AP235" s="168"/>
      <c r="AQ235" s="168"/>
      <c r="AR235" s="168"/>
      <c r="AS235" s="168"/>
      <c r="AT235" s="168"/>
      <c r="AU235" s="168"/>
      <c r="AV235" s="168"/>
      <c r="AW235" s="168"/>
      <c r="AX235" s="168"/>
      <c r="AY235" s="168"/>
      <c r="AZ235" s="168"/>
      <c r="BA235" s="168"/>
      <c r="BB235" s="168"/>
      <c r="BC235" s="168"/>
      <c r="BD235" s="168"/>
      <c r="BE235" s="168"/>
      <c r="BF235" s="168"/>
      <c r="BG235" s="168"/>
      <c r="BH235" s="168"/>
      <c r="BI235" s="168"/>
      <c r="BJ235" s="170"/>
      <c r="BK235" s="32" t="str">
        <f t="shared" si="173"/>
        <v>ENT_61_08_デリバリ_カリウム平均推移_月別_lb30以上.sql</v>
      </c>
    </row>
    <row r="236" spans="1:63" ht="37.5" customHeight="1">
      <c r="A236" s="34" t="str">
        <f t="shared" si="168"/>
        <v>デリバリ_カリウム平均推移_日別_全患者</v>
      </c>
      <c r="B236" s="171" t="str">
        <f t="shared" si="169"/>
        <v>61</v>
      </c>
      <c r="C236" s="172"/>
      <c r="D236" s="172"/>
      <c r="E236" s="172"/>
      <c r="F236" s="173"/>
      <c r="G236" s="174" t="s">
        <v>4494</v>
      </c>
      <c r="H236" s="175"/>
      <c r="I236" s="175"/>
      <c r="J236" s="175"/>
      <c r="K236" s="175"/>
      <c r="L236" s="175"/>
      <c r="M236" s="175"/>
      <c r="N236" s="176"/>
      <c r="O236" s="79" t="str">
        <f t="shared" si="170"/>
        <v>ENT_61_09</v>
      </c>
      <c r="P236" s="164" t="s">
        <v>4441</v>
      </c>
      <c r="Q236" s="165"/>
      <c r="R236" s="165"/>
      <c r="S236" s="165"/>
      <c r="T236" s="165"/>
      <c r="U236" s="165"/>
      <c r="V236" s="165"/>
      <c r="W236" s="165"/>
      <c r="X236" s="165"/>
      <c r="Y236" s="165"/>
      <c r="Z236" s="165"/>
      <c r="AA236" s="165"/>
      <c r="AB236" s="165"/>
      <c r="AC236" s="165"/>
      <c r="AD236" s="166"/>
      <c r="AE236" s="167" t="str">
        <f t="shared" ca="1" si="171"/>
        <v>azn_202310_delivery_k_days_all</v>
      </c>
      <c r="AF236" s="168"/>
      <c r="AG236" s="168"/>
      <c r="AH236" s="168"/>
      <c r="AI236" s="168"/>
      <c r="AJ236" s="168"/>
      <c r="AK236" s="168"/>
      <c r="AL236" s="169"/>
      <c r="AM236" s="167" t="str">
        <f t="shared" ca="1" si="172"/>
        <v>全患者分の月別のカリウム平均推移を格納するテーブル</v>
      </c>
      <c r="AN236" s="168"/>
      <c r="AO236" s="168"/>
      <c r="AP236" s="168"/>
      <c r="AQ236" s="168"/>
      <c r="AR236" s="168"/>
      <c r="AS236" s="168"/>
      <c r="AT236" s="168"/>
      <c r="AU236" s="168"/>
      <c r="AV236" s="168"/>
      <c r="AW236" s="168"/>
      <c r="AX236" s="168"/>
      <c r="AY236" s="168"/>
      <c r="AZ236" s="168"/>
      <c r="BA236" s="168"/>
      <c r="BB236" s="168"/>
      <c r="BC236" s="168"/>
      <c r="BD236" s="168"/>
      <c r="BE236" s="168"/>
      <c r="BF236" s="168"/>
      <c r="BG236" s="168"/>
      <c r="BH236" s="168"/>
      <c r="BI236" s="168"/>
      <c r="BJ236" s="170"/>
      <c r="BK236" s="32" t="str">
        <f t="shared" si="173"/>
        <v>ENT_61_09_デリバリ_カリウム平均推移_日別_全患者.sql</v>
      </c>
    </row>
    <row r="237" spans="1:63" ht="37.5" customHeight="1">
      <c r="A237" s="34" t="str">
        <f t="shared" si="168"/>
        <v>デリバリ_カリウム平均推移_日別_全患者_lb30以上</v>
      </c>
      <c r="B237" s="171" t="str">
        <f t="shared" si="169"/>
        <v>61</v>
      </c>
      <c r="C237" s="172"/>
      <c r="D237" s="172"/>
      <c r="E237" s="172"/>
      <c r="F237" s="173"/>
      <c r="G237" s="174" t="s">
        <v>4494</v>
      </c>
      <c r="H237" s="175"/>
      <c r="I237" s="175"/>
      <c r="J237" s="175"/>
      <c r="K237" s="175"/>
      <c r="L237" s="175"/>
      <c r="M237" s="175"/>
      <c r="N237" s="176"/>
      <c r="O237" s="79" t="str">
        <f t="shared" si="170"/>
        <v>ENT_61_10</v>
      </c>
      <c r="P237" s="164" t="s">
        <v>4446</v>
      </c>
      <c r="Q237" s="165"/>
      <c r="R237" s="165"/>
      <c r="S237" s="165"/>
      <c r="T237" s="165"/>
      <c r="U237" s="165"/>
      <c r="V237" s="165"/>
      <c r="W237" s="165"/>
      <c r="X237" s="165"/>
      <c r="Y237" s="165"/>
      <c r="Z237" s="165"/>
      <c r="AA237" s="165"/>
      <c r="AB237" s="165"/>
      <c r="AC237" s="165"/>
      <c r="AD237" s="166"/>
      <c r="AE237" s="167" t="s">
        <v>4505</v>
      </c>
      <c r="AF237" s="168"/>
      <c r="AG237" s="168"/>
      <c r="AH237" s="168"/>
      <c r="AI237" s="168"/>
      <c r="AJ237" s="168"/>
      <c r="AK237" s="168"/>
      <c r="AL237" s="169"/>
      <c r="AM237" s="167">
        <f t="shared" ca="1" si="172"/>
        <v>0</v>
      </c>
      <c r="AN237" s="168"/>
      <c r="AO237" s="168"/>
      <c r="AP237" s="168"/>
      <c r="AQ237" s="168"/>
      <c r="AR237" s="168"/>
      <c r="AS237" s="168"/>
      <c r="AT237" s="168"/>
      <c r="AU237" s="168"/>
      <c r="AV237" s="168"/>
      <c r="AW237" s="168"/>
      <c r="AX237" s="168"/>
      <c r="AY237" s="168"/>
      <c r="AZ237" s="168"/>
      <c r="BA237" s="168"/>
      <c r="BB237" s="168"/>
      <c r="BC237" s="168"/>
      <c r="BD237" s="168"/>
      <c r="BE237" s="168"/>
      <c r="BF237" s="168"/>
      <c r="BG237" s="168"/>
      <c r="BH237" s="168"/>
      <c r="BI237" s="168"/>
      <c r="BJ237" s="170"/>
      <c r="BK237" s="32" t="str">
        <f t="shared" si="173"/>
        <v>ENT_61_10_デリバリ_カリウム平均推移_日別_全患者_lb30以上.sql</v>
      </c>
    </row>
    <row r="238" spans="1:63" ht="37.5" customHeight="1">
      <c r="A238" s="34" t="str">
        <f t="shared" ref="A238:A243" si="174">P238</f>
        <v>デリバリ_カリウム平均推移_週別_全患者</v>
      </c>
      <c r="B238" s="171" t="str">
        <f t="shared" si="169"/>
        <v>61</v>
      </c>
      <c r="C238" s="172"/>
      <c r="D238" s="172"/>
      <c r="E238" s="172"/>
      <c r="F238" s="173"/>
      <c r="G238" s="174" t="s">
        <v>4494</v>
      </c>
      <c r="H238" s="175"/>
      <c r="I238" s="175"/>
      <c r="J238" s="175"/>
      <c r="K238" s="175"/>
      <c r="L238" s="175"/>
      <c r="M238" s="175"/>
      <c r="N238" s="176"/>
      <c r="O238" s="79" t="str">
        <f t="shared" ref="O238:O243" si="175">IF(P238&lt;&gt;"","ENT_"&amp;RIGHT(B238,2)&amp;"_"&amp;TEXT(ROW(O238)-ROW(O$228)+1,"00"),"")</f>
        <v>ENT_61_11</v>
      </c>
      <c r="P238" s="164" t="s">
        <v>4451</v>
      </c>
      <c r="Q238" s="165"/>
      <c r="R238" s="165"/>
      <c r="S238" s="165"/>
      <c r="T238" s="165"/>
      <c r="U238" s="165"/>
      <c r="V238" s="165"/>
      <c r="W238" s="165"/>
      <c r="X238" s="165"/>
      <c r="Y238" s="165"/>
      <c r="Z238" s="165"/>
      <c r="AA238" s="165"/>
      <c r="AB238" s="165"/>
      <c r="AC238" s="165"/>
      <c r="AD238" s="166"/>
      <c r="AE238" s="167" t="str">
        <f t="shared" ref="AE238:AE242" ca="1" si="176">IFERROR(INDIRECT(P238&amp;"!D8"),"")</f>
        <v>azn_202310_delivery_k_weeks_all</v>
      </c>
      <c r="AF238" s="168"/>
      <c r="AG238" s="168"/>
      <c r="AH238" s="168"/>
      <c r="AI238" s="168"/>
      <c r="AJ238" s="168"/>
      <c r="AK238" s="168"/>
      <c r="AL238" s="169"/>
      <c r="AM238" s="167" t="str">
        <f t="shared" ref="AM238:AM243" ca="1" si="177">IFERROR(INDIRECT(P238&amp;"!D9"),"")</f>
        <v>全患者分の週別のカリウム平均推移を格納するテーブル</v>
      </c>
      <c r="AN238" s="168"/>
      <c r="AO238" s="168"/>
      <c r="AP238" s="168"/>
      <c r="AQ238" s="168"/>
      <c r="AR238" s="168"/>
      <c r="AS238" s="168"/>
      <c r="AT238" s="168"/>
      <c r="AU238" s="168"/>
      <c r="AV238" s="168"/>
      <c r="AW238" s="168"/>
      <c r="AX238" s="168"/>
      <c r="AY238" s="168"/>
      <c r="AZ238" s="168"/>
      <c r="BA238" s="168"/>
      <c r="BB238" s="168"/>
      <c r="BC238" s="168"/>
      <c r="BD238" s="168"/>
      <c r="BE238" s="168"/>
      <c r="BF238" s="168"/>
      <c r="BG238" s="168"/>
      <c r="BH238" s="168"/>
      <c r="BI238" s="168"/>
      <c r="BJ238" s="170"/>
      <c r="BK238" s="32" t="str">
        <f t="shared" ref="BK238:BK243" si="178">IF(P238&lt;&gt;"",O238&amp;"_"&amp;P238&amp;".sql","")</f>
        <v>ENT_61_11_デリバリ_カリウム平均推移_週別_全患者.sql</v>
      </c>
    </row>
    <row r="239" spans="1:63" ht="37.5" customHeight="1">
      <c r="A239" s="34" t="str">
        <f t="shared" si="174"/>
        <v>デリバリ_カリウム平均推移_週別_全患者_lb30以上</v>
      </c>
      <c r="B239" s="171" t="str">
        <f t="shared" si="169"/>
        <v>61</v>
      </c>
      <c r="C239" s="172"/>
      <c r="D239" s="172"/>
      <c r="E239" s="172"/>
      <c r="F239" s="173"/>
      <c r="G239" s="174" t="s">
        <v>4494</v>
      </c>
      <c r="H239" s="175"/>
      <c r="I239" s="175"/>
      <c r="J239" s="175"/>
      <c r="K239" s="175"/>
      <c r="L239" s="175"/>
      <c r="M239" s="175"/>
      <c r="N239" s="176"/>
      <c r="O239" s="79" t="str">
        <f t="shared" si="175"/>
        <v>ENT_61_12</v>
      </c>
      <c r="P239" s="164" t="s">
        <v>4453</v>
      </c>
      <c r="Q239" s="165"/>
      <c r="R239" s="165"/>
      <c r="S239" s="165"/>
      <c r="T239" s="165"/>
      <c r="U239" s="165"/>
      <c r="V239" s="165"/>
      <c r="W239" s="165"/>
      <c r="X239" s="165"/>
      <c r="Y239" s="165"/>
      <c r="Z239" s="165"/>
      <c r="AA239" s="165"/>
      <c r="AB239" s="165"/>
      <c r="AC239" s="165"/>
      <c r="AD239" s="166"/>
      <c r="AE239" s="167" t="s">
        <v>4506</v>
      </c>
      <c r="AF239" s="168"/>
      <c r="AG239" s="168"/>
      <c r="AH239" s="168"/>
      <c r="AI239" s="168"/>
      <c r="AJ239" s="168"/>
      <c r="AK239" s="168"/>
      <c r="AL239" s="169"/>
      <c r="AM239" s="167">
        <f t="shared" ca="1" si="177"/>
        <v>0</v>
      </c>
      <c r="AN239" s="168"/>
      <c r="AO239" s="168"/>
      <c r="AP239" s="168"/>
      <c r="AQ239" s="168"/>
      <c r="AR239" s="168"/>
      <c r="AS239" s="168"/>
      <c r="AT239" s="168"/>
      <c r="AU239" s="168"/>
      <c r="AV239" s="168"/>
      <c r="AW239" s="168"/>
      <c r="AX239" s="168"/>
      <c r="AY239" s="168"/>
      <c r="AZ239" s="168"/>
      <c r="BA239" s="168"/>
      <c r="BB239" s="168"/>
      <c r="BC239" s="168"/>
      <c r="BD239" s="168"/>
      <c r="BE239" s="168"/>
      <c r="BF239" s="168"/>
      <c r="BG239" s="168"/>
      <c r="BH239" s="168"/>
      <c r="BI239" s="168"/>
      <c r="BJ239" s="170"/>
      <c r="BK239" s="32" t="str">
        <f t="shared" si="178"/>
        <v>ENT_61_12_デリバリ_カリウム平均推移_週別_全患者_lb30以上.sql</v>
      </c>
    </row>
    <row r="240" spans="1:63" ht="37.5" customHeight="1">
      <c r="A240" s="34" t="str">
        <f t="shared" si="174"/>
        <v>デリバリ_カリウム平均推移_月別_全患者</v>
      </c>
      <c r="B240" s="171" t="str">
        <f t="shared" si="169"/>
        <v>61</v>
      </c>
      <c r="C240" s="172"/>
      <c r="D240" s="172"/>
      <c r="E240" s="172"/>
      <c r="F240" s="173"/>
      <c r="G240" s="174" t="s">
        <v>4494</v>
      </c>
      <c r="H240" s="175"/>
      <c r="I240" s="175"/>
      <c r="J240" s="175"/>
      <c r="K240" s="175"/>
      <c r="L240" s="175"/>
      <c r="M240" s="175"/>
      <c r="N240" s="176"/>
      <c r="O240" s="79" t="str">
        <f t="shared" si="175"/>
        <v>ENT_61_13</v>
      </c>
      <c r="P240" s="164" t="s">
        <v>4457</v>
      </c>
      <c r="Q240" s="165"/>
      <c r="R240" s="165"/>
      <c r="S240" s="165"/>
      <c r="T240" s="165"/>
      <c r="U240" s="165"/>
      <c r="V240" s="165"/>
      <c r="W240" s="165"/>
      <c r="X240" s="165"/>
      <c r="Y240" s="165"/>
      <c r="Z240" s="165"/>
      <c r="AA240" s="165"/>
      <c r="AB240" s="165"/>
      <c r="AC240" s="165"/>
      <c r="AD240" s="166"/>
      <c r="AE240" s="167" t="str">
        <f t="shared" ca="1" si="176"/>
        <v>azn_202310_delivery_k_months_all</v>
      </c>
      <c r="AF240" s="168"/>
      <c r="AG240" s="168"/>
      <c r="AH240" s="168"/>
      <c r="AI240" s="168"/>
      <c r="AJ240" s="168"/>
      <c r="AK240" s="168"/>
      <c r="AL240" s="169"/>
      <c r="AM240" s="167" t="str">
        <f t="shared" ca="1" si="177"/>
        <v>全患者分の月別のカリウム平均推移を格納するテーブル</v>
      </c>
      <c r="AN240" s="168"/>
      <c r="AO240" s="168"/>
      <c r="AP240" s="168"/>
      <c r="AQ240" s="168"/>
      <c r="AR240" s="168"/>
      <c r="AS240" s="168"/>
      <c r="AT240" s="168"/>
      <c r="AU240" s="168"/>
      <c r="AV240" s="168"/>
      <c r="AW240" s="168"/>
      <c r="AX240" s="168"/>
      <c r="AY240" s="168"/>
      <c r="AZ240" s="168"/>
      <c r="BA240" s="168"/>
      <c r="BB240" s="168"/>
      <c r="BC240" s="168"/>
      <c r="BD240" s="168"/>
      <c r="BE240" s="168"/>
      <c r="BF240" s="168"/>
      <c r="BG240" s="168"/>
      <c r="BH240" s="168"/>
      <c r="BI240" s="168"/>
      <c r="BJ240" s="170"/>
      <c r="BK240" s="32" t="str">
        <f t="shared" si="178"/>
        <v>ENT_61_13_デリバリ_カリウム平均推移_月別_全患者.sql</v>
      </c>
    </row>
    <row r="241" spans="1:63" ht="37.5" customHeight="1">
      <c r="A241" s="34" t="str">
        <f t="shared" si="174"/>
        <v>デリバリ_カリウム平均推移_月別_全患者_lb30以上</v>
      </c>
      <c r="B241" s="171" t="str">
        <f t="shared" si="169"/>
        <v>61</v>
      </c>
      <c r="C241" s="172"/>
      <c r="D241" s="172"/>
      <c r="E241" s="172"/>
      <c r="F241" s="173"/>
      <c r="G241" s="174" t="s">
        <v>4494</v>
      </c>
      <c r="H241" s="175"/>
      <c r="I241" s="175"/>
      <c r="J241" s="175"/>
      <c r="K241" s="175"/>
      <c r="L241" s="175"/>
      <c r="M241" s="175"/>
      <c r="N241" s="176"/>
      <c r="O241" s="79" t="str">
        <f t="shared" si="175"/>
        <v>ENT_61_14</v>
      </c>
      <c r="P241" s="164" t="s">
        <v>4459</v>
      </c>
      <c r="Q241" s="165"/>
      <c r="R241" s="165"/>
      <c r="S241" s="165"/>
      <c r="T241" s="165"/>
      <c r="U241" s="165"/>
      <c r="V241" s="165"/>
      <c r="W241" s="165"/>
      <c r="X241" s="165"/>
      <c r="Y241" s="165"/>
      <c r="Z241" s="165"/>
      <c r="AA241" s="165"/>
      <c r="AB241" s="165"/>
      <c r="AC241" s="165"/>
      <c r="AD241" s="166"/>
      <c r="AE241" s="167" t="s">
        <v>4507</v>
      </c>
      <c r="AF241" s="168"/>
      <c r="AG241" s="168"/>
      <c r="AH241" s="168"/>
      <c r="AI241" s="168"/>
      <c r="AJ241" s="168"/>
      <c r="AK241" s="168"/>
      <c r="AL241" s="169"/>
      <c r="AM241" s="167">
        <f t="shared" ca="1" si="177"/>
        <v>0</v>
      </c>
      <c r="AN241" s="168"/>
      <c r="AO241" s="168"/>
      <c r="AP241" s="168"/>
      <c r="AQ241" s="168"/>
      <c r="AR241" s="168"/>
      <c r="AS241" s="168"/>
      <c r="AT241" s="168"/>
      <c r="AU241" s="168"/>
      <c r="AV241" s="168"/>
      <c r="AW241" s="168"/>
      <c r="AX241" s="168"/>
      <c r="AY241" s="168"/>
      <c r="AZ241" s="168"/>
      <c r="BA241" s="168"/>
      <c r="BB241" s="168"/>
      <c r="BC241" s="168"/>
      <c r="BD241" s="168"/>
      <c r="BE241" s="168"/>
      <c r="BF241" s="168"/>
      <c r="BG241" s="168"/>
      <c r="BH241" s="168"/>
      <c r="BI241" s="168"/>
      <c r="BJ241" s="170"/>
      <c r="BK241" s="32" t="str">
        <f t="shared" si="178"/>
        <v>ENT_61_14_デリバリ_カリウム平均推移_月別_全患者_lb30以上.sql</v>
      </c>
    </row>
    <row r="242" spans="1:63" ht="37.5" customHeight="1">
      <c r="A242" s="34" t="str">
        <f t="shared" si="174"/>
        <v>デリバリ_カリウム平均推移_週別_処方期間別</v>
      </c>
      <c r="B242" s="171" t="str">
        <f t="shared" si="169"/>
        <v>61</v>
      </c>
      <c r="C242" s="172"/>
      <c r="D242" s="172"/>
      <c r="E242" s="172"/>
      <c r="F242" s="173"/>
      <c r="G242" s="174" t="s">
        <v>4494</v>
      </c>
      <c r="H242" s="175"/>
      <c r="I242" s="175"/>
      <c r="J242" s="175"/>
      <c r="K242" s="175"/>
      <c r="L242" s="175"/>
      <c r="M242" s="175"/>
      <c r="N242" s="176"/>
      <c r="O242" s="79" t="str">
        <f t="shared" si="175"/>
        <v>ENT_61_15</v>
      </c>
      <c r="P242" s="164" t="s">
        <v>4463</v>
      </c>
      <c r="Q242" s="165"/>
      <c r="R242" s="165"/>
      <c r="S242" s="165"/>
      <c r="T242" s="165"/>
      <c r="U242" s="165"/>
      <c r="V242" s="165"/>
      <c r="W242" s="165"/>
      <c r="X242" s="165"/>
      <c r="Y242" s="165"/>
      <c r="Z242" s="165"/>
      <c r="AA242" s="165"/>
      <c r="AB242" s="165"/>
      <c r="AC242" s="165"/>
      <c r="AD242" s="166"/>
      <c r="AE242" s="167" t="str">
        <f t="shared" ca="1" si="176"/>
        <v>azn_202310_delivery_k_weeks_shoho_term</v>
      </c>
      <c r="AF242" s="168"/>
      <c r="AG242" s="168"/>
      <c r="AH242" s="168"/>
      <c r="AI242" s="168"/>
      <c r="AJ242" s="168"/>
      <c r="AK242" s="168"/>
      <c r="AL242" s="169"/>
      <c r="AM242" s="167" t="str">
        <f t="shared" ca="1" si="177"/>
        <v>処方期間別、週別のカリウム平均推移を格納するテーブル</v>
      </c>
      <c r="AN242" s="168"/>
      <c r="AO242" s="168"/>
      <c r="AP242" s="168"/>
      <c r="AQ242" s="168"/>
      <c r="AR242" s="168"/>
      <c r="AS242" s="168"/>
      <c r="AT242" s="168"/>
      <c r="AU242" s="168"/>
      <c r="AV242" s="168"/>
      <c r="AW242" s="168"/>
      <c r="AX242" s="168"/>
      <c r="AY242" s="168"/>
      <c r="AZ242" s="168"/>
      <c r="BA242" s="168"/>
      <c r="BB242" s="168"/>
      <c r="BC242" s="168"/>
      <c r="BD242" s="168"/>
      <c r="BE242" s="168"/>
      <c r="BF242" s="168"/>
      <c r="BG242" s="168"/>
      <c r="BH242" s="168"/>
      <c r="BI242" s="168"/>
      <c r="BJ242" s="170"/>
      <c r="BK242" s="32" t="str">
        <f t="shared" si="178"/>
        <v>ENT_61_15_デリバリ_カリウム平均推移_週別_処方期間別.sql</v>
      </c>
    </row>
    <row r="243" spans="1:63" ht="37.5" customHeight="1">
      <c r="A243" s="34" t="str">
        <f t="shared" si="174"/>
        <v>デリバリ_カリウム平均推移_週別_処方期間別_lbなし</v>
      </c>
      <c r="B243" s="171" t="str">
        <f t="shared" si="169"/>
        <v>61</v>
      </c>
      <c r="C243" s="172"/>
      <c r="D243" s="172"/>
      <c r="E243" s="172"/>
      <c r="F243" s="173"/>
      <c r="G243" s="174" t="s">
        <v>4494</v>
      </c>
      <c r="H243" s="175"/>
      <c r="I243" s="175"/>
      <c r="J243" s="175"/>
      <c r="K243" s="175"/>
      <c r="L243" s="175"/>
      <c r="M243" s="175"/>
      <c r="N243" s="176"/>
      <c r="O243" s="79" t="str">
        <f t="shared" si="175"/>
        <v>ENT_61_16</v>
      </c>
      <c r="P243" s="164" t="s">
        <v>4465</v>
      </c>
      <c r="Q243" s="165"/>
      <c r="R243" s="165"/>
      <c r="S243" s="165"/>
      <c r="T243" s="165"/>
      <c r="U243" s="165"/>
      <c r="V243" s="165"/>
      <c r="W243" s="165"/>
      <c r="X243" s="165"/>
      <c r="Y243" s="165"/>
      <c r="Z243" s="165"/>
      <c r="AA243" s="165"/>
      <c r="AB243" s="165"/>
      <c r="AC243" s="165"/>
      <c r="AD243" s="166"/>
      <c r="AE243" s="167" t="s">
        <v>4508</v>
      </c>
      <c r="AF243" s="168"/>
      <c r="AG243" s="168"/>
      <c r="AH243" s="168"/>
      <c r="AI243" s="168"/>
      <c r="AJ243" s="168"/>
      <c r="AK243" s="168"/>
      <c r="AL243" s="169"/>
      <c r="AM243" s="167">
        <f t="shared" ca="1" si="177"/>
        <v>0</v>
      </c>
      <c r="AN243" s="168"/>
      <c r="AO243" s="168"/>
      <c r="AP243" s="168"/>
      <c r="AQ243" s="168"/>
      <c r="AR243" s="168"/>
      <c r="AS243" s="168"/>
      <c r="AT243" s="168"/>
      <c r="AU243" s="168"/>
      <c r="AV243" s="168"/>
      <c r="AW243" s="168"/>
      <c r="AX243" s="168"/>
      <c r="AY243" s="168"/>
      <c r="AZ243" s="168"/>
      <c r="BA243" s="168"/>
      <c r="BB243" s="168"/>
      <c r="BC243" s="168"/>
      <c r="BD243" s="168"/>
      <c r="BE243" s="168"/>
      <c r="BF243" s="168"/>
      <c r="BG243" s="168"/>
      <c r="BH243" s="168"/>
      <c r="BI243" s="168"/>
      <c r="BJ243" s="170"/>
      <c r="BK243" s="32" t="str">
        <f t="shared" si="178"/>
        <v>ENT_61_16_デリバリ_カリウム平均推移_週別_処方期間別_lbなし.sql</v>
      </c>
    </row>
    <row r="244" spans="1:63" ht="37.5" customHeight="1">
      <c r="A244" s="34" t="str">
        <f t="shared" ref="A244:A247" si="179">P244</f>
        <v>デリバリ_カリウム平均推移_週別_処方期間別_lbあり</v>
      </c>
      <c r="B244" s="171" t="str">
        <f t="shared" si="169"/>
        <v>61</v>
      </c>
      <c r="C244" s="172"/>
      <c r="D244" s="172"/>
      <c r="E244" s="172"/>
      <c r="F244" s="173"/>
      <c r="G244" s="174" t="s">
        <v>4494</v>
      </c>
      <c r="H244" s="175"/>
      <c r="I244" s="175"/>
      <c r="J244" s="175"/>
      <c r="K244" s="175"/>
      <c r="L244" s="175"/>
      <c r="M244" s="175"/>
      <c r="N244" s="176"/>
      <c r="O244" s="79" t="str">
        <f t="shared" ref="O244:O247" si="180">IF(P244&lt;&gt;"","ENT_"&amp;RIGHT(B244,2)&amp;"_"&amp;TEXT(ROW(O244)-ROW(O$228)+1,"00"),"")</f>
        <v>ENT_61_17</v>
      </c>
      <c r="P244" s="164" t="s">
        <v>4466</v>
      </c>
      <c r="Q244" s="165"/>
      <c r="R244" s="165"/>
      <c r="S244" s="165"/>
      <c r="T244" s="165"/>
      <c r="U244" s="165"/>
      <c r="V244" s="165"/>
      <c r="W244" s="165"/>
      <c r="X244" s="165"/>
      <c r="Y244" s="165"/>
      <c r="Z244" s="165"/>
      <c r="AA244" s="165"/>
      <c r="AB244" s="165"/>
      <c r="AC244" s="165"/>
      <c r="AD244" s="166"/>
      <c r="AE244" s="167" t="s">
        <v>4509</v>
      </c>
      <c r="AF244" s="168"/>
      <c r="AG244" s="168"/>
      <c r="AH244" s="168"/>
      <c r="AI244" s="168"/>
      <c r="AJ244" s="168"/>
      <c r="AK244" s="168"/>
      <c r="AL244" s="169"/>
      <c r="AM244" s="167">
        <f t="shared" ref="AM244:AM247" ca="1" si="181">IFERROR(INDIRECT(P244&amp;"!D9"),"")</f>
        <v>0</v>
      </c>
      <c r="AN244" s="168"/>
      <c r="AO244" s="168"/>
      <c r="AP244" s="168"/>
      <c r="AQ244" s="168"/>
      <c r="AR244" s="168"/>
      <c r="AS244" s="168"/>
      <c r="AT244" s="168"/>
      <c r="AU244" s="168"/>
      <c r="AV244" s="168"/>
      <c r="AW244" s="168"/>
      <c r="AX244" s="168"/>
      <c r="AY244" s="168"/>
      <c r="AZ244" s="168"/>
      <c r="BA244" s="168"/>
      <c r="BB244" s="168"/>
      <c r="BC244" s="168"/>
      <c r="BD244" s="168"/>
      <c r="BE244" s="168"/>
      <c r="BF244" s="168"/>
      <c r="BG244" s="168"/>
      <c r="BH244" s="168"/>
      <c r="BI244" s="168"/>
      <c r="BJ244" s="170"/>
      <c r="BK244" s="32" t="str">
        <f t="shared" ref="BK244:BK247" si="182">IF(P244&lt;&gt;"",O244&amp;"_"&amp;P244&amp;".sql","")</f>
        <v>ENT_61_17_デリバリ_カリウム平均推移_週別_処方期間別_lbあり.sql</v>
      </c>
    </row>
    <row r="245" spans="1:63" ht="37.5" customHeight="1">
      <c r="A245" s="34" t="str">
        <f t="shared" si="179"/>
        <v>デリバリ_カリウム平均推移_週別_処方期間別_lbなし2</v>
      </c>
      <c r="B245" s="171" t="str">
        <f t="shared" si="169"/>
        <v>61</v>
      </c>
      <c r="C245" s="172"/>
      <c r="D245" s="172"/>
      <c r="E245" s="172"/>
      <c r="F245" s="173"/>
      <c r="G245" s="174" t="s">
        <v>4494</v>
      </c>
      <c r="H245" s="175"/>
      <c r="I245" s="175"/>
      <c r="J245" s="175"/>
      <c r="K245" s="175"/>
      <c r="L245" s="175"/>
      <c r="M245" s="175"/>
      <c r="N245" s="176"/>
      <c r="O245" s="79" t="str">
        <f t="shared" si="180"/>
        <v>ENT_61_18</v>
      </c>
      <c r="P245" s="164" t="s">
        <v>4523</v>
      </c>
      <c r="Q245" s="165"/>
      <c r="R245" s="165"/>
      <c r="S245" s="165"/>
      <c r="T245" s="165"/>
      <c r="U245" s="165"/>
      <c r="V245" s="165"/>
      <c r="W245" s="165"/>
      <c r="X245" s="165"/>
      <c r="Y245" s="165"/>
      <c r="Z245" s="165"/>
      <c r="AA245" s="165"/>
      <c r="AB245" s="165"/>
      <c r="AC245" s="165"/>
      <c r="AD245" s="166"/>
      <c r="AE245" s="167" t="s">
        <v>4508</v>
      </c>
      <c r="AF245" s="168"/>
      <c r="AG245" s="168"/>
      <c r="AH245" s="168"/>
      <c r="AI245" s="168"/>
      <c r="AJ245" s="168"/>
      <c r="AK245" s="168"/>
      <c r="AL245" s="169"/>
      <c r="AM245" s="167">
        <f t="shared" ca="1" si="181"/>
        <v>0</v>
      </c>
      <c r="AN245" s="168"/>
      <c r="AO245" s="168"/>
      <c r="AP245" s="168"/>
      <c r="AQ245" s="168"/>
      <c r="AR245" s="168"/>
      <c r="AS245" s="168"/>
      <c r="AT245" s="168"/>
      <c r="AU245" s="168"/>
      <c r="AV245" s="168"/>
      <c r="AW245" s="168"/>
      <c r="AX245" s="168"/>
      <c r="AY245" s="168"/>
      <c r="AZ245" s="168"/>
      <c r="BA245" s="168"/>
      <c r="BB245" s="168"/>
      <c r="BC245" s="168"/>
      <c r="BD245" s="168"/>
      <c r="BE245" s="168"/>
      <c r="BF245" s="168"/>
      <c r="BG245" s="168"/>
      <c r="BH245" s="168"/>
      <c r="BI245" s="168"/>
      <c r="BJ245" s="170"/>
      <c r="BK245" s="32" t="str">
        <f t="shared" si="182"/>
        <v>ENT_61_18_デリバリ_カリウム平均推移_週別_処方期間別_lbなし2.sql</v>
      </c>
    </row>
    <row r="246" spans="1:63" ht="37.5" customHeight="1">
      <c r="A246" s="34" t="str">
        <f t="shared" ref="A246" si="183">P246</f>
        <v>デリバリ_カリウム平均推移_週別_処方期間別_lbあり2</v>
      </c>
      <c r="B246" s="171" t="str">
        <f t="shared" si="169"/>
        <v>61</v>
      </c>
      <c r="C246" s="172"/>
      <c r="D246" s="172"/>
      <c r="E246" s="172"/>
      <c r="F246" s="173"/>
      <c r="G246" s="174" t="s">
        <v>4494</v>
      </c>
      <c r="H246" s="175"/>
      <c r="I246" s="175"/>
      <c r="J246" s="175"/>
      <c r="K246" s="175"/>
      <c r="L246" s="175"/>
      <c r="M246" s="175"/>
      <c r="N246" s="176"/>
      <c r="O246" s="79" t="str">
        <f t="shared" ref="O246" si="184">IF(P246&lt;&gt;"","ENT_"&amp;RIGHT(B246,2)&amp;"_"&amp;TEXT(ROW(O246)-ROW(O$228)+1,"00"),"")</f>
        <v>ENT_61_19</v>
      </c>
      <c r="P246" s="164" t="s">
        <v>4524</v>
      </c>
      <c r="Q246" s="165"/>
      <c r="R246" s="165"/>
      <c r="S246" s="165"/>
      <c r="T246" s="165"/>
      <c r="U246" s="165"/>
      <c r="V246" s="165"/>
      <c r="W246" s="165"/>
      <c r="X246" s="165"/>
      <c r="Y246" s="165"/>
      <c r="Z246" s="165"/>
      <c r="AA246" s="165"/>
      <c r="AB246" s="165"/>
      <c r="AC246" s="165"/>
      <c r="AD246" s="166"/>
      <c r="AE246" s="167" t="s">
        <v>4509</v>
      </c>
      <c r="AF246" s="168"/>
      <c r="AG246" s="168"/>
      <c r="AH246" s="168"/>
      <c r="AI246" s="168"/>
      <c r="AJ246" s="168"/>
      <c r="AK246" s="168"/>
      <c r="AL246" s="169"/>
      <c r="AM246" s="167">
        <f t="shared" ref="AM246" ca="1" si="185">IFERROR(INDIRECT(P246&amp;"!D9"),"")</f>
        <v>0</v>
      </c>
      <c r="AN246" s="168"/>
      <c r="AO246" s="168"/>
      <c r="AP246" s="168"/>
      <c r="AQ246" s="168"/>
      <c r="AR246" s="168"/>
      <c r="AS246" s="168"/>
      <c r="AT246" s="168"/>
      <c r="AU246" s="168"/>
      <c r="AV246" s="168"/>
      <c r="AW246" s="168"/>
      <c r="AX246" s="168"/>
      <c r="AY246" s="168"/>
      <c r="AZ246" s="168"/>
      <c r="BA246" s="168"/>
      <c r="BB246" s="168"/>
      <c r="BC246" s="168"/>
      <c r="BD246" s="168"/>
      <c r="BE246" s="168"/>
      <c r="BF246" s="168"/>
      <c r="BG246" s="168"/>
      <c r="BH246" s="168"/>
      <c r="BI246" s="168"/>
      <c r="BJ246" s="170"/>
      <c r="BK246" s="32" t="str">
        <f t="shared" ref="BK246" si="186">IF(P246&lt;&gt;"",O246&amp;"_"&amp;P246&amp;".sql","")</f>
        <v>ENT_61_19_デリバリ_カリウム平均推移_週別_処方期間別_lbあり2.sql</v>
      </c>
    </row>
    <row r="247" spans="1:63" ht="37.5" customHeight="1">
      <c r="A247" s="34" t="str">
        <f t="shared" si="179"/>
        <v>デリバリ_患者_BMI</v>
      </c>
      <c r="B247" s="171" t="str">
        <f t="shared" si="169"/>
        <v>61</v>
      </c>
      <c r="C247" s="172"/>
      <c r="D247" s="172"/>
      <c r="E247" s="172"/>
      <c r="F247" s="173"/>
      <c r="G247" s="174" t="s">
        <v>4494</v>
      </c>
      <c r="H247" s="175"/>
      <c r="I247" s="175"/>
      <c r="J247" s="175"/>
      <c r="K247" s="175"/>
      <c r="L247" s="175"/>
      <c r="M247" s="175"/>
      <c r="N247" s="176"/>
      <c r="O247" s="79" t="str">
        <f t="shared" si="180"/>
        <v>ENT_61_20</v>
      </c>
      <c r="P247" s="164" t="s">
        <v>4474</v>
      </c>
      <c r="Q247" s="165"/>
      <c r="R247" s="165"/>
      <c r="S247" s="165"/>
      <c r="T247" s="165"/>
      <c r="U247" s="165"/>
      <c r="V247" s="165"/>
      <c r="W247" s="165"/>
      <c r="X247" s="165"/>
      <c r="Y247" s="165"/>
      <c r="Z247" s="165"/>
      <c r="AA247" s="165"/>
      <c r="AB247" s="165"/>
      <c r="AC247" s="165"/>
      <c r="AD247" s="166"/>
      <c r="AE247" s="167" t="str">
        <f t="shared" ref="AE247" ca="1" si="187">IFERROR(INDIRECT(P247&amp;"!D8"),"")</f>
        <v>azn_202310_delivery_kanja_bmi</v>
      </c>
      <c r="AF247" s="168"/>
      <c r="AG247" s="168"/>
      <c r="AH247" s="168"/>
      <c r="AI247" s="168"/>
      <c r="AJ247" s="168"/>
      <c r="AK247" s="168"/>
      <c r="AL247" s="169"/>
      <c r="AM247" s="167" t="str">
        <f t="shared" ca="1" si="181"/>
        <v>患者のBMIを集計した結果を格納するテーブル</v>
      </c>
      <c r="AN247" s="168"/>
      <c r="AO247" s="168"/>
      <c r="AP247" s="168"/>
      <c r="AQ247" s="168"/>
      <c r="AR247" s="168"/>
      <c r="AS247" s="168"/>
      <c r="AT247" s="168"/>
      <c r="AU247" s="168"/>
      <c r="AV247" s="168"/>
      <c r="AW247" s="168"/>
      <c r="AX247" s="168"/>
      <c r="AY247" s="168"/>
      <c r="AZ247" s="168"/>
      <c r="BA247" s="168"/>
      <c r="BB247" s="168"/>
      <c r="BC247" s="168"/>
      <c r="BD247" s="168"/>
      <c r="BE247" s="168"/>
      <c r="BF247" s="168"/>
      <c r="BG247" s="168"/>
      <c r="BH247" s="168"/>
      <c r="BI247" s="168"/>
      <c r="BJ247" s="170"/>
      <c r="BK247" s="32" t="str">
        <f t="shared" si="182"/>
        <v>ENT_61_20_デリバリ_患者_BMI.sql</v>
      </c>
    </row>
    <row r="248" spans="1:63" ht="37.5" customHeight="1" thickBot="1">
      <c r="A248" s="34">
        <f t="shared" ref="A248" si="188">P248</f>
        <v>0</v>
      </c>
      <c r="B248" s="187" t="str">
        <f>TEXT(61,"00")</f>
        <v>61</v>
      </c>
      <c r="C248" s="188"/>
      <c r="D248" s="188"/>
      <c r="E248" s="188"/>
      <c r="F248" s="189"/>
      <c r="G248" s="184" t="s">
        <v>4494</v>
      </c>
      <c r="H248" s="185"/>
      <c r="I248" s="185"/>
      <c r="J248" s="185"/>
      <c r="K248" s="185"/>
      <c r="L248" s="185"/>
      <c r="M248" s="185"/>
      <c r="N248" s="186"/>
      <c r="O248" s="80" t="str">
        <f>IF(P248&lt;&gt;"","ENT_"&amp;RIGHT(B248,2)&amp;"_"&amp;TEXT(ROW(O248)-ROW(O$228)+1,"00"),"")</f>
        <v/>
      </c>
      <c r="P248" s="181"/>
      <c r="Q248" s="182"/>
      <c r="R248" s="182"/>
      <c r="S248" s="182"/>
      <c r="T248" s="182"/>
      <c r="U248" s="182"/>
      <c r="V248" s="182"/>
      <c r="W248" s="182"/>
      <c r="X248" s="182"/>
      <c r="Y248" s="182"/>
      <c r="Z248" s="182"/>
      <c r="AA248" s="182"/>
      <c r="AB248" s="182"/>
      <c r="AC248" s="182"/>
      <c r="AD248" s="183"/>
      <c r="AE248" s="177" t="str">
        <f t="shared" ref="AE248" ca="1" si="189">IFERROR(INDIRECT(P248&amp;"!D8"),"")</f>
        <v/>
      </c>
      <c r="AF248" s="178"/>
      <c r="AG248" s="178"/>
      <c r="AH248" s="178"/>
      <c r="AI248" s="178"/>
      <c r="AJ248" s="178"/>
      <c r="AK248" s="178"/>
      <c r="AL248" s="180"/>
      <c r="AM248" s="177" t="str">
        <f t="shared" ref="AM248" ca="1" si="190">IFERROR(INDIRECT(P248&amp;"!D9"),"")</f>
        <v/>
      </c>
      <c r="AN248" s="178"/>
      <c r="AO248" s="178"/>
      <c r="AP248" s="178"/>
      <c r="AQ248" s="178"/>
      <c r="AR248" s="178"/>
      <c r="AS248" s="178"/>
      <c r="AT248" s="178"/>
      <c r="AU248" s="178"/>
      <c r="AV248" s="178"/>
      <c r="AW248" s="178"/>
      <c r="AX248" s="178"/>
      <c r="AY248" s="178"/>
      <c r="AZ248" s="178"/>
      <c r="BA248" s="178"/>
      <c r="BB248" s="178"/>
      <c r="BC248" s="178"/>
      <c r="BD248" s="178"/>
      <c r="BE248" s="178"/>
      <c r="BF248" s="178"/>
      <c r="BG248" s="178"/>
      <c r="BH248" s="178"/>
      <c r="BI248" s="178"/>
      <c r="BJ248" s="179"/>
      <c r="BK248" s="32" t="str">
        <f t="shared" ref="BK248" si="191">IF(P248&lt;&gt;"",O248&amp;"_"&amp;P248&amp;".sql","")</f>
        <v/>
      </c>
    </row>
    <row r="252" spans="1:63" ht="13.5" customHeight="1"/>
    <row r="253" spans="1:63" ht="13.5" customHeight="1"/>
    <row r="254" spans="1:63" ht="13.5" customHeight="1"/>
    <row r="255" spans="1:63" ht="13.5" customHeight="1"/>
    <row r="256" spans="1:63" ht="13.5" customHeight="1"/>
    <row r="257" ht="13.5" customHeight="1"/>
    <row r="258" ht="13.5" customHeight="1"/>
    <row r="259" ht="13.5" customHeight="1"/>
  </sheetData>
  <mergeCells count="1232">
    <mergeCell ref="B224:F224"/>
    <mergeCell ref="G224:N224"/>
    <mergeCell ref="P224:AD224"/>
    <mergeCell ref="AE224:AL224"/>
    <mergeCell ref="AM224:BJ224"/>
    <mergeCell ref="B225:F225"/>
    <mergeCell ref="G225:N225"/>
    <mergeCell ref="P225:AD225"/>
    <mergeCell ref="AE225:AL225"/>
    <mergeCell ref="AM225:BJ225"/>
    <mergeCell ref="B226:F226"/>
    <mergeCell ref="G226:N226"/>
    <mergeCell ref="P226:AD226"/>
    <mergeCell ref="AE226:AL226"/>
    <mergeCell ref="AM226:BJ226"/>
    <mergeCell ref="B227:F227"/>
    <mergeCell ref="G227:N227"/>
    <mergeCell ref="P227:AD227"/>
    <mergeCell ref="AE227:AL227"/>
    <mergeCell ref="AM227:BJ227"/>
    <mergeCell ref="B217:F217"/>
    <mergeCell ref="G217:N217"/>
    <mergeCell ref="P217:AD217"/>
    <mergeCell ref="AE217:AL217"/>
    <mergeCell ref="AM217:BJ217"/>
    <mergeCell ref="B221:F221"/>
    <mergeCell ref="G221:N221"/>
    <mergeCell ref="P221:AD221"/>
    <mergeCell ref="AE221:AL221"/>
    <mergeCell ref="AM221:BJ221"/>
    <mergeCell ref="B222:F222"/>
    <mergeCell ref="G222:N222"/>
    <mergeCell ref="P222:AD222"/>
    <mergeCell ref="AE222:AL222"/>
    <mergeCell ref="AM222:BJ222"/>
    <mergeCell ref="B223:F223"/>
    <mergeCell ref="G223:N223"/>
    <mergeCell ref="P223:AD223"/>
    <mergeCell ref="AE223:AL223"/>
    <mergeCell ref="AM223:BJ223"/>
    <mergeCell ref="B218:F218"/>
    <mergeCell ref="G218:N218"/>
    <mergeCell ref="P218:AD218"/>
    <mergeCell ref="AE218:AL218"/>
    <mergeCell ref="AM218:BJ218"/>
    <mergeCell ref="AM220:BJ220"/>
    <mergeCell ref="B219:F219"/>
    <mergeCell ref="G219:N219"/>
    <mergeCell ref="P219:AD219"/>
    <mergeCell ref="AE219:AL219"/>
    <mergeCell ref="AM212:BJ212"/>
    <mergeCell ref="B213:F213"/>
    <mergeCell ref="G213:N213"/>
    <mergeCell ref="P213:AD213"/>
    <mergeCell ref="AE213:AL213"/>
    <mergeCell ref="AM213:BJ213"/>
    <mergeCell ref="B214:F214"/>
    <mergeCell ref="G214:N214"/>
    <mergeCell ref="P214:AD214"/>
    <mergeCell ref="AE214:AL214"/>
    <mergeCell ref="AM214:BJ214"/>
    <mergeCell ref="B215:F215"/>
    <mergeCell ref="G215:N215"/>
    <mergeCell ref="P215:AD215"/>
    <mergeCell ref="AE215:AL215"/>
    <mergeCell ref="AM215:BJ215"/>
    <mergeCell ref="B216:F216"/>
    <mergeCell ref="G216:N216"/>
    <mergeCell ref="P216:AD216"/>
    <mergeCell ref="AE216:AL216"/>
    <mergeCell ref="AM216:BJ216"/>
    <mergeCell ref="B212:F212"/>
    <mergeCell ref="G212:N212"/>
    <mergeCell ref="P212:AD212"/>
    <mergeCell ref="AE212:AL212"/>
    <mergeCell ref="P195:AD195"/>
    <mergeCell ref="AE195:AL195"/>
    <mergeCell ref="AM195:BJ195"/>
    <mergeCell ref="B192:F192"/>
    <mergeCell ref="G192:N192"/>
    <mergeCell ref="P192:AD192"/>
    <mergeCell ref="AE192:AL192"/>
    <mergeCell ref="B208:F208"/>
    <mergeCell ref="G208:N208"/>
    <mergeCell ref="P208:AD208"/>
    <mergeCell ref="AE208:AL208"/>
    <mergeCell ref="AM208:BJ208"/>
    <mergeCell ref="B206:F206"/>
    <mergeCell ref="G206:N206"/>
    <mergeCell ref="P206:AD206"/>
    <mergeCell ref="AE206:AL206"/>
    <mergeCell ref="AM206:BJ206"/>
    <mergeCell ref="B207:F207"/>
    <mergeCell ref="G207:N207"/>
    <mergeCell ref="P207:AD207"/>
    <mergeCell ref="AE207:AL207"/>
    <mergeCell ref="AM207:BJ207"/>
    <mergeCell ref="B199:F199"/>
    <mergeCell ref="G199:N199"/>
    <mergeCell ref="P199:AD199"/>
    <mergeCell ref="AE199:AL199"/>
    <mergeCell ref="AM199:BJ199"/>
    <mergeCell ref="B197:F197"/>
    <mergeCell ref="G197:N197"/>
    <mergeCell ref="P197:AD197"/>
    <mergeCell ref="AE197:AL197"/>
    <mergeCell ref="AM197:BJ197"/>
    <mergeCell ref="B198:F198"/>
    <mergeCell ref="G198:N198"/>
    <mergeCell ref="P198:AD198"/>
    <mergeCell ref="AE198:AL198"/>
    <mergeCell ref="AM198:BJ198"/>
    <mergeCell ref="B154:F154"/>
    <mergeCell ref="G154:N154"/>
    <mergeCell ref="P154:AD154"/>
    <mergeCell ref="AE154:AL154"/>
    <mergeCell ref="AM154:BJ154"/>
    <mergeCell ref="B196:F196"/>
    <mergeCell ref="G196:N196"/>
    <mergeCell ref="P196:AD196"/>
    <mergeCell ref="AE196:AL196"/>
    <mergeCell ref="AM196:BJ196"/>
    <mergeCell ref="B194:F194"/>
    <mergeCell ref="G194:N194"/>
    <mergeCell ref="P194:AD194"/>
    <mergeCell ref="AE194:AL194"/>
    <mergeCell ref="AM194:BJ194"/>
    <mergeCell ref="B195:F195"/>
    <mergeCell ref="G195:N195"/>
    <mergeCell ref="B188:F188"/>
    <mergeCell ref="G188:N188"/>
    <mergeCell ref="P188:AD188"/>
    <mergeCell ref="AE188:AL188"/>
    <mergeCell ref="AM188:BJ188"/>
    <mergeCell ref="B189:F189"/>
    <mergeCell ref="G189:N189"/>
    <mergeCell ref="P189:AD189"/>
    <mergeCell ref="AE189:AL189"/>
    <mergeCell ref="AM189:BJ189"/>
    <mergeCell ref="AM192:BJ192"/>
    <mergeCell ref="B193:F193"/>
    <mergeCell ref="G193:N193"/>
    <mergeCell ref="P193:AD193"/>
    <mergeCell ref="AE193:AL193"/>
    <mergeCell ref="AM193:BJ193"/>
    <mergeCell ref="B190:F190"/>
    <mergeCell ref="G190:N190"/>
    <mergeCell ref="P190:AD190"/>
    <mergeCell ref="AE190:AL190"/>
    <mergeCell ref="AM190:BJ190"/>
    <mergeCell ref="B191:F191"/>
    <mergeCell ref="G191:N191"/>
    <mergeCell ref="P191:AD191"/>
    <mergeCell ref="AE191:AL191"/>
    <mergeCell ref="AM191:BJ191"/>
    <mergeCell ref="B184:F184"/>
    <mergeCell ref="G184:N184"/>
    <mergeCell ref="P184:AD184"/>
    <mergeCell ref="AE184:AL184"/>
    <mergeCell ref="AM184:BJ184"/>
    <mergeCell ref="B185:F185"/>
    <mergeCell ref="G185:N185"/>
    <mergeCell ref="P185:AD185"/>
    <mergeCell ref="AE185:AL185"/>
    <mergeCell ref="AM185:BJ185"/>
    <mergeCell ref="B186:F186"/>
    <mergeCell ref="G186:N186"/>
    <mergeCell ref="P186:AD186"/>
    <mergeCell ref="AE186:AL186"/>
    <mergeCell ref="AM186:BJ186"/>
    <mergeCell ref="B187:F187"/>
    <mergeCell ref="G187:N187"/>
    <mergeCell ref="P187:AD187"/>
    <mergeCell ref="AE187:AL187"/>
    <mergeCell ref="AM187:BJ187"/>
    <mergeCell ref="G180:N180"/>
    <mergeCell ref="P180:AD180"/>
    <mergeCell ref="AE180:AL180"/>
    <mergeCell ref="AM180:BJ180"/>
    <mergeCell ref="B181:F181"/>
    <mergeCell ref="G181:N181"/>
    <mergeCell ref="P181:AD181"/>
    <mergeCell ref="AE181:AL181"/>
    <mergeCell ref="AM181:BJ181"/>
    <mergeCell ref="B182:F182"/>
    <mergeCell ref="G182:N182"/>
    <mergeCell ref="P182:AD182"/>
    <mergeCell ref="AE182:AL182"/>
    <mergeCell ref="AM182:BJ182"/>
    <mergeCell ref="B183:F183"/>
    <mergeCell ref="G183:N183"/>
    <mergeCell ref="P183:AD183"/>
    <mergeCell ref="AE183:AL183"/>
    <mergeCell ref="AM183:BJ183"/>
    <mergeCell ref="AE178:AL178"/>
    <mergeCell ref="AM178:BJ178"/>
    <mergeCell ref="B179:F179"/>
    <mergeCell ref="G179:N179"/>
    <mergeCell ref="P179:AD179"/>
    <mergeCell ref="AE179:AL179"/>
    <mergeCell ref="AM179:BJ179"/>
    <mergeCell ref="B172:F172"/>
    <mergeCell ref="G172:N172"/>
    <mergeCell ref="P172:AD172"/>
    <mergeCell ref="AE172:AL172"/>
    <mergeCell ref="AM172:BJ172"/>
    <mergeCell ref="B173:F173"/>
    <mergeCell ref="G173:N173"/>
    <mergeCell ref="P173:AD173"/>
    <mergeCell ref="AE173:AL173"/>
    <mergeCell ref="AM173:BJ173"/>
    <mergeCell ref="B174:F174"/>
    <mergeCell ref="G174:N174"/>
    <mergeCell ref="B177:F177"/>
    <mergeCell ref="G177:N177"/>
    <mergeCell ref="P177:AD177"/>
    <mergeCell ref="AE177:AL177"/>
    <mergeCell ref="AM177:BJ177"/>
    <mergeCell ref="P174:AD174"/>
    <mergeCell ref="AE174:AL174"/>
    <mergeCell ref="AM174:BJ174"/>
    <mergeCell ref="B175:F175"/>
    <mergeCell ref="G175:N175"/>
    <mergeCell ref="B6:F6"/>
    <mergeCell ref="G6:N6"/>
    <mergeCell ref="P6:AD6"/>
    <mergeCell ref="AE6:AL6"/>
    <mergeCell ref="AM6:BJ6"/>
    <mergeCell ref="B7:F7"/>
    <mergeCell ref="G7:N7"/>
    <mergeCell ref="P7:AD7"/>
    <mergeCell ref="AE7:AL7"/>
    <mergeCell ref="AM7:BJ7"/>
    <mergeCell ref="AE163:AL163"/>
    <mergeCell ref="AM163:BJ163"/>
    <mergeCell ref="B165:F165"/>
    <mergeCell ref="G165:N165"/>
    <mergeCell ref="P165:AD165"/>
    <mergeCell ref="AE165:AL165"/>
    <mergeCell ref="AM165:BJ165"/>
    <mergeCell ref="B164:F164"/>
    <mergeCell ref="G87:N87"/>
    <mergeCell ref="G88:N88"/>
    <mergeCell ref="G89:N89"/>
    <mergeCell ref="G90:N90"/>
    <mergeCell ref="G91:N91"/>
    <mergeCell ref="G92:N92"/>
    <mergeCell ref="G102:N102"/>
    <mergeCell ref="G103:N103"/>
    <mergeCell ref="G93:N93"/>
    <mergeCell ref="G94:N94"/>
    <mergeCell ref="G95:N95"/>
    <mergeCell ref="G96:N96"/>
    <mergeCell ref="G97:N97"/>
    <mergeCell ref="G98:N98"/>
    <mergeCell ref="G67:N67"/>
    <mergeCell ref="G68:N68"/>
    <mergeCell ref="G69:N69"/>
    <mergeCell ref="G70:N70"/>
    <mergeCell ref="G71:N71"/>
    <mergeCell ref="G72:N72"/>
    <mergeCell ref="G79:N79"/>
    <mergeCell ref="G80:N80"/>
    <mergeCell ref="G81:N81"/>
    <mergeCell ref="G82:N82"/>
    <mergeCell ref="G83:N83"/>
    <mergeCell ref="G84:N84"/>
    <mergeCell ref="G85:N85"/>
    <mergeCell ref="G73:N73"/>
    <mergeCell ref="G74:N74"/>
    <mergeCell ref="G77:N77"/>
    <mergeCell ref="G86:N86"/>
    <mergeCell ref="G75:N75"/>
    <mergeCell ref="G76:N76"/>
    <mergeCell ref="G50:N50"/>
    <mergeCell ref="G51:N51"/>
    <mergeCell ref="G52:N52"/>
    <mergeCell ref="G53:N53"/>
    <mergeCell ref="G54:N54"/>
    <mergeCell ref="G55:N55"/>
    <mergeCell ref="G56:N56"/>
    <mergeCell ref="G57:N57"/>
    <mergeCell ref="G58:N58"/>
    <mergeCell ref="G59:N59"/>
    <mergeCell ref="G60:N60"/>
    <mergeCell ref="G61:N61"/>
    <mergeCell ref="G62:N62"/>
    <mergeCell ref="G63:N63"/>
    <mergeCell ref="G64:N64"/>
    <mergeCell ref="G65:N65"/>
    <mergeCell ref="G66:N66"/>
    <mergeCell ref="G33:N33"/>
    <mergeCell ref="G34:N34"/>
    <mergeCell ref="G35:N35"/>
    <mergeCell ref="G36:N36"/>
    <mergeCell ref="G37:N37"/>
    <mergeCell ref="G38:N38"/>
    <mergeCell ref="G39:N39"/>
    <mergeCell ref="G40:N40"/>
    <mergeCell ref="G41:N41"/>
    <mergeCell ref="G42:N42"/>
    <mergeCell ref="G43:N43"/>
    <mergeCell ref="G44:N44"/>
    <mergeCell ref="G45:N45"/>
    <mergeCell ref="G46:N46"/>
    <mergeCell ref="G47:N47"/>
    <mergeCell ref="G48:N48"/>
    <mergeCell ref="G49:N49"/>
    <mergeCell ref="G146:N146"/>
    <mergeCell ref="G147:N147"/>
    <mergeCell ref="G148:N148"/>
    <mergeCell ref="G149:N149"/>
    <mergeCell ref="G150:N150"/>
    <mergeCell ref="G151:N151"/>
    <mergeCell ref="G152:N152"/>
    <mergeCell ref="G8:N8"/>
    <mergeCell ref="G9:N9"/>
    <mergeCell ref="G10:N10"/>
    <mergeCell ref="G11:N11"/>
    <mergeCell ref="G12:N12"/>
    <mergeCell ref="G13:N13"/>
    <mergeCell ref="G14:N14"/>
    <mergeCell ref="G15:N15"/>
    <mergeCell ref="G16:N16"/>
    <mergeCell ref="G17:N17"/>
    <mergeCell ref="G18:N18"/>
    <mergeCell ref="G19:N19"/>
    <mergeCell ref="G20:N20"/>
    <mergeCell ref="G21:N21"/>
    <mergeCell ref="G22:N22"/>
    <mergeCell ref="G23:N23"/>
    <mergeCell ref="G24:N24"/>
    <mergeCell ref="G25:N25"/>
    <mergeCell ref="G26:N26"/>
    <mergeCell ref="G27:N27"/>
    <mergeCell ref="G28:N28"/>
    <mergeCell ref="G29:N29"/>
    <mergeCell ref="G30:N30"/>
    <mergeCell ref="G31:N31"/>
    <mergeCell ref="G32:N32"/>
    <mergeCell ref="G130:N130"/>
    <mergeCell ref="G131:N131"/>
    <mergeCell ref="G132:N132"/>
    <mergeCell ref="G133:N133"/>
    <mergeCell ref="G134:N134"/>
    <mergeCell ref="G135:N135"/>
    <mergeCell ref="G136:N136"/>
    <mergeCell ref="G137:N137"/>
    <mergeCell ref="G129:N129"/>
    <mergeCell ref="G138:N138"/>
    <mergeCell ref="G139:N139"/>
    <mergeCell ref="G140:N140"/>
    <mergeCell ref="G141:N141"/>
    <mergeCell ref="G142:N142"/>
    <mergeCell ref="G143:N143"/>
    <mergeCell ref="G144:N144"/>
    <mergeCell ref="G145:N145"/>
    <mergeCell ref="G125:N125"/>
    <mergeCell ref="G126:N126"/>
    <mergeCell ref="G104:N104"/>
    <mergeCell ref="G105:N105"/>
    <mergeCell ref="B121:F121"/>
    <mergeCell ref="B122:F122"/>
    <mergeCell ref="B123:F123"/>
    <mergeCell ref="B124:F124"/>
    <mergeCell ref="B125:F125"/>
    <mergeCell ref="B126:F126"/>
    <mergeCell ref="B117:F117"/>
    <mergeCell ref="G117:N117"/>
    <mergeCell ref="B113:F113"/>
    <mergeCell ref="G113:N113"/>
    <mergeCell ref="B106:F106"/>
    <mergeCell ref="G106:N106"/>
    <mergeCell ref="B119:F119"/>
    <mergeCell ref="G119:N119"/>
    <mergeCell ref="B93:F93"/>
    <mergeCell ref="B94:F94"/>
    <mergeCell ref="B95:F95"/>
    <mergeCell ref="B96:F96"/>
    <mergeCell ref="B97:F97"/>
    <mergeCell ref="B98:F98"/>
    <mergeCell ref="B99:F99"/>
    <mergeCell ref="B100:F100"/>
    <mergeCell ref="B101:F101"/>
    <mergeCell ref="B102:F102"/>
    <mergeCell ref="B103:F103"/>
    <mergeCell ref="B104:F104"/>
    <mergeCell ref="B105:F105"/>
    <mergeCell ref="G121:N121"/>
    <mergeCell ref="G122:N122"/>
    <mergeCell ref="G123:N123"/>
    <mergeCell ref="G124:N124"/>
    <mergeCell ref="G99:N99"/>
    <mergeCell ref="G100:N100"/>
    <mergeCell ref="G101:N101"/>
    <mergeCell ref="B81:F81"/>
    <mergeCell ref="B82:F82"/>
    <mergeCell ref="B83:F83"/>
    <mergeCell ref="B84:F84"/>
    <mergeCell ref="B73:F73"/>
    <mergeCell ref="B74:F74"/>
    <mergeCell ref="B77:F77"/>
    <mergeCell ref="B85:F85"/>
    <mergeCell ref="B86:F86"/>
    <mergeCell ref="B75:F75"/>
    <mergeCell ref="B76:F76"/>
    <mergeCell ref="B87:F87"/>
    <mergeCell ref="B88:F88"/>
    <mergeCell ref="B89:F89"/>
    <mergeCell ref="B90:F90"/>
    <mergeCell ref="B91:F91"/>
    <mergeCell ref="B92:F92"/>
    <mergeCell ref="B58:F58"/>
    <mergeCell ref="B59:F59"/>
    <mergeCell ref="B60:F60"/>
    <mergeCell ref="B61:F61"/>
    <mergeCell ref="B62:F62"/>
    <mergeCell ref="B63:F63"/>
    <mergeCell ref="B64:F64"/>
    <mergeCell ref="B65:F65"/>
    <mergeCell ref="B66:F66"/>
    <mergeCell ref="B67:F67"/>
    <mergeCell ref="B68:F68"/>
    <mergeCell ref="B69:F69"/>
    <mergeCell ref="B70:F70"/>
    <mergeCell ref="B71:F71"/>
    <mergeCell ref="B72:F72"/>
    <mergeCell ref="B79:F79"/>
    <mergeCell ref="B80:F80"/>
    <mergeCell ref="B41:F41"/>
    <mergeCell ref="B42:F42"/>
    <mergeCell ref="B43:F43"/>
    <mergeCell ref="B44:F44"/>
    <mergeCell ref="B45:F45"/>
    <mergeCell ref="B46:F46"/>
    <mergeCell ref="B47:F47"/>
    <mergeCell ref="B48:F48"/>
    <mergeCell ref="B49:F49"/>
    <mergeCell ref="B50:F50"/>
    <mergeCell ref="B51:F51"/>
    <mergeCell ref="B52:F52"/>
    <mergeCell ref="B53:F53"/>
    <mergeCell ref="B54:F54"/>
    <mergeCell ref="B55:F55"/>
    <mergeCell ref="B56:F56"/>
    <mergeCell ref="B57:F57"/>
    <mergeCell ref="B149:F149"/>
    <mergeCell ref="B150:F150"/>
    <mergeCell ref="B151:F151"/>
    <mergeCell ref="B152:F152"/>
    <mergeCell ref="B8:F8"/>
    <mergeCell ref="B9:F9"/>
    <mergeCell ref="B10:F10"/>
    <mergeCell ref="B11:F11"/>
    <mergeCell ref="B12:F12"/>
    <mergeCell ref="B13:F13"/>
    <mergeCell ref="B14:F14"/>
    <mergeCell ref="B15:F15"/>
    <mergeCell ref="B16:F16"/>
    <mergeCell ref="B17:F17"/>
    <mergeCell ref="B18:F18"/>
    <mergeCell ref="B19:F19"/>
    <mergeCell ref="B20:F20"/>
    <mergeCell ref="B21:F21"/>
    <mergeCell ref="B22:F22"/>
    <mergeCell ref="B23:F23"/>
    <mergeCell ref="B24:F24"/>
    <mergeCell ref="B25:F25"/>
    <mergeCell ref="B26:F26"/>
    <mergeCell ref="B27:F27"/>
    <mergeCell ref="B28:F28"/>
    <mergeCell ref="B34:F34"/>
    <mergeCell ref="B35:F35"/>
    <mergeCell ref="B36:F36"/>
    <mergeCell ref="B37:F37"/>
    <mergeCell ref="B38:F38"/>
    <mergeCell ref="B39:F39"/>
    <mergeCell ref="B40:F40"/>
    <mergeCell ref="B132:F132"/>
    <mergeCell ref="B133:F133"/>
    <mergeCell ref="B134:F134"/>
    <mergeCell ref="B135:F135"/>
    <mergeCell ref="B136:F136"/>
    <mergeCell ref="B137:F137"/>
    <mergeCell ref="B138:F138"/>
    <mergeCell ref="B139:F139"/>
    <mergeCell ref="B140:F140"/>
    <mergeCell ref="B141:F141"/>
    <mergeCell ref="B142:F142"/>
    <mergeCell ref="B143:F143"/>
    <mergeCell ref="B144:F144"/>
    <mergeCell ref="B145:F145"/>
    <mergeCell ref="B146:F146"/>
    <mergeCell ref="B147:F147"/>
    <mergeCell ref="B148:F148"/>
    <mergeCell ref="P146:AD146"/>
    <mergeCell ref="AE146:AL146"/>
    <mergeCell ref="AM146:BJ146"/>
    <mergeCell ref="P143:AD143"/>
    <mergeCell ref="AE143:AL143"/>
    <mergeCell ref="AM143:BJ143"/>
    <mergeCell ref="P144:AD144"/>
    <mergeCell ref="AE144:AL144"/>
    <mergeCell ref="AM144:BJ144"/>
    <mergeCell ref="B130:F130"/>
    <mergeCell ref="B131:F131"/>
    <mergeCell ref="B129:F129"/>
    <mergeCell ref="P152:AD152"/>
    <mergeCell ref="AE152:AL152"/>
    <mergeCell ref="AM152:BJ152"/>
    <mergeCell ref="P105:AD105"/>
    <mergeCell ref="AE105:AL105"/>
    <mergeCell ref="AM105:BJ105"/>
    <mergeCell ref="P147:AD147"/>
    <mergeCell ref="AE147:AL147"/>
    <mergeCell ref="AM147:BJ147"/>
    <mergeCell ref="P148:AD148"/>
    <mergeCell ref="AE148:AL148"/>
    <mergeCell ref="AM148:BJ148"/>
    <mergeCell ref="P149:AD149"/>
    <mergeCell ref="AE149:AL149"/>
    <mergeCell ref="P150:AD150"/>
    <mergeCell ref="AE150:AL150"/>
    <mergeCell ref="P151:AD151"/>
    <mergeCell ref="AE151:AL151"/>
    <mergeCell ref="AM151:BJ151"/>
    <mergeCell ref="P145:AD145"/>
    <mergeCell ref="AE123:AL123"/>
    <mergeCell ref="AM123:BJ123"/>
    <mergeCell ref="P141:AD141"/>
    <mergeCell ref="AE141:AL141"/>
    <mergeCell ref="AM141:BJ141"/>
    <mergeCell ref="P142:AD142"/>
    <mergeCell ref="AE142:AL142"/>
    <mergeCell ref="AM142:BJ142"/>
    <mergeCell ref="P139:AD139"/>
    <mergeCell ref="AE139:AL139"/>
    <mergeCell ref="AM139:BJ139"/>
    <mergeCell ref="P140:AD140"/>
    <mergeCell ref="AE140:AL140"/>
    <mergeCell ref="AM140:BJ140"/>
    <mergeCell ref="AE145:AL145"/>
    <mergeCell ref="AM145:BJ145"/>
    <mergeCell ref="P129:AD129"/>
    <mergeCell ref="AE129:AL129"/>
    <mergeCell ref="AM129:BJ129"/>
    <mergeCell ref="AE127:AL127"/>
    <mergeCell ref="P134:AD134"/>
    <mergeCell ref="AE134:AL134"/>
    <mergeCell ref="AM134:BJ134"/>
    <mergeCell ref="P130:AD130"/>
    <mergeCell ref="AE130:AL130"/>
    <mergeCell ref="AM130:BJ130"/>
    <mergeCell ref="P132:AD132"/>
    <mergeCell ref="AE132:AL132"/>
    <mergeCell ref="AM132:BJ132"/>
    <mergeCell ref="P133:AD133"/>
    <mergeCell ref="AE133:AL133"/>
    <mergeCell ref="AM133:BJ133"/>
    <mergeCell ref="AM116:BJ116"/>
    <mergeCell ref="B128:F128"/>
    <mergeCell ref="G128:N128"/>
    <mergeCell ref="P119:AD119"/>
    <mergeCell ref="AE119:AL119"/>
    <mergeCell ref="AM119:BJ119"/>
    <mergeCell ref="B120:F120"/>
    <mergeCell ref="G120:N120"/>
    <mergeCell ref="P120:AD120"/>
    <mergeCell ref="AE120:AL120"/>
    <mergeCell ref="AM120:BJ120"/>
    <mergeCell ref="P124:AD124"/>
    <mergeCell ref="AE124:AL124"/>
    <mergeCell ref="AM124:BJ124"/>
    <mergeCell ref="P125:AD125"/>
    <mergeCell ref="AE125:AL125"/>
    <mergeCell ref="AM125:BJ125"/>
    <mergeCell ref="P128:AD128"/>
    <mergeCell ref="AE128:AL128"/>
    <mergeCell ref="P126:AD126"/>
    <mergeCell ref="AE126:AL126"/>
    <mergeCell ref="AM126:BJ126"/>
    <mergeCell ref="P127:AD127"/>
    <mergeCell ref="B127:F127"/>
    <mergeCell ref="G127:N127"/>
    <mergeCell ref="P121:AD121"/>
    <mergeCell ref="AE121:AL121"/>
    <mergeCell ref="AM121:BJ121"/>
    <mergeCell ref="P122:AD122"/>
    <mergeCell ref="AE122:AL122"/>
    <mergeCell ref="AM122:BJ122"/>
    <mergeCell ref="P123:AD123"/>
    <mergeCell ref="B169:F169"/>
    <mergeCell ref="G169:N169"/>
    <mergeCell ref="P169:AD169"/>
    <mergeCell ref="P113:AD113"/>
    <mergeCell ref="AE113:AL113"/>
    <mergeCell ref="AM113:BJ113"/>
    <mergeCell ref="B114:F114"/>
    <mergeCell ref="G114:N114"/>
    <mergeCell ref="P114:AD114"/>
    <mergeCell ref="AE114:AL114"/>
    <mergeCell ref="AM114:BJ114"/>
    <mergeCell ref="AE156:AL156"/>
    <mergeCell ref="AM156:BJ156"/>
    <mergeCell ref="AE153:AL153"/>
    <mergeCell ref="B156:F156"/>
    <mergeCell ref="P117:AD117"/>
    <mergeCell ref="AE117:AL117"/>
    <mergeCell ref="AM117:BJ117"/>
    <mergeCell ref="B118:F118"/>
    <mergeCell ref="G118:N118"/>
    <mergeCell ref="P118:AD118"/>
    <mergeCell ref="AE118:AL118"/>
    <mergeCell ref="AM118:BJ118"/>
    <mergeCell ref="B115:F115"/>
    <mergeCell ref="G115:N115"/>
    <mergeCell ref="P115:AD115"/>
    <mergeCell ref="AE115:AL115"/>
    <mergeCell ref="AM115:BJ115"/>
    <mergeCell ref="B116:F116"/>
    <mergeCell ref="G116:N116"/>
    <mergeCell ref="P116:AD116"/>
    <mergeCell ref="AE116:AL116"/>
    <mergeCell ref="B157:F157"/>
    <mergeCell ref="G157:N157"/>
    <mergeCell ref="B153:F153"/>
    <mergeCell ref="G153:N153"/>
    <mergeCell ref="P153:AD153"/>
    <mergeCell ref="P157:AD157"/>
    <mergeCell ref="B200:F200"/>
    <mergeCell ref="G200:N200"/>
    <mergeCell ref="P200:AD200"/>
    <mergeCell ref="G164:N164"/>
    <mergeCell ref="P164:AD164"/>
    <mergeCell ref="B159:F159"/>
    <mergeCell ref="G159:N159"/>
    <mergeCell ref="P159:AD159"/>
    <mergeCell ref="G163:N163"/>
    <mergeCell ref="P163:AD163"/>
    <mergeCell ref="B168:F168"/>
    <mergeCell ref="G168:N168"/>
    <mergeCell ref="P168:AD168"/>
    <mergeCell ref="B171:F171"/>
    <mergeCell ref="G171:N171"/>
    <mergeCell ref="P171:AD171"/>
    <mergeCell ref="B180:F180"/>
    <mergeCell ref="G158:N158"/>
    <mergeCell ref="B163:F163"/>
    <mergeCell ref="B158:F158"/>
    <mergeCell ref="B167:F167"/>
    <mergeCell ref="G167:N167"/>
    <mergeCell ref="B161:F161"/>
    <mergeCell ref="G161:N161"/>
    <mergeCell ref="P161:AD161"/>
    <mergeCell ref="B162:F162"/>
    <mergeCell ref="B202:F202"/>
    <mergeCell ref="G202:N202"/>
    <mergeCell ref="P202:AD202"/>
    <mergeCell ref="B209:F209"/>
    <mergeCell ref="G209:N209"/>
    <mergeCell ref="P209:AD209"/>
    <mergeCell ref="AE209:AL209"/>
    <mergeCell ref="AM209:BJ209"/>
    <mergeCell ref="B210:F210"/>
    <mergeCell ref="G210:N210"/>
    <mergeCell ref="P210:AD210"/>
    <mergeCell ref="AE210:AL210"/>
    <mergeCell ref="AM210:BJ210"/>
    <mergeCell ref="B211:F211"/>
    <mergeCell ref="G211:N211"/>
    <mergeCell ref="P211:AD211"/>
    <mergeCell ref="AE211:AL211"/>
    <mergeCell ref="AM211:BJ211"/>
    <mergeCell ref="AE2:AR2"/>
    <mergeCell ref="AS1:AX1"/>
    <mergeCell ref="BE1:BJ1"/>
    <mergeCell ref="AS2:AX2"/>
    <mergeCell ref="AY2:BD2"/>
    <mergeCell ref="BE2:BJ2"/>
    <mergeCell ref="AY1:BD1"/>
    <mergeCell ref="AM200:BJ200"/>
    <mergeCell ref="AM164:BJ164"/>
    <mergeCell ref="AM157:BJ157"/>
    <mergeCell ref="AM107:BJ107"/>
    <mergeCell ref="AM4:BJ5"/>
    <mergeCell ref="AM153:BJ153"/>
    <mergeCell ref="AM112:BJ112"/>
    <mergeCell ref="AM149:BJ149"/>
    <mergeCell ref="AM150:BJ150"/>
    <mergeCell ref="AM9:BJ9"/>
    <mergeCell ref="AM158:BJ158"/>
    <mergeCell ref="AM106:BJ106"/>
    <mergeCell ref="AM70:BJ70"/>
    <mergeCell ref="AM128:BJ128"/>
    <mergeCell ref="AM22:BJ22"/>
    <mergeCell ref="AM12:BJ12"/>
    <mergeCell ref="AM34:BJ34"/>
    <mergeCell ref="AM127:BJ127"/>
    <mergeCell ref="AE159:AL159"/>
    <mergeCell ref="AM159:BJ159"/>
    <mergeCell ref="AE164:AL164"/>
    <mergeCell ref="AE158:AL158"/>
    <mergeCell ref="AE135:AL135"/>
    <mergeCell ref="AM135:BJ135"/>
    <mergeCell ref="AE136:AL136"/>
    <mergeCell ref="P109:AD109"/>
    <mergeCell ref="P110:AD110"/>
    <mergeCell ref="AE111:AL111"/>
    <mergeCell ref="AM111:BJ111"/>
    <mergeCell ref="AE108:AL108"/>
    <mergeCell ref="AM108:BJ108"/>
    <mergeCell ref="AE109:AL109"/>
    <mergeCell ref="AM109:BJ109"/>
    <mergeCell ref="AE110:AL110"/>
    <mergeCell ref="B1:N2"/>
    <mergeCell ref="O1:AD1"/>
    <mergeCell ref="B111:F111"/>
    <mergeCell ref="G111:N111"/>
    <mergeCell ref="P111:AD111"/>
    <mergeCell ref="O2:AD2"/>
    <mergeCell ref="AE4:AL5"/>
    <mergeCell ref="G107:N107"/>
    <mergeCell ref="G4:N5"/>
    <mergeCell ref="P4:AD5"/>
    <mergeCell ref="P107:AD107"/>
    <mergeCell ref="B4:F5"/>
    <mergeCell ref="O4:O5"/>
    <mergeCell ref="B107:F107"/>
    <mergeCell ref="AE107:AL107"/>
    <mergeCell ref="B109:F109"/>
    <mergeCell ref="B108:F108"/>
    <mergeCell ref="B110:F110"/>
    <mergeCell ref="G110:N110"/>
    <mergeCell ref="G109:N109"/>
    <mergeCell ref="G108:N108"/>
    <mergeCell ref="P108:AD108"/>
    <mergeCell ref="AE1:AR1"/>
    <mergeCell ref="P106:AD106"/>
    <mergeCell ref="AE106:AL106"/>
    <mergeCell ref="P10:AD10"/>
    <mergeCell ref="AE10:AL10"/>
    <mergeCell ref="AM10:BJ10"/>
    <mergeCell ref="P21:AD21"/>
    <mergeCell ref="AE21:AL21"/>
    <mergeCell ref="AM21:BJ21"/>
    <mergeCell ref="P22:AD22"/>
    <mergeCell ref="AE22:AL22"/>
    <mergeCell ref="P11:AD11"/>
    <mergeCell ref="AE11:AL11"/>
    <mergeCell ref="AM11:BJ11"/>
    <mergeCell ref="P12:AD12"/>
    <mergeCell ref="AE12:AL12"/>
    <mergeCell ref="P17:AD17"/>
    <mergeCell ref="AE17:AL17"/>
    <mergeCell ref="P14:AD14"/>
    <mergeCell ref="AE14:AL14"/>
    <mergeCell ref="AM14:BJ14"/>
    <mergeCell ref="P24:AD24"/>
    <mergeCell ref="AE24:AL24"/>
    <mergeCell ref="AM24:BJ24"/>
    <mergeCell ref="P25:AD25"/>
    <mergeCell ref="P28:AD28"/>
    <mergeCell ref="AE28:AL28"/>
    <mergeCell ref="AM28:BJ28"/>
    <mergeCell ref="AE25:AL25"/>
    <mergeCell ref="AM25:BJ25"/>
    <mergeCell ref="P23:AD23"/>
    <mergeCell ref="AE23:AL23"/>
    <mergeCell ref="AM23:BJ23"/>
    <mergeCell ref="B29:F29"/>
    <mergeCell ref="B30:F30"/>
    <mergeCell ref="B31:F31"/>
    <mergeCell ref="B32:F32"/>
    <mergeCell ref="B33:F33"/>
    <mergeCell ref="P112:AD112"/>
    <mergeCell ref="AE112:AL112"/>
    <mergeCell ref="AM110:BJ110"/>
    <mergeCell ref="B112:F112"/>
    <mergeCell ref="G112:N112"/>
    <mergeCell ref="P31:AD31"/>
    <mergeCell ref="AE31:AL31"/>
    <mergeCell ref="AM31:BJ31"/>
    <mergeCell ref="P32:AD32"/>
    <mergeCell ref="AE32:AL32"/>
    <mergeCell ref="AM32:BJ32"/>
    <mergeCell ref="P59:AD59"/>
    <mergeCell ref="P29:AD29"/>
    <mergeCell ref="AE29:AL29"/>
    <mergeCell ref="P33:AD33"/>
    <mergeCell ref="AE33:AL33"/>
    <mergeCell ref="AM33:BJ33"/>
    <mergeCell ref="AM29:BJ29"/>
    <mergeCell ref="P30:AD30"/>
    <mergeCell ref="AE30:AL30"/>
    <mergeCell ref="AM30:BJ30"/>
    <mergeCell ref="AM42:BJ42"/>
    <mergeCell ref="AE46:AL46"/>
    <mergeCell ref="P57:AD57"/>
    <mergeCell ref="AE57:AL57"/>
    <mergeCell ref="AM57:BJ57"/>
    <mergeCell ref="AE49:AL49"/>
    <mergeCell ref="P137:AD137"/>
    <mergeCell ref="AE137:AL137"/>
    <mergeCell ref="AM137:BJ137"/>
    <mergeCell ref="P138:AD138"/>
    <mergeCell ref="AE138:AL138"/>
    <mergeCell ref="AM138:BJ138"/>
    <mergeCell ref="P135:AD135"/>
    <mergeCell ref="P136:AD136"/>
    <mergeCell ref="AM136:BJ136"/>
    <mergeCell ref="P131:AD131"/>
    <mergeCell ref="AE131:AL131"/>
    <mergeCell ref="AM131:BJ131"/>
    <mergeCell ref="AE9:AL9"/>
    <mergeCell ref="P9:AD9"/>
    <mergeCell ref="AM8:BJ8"/>
    <mergeCell ref="AE8:AL8"/>
    <mergeCell ref="P8:AD8"/>
    <mergeCell ref="P20:AD20"/>
    <mergeCell ref="AE20:AL20"/>
    <mergeCell ref="AM20:BJ20"/>
    <mergeCell ref="P18:AD18"/>
    <mergeCell ref="AE18:AL18"/>
    <mergeCell ref="AM18:BJ18"/>
    <mergeCell ref="P19:AD19"/>
    <mergeCell ref="AE19:AL19"/>
    <mergeCell ref="AM19:BJ19"/>
    <mergeCell ref="P16:AD16"/>
    <mergeCell ref="AE16:AL16"/>
    <mergeCell ref="AM16:BJ16"/>
    <mergeCell ref="AM17:BJ17"/>
    <mergeCell ref="P13:AD13"/>
    <mergeCell ref="AE13:AL13"/>
    <mergeCell ref="AM13:BJ13"/>
    <mergeCell ref="P15:AD15"/>
    <mergeCell ref="AE15:AL15"/>
    <mergeCell ref="AM15:BJ15"/>
    <mergeCell ref="P26:AD26"/>
    <mergeCell ref="AE26:AL26"/>
    <mergeCell ref="AM26:BJ26"/>
    <mergeCell ref="P27:AD27"/>
    <mergeCell ref="AE27:AL27"/>
    <mergeCell ref="AM27:BJ27"/>
    <mergeCell ref="P35:AD35"/>
    <mergeCell ref="AE35:AL35"/>
    <mergeCell ref="AM35:BJ35"/>
    <mergeCell ref="P34:AD34"/>
    <mergeCell ref="AE34:AL34"/>
    <mergeCell ref="P56:AD56"/>
    <mergeCell ref="AE56:AL56"/>
    <mergeCell ref="AM56:BJ56"/>
    <mergeCell ref="P55:AD55"/>
    <mergeCell ref="AE55:AL55"/>
    <mergeCell ref="AM55:BJ55"/>
    <mergeCell ref="P52:AD52"/>
    <mergeCell ref="AE52:AL52"/>
    <mergeCell ref="AM52:BJ52"/>
    <mergeCell ref="P53:AD53"/>
    <mergeCell ref="AE53:AL53"/>
    <mergeCell ref="AM53:BJ53"/>
    <mergeCell ref="P54:AD54"/>
    <mergeCell ref="AE54:AL54"/>
    <mergeCell ref="AM54:BJ54"/>
    <mergeCell ref="P49:AD49"/>
    <mergeCell ref="AM49:BJ49"/>
    <mergeCell ref="AM46:BJ46"/>
    <mergeCell ref="P47:AD47"/>
    <mergeCell ref="P58:AD58"/>
    <mergeCell ref="AE58:AL58"/>
    <mergeCell ref="AM58:BJ58"/>
    <mergeCell ref="P36:AD36"/>
    <mergeCell ref="AE36:AL36"/>
    <mergeCell ref="AM36:BJ36"/>
    <mergeCell ref="P60:AD60"/>
    <mergeCell ref="AE60:AL60"/>
    <mergeCell ref="AM60:BJ60"/>
    <mergeCell ref="AE47:AL47"/>
    <mergeCell ref="AM47:BJ47"/>
    <mergeCell ref="P48:AD48"/>
    <mergeCell ref="AE48:AL48"/>
    <mergeCell ref="AM48:BJ48"/>
    <mergeCell ref="P43:AD43"/>
    <mergeCell ref="AE43:AL43"/>
    <mergeCell ref="AM43:BJ43"/>
    <mergeCell ref="P44:AD44"/>
    <mergeCell ref="AE44:AL44"/>
    <mergeCell ref="AM44:BJ44"/>
    <mergeCell ref="P45:AD45"/>
    <mergeCell ref="AE45:AL45"/>
    <mergeCell ref="AM45:BJ45"/>
    <mergeCell ref="P46:AD46"/>
    <mergeCell ref="AE59:AL59"/>
    <mergeCell ref="AM59:BJ59"/>
    <mergeCell ref="P50:AD50"/>
    <mergeCell ref="AE50:AL50"/>
    <mergeCell ref="AM50:BJ50"/>
    <mergeCell ref="P51:AD51"/>
    <mergeCell ref="P64:AD64"/>
    <mergeCell ref="AE64:AL64"/>
    <mergeCell ref="AM64:BJ64"/>
    <mergeCell ref="P65:AD65"/>
    <mergeCell ref="AE65:AL65"/>
    <mergeCell ref="AM65:BJ65"/>
    <mergeCell ref="P66:AD66"/>
    <mergeCell ref="AE66:AL66"/>
    <mergeCell ref="AM66:BJ66"/>
    <mergeCell ref="P67:AD67"/>
    <mergeCell ref="AE67:AL67"/>
    <mergeCell ref="AM67:BJ67"/>
    <mergeCell ref="P61:AD61"/>
    <mergeCell ref="AE61:AL61"/>
    <mergeCell ref="AM61:BJ61"/>
    <mergeCell ref="P37:AD37"/>
    <mergeCell ref="AE37:AL37"/>
    <mergeCell ref="AM37:BJ37"/>
    <mergeCell ref="P38:AD38"/>
    <mergeCell ref="AE38:AL38"/>
    <mergeCell ref="AM38:BJ38"/>
    <mergeCell ref="P39:AD39"/>
    <mergeCell ref="AE39:AL39"/>
    <mergeCell ref="AM39:BJ39"/>
    <mergeCell ref="P40:AD40"/>
    <mergeCell ref="AE40:AL40"/>
    <mergeCell ref="AM40:BJ40"/>
    <mergeCell ref="P41:AD41"/>
    <mergeCell ref="AE41:AL41"/>
    <mergeCell ref="AM41:BJ41"/>
    <mergeCell ref="P42:AD42"/>
    <mergeCell ref="AE42:AL42"/>
    <mergeCell ref="P81:AD81"/>
    <mergeCell ref="AE81:AL81"/>
    <mergeCell ref="AM81:BJ81"/>
    <mergeCell ref="P82:AD82"/>
    <mergeCell ref="AE82:AL82"/>
    <mergeCell ref="AM82:BJ82"/>
    <mergeCell ref="P83:AD83"/>
    <mergeCell ref="AE83:AL83"/>
    <mergeCell ref="AM83:BJ83"/>
    <mergeCell ref="AE68:AL68"/>
    <mergeCell ref="AM68:BJ68"/>
    <mergeCell ref="P79:AD79"/>
    <mergeCell ref="AE79:AL79"/>
    <mergeCell ref="AM79:BJ79"/>
    <mergeCell ref="P80:AD80"/>
    <mergeCell ref="AE80:AL80"/>
    <mergeCell ref="AM80:BJ80"/>
    <mergeCell ref="P71:AD71"/>
    <mergeCell ref="AE71:AL71"/>
    <mergeCell ref="AM71:BJ71"/>
    <mergeCell ref="P72:AD72"/>
    <mergeCell ref="AE72:AL72"/>
    <mergeCell ref="AM72:BJ72"/>
    <mergeCell ref="P69:AD69"/>
    <mergeCell ref="AE74:AL74"/>
    <mergeCell ref="AM74:BJ74"/>
    <mergeCell ref="P75:AD75"/>
    <mergeCell ref="AE75:AL75"/>
    <mergeCell ref="AM75:BJ75"/>
    <mergeCell ref="P76:AD76"/>
    <mergeCell ref="AE76:AL76"/>
    <mergeCell ref="P88:AD88"/>
    <mergeCell ref="AE88:AL88"/>
    <mergeCell ref="AM88:BJ88"/>
    <mergeCell ref="P89:AD89"/>
    <mergeCell ref="AE89:AL89"/>
    <mergeCell ref="AM89:BJ89"/>
    <mergeCell ref="P95:AD95"/>
    <mergeCell ref="AE95:AL95"/>
    <mergeCell ref="AM95:BJ95"/>
    <mergeCell ref="AE98:AL98"/>
    <mergeCell ref="AM98:BJ98"/>
    <mergeCell ref="AE91:AL91"/>
    <mergeCell ref="AM91:BJ91"/>
    <mergeCell ref="P92:AD92"/>
    <mergeCell ref="AE92:AL92"/>
    <mergeCell ref="AM92:BJ92"/>
    <mergeCell ref="AM94:BJ94"/>
    <mergeCell ref="AM102:BJ102"/>
    <mergeCell ref="P91:AD91"/>
    <mergeCell ref="P99:AD99"/>
    <mergeCell ref="AE99:AL99"/>
    <mergeCell ref="AM99:BJ99"/>
    <mergeCell ref="P96:AD96"/>
    <mergeCell ref="AE96:AL96"/>
    <mergeCell ref="AM96:BJ96"/>
    <mergeCell ref="P84:AD84"/>
    <mergeCell ref="AE84:AL84"/>
    <mergeCell ref="AE51:AL51"/>
    <mergeCell ref="AM51:BJ51"/>
    <mergeCell ref="AM69:BJ69"/>
    <mergeCell ref="P70:AD70"/>
    <mergeCell ref="AE70:AL70"/>
    <mergeCell ref="P68:AD68"/>
    <mergeCell ref="P73:AD73"/>
    <mergeCell ref="AE73:AL73"/>
    <mergeCell ref="AM73:BJ73"/>
    <mergeCell ref="P74:AD74"/>
    <mergeCell ref="P62:AD62"/>
    <mergeCell ref="AE62:AL62"/>
    <mergeCell ref="AM62:BJ62"/>
    <mergeCell ref="P63:AD63"/>
    <mergeCell ref="AE63:AL63"/>
    <mergeCell ref="AE69:AL69"/>
    <mergeCell ref="AM63:BJ63"/>
    <mergeCell ref="AM86:BJ86"/>
    <mergeCell ref="P87:AD87"/>
    <mergeCell ref="AM76:BJ76"/>
    <mergeCell ref="AE87:AL87"/>
    <mergeCell ref="AM87:BJ87"/>
    <mergeCell ref="AE161:AL161"/>
    <mergeCell ref="AM161:BJ161"/>
    <mergeCell ref="B166:F166"/>
    <mergeCell ref="G166:N166"/>
    <mergeCell ref="P166:AD166"/>
    <mergeCell ref="AE166:AL166"/>
    <mergeCell ref="AM166:BJ166"/>
    <mergeCell ref="AM170:BJ170"/>
    <mergeCell ref="AE171:AL171"/>
    <mergeCell ref="AM171:BJ171"/>
    <mergeCell ref="P77:AD77"/>
    <mergeCell ref="AE77:AL77"/>
    <mergeCell ref="AM77:BJ77"/>
    <mergeCell ref="B78:F78"/>
    <mergeCell ref="G78:N78"/>
    <mergeCell ref="P78:AD78"/>
    <mergeCell ref="AE78:AL78"/>
    <mergeCell ref="AM78:BJ78"/>
    <mergeCell ref="P103:AD103"/>
    <mergeCell ref="AE103:AL103"/>
    <mergeCell ref="AM103:BJ103"/>
    <mergeCell ref="P97:AD97"/>
    <mergeCell ref="AE97:AL97"/>
    <mergeCell ref="AM97:BJ97"/>
    <mergeCell ref="P100:AD100"/>
    <mergeCell ref="AE100:AL100"/>
    <mergeCell ref="AM100:BJ100"/>
    <mergeCell ref="P101:AD101"/>
    <mergeCell ref="AE101:AL101"/>
    <mergeCell ref="B155:F155"/>
    <mergeCell ref="G155:N155"/>
    <mergeCell ref="P155:AD155"/>
    <mergeCell ref="AE155:AL155"/>
    <mergeCell ref="AM155:BJ155"/>
    <mergeCell ref="B160:F160"/>
    <mergeCell ref="G160:N160"/>
    <mergeCell ref="P160:AD160"/>
    <mergeCell ref="AE160:AL160"/>
    <mergeCell ref="AM160:BJ160"/>
    <mergeCell ref="G156:N156"/>
    <mergeCell ref="P156:AD156"/>
    <mergeCell ref="AE157:AL157"/>
    <mergeCell ref="P98:AD98"/>
    <mergeCell ref="AM84:BJ84"/>
    <mergeCell ref="P93:AD93"/>
    <mergeCell ref="AE93:AL93"/>
    <mergeCell ref="AM93:BJ93"/>
    <mergeCell ref="P94:AD94"/>
    <mergeCell ref="AE94:AL94"/>
    <mergeCell ref="P90:AD90"/>
    <mergeCell ref="AE90:AL90"/>
    <mergeCell ref="AM90:BJ90"/>
    <mergeCell ref="P104:AD104"/>
    <mergeCell ref="AE104:AL104"/>
    <mergeCell ref="AM104:BJ104"/>
    <mergeCell ref="P85:AD85"/>
    <mergeCell ref="AE85:AL85"/>
    <mergeCell ref="AM85:BJ85"/>
    <mergeCell ref="P86:AD86"/>
    <mergeCell ref="AE86:AL86"/>
    <mergeCell ref="P158:AD158"/>
    <mergeCell ref="AM101:BJ101"/>
    <mergeCell ref="P102:AD102"/>
    <mergeCell ref="AE102:AL102"/>
    <mergeCell ref="G162:N162"/>
    <mergeCell ref="P162:AD162"/>
    <mergeCell ref="AE162:AL162"/>
    <mergeCell ref="AM162:BJ162"/>
    <mergeCell ref="B201:F201"/>
    <mergeCell ref="G201:N201"/>
    <mergeCell ref="P201:AD201"/>
    <mergeCell ref="AE201:AL201"/>
    <mergeCell ref="AM201:BJ201"/>
    <mergeCell ref="AE167:AL167"/>
    <mergeCell ref="AM167:BJ167"/>
    <mergeCell ref="AE168:AL168"/>
    <mergeCell ref="AM168:BJ168"/>
    <mergeCell ref="AE169:AL169"/>
    <mergeCell ref="AM169:BJ169"/>
    <mergeCell ref="B170:F170"/>
    <mergeCell ref="G170:N170"/>
    <mergeCell ref="P170:AD170"/>
    <mergeCell ref="AE170:AL170"/>
    <mergeCell ref="P175:AD175"/>
    <mergeCell ref="AE175:AL175"/>
    <mergeCell ref="AM175:BJ175"/>
    <mergeCell ref="B176:F176"/>
    <mergeCell ref="G176:N176"/>
    <mergeCell ref="P176:AD176"/>
    <mergeCell ref="AE176:AL176"/>
    <mergeCell ref="AM176:BJ176"/>
    <mergeCell ref="AE200:AL200"/>
    <mergeCell ref="B178:F178"/>
    <mergeCell ref="G178:N178"/>
    <mergeCell ref="P178:AD178"/>
    <mergeCell ref="P167:AD167"/>
    <mergeCell ref="B228:F228"/>
    <mergeCell ref="G228:N228"/>
    <mergeCell ref="P228:AD228"/>
    <mergeCell ref="AE228:AL228"/>
    <mergeCell ref="AM228:BJ228"/>
    <mergeCell ref="B229:F229"/>
    <mergeCell ref="G229:N229"/>
    <mergeCell ref="P229:AD229"/>
    <mergeCell ref="AE229:AL229"/>
    <mergeCell ref="AM229:BJ229"/>
    <mergeCell ref="AE202:AL202"/>
    <mergeCell ref="AM202:BJ202"/>
    <mergeCell ref="B204:F204"/>
    <mergeCell ref="G204:N204"/>
    <mergeCell ref="P204:AD204"/>
    <mergeCell ref="AE204:AL204"/>
    <mergeCell ref="AM204:BJ204"/>
    <mergeCell ref="B203:F203"/>
    <mergeCell ref="G203:N203"/>
    <mergeCell ref="P203:AD203"/>
    <mergeCell ref="AE203:AL203"/>
    <mergeCell ref="AM203:BJ203"/>
    <mergeCell ref="AM205:BJ205"/>
    <mergeCell ref="B220:F220"/>
    <mergeCell ref="G220:N220"/>
    <mergeCell ref="P220:AD220"/>
    <mergeCell ref="AE220:AL220"/>
    <mergeCell ref="B205:F205"/>
    <mergeCell ref="G205:N205"/>
    <mergeCell ref="P205:AD205"/>
    <mergeCell ref="AE205:AL205"/>
    <mergeCell ref="AM219:BJ219"/>
    <mergeCell ref="AM248:BJ248"/>
    <mergeCell ref="AE248:AL248"/>
    <mergeCell ref="P248:AD248"/>
    <mergeCell ref="G248:N248"/>
    <mergeCell ref="B248:F248"/>
    <mergeCell ref="B230:F230"/>
    <mergeCell ref="G230:N230"/>
    <mergeCell ref="P230:AD230"/>
    <mergeCell ref="AE230:AL230"/>
    <mergeCell ref="AM230:BJ230"/>
    <mergeCell ref="B231:F231"/>
    <mergeCell ref="G231:N231"/>
    <mergeCell ref="P231:AD231"/>
    <mergeCell ref="AE231:AL231"/>
    <mergeCell ref="AM231:BJ231"/>
    <mergeCell ref="B232:F232"/>
    <mergeCell ref="G232:N232"/>
    <mergeCell ref="P232:AD232"/>
    <mergeCell ref="AE232:AL232"/>
    <mergeCell ref="AM232:BJ232"/>
    <mergeCell ref="B233:F233"/>
    <mergeCell ref="G233:N233"/>
    <mergeCell ref="P233:AD233"/>
    <mergeCell ref="AE233:AL233"/>
    <mergeCell ref="AM233:BJ233"/>
    <mergeCell ref="B234:F234"/>
    <mergeCell ref="G234:N234"/>
    <mergeCell ref="P234:AD234"/>
    <mergeCell ref="AE234:AL234"/>
    <mergeCell ref="AM234:BJ234"/>
    <mergeCell ref="B235:F235"/>
    <mergeCell ref="G235:N235"/>
    <mergeCell ref="P235:AD235"/>
    <mergeCell ref="AE235:AL235"/>
    <mergeCell ref="AM235:BJ235"/>
    <mergeCell ref="B236:F236"/>
    <mergeCell ref="G236:N236"/>
    <mergeCell ref="P236:AD236"/>
    <mergeCell ref="AE236:AL236"/>
    <mergeCell ref="AM236:BJ236"/>
    <mergeCell ref="B237:F237"/>
    <mergeCell ref="G237:N237"/>
    <mergeCell ref="P237:AD237"/>
    <mergeCell ref="AE237:AL237"/>
    <mergeCell ref="AM237:BJ237"/>
    <mergeCell ref="B238:F238"/>
    <mergeCell ref="G238:N238"/>
    <mergeCell ref="P238:AD238"/>
    <mergeCell ref="AE238:AL238"/>
    <mergeCell ref="AM238:BJ238"/>
    <mergeCell ref="B239:F239"/>
    <mergeCell ref="G239:N239"/>
    <mergeCell ref="P239:AD239"/>
    <mergeCell ref="AE239:AL239"/>
    <mergeCell ref="AM239:BJ239"/>
    <mergeCell ref="B240:F240"/>
    <mergeCell ref="G240:N240"/>
    <mergeCell ref="P240:AD240"/>
    <mergeCell ref="AE240:AL240"/>
    <mergeCell ref="AM240:BJ240"/>
    <mergeCell ref="B241:F241"/>
    <mergeCell ref="G241:N241"/>
    <mergeCell ref="P241:AD241"/>
    <mergeCell ref="AE241:AL241"/>
    <mergeCell ref="AM241:BJ241"/>
    <mergeCell ref="B242:F242"/>
    <mergeCell ref="G242:N242"/>
    <mergeCell ref="P242:AD242"/>
    <mergeCell ref="AE242:AL242"/>
    <mergeCell ref="AM242:BJ242"/>
    <mergeCell ref="P246:AD246"/>
    <mergeCell ref="AE246:AL246"/>
    <mergeCell ref="AM246:BJ246"/>
    <mergeCell ref="B243:F243"/>
    <mergeCell ref="G243:N243"/>
    <mergeCell ref="P243:AD243"/>
    <mergeCell ref="AE243:AL243"/>
    <mergeCell ref="AM243:BJ243"/>
    <mergeCell ref="B244:F244"/>
    <mergeCell ref="G244:N244"/>
    <mergeCell ref="P244:AD244"/>
    <mergeCell ref="AE244:AL244"/>
    <mergeCell ref="AM244:BJ244"/>
    <mergeCell ref="B247:F247"/>
    <mergeCell ref="G247:N247"/>
    <mergeCell ref="P247:AD247"/>
    <mergeCell ref="AE247:AL247"/>
    <mergeCell ref="AM247:BJ247"/>
    <mergeCell ref="B245:F245"/>
    <mergeCell ref="G245:N245"/>
    <mergeCell ref="P245:AD245"/>
    <mergeCell ref="AE245:AL245"/>
    <mergeCell ref="AM245:BJ245"/>
    <mergeCell ref="B246:F246"/>
    <mergeCell ref="G246:N246"/>
  </mergeCells>
  <phoneticPr fontId="9"/>
  <conditionalFormatting sqref="B110:F112 B108:N109 G7:N7 G110:N152 G9:N19 G21:N72 G80:N106 B174:N177 B160:N160 B168:N171 B179:N202 B207:N211 B244:N244">
    <cfRule type="expression" dxfId="74" priority="185">
      <formula>B6=B7</formula>
    </cfRule>
  </conditionalFormatting>
  <conditionalFormatting sqref="O2:AD2">
    <cfRule type="expression" dxfId="73" priority="179">
      <formula>$O$2=""</formula>
    </cfRule>
  </conditionalFormatting>
  <conditionalFormatting sqref="B164:N164">
    <cfRule type="expression" dxfId="72" priority="140">
      <formula>#REF!=B164</formula>
    </cfRule>
  </conditionalFormatting>
  <conditionalFormatting sqref="G205:N205">
    <cfRule type="expression" dxfId="71" priority="145">
      <formula>#REF!=G205</formula>
    </cfRule>
  </conditionalFormatting>
  <conditionalFormatting sqref="G157:N157">
    <cfRule type="expression" dxfId="70" priority="187">
      <formula>#REF!=G157</formula>
    </cfRule>
  </conditionalFormatting>
  <conditionalFormatting sqref="B157:F157">
    <cfRule type="expression" dxfId="69" priority="142">
      <formula>#REF!=B157</formula>
    </cfRule>
  </conditionalFormatting>
  <conditionalFormatting sqref="B219:N219">
    <cfRule type="expression" dxfId="68" priority="134">
      <formula>B205=B219</formula>
    </cfRule>
  </conditionalFormatting>
  <conditionalFormatting sqref="B205:F205">
    <cfRule type="expression" dxfId="67" priority="135">
      <formula>#REF!=B205</formula>
    </cfRule>
  </conditionalFormatting>
  <conditionalFormatting sqref="B119:F152 B10:F19 B22:F72 B81:F106 B167:N167 B204:N204">
    <cfRule type="expression" dxfId="66" priority="188">
      <formula>B8=B10</formula>
    </cfRule>
  </conditionalFormatting>
  <conditionalFormatting sqref="B220:F220">
    <cfRule type="expression" dxfId="65" priority="130">
      <formula>B219=B220</formula>
    </cfRule>
  </conditionalFormatting>
  <conditionalFormatting sqref="G220:N220">
    <cfRule type="expression" dxfId="64" priority="131">
      <formula>G219=G220</formula>
    </cfRule>
  </conditionalFormatting>
  <conditionalFormatting sqref="G158:N158">
    <cfRule type="expression" dxfId="63" priority="128">
      <formula>G157=G158</formula>
    </cfRule>
  </conditionalFormatting>
  <conditionalFormatting sqref="B158:F158">
    <cfRule type="expression" dxfId="62" priority="127">
      <formula>B157=B158</formula>
    </cfRule>
  </conditionalFormatting>
  <conditionalFormatting sqref="G156:N156 B247:N247">
    <cfRule type="expression" dxfId="61" priority="113">
      <formula>B153=B156</formula>
    </cfRule>
  </conditionalFormatting>
  <conditionalFormatting sqref="B156:F156">
    <cfRule type="expression" dxfId="60" priority="112">
      <formula>B153=B156</formula>
    </cfRule>
  </conditionalFormatting>
  <conditionalFormatting sqref="B153:N153">
    <cfRule type="expression" dxfId="59" priority="189">
      <formula>#REF!=B153</formula>
    </cfRule>
  </conditionalFormatting>
  <conditionalFormatting sqref="B113:F113">
    <cfRule type="expression" dxfId="58" priority="105">
      <formula>B111=B113</formula>
    </cfRule>
  </conditionalFormatting>
  <conditionalFormatting sqref="B114:F118">
    <cfRule type="expression" dxfId="57" priority="104">
      <formula>B112=B114</formula>
    </cfRule>
  </conditionalFormatting>
  <conditionalFormatting sqref="B7:F7">
    <cfRule type="expression" dxfId="56" priority="69">
      <formula>B106=B7</formula>
    </cfRule>
  </conditionalFormatting>
  <conditionalFormatting sqref="G159:N159">
    <cfRule type="expression" dxfId="55" priority="67">
      <formula>G158=G159</formula>
    </cfRule>
  </conditionalFormatting>
  <conditionalFormatting sqref="B159:F159">
    <cfRule type="expression" dxfId="54" priority="66">
      <formula>B158=B159</formula>
    </cfRule>
  </conditionalFormatting>
  <conditionalFormatting sqref="G163:N163">
    <cfRule type="expression" dxfId="53" priority="65">
      <formula>G159=G163</formula>
    </cfRule>
  </conditionalFormatting>
  <conditionalFormatting sqref="B163:F163">
    <cfRule type="expression" dxfId="52" priority="64">
      <formula>B159=B163</formula>
    </cfRule>
  </conditionalFormatting>
  <conditionalFormatting sqref="G165:N165">
    <cfRule type="expression" dxfId="51" priority="62">
      <formula>G164=G165</formula>
    </cfRule>
  </conditionalFormatting>
  <conditionalFormatting sqref="B165:F165">
    <cfRule type="expression" dxfId="50" priority="61">
      <formula>B164=B165</formula>
    </cfRule>
  </conditionalFormatting>
  <conditionalFormatting sqref="B6:N6">
    <cfRule type="expression" dxfId="49" priority="58">
      <formula>B3=B6</formula>
    </cfRule>
  </conditionalFormatting>
  <conditionalFormatting sqref="G107:N107">
    <cfRule type="expression" dxfId="48" priority="57">
      <formula>G7=G107</formula>
    </cfRule>
  </conditionalFormatting>
  <conditionalFormatting sqref="B107:F107">
    <cfRule type="expression" dxfId="47" priority="54">
      <formula>B7=B107</formula>
    </cfRule>
  </conditionalFormatting>
  <conditionalFormatting sqref="B20:F21">
    <cfRule type="expression" dxfId="46" priority="192">
      <formula>B18=B20</formula>
    </cfRule>
  </conditionalFormatting>
  <conditionalFormatting sqref="G20:N20">
    <cfRule type="expression" dxfId="45" priority="196">
      <formula>G19=G20</formula>
    </cfRule>
  </conditionalFormatting>
  <conditionalFormatting sqref="B8:F9">
    <cfRule type="expression" dxfId="44" priority="197">
      <formula>B151=B8</formula>
    </cfRule>
  </conditionalFormatting>
  <conditionalFormatting sqref="G8:N8">
    <cfRule type="expression" dxfId="43" priority="198">
      <formula>G152=G8</formula>
    </cfRule>
  </conditionalFormatting>
  <conditionalFormatting sqref="G154:N154">
    <cfRule type="expression" dxfId="42" priority="51">
      <formula>G153=G154</formula>
    </cfRule>
  </conditionalFormatting>
  <conditionalFormatting sqref="B154:F154">
    <cfRule type="expression" dxfId="41" priority="50">
      <formula>B153=B154</formula>
    </cfRule>
  </conditionalFormatting>
  <conditionalFormatting sqref="G79:N79 B178:N178">
    <cfRule type="expression" dxfId="40" priority="200">
      <formula>B72=B79</formula>
    </cfRule>
  </conditionalFormatting>
  <conditionalFormatting sqref="B79:F80">
    <cfRule type="expression" dxfId="39" priority="203">
      <formula>B71=B79</formula>
    </cfRule>
  </conditionalFormatting>
  <conditionalFormatting sqref="G73:N78">
    <cfRule type="expression" dxfId="38" priority="48">
      <formula>G72=G73</formula>
    </cfRule>
  </conditionalFormatting>
  <conditionalFormatting sqref="B73:F78">
    <cfRule type="expression" dxfId="37" priority="49">
      <formula>B71=B73</formula>
    </cfRule>
  </conditionalFormatting>
  <conditionalFormatting sqref="B173:N173">
    <cfRule type="expression" dxfId="36" priority="45">
      <formula>B172=B173</formula>
    </cfRule>
  </conditionalFormatting>
  <conditionalFormatting sqref="B172:N172">
    <cfRule type="expression" dxfId="35" priority="205">
      <formula>B200=B172</formula>
    </cfRule>
  </conditionalFormatting>
  <conditionalFormatting sqref="G155:N155">
    <cfRule type="expression" dxfId="34" priority="44">
      <formula>G154=G155</formula>
    </cfRule>
  </conditionalFormatting>
  <conditionalFormatting sqref="B155:F155">
    <cfRule type="expression" dxfId="33" priority="43">
      <formula>B154=B155</formula>
    </cfRule>
  </conditionalFormatting>
  <conditionalFormatting sqref="G166:N166">
    <cfRule type="expression" dxfId="32" priority="40">
      <formula>G165=G166</formula>
    </cfRule>
  </conditionalFormatting>
  <conditionalFormatting sqref="B166:F166">
    <cfRule type="expression" dxfId="31" priority="39">
      <formula>B165=B166</formula>
    </cfRule>
  </conditionalFormatting>
  <conditionalFormatting sqref="B203:N203">
    <cfRule type="expression" dxfId="30" priority="37">
      <formula>B202=B203</formula>
    </cfRule>
  </conditionalFormatting>
  <conditionalFormatting sqref="B206:F206">
    <cfRule type="expression" dxfId="29" priority="33">
      <formula>B205=B206</formula>
    </cfRule>
  </conditionalFormatting>
  <conditionalFormatting sqref="G206:N206">
    <cfRule type="expression" dxfId="28" priority="34">
      <formula>G205=G206</formula>
    </cfRule>
  </conditionalFormatting>
  <conditionalFormatting sqref="B218:F218">
    <cfRule type="expression" dxfId="27" priority="31">
      <formula>B206=B218</formula>
    </cfRule>
  </conditionalFormatting>
  <conditionalFormatting sqref="G218:N218">
    <cfRule type="expression" dxfId="26" priority="32">
      <formula>G206=G218</formula>
    </cfRule>
  </conditionalFormatting>
  <conditionalFormatting sqref="B213:F216">
    <cfRule type="expression" dxfId="25" priority="27">
      <formula>B212=B213</formula>
    </cfRule>
  </conditionalFormatting>
  <conditionalFormatting sqref="G213:N216">
    <cfRule type="expression" dxfId="24" priority="28">
      <formula>G212=G213</formula>
    </cfRule>
  </conditionalFormatting>
  <conditionalFormatting sqref="B221:F227">
    <cfRule type="expression" dxfId="23" priority="25">
      <formula>B220=B221</formula>
    </cfRule>
  </conditionalFormatting>
  <conditionalFormatting sqref="G221:N227">
    <cfRule type="expression" dxfId="22" priority="26">
      <formula>G220=G221</formula>
    </cfRule>
  </conditionalFormatting>
  <conditionalFormatting sqref="B217:F217">
    <cfRule type="expression" dxfId="21" priority="23">
      <formula>B216=B217</formula>
    </cfRule>
  </conditionalFormatting>
  <conditionalFormatting sqref="G217:N217">
    <cfRule type="expression" dxfId="20" priority="24">
      <formula>G216=G217</formula>
    </cfRule>
  </conditionalFormatting>
  <conditionalFormatting sqref="B161:N161">
    <cfRule type="expression" dxfId="19" priority="22">
      <formula>B160=B161</formula>
    </cfRule>
  </conditionalFormatting>
  <conditionalFormatting sqref="B162:N162">
    <cfRule type="expression" dxfId="18" priority="21">
      <formula>B161=B162</formula>
    </cfRule>
  </conditionalFormatting>
  <conditionalFormatting sqref="B212:N212">
    <cfRule type="expression" dxfId="17" priority="20">
      <formula>B211=B212</formula>
    </cfRule>
  </conditionalFormatting>
  <conditionalFormatting sqref="B228:F228">
    <cfRule type="expression" dxfId="16" priority="18">
      <formula>B227=B228</formula>
    </cfRule>
  </conditionalFormatting>
  <conditionalFormatting sqref="G228:N228">
    <cfRule type="expression" dxfId="15" priority="19">
      <formula>G227=G228</formula>
    </cfRule>
  </conditionalFormatting>
  <conditionalFormatting sqref="B229:F229">
    <cfRule type="expression" dxfId="14" priority="16">
      <formula>B228=B229</formula>
    </cfRule>
  </conditionalFormatting>
  <conditionalFormatting sqref="G229:N229">
    <cfRule type="expression" dxfId="13" priority="17">
      <formula>G228=G229</formula>
    </cfRule>
  </conditionalFormatting>
  <conditionalFormatting sqref="B248:F248">
    <cfRule type="expression" dxfId="12" priority="14">
      <formula>B229=B248</formula>
    </cfRule>
  </conditionalFormatting>
  <conditionalFormatting sqref="G248:N248">
    <cfRule type="expression" dxfId="11" priority="15">
      <formula>G229=G248</formula>
    </cfRule>
  </conditionalFormatting>
  <conditionalFormatting sqref="B230:F230">
    <cfRule type="expression" dxfId="10" priority="12">
      <formula>B229=B230</formula>
    </cfRule>
  </conditionalFormatting>
  <conditionalFormatting sqref="G230:N230">
    <cfRule type="expression" dxfId="9" priority="13">
      <formula>G229=G230</formula>
    </cfRule>
  </conditionalFormatting>
  <conditionalFormatting sqref="B231:F231">
    <cfRule type="expression" dxfId="8" priority="10">
      <formula>B230=B231</formula>
    </cfRule>
  </conditionalFormatting>
  <conditionalFormatting sqref="G231:N231">
    <cfRule type="expression" dxfId="7" priority="11">
      <formula>G230=G231</formula>
    </cfRule>
  </conditionalFormatting>
  <conditionalFormatting sqref="B232:F237">
    <cfRule type="expression" dxfId="6" priority="8">
      <formula>B231=B232</formula>
    </cfRule>
  </conditionalFormatting>
  <conditionalFormatting sqref="G232:N237">
    <cfRule type="expression" dxfId="5" priority="9">
      <formula>G231=G232</formula>
    </cfRule>
  </conditionalFormatting>
  <conditionalFormatting sqref="B238:F243">
    <cfRule type="expression" dxfId="4" priority="6">
      <formula>B237=B238</formula>
    </cfRule>
  </conditionalFormatting>
  <conditionalFormatting sqref="G238:N243">
    <cfRule type="expression" dxfId="3" priority="7">
      <formula>G237=G238</formula>
    </cfRule>
  </conditionalFormatting>
  <conditionalFormatting sqref="B246:N246">
    <cfRule type="expression" dxfId="2" priority="3">
      <formula>B245=B246</formula>
    </cfRule>
  </conditionalFormatting>
  <conditionalFormatting sqref="B245:F245">
    <cfRule type="expression" dxfId="1" priority="1">
      <formula>B244=B245</formula>
    </cfRule>
  </conditionalFormatting>
  <conditionalFormatting sqref="G245:N245">
    <cfRule type="expression" dxfId="0" priority="2">
      <formula>G244=G245</formula>
    </cfRule>
  </conditionalFormatting>
  <hyperlinks>
    <hyperlink ref="P107" location="処理対象患者基本データ_DPC!A1" display="処理対象患者基本データ_DPC"/>
    <hyperlink ref="P107" location="バックアップ_DPC調査データ_Dファイル!A1" display="バックアップ_DPC調査データ_Dファイル"/>
    <hyperlink ref="P108" location="処理対象患者基本データ_DPC!A1" display="処理対象患者基本データ_DPC"/>
    <hyperlink ref="P108" location="バックアップ_DPC調査データ_入院EF統合ファイル!A1" display="バックアップ_DPC調査データ_入院EF統合ファイル"/>
    <hyperlink ref="P109" location="バックアップ_DPC調査データ_外来EF統合ファイル!A1" display="バックアップ_DPC調査データ_外来EF統合ファイル"/>
    <hyperlink ref="P110" location="バックアップ_DPC調査データ_Hファイル!A1" display="バックアップ_DPC調査データ_Hファイル"/>
    <hyperlink ref="P111:AD111" location="バックアップ_DPC調査データ_様式1!A1" display="バックアップ_DPC調査データ_様式1"/>
    <hyperlink ref="P112:AD112" location="バックアップ_DPC調査データ_様式1_診断情報_併存症!A1" display="バックアップ_DPC調査データ_様式1_診断情報_併存症"/>
    <hyperlink ref="P153:AD153" location="組入れ_対象施設!A1" display="組入れ_対象施設"/>
    <hyperlink ref="P157:AD157" location="患者ID一覧マスタ!A1" display="患者ID一覧マスタ"/>
    <hyperlink ref="P158:AD158" location="施設マスタ!A1" display="施設マスタ"/>
    <hyperlink ref="P156:AD156" location="組入れ_対象患者!A1" display="組入れ_対象患者"/>
    <hyperlink ref="P113:AD113" location="バックアップ_DPC調査データ_様式1_診断情報_続発症!A1" display="バックアップ_DPC調査データ_様式1_診断情報_続発症"/>
    <hyperlink ref="P114:AD114" location="バックアップ_医科レセプト_医療機関情報レコード!A1" display="バックアップ_医科レセプト_医療機関情報レコード"/>
    <hyperlink ref="P115:AD115" location="バックアップ_医科レセプト_レセプト共通レコード!A1" display="バックアップ_医科レセプト_レセプト共通レコード"/>
    <hyperlink ref="P116:AD116" location="バックアップ_医科レセプト_傷病名レコード!A1" display="バックアップ_医科レセプト_傷病名レコード"/>
    <hyperlink ref="P117:AD117" location="バックアップ_医科レセプト_診療行為レコード!A1" display="バックアップ_医科レセプト_診療行為レコード"/>
    <hyperlink ref="P118:AD118" location="バックアップ_医科レセプト_診療行為レコード_算定日情報!A1" display="バックアップ_医科レセプト_診療行為レコード_算定日情報"/>
    <hyperlink ref="P119:AD119" location="バックアップ_医科レセプト_医薬品レコード!A1" display="バックアップ_医科レセプト_医薬品レコード"/>
    <hyperlink ref="P120:AD120" location="バックアップ_医科レセプト_医薬品レコード_算定日情報!A1" display="バックアップ_医科レセプト_医薬品レコード_算定日情報"/>
    <hyperlink ref="P121:AD121" location="バックアップ_医科レセプト_臓器提供者レセプト情報レコード!A1" display="バックアップ_医科レセプト_臓器提供者レセプト情報レコード"/>
    <hyperlink ref="P122:AD122" location="バックアップ_DPCレセプト_医療機関情報レコード!A1" display="バックアップ_DPCレセプト_医療機関情報レコード"/>
    <hyperlink ref="P123:AD123" location="バックアップ_DPCレセプト_レセプト共通レコード!A1" display="バックアップ_DPCレセプト_レセプト共通レコード"/>
    <hyperlink ref="P124:AD124" location="バックアップ_DPCレセプト_診断群分類レコード!A1" display="バックアップ_DPCレセプト_診断群分類レコード"/>
    <hyperlink ref="P125:AD125" location="バックアップ_DPCレセプト_傷病レコード!A1" display="バックアップ_DPCレセプト_傷病レコード"/>
    <hyperlink ref="P126:AD126" location="バックアップ_DPCレセプト_傷病名レコード!A1" display="バックアップ_DPCレセプト_傷病名レコード"/>
    <hyperlink ref="P127:AD127" location="バックアップ_DPCレセプト_診療行為レコード!A1" display="バックアップ_DPCレセプト_診療行為レコード"/>
    <hyperlink ref="P128:AD128" location="バックアップ_DPCレセプト_診療行為レコード_算定日情報!A1" display="バックアップ_DPCレセプト_診療行為レコード_算定日情報"/>
    <hyperlink ref="P129:AD129" location="バックアップ_DPCレセプト_医薬品レコード!A1" display="バックアップ_DPCレセプト_医薬品レコード"/>
    <hyperlink ref="P130:AD130" location="バックアップ_DPCレセプト_医薬品レコード_算定日情報!A1" display="バックアップ_DPCレセプト_医薬品レコード_算定日情報"/>
    <hyperlink ref="P131:AD131" location="バックアップ_DPCレセプト_臓器提供者レセプト情報レコード!A1" display="バックアップ_DPCレセプト_臓器提供者レセプト情報レコード"/>
    <hyperlink ref="P132:AD132" location="バックアップ_患者情報モジュール_患者情報!A1" display="バックアップ_患者情報モジュール_患者情報"/>
    <hyperlink ref="P133:AD133" location="バックアップ_診断履歴情報モジュール_診断履歴情報レコード!A1" display="バックアップ_診断履歴情報モジュール_診断履歴情報レコード"/>
    <hyperlink ref="P134:AD134" location="バックアップ_診断履歴情報モジュール_診断病名レコード!A1" display="バックアップ_診断履歴情報モジュール_診断病名レコード"/>
    <hyperlink ref="P135:AD135" location="バックアップ_診断履歴情報モジュール_診断分類レコード!A1" display="バックアップ_診断履歴情報モジュール_診断分類レコード"/>
    <hyperlink ref="P136:AD136" location="バックアップ_経過記録情報モジュール_経過記録情報レコード!A1" display="バックアップ_経過記録情報モジュール_経過記録情報レコード"/>
    <hyperlink ref="P137:AD137" location="バックアップ_経過記録情報モジュール_プロブレムレコード!A1" display="バックアップ_経過記録情報モジュール_プロブレムレコード"/>
    <hyperlink ref="P138:AD138" location="バックアップ_経過記録情報モジュール_身体所見レコード!A1" display="バックアップ_経過記録情報モジュール_身体所見レコード"/>
    <hyperlink ref="P139:AD139" location="バックアップ_経過記録情報モジュール_アセスメントレコード!A1" display="バックアップ_経過記録情報モジュール_アセスメントレコード"/>
    <hyperlink ref="P140:AD140" location="バックアップ_経過記録情報モジュール_外部参照レコード!A1" display="バックアップ_経過記録情報モジュール_外部参照レコード"/>
    <hyperlink ref="P141:AD141" location="バックアップ_臨床サマリーモジュール_臨床サマリー情報レコード!A1" display="バックアップ_臨床サマリーモジュール_臨床サマリー情報レコード"/>
    <hyperlink ref="P142:AD142" location="バックアップ_臨床サマリーモジュール_外来受診レコード!A1" display="バックアップ_臨床サマリーモジュール_外来受診レコード"/>
    <hyperlink ref="P143:AD143" location="バックアップ_臨床サマリーモジュール_入院レコード!A1" display="バックアップ_臨床サマリーモジュール_入院レコード"/>
    <hyperlink ref="P144:AD144" location="バックアップ_臨床サマリーモジュール_経過記録レコード!A1" display="バックアップ_臨床サマリーモジュール_経過記録レコード"/>
    <hyperlink ref="P145:AD145" location="バックアップ_臨床サマリーモジュール_検査結果レコード!A1" display="バックアップ_臨床サマリーモジュール_検査結果レコード"/>
    <hyperlink ref="P146:AD146" location="バックアップ_検歴情報モジュール_検歴情報!A1" display="バックアップ_検歴情報モジュール_検歴情報"/>
    <hyperlink ref="P147:AD147" location="バックアップ_検歴情報モジュール_検歴検体材料!A1" display="バックアップ_検歴情報モジュール_検歴検体材料"/>
    <hyperlink ref="P148:AD148" location="バックアップ_検歴情報モジュール_検歴項目情報!A1" display="バックアップ_検歴情報モジュール_検歴項目情報"/>
    <hyperlink ref="P149:AD149" location="バックアップ_バイタルサインモジュール_バイタルサイン!A1" display="バックアップ_バイタルサインモジュール_バイタルサイン"/>
    <hyperlink ref="P150:AD150" location="バックアップ_バイタルサインモジュール_記録項目!A1" display="バックアップ_バイタルサインモジュール_記録項目"/>
    <hyperlink ref="P151:AD151" location="バックアップ_体温表モジュール_バイタルサイン!A1" display="バックアップ_体温表モジュール_バイタルサイン"/>
    <hyperlink ref="P152:AD152" location="バックアップ_体温表モジュール_記録項目!A1" display="バックアップ_体温表モジュール_記録項目"/>
    <hyperlink ref="P8:AD8" location="バックアップ_処方データ!A1" display="バックアップ_処方データ"/>
    <hyperlink ref="P9:AD9" location="バックアップ_診療行為データ!A1" display="バックアップ_診療行為データ"/>
    <hyperlink ref="P10:AD10" location="バックアップ_疾患データ!A1" display="バックアップ_疾患データ"/>
    <hyperlink ref="P11:AD11" location="バックアップ_疾患診療科データ!A1" display="バックアップ_疾患診療科データ"/>
    <hyperlink ref="P12:AD12" location="バックアップ_入院退院データ!A1" display="バックアップ_入院退院データ"/>
    <hyperlink ref="P13:AD13" location="バックアップ_二次利用DB登録患者データ!A1" display="バックアップ_二次利用DB登録患者データ"/>
    <hyperlink ref="P14:AD14" location="バックアップ_二次利用DB登録患者データ_DPC!A1" display="バックアップ_二次利用DB登録患者データ_DPC"/>
    <hyperlink ref="P15:AD15" location="バックアップ_二次利用DB登録患者データ_レセプト!A1" display="バックアップ_二次利用DB登録患者データ_レセプト"/>
    <hyperlink ref="P16:AD16" location="バックアップ_二次利用DB登録患者データ_MML!A1" display="バックアップ_二次利用DB登録患者データ_MML"/>
    <hyperlink ref="P17:AD17" location="バックアップ_二次利用DB登録患者紐付けデータ!A1" display="バックアップ_二次利用DB登録患者紐付けデータ"/>
    <hyperlink ref="P18:AD18" location="バックアップ_エラー患者データ!A1" display="バックアップ_エラー患者データ"/>
    <hyperlink ref="P19:AD19" location="バックアップ_患者基本データ!A1" display="バックアップ_患者基本データ"/>
    <hyperlink ref="P20:AD20" location="バックアップ_施設属性マスタ取込用!A1" display="バックアップ_施設属性マスタ取込用"/>
    <hyperlink ref="P21:AD21" location="バックアップ_二次医療圏マスタ取込用!A1" display="バックアップ_二次医療圏マスタ取込用"/>
    <hyperlink ref="P22:AD22" location="バックアップ_新旧医薬品コードマスタ取込用!A1" display="バックアップ_新旧医薬品コードマスタ取込用"/>
    <hyperlink ref="P23:AD23" location="バックアップ_DPC6ICD10対応表マスタ取込用!A1" display="バックアップ_DPC6ICD10対応表マスタ取込用"/>
    <hyperlink ref="P24:AD24" location="バックアップ_修飾語マスタ取込用!A1" display="バックアップ_修飾語マスタ取込用"/>
    <hyperlink ref="P25:AD25" location="バックアップ_コメントマスタ取込用!A1" display="バックアップ_コメントマスタ取込用"/>
    <hyperlink ref="P26:AD26" location="バックアップ_成分量マスタ取込用!A1" display="バックアップ_成分量マスタ取込用"/>
    <hyperlink ref="P27:AD27" location="バックアップ_成分名マスタ取込用!A1" display="バックアップ_成分名マスタ取込用"/>
    <hyperlink ref="P28:AD28" location="バックアップ_単位マスタ取込用!A1" display="バックアップ_単位マスタ取込用"/>
    <hyperlink ref="P29:AD29" location="バックアップ_適応病名レセ病名組み合わせ関係リンクマスタ取込用!A1" display="バックアップ_適応病名レセ病名組み合わせ関係リンクマスタ取込用"/>
    <hyperlink ref="P31:AD31" location="バックアップ_適用病名マスタ取込用!A1" display="バックアップ_適用病名マスタ取込用"/>
    <hyperlink ref="P32:AD32" location="バックアップ_ＹＪコード医薬品コードリンクマスタ取込用!A1" display="バックアップ_ＹＪコード医薬品コードリンクマスタ取込用"/>
    <hyperlink ref="P33:AD33" location="バックアップ_診療行為付加情報マスタ取込用!A1" display="バックアップ_診療行為付加情報マスタ取込用"/>
    <hyperlink ref="P34:AD34" location="バックアップ_処理対象施設マスタ!A1" display="バックアップ_処理対象施設マスタ"/>
    <hyperlink ref="P35:AD35" location="バックアップ_処理対象施設マスタ管理!A1" display="バックアップ_処理対象施設マスタ管理"/>
    <hyperlink ref="P56:AD56" location="バックアップ_年度マスタ!A1" display="バックアップ_年度マスタ"/>
    <hyperlink ref="P57:AD57" location="バックアップ_都道府県地方コードマスタ!A1" display="バックアップ_都道府県地方コードマスタ"/>
    <hyperlink ref="P58:AD58" location="バックアップ_施設属性マスタ!A1" display="バックアップ_施設属性マスタ"/>
    <hyperlink ref="P59:AD59" location="バックアップ_二次医療圏マスタ!A1" display="バックアップ_二次医療圏マスタ"/>
    <hyperlink ref="P60:AD60" location="バックアップ_施設ID対応マスタ!A1" display="バックアップ_施設ID対応マスタ"/>
    <hyperlink ref="P30:AD30" location="BK_適応病名レセ病名組み合わせ関係リンク親子マスタ取込用!A1" display="バックアップ__適応病名レセ病名組み合わせ関係リンク親子マスタ取込用"/>
    <hyperlink ref="P61:AD61" location="バックアップ_医薬品関連マスタ!A1" display="バックアップ_医薬品関連マスタ"/>
    <hyperlink ref="P62:AD62" location="バックアップ_薬価関連マスタ!A1" display="バックアップ_薬価関連マスタ"/>
    <hyperlink ref="P63:AD63" location="バックアップ_診療行為関連マスタ!A1" display="バックアップ_診療行為関連マスタ"/>
    <hyperlink ref="P64:AD64" location="バックアップ_特定器材関連マスタ!A1" display="バックアップ_特定器材関連マスタ"/>
    <hyperlink ref="P65:AD65" location="バックアップ_DPC関連マスタ!A1" display="バックアップ_DPC関連マスタ"/>
    <hyperlink ref="P66:AD66" location="バックアップ_疾患関連マスタ!A1" display="バックアップ_疾患関連マスタ"/>
    <hyperlink ref="P67:AD67" location="バックアップ_医薬品成分関連マスタ!A1" display="バックアップ_医薬品成分関連マスタ"/>
    <hyperlink ref="P68:AD68" location="バックアップ_医薬品適用病名関連マスタ!A1" display="バックアップ_医薬品適用病名関連マスタ"/>
    <hyperlink ref="P69:AD69" location="バックアップ_MML共通!A1" display="バックアップ_MML共通"/>
    <hyperlink ref="P71:AD71" location="バックアップ_MML_診断履歴情報モジュール_病名!A1" display="バックアップ_MML_診断履歴情報モジュール_病名"/>
    <hyperlink ref="P72:AD72" location="バックアップ_MML_診断履歴情報モジュール_カテゴリ名!A1" display="バックアップ_MML_診断履歴情報モジュール_カテゴリ名"/>
    <hyperlink ref="P79:AD79" location="バックアップ_MML_処方箋モジュール_本文!A1" display="バックアップ_MML_処方箋モジュール_本文"/>
    <hyperlink ref="P80:AD80" location="バックアップ_MML_処方箋モジュール_投薬!A1" display="バックアップ_MML_処方箋モジュール_投薬"/>
    <hyperlink ref="P81:AD81" location="バックアップ_MML_処方箋モジュール_薬剤!A1" display="バックアップ_MML_処方箋モジュール_薬剤"/>
    <hyperlink ref="P82:AD82" location="バックアップ_MML_注射記録モジュール_本文!A1" display="バックアップ_MML_注射記録モジュール_本文"/>
    <hyperlink ref="P83:AD83" location="バックアップ_MML_注射記録モジュール_投薬!A1" display="バックアップ_MML_注射記録モジュール_投薬"/>
    <hyperlink ref="P84:AD84" location="バックアップ_MML_注射記録モジュール_薬剤!A1" display="バックアップ_MML_注射記録モジュール_薬剤"/>
    <hyperlink ref="P85:AD85" location="バックアップ_MML_手術モジュール_手術項目!A1" display="バックアップ_MML_手術モジュール_手術項目"/>
    <hyperlink ref="P86:AD86" location="バックアップ_MML_手術モジュール_診療科情報!A1" display="バックアップ_MML_手術モジュール_診療科情報"/>
    <hyperlink ref="P87:AD87" location="バックアップ_MML_手術モジュール_診断履歴情報!A1" display="バックアップ_MML_手術モジュール_診断履歴情報"/>
    <hyperlink ref="P88:AD88" location="バックアップ_MML_手術モジュール_病名!A1" display="バックアップ_MML_手術モジュール_病名"/>
    <hyperlink ref="P89:AD89" location="バックアップ_MML_手術モジュール_カテゴリ名!A1" display="バックアップ_MML_手術モジュール_カテゴリ名"/>
    <hyperlink ref="P90:AD90" location="バックアップ_MML_手術モジュール_手術法!A1" display="バックアップ_MML_手術モジュール_手術法"/>
    <hyperlink ref="P91:AD91" location="バックアップ_MML_手術モジュール_手術要素!A1" display="バックアップ_MML_手術モジュール_手術要素"/>
    <hyperlink ref="P92:AD92" location="バックアップ_MML_手術モジュール_麻酔法!A1" display="バックアップ_MML_手術モジュール_麻酔法"/>
    <hyperlink ref="P93:AD93" location="バックアップ_MML_報告書情報モジュール_本文!A1" display="バックアップ_MML_報告書情報モジュール_本文"/>
    <hyperlink ref="P94:AD94" location="バックアップ_MML_報告書情報モジュール_検査コメント!A1" display="バックアップ_"/>
    <hyperlink ref="P95:AD95" location="バックアップ_MML_生活習慣情報モジュール_本文!A1" display="バックアップ_MML_生活習慣情報モジュール_本文"/>
    <hyperlink ref="P97:AD97" location="バックアップ_MML_紹介状モジュール_注射記録!A1" display="バックアップ_MML_紹介状モジュール_注射記録"/>
    <hyperlink ref="P98:AD98" location="バックアップ_MML_紹介状モジュール_注射記録投薬!A1" display="バックアップ_MML_紹介状モジュール_注射記録投薬"/>
    <hyperlink ref="P99:AD99" location="バックアップ_MML_紹介状モジュール_注射記録薬剤!A1" display="バックアップ_MML_紹介状モジュール_注射記録薬剤"/>
    <hyperlink ref="P100:AD100" location="バックアップ_MML_紹介状モジュール_患者情報!A1" display="バックアップ_MML_紹介状モジュール_患者情報"/>
    <hyperlink ref="P101:AD101" location="バックアップ_MML_紹介状モジュール_患者情報住所!A1" display="バックアップ_MML_紹介状モジュール_患者情報住所"/>
    <hyperlink ref="P102:AD102" location="バックアップ_MML_紹介状モジュール_処方箋!A1" display="バックアップ_MML_紹介状モジュール_処方箋"/>
    <hyperlink ref="P103:AD103" location="バックアップ_MML_紹介状モジュール_処方箋投薬!A1" display="バックアップ_MML_紹介状モジュール_処方箋投薬"/>
    <hyperlink ref="P104:AD104" location="バックアップ_MML_紹介状モジュール_処方箋薬剤!A1" display="バックアップ_"/>
    <hyperlink ref="P105:AD105" location="BK_MML_紹介状モジュール_臨床サマリー情報経過記録!A1" display="バックアップ_MML_紹介状モジュール_臨床サマリー情報経過記録"/>
    <hyperlink ref="P106:AD106" location="バックアップ_MML_紹介状モジュール_診療科情報!A1" display="バックアップ_MML_紹介状モジュール_診療科情報"/>
    <hyperlink ref="P70:AD70" location="バックアップ_MML_診断履歴情報モジュール_本文!A1" display="バックアップ_MML_診断履歴情報モジュール_本文"/>
    <hyperlink ref="P96:AD96" location="バックアップ_MML_紹介状モジュール_本文!A1" display="バックアップ_MML_紹介状モジュール_本文"/>
    <hyperlink ref="P36:AD36" location="バックアップ_医薬品マスタ!A1" display="バックアップ_医薬品マスタ"/>
    <hyperlink ref="P37:AD37" location="バックアップ_医薬品ブランドマスタ!A1" display="バックアップ_医薬品ブランドマスタ"/>
    <hyperlink ref="P38:AD38" location="バックアップ_医薬品一般名マスタ!A1" display="バックアップ_医薬品一般名マスタ"/>
    <hyperlink ref="P39:AD39" location="バックアップ_医薬品販売会社マスタ!A1" display="バックアップ_医薬品販売会社マスタ"/>
    <hyperlink ref="P40:AD40" location="バックアップ_メーカマスタ!A1" display="バックアップ_メーカマスタ"/>
    <hyperlink ref="P41:AD41" location="バックアップ_薬価マスタ!A1" display="バックアップ_薬価マスタ"/>
    <hyperlink ref="P42:AD42" location="バックアップ_薬効ATC分類1マスタ!A1" display="バックアップ_薬効ATC分類1マスタ"/>
    <hyperlink ref="P43:AD43" location="バックアップ_薬効ATC分類2マスタ!A1" display="バックアップ_薬効ATC分類2マスタ"/>
    <hyperlink ref="P44:AD44" location="バックアップ_薬効ATC分類3マスタ!A1" display="バックアップ_薬効ATC分類3マスタ"/>
    <hyperlink ref="P45:AD45" location="バックアップ_薬効ATC分類4マスタ!A1" display="バックアップ_薬効ATC分類4マスタ"/>
    <hyperlink ref="P46:AD46" location="バックアップ_薬効ATC分類5マスタ!A1" display="バックアップ_薬効ATC分類5マスタ"/>
    <hyperlink ref="P47:AD47" location="バックアップ_疾病マスタ!A1" display="バックアップ_疾病マスタ"/>
    <hyperlink ref="P48:AD48" location="バックアップ_ICD10大分類マスタ!A1" display="バックアップ_ICD10大分類マスタ"/>
    <hyperlink ref="P49:AD49" location="バックアップ_ICD10中分類マスタ!A1" display="バックアップ_ICD10中分類マスタ"/>
    <hyperlink ref="P50:AD50" location="バックアップ_ICD10小分類マスタ!A1" display="バックアップ_ICD10小分類マスタ"/>
    <hyperlink ref="P51:AD51" location="バックアップ_ICD10細分類マスタ!A1" display="バックアップ_ICD10細分類マスタ"/>
    <hyperlink ref="P52:AD52" location="バックアップ_DPC2桁マスタ!A1" display="バックアップ_DPC2桁マスタ"/>
    <hyperlink ref="P53:AD53" location="バックアップ_DPC6桁マスタ!A1" display="バックアップ_DPC6桁マスタ"/>
    <hyperlink ref="P54:AD54" location="バックアップ_郵便番号マスタ!A1" display="バックアップ_郵便番号マスタ"/>
    <hyperlink ref="P55:AD55" location="バックアップ_特定機材マスタ!A1" display="バックアップ_特定機材マスタ"/>
    <hyperlink ref="P6:AD6" location="バックアップ_処方データ_組入れ第一条件!A1" display="バックアップ_処方データ_組入れ第一条件"/>
    <hyperlink ref="P7:AD7" location="バックアップ_患者マスタ_組入れ第一条件!A1" display="バックアップ_患者マスタ_組入れ第一条件"/>
    <hyperlink ref="P159:AD159" location="患者マスタ!A1" display="患者マスタ"/>
    <hyperlink ref="P164:AD164" location="ベース_処方データ!A1" display="ベース_処方データ"/>
    <hyperlink ref="P165:AD165" location="ベース_診療行為データ!A1" display="ベース_診療行為データ"/>
    <hyperlink ref="P167:AD167" location="ベース_入院退院データ!A1" display="ベース_入院退院データ"/>
    <hyperlink ref="P168:AD168" location="ベース_患者基本データ!A1" display="ベース_患者基本データ"/>
    <hyperlink ref="P169:AD169" location="ベース_MML共通!A1" display="ベース_MML共通"/>
    <hyperlink ref="P170:AD170" location="ベース_MML_診断履歴情報モジュール_本文!A1" display="ベース_MML_診断履歴情報モジュール_本文"/>
    <hyperlink ref="P171:AD171" location="ベース_MML_診断履歴情報モジュール_病名!A1" display="ベース_MML_診断履歴情報モジュール_病名"/>
    <hyperlink ref="P178:AD178" location="ベース_MML_処方箋モジュール_本文!A1" display="ベース_MML_処方箋モジュール_本文"/>
    <hyperlink ref="P179:AD179" location="ベース_MML_処方箋モジュール_投薬!A1" display="ベース_MML_処方箋モジュール_投薬"/>
    <hyperlink ref="P180:AD180" location="ベース_MML_処方箋モジュール_薬剤!A1" display="ベース_MML_処方箋モジュール_薬剤"/>
    <hyperlink ref="P181:AD181" location="ベース_DPC調査データ_入院EF統合ファイル!A1" display="ベース_DPC調査データ_入院EF統合ファイル"/>
    <hyperlink ref="P186:AD186" location="ベース_診断履歴情報モジュール_診断履歴情報レコード!A1" display="ベース_診断履歴情報モジュール_診断履歴情報レコード"/>
    <hyperlink ref="P187:AD187" location="ベース_診断履歴情報モジュール_診断病名レコード!A1" display="ベース_診断履歴情報モジュール_診断病名レコード"/>
    <hyperlink ref="P188:AD188" location="ベース_経過記録情報モジュール_経過記録情報レコード!A1" display="ベース_経過記録情報モジュール_経過記録情報レコード"/>
    <hyperlink ref="P182:AD182" location="ベース_DPC調査データ_外来EF統合ファイル!A1" display="ベース_DPC調査データ_外来EF統合ファイル"/>
    <hyperlink ref="P183:AD183" location="ベース_DPC調査データ_様式1!A1" display="ベース_DPC調査データ_様式1"/>
    <hyperlink ref="P184:AD184" location="ベース_DPC調査データ_様式1_診断情報_併存症!A1" display="ベース_DPC調査データ_様式1_診断情報_併存症"/>
    <hyperlink ref="P185:AD185" location="ベース_DPC調査データ_様式1_診断情報_続発症!A1" display="ベース_DPC調査データ_様式1_診断情報_続発症"/>
    <hyperlink ref="P189:AD189" location="ベース_経過記録情報モジュール_プロブレムレコード!A1" display="ベース_経過記録情報モジュール_プロブレムレコード"/>
    <hyperlink ref="P190:AD190" location="ベース_経過記録情報モジュール_身体所見レコード!A1" display="ベース_経過記録情報モジュール_身体所見レコード"/>
    <hyperlink ref="P191:AD191" location="ベース_経過記録情報モジュール_アセスメントレコード!A1" display="ベース_経過記録情報モジュール_アセスメントレコード"/>
    <hyperlink ref="P192:AD192" location="ベース_経過記録情報モジュール_外部参照レコード!A1" display="ベース_経過記録情報モジュール_外部参照レコード"/>
    <hyperlink ref="P193:AD193" location="ベース_臨床サマリーモジュール_臨床サマリー情報レコード!A1" display="ベース_臨床サマリーモジュール_臨床サマリー情報レコード"/>
    <hyperlink ref="P194:AD194" location="ベース_臨床サマリーモジュール_外来受診レコード!A1" display="ベース_臨床サマリーモジュール_外来受診レコード"/>
    <hyperlink ref="P195:AD195" location="ベース_臨床サマリーモジュール_入院レコード!A1" display="ベース_臨床サマリーモジュール_入院レコード"/>
    <hyperlink ref="P196:AD196" location="ベース_臨床サマリーモジュール_経過記録レコード!A1" display="ベース_臨床サマリーモジュール_経過記録レコード"/>
    <hyperlink ref="P197:AD197" location="ベース_臨床サマリーモジュール_検査結果レコード!A1" display="ベース_臨床サマリーモジュール_検査結果レコード"/>
    <hyperlink ref="P198:AD198" location="ベース_検歴情報モジュール_検歴情報!A1" display="ベース_検歴情報モジュール_検歴情報"/>
    <hyperlink ref="P199:AD199" location="ベース_検歴情報モジュール_検歴検体材料!A1" display="ベース_検歴情報モジュール_検歴検体材料"/>
    <hyperlink ref="P200:AD200" location="ベース_検歴情報モジュール_検歴項目情報!A1" display="ベース_検歴情報モジュール_検歴項目情報"/>
    <hyperlink ref="P73:AD73" location="バックアップ_MML_検歴情報モジュール_本文!A1" display="バックアップ_MML_検歴情報モジュール_本文"/>
    <hyperlink ref="P74:AD74" location="バックアップ_MML_検歴情報モジュール_報告コメント!A1" display="バックアップ_MML_検歴情報モジュール_報告コメント"/>
    <hyperlink ref="P75:AD75" location="バックアップ_MML_検歴情報モジュール_検体検査結果情報!A1" display="バックアップ_MML_検歴情報モジュール_検体検査結果情報"/>
    <hyperlink ref="P76:AD76" location="バックアップ_MML_検歴情報モジュール_検体コメント!A1" display="バックアップ_MML_検歴情報モジュール_検体コメント"/>
    <hyperlink ref="P77:AD77" location="バックアップ_MML_検歴情報モジュール_検査項目!A1" display="バックアップ_MML_検歴情報モジュール_検査項目"/>
    <hyperlink ref="P78:AD78" location="バックアップ_MML_検歴情報モジュール_検査項目コメント!A1" display="バックアップ_MML_検歴情報モジュール_検査項目コメント"/>
    <hyperlink ref="P172:AD172" location="ベース_MML_検歴情報モジュール_本文!A1" display="ベース_MML_検歴情報モジュール_本文"/>
    <hyperlink ref="P173:AD173" location="ベース_MML_検歴情報モジュール_報告コメント!A1" display="ベース_MML_検歴情報モジュール_報告コメント"/>
    <hyperlink ref="P174:AD174" location="ベース_MML_検歴情報モジュール_検体検査結果情報!A1" display="ベース_MML_検歴情報モジュール_検体検査結果情報"/>
    <hyperlink ref="P175:AD175" location="ベース_MML_検歴情報モジュール_検体コメント!A1" display="ベース_MML_検歴情報モジュール_検体コメント"/>
    <hyperlink ref="P176:AD176" location="ベース_MML_検歴情報モジュール_検査項目!A1" display="ベース_MML_検歴情報モジュール_検査項目"/>
    <hyperlink ref="P177:AD177" location="ベース_MML_検歴情報モジュール_検査項目コメント!A1" display="ベース_MML_検歴情報モジュール_検査項目コメント"/>
    <hyperlink ref="P155:AD155" location="組入れ_対象処方!A1" display="組入れ_対象処方"/>
    <hyperlink ref="P154:AD154" location="組入れ_対象疾患!A1" display="組入れ_対象疾患"/>
    <hyperlink ref="P160:AD160" location="疾患マスタ!A1" display="疾患マスタ"/>
    <hyperlink ref="P161:AD161" location="薬剤マスタ!A1" display="薬剤マスタ"/>
    <hyperlink ref="P162:AD162" location="診療行為マスタ!A1" display="診療行為マスタ"/>
    <hyperlink ref="P163:AD163" location="検体検査マスタ!A1" display="検体検査マスタ"/>
    <hyperlink ref="P166:AD166" location="ベース_疾患データ!A1" display="ベース_疾患データ"/>
    <hyperlink ref="P201:AD201" location="ベース_バイタルサインモジュール_バイタルサイン!A1" display="ベース_バイタルサインモジュール_バイタルサイン"/>
    <hyperlink ref="P202:AD202" location="ベース_バイタルサインモジュール_記録項目!A1" display="ベース_バイタルサインモジュール_記録項目"/>
    <hyperlink ref="P203:AD203" location="ベース_体温表モジュール_バイタルサイン!A1" display="ベース_体温表モジュール_バイタルサイン"/>
    <hyperlink ref="P204:AD204" location="ベース_体温表モジュール_記録項目!A1" display="ベース_体温表モジュール_記録項目"/>
    <hyperlink ref="P205:AD205" location="ワーク_患者基本データ!A1" display="ワーク_患者基本データ"/>
    <hyperlink ref="P206:AD206" location="ワーク_look_back!A1" display="ワーク_look_back"/>
    <hyperlink ref="P207:AD207" location="ワーク_疾患データ_DPC!A1" display="ワーク_疾患データ_DPC"/>
    <hyperlink ref="P208:AD208" location="ワーク_処方データ!A1" display="ワーク_処方データ"/>
    <hyperlink ref="P209:AD209" location="ワーク_バイタル_DPC!A1" display="ワーク_バイタル_DPC"/>
    <hyperlink ref="P210:AD210" location="ワーク_バイタル_MML!A1" display="ワーク_バイタル_MML"/>
    <hyperlink ref="P211:AD211" location="ワーク_バイタル!A1" display="ワーク_バイタル"/>
    <hyperlink ref="P212:AD212" location="ワーク_診療行為データ!A1" display="ワーク_診療行為データ"/>
    <hyperlink ref="P213:AD213" location="ワーク_検体検査データ_スキーマ2!A1" display="ワーク_検体検査データ_スキーマ2"/>
    <hyperlink ref="P214:AD214" location="ワーク_検体検査データ_スキーマ4!A1" display="ワーク_検体検査データ_スキーマ4"/>
    <hyperlink ref="P215:AD215" location="ワーク_検体検査データ!A1" display="ワーク_検体検査データ"/>
    <hyperlink ref="P216:AD216" location="ワーク_テキスト情報_一時!A1" display="ワーク_テキスト情報_一時"/>
    <hyperlink ref="P217:AD217" location="ワーク_テキスト情報!A1" display="ワーク_テキスト情報"/>
    <hyperlink ref="P219:AD219" location="セレクト_患者データ!A1" display="セレクト_患者データ"/>
    <hyperlink ref="P220:AD220" location="セレクト_検査データ!A1" display="セレクト_検査データ"/>
    <hyperlink ref="P221:AD221" location="セレクト_検査データ_患者背景用!A1" display="セレクト_検査データ_患者背景用"/>
    <hyperlink ref="P223:AD223" location="セレクト_併用薬データ_患者背景用!A1" display="セレクト_併用薬データ_患者背景用"/>
    <hyperlink ref="P224:AD224" location="セレクト_合併症有無_CKD_患者背景用!A1" display="セレクト_合併症有無_CKD_患者背景用"/>
    <hyperlink ref="P225:AD225" location="セレクト_合併症有無_CKD以外_患者背景用!A1" display="セレクト_合併症有無_CKD以外_患者背景用"/>
    <hyperlink ref="P226:AD226" location="セレクト_透析有無_患者背景用!A1" display="セレクト_透析有無_患者背景用"/>
    <hyperlink ref="P227:AD227" location="セレクト_バイタル!A1" display="セレクト_バイタル"/>
    <hyperlink ref="P222:AD222" location="セレクト_検査データ_カリウム!A1" display="セレクト_検査データ_カリウム"/>
    <hyperlink ref="P218:AD218" location="ワーク_処方データ_index!A1" display="ワーク_処方データ_index"/>
    <hyperlink ref="P228:AD228" location="デリバリ_患者背景!A1" display="デリバリ_患者背景"/>
    <hyperlink ref="P229:AD229" location="デリバリ_患者背景_サマリ!A1" display="デリバリ_患者背景_サマリ"/>
    <hyperlink ref="P230:AD230" location="デリバリ_カリウム平均推移_日別!A1" display="デリバリ_カリウム平均推移_日別"/>
    <hyperlink ref="P231:AD231" location="デリバリ_カリウム平均推移_日別_lb30以上!A1" display="デリバリ_カリウム平均推移_日別_look back期間30日以上"/>
    <hyperlink ref="P232:AD232" location="デリバリ_カリウム平均推移_週別!A1" display="デリバリ_カリウム平均推移_週別"/>
    <hyperlink ref="P233:AD233" location="デリバリ_カリウム平均推移_週別_lb30以上!A1" display="デリバリ_カリウム平均推移_週別_lb30以上"/>
    <hyperlink ref="P234:AD234" location="デリバリ_カリウム平均推移_月別!A1" display="デリバリ_カリウム平均推移_月別"/>
    <hyperlink ref="P235:AD235" location="デリバリ_カリウム平均推移_月別_lb30以上!A1" display="デリバリ_カリウム平均推移_月別_lb30以上"/>
    <hyperlink ref="P236:AD236" location="デリバリ_カリウム平均推移_日別_全患者!A1" display="デリバリ_カリウム平均推移_日別_全患者"/>
    <hyperlink ref="P237:AD237" location="デリバリ_カリウム平均推移_日別_全患者_lb30以上!A1" display="デリバリ_カリウム平均推移_日別_全患者_lb30以上"/>
    <hyperlink ref="P238:AD238" location="デリバリ_カリウム平均推移_週別_全患者!A1" display="デリバリ_カリウム平均推移_週別_全患者"/>
    <hyperlink ref="P239:AD239" location="デリバリ_カリウム平均推移_週別_全患者_lb30以上!A1" display="デリバリ_カリウム平均推移_週別_全患者_lb30以上"/>
    <hyperlink ref="P240:AD240" location="デリバリ_カリウム平均推移_月別_全患者!A1" display="デリバリ_カリウム平均推移_月別_全患者"/>
    <hyperlink ref="P241:AD241" location="デリバリ_カリウム平均推移_月別_全患者_lb30以上!A1" display="デリバリ_カリウム平均推移_月別_全患者_lb30以上"/>
    <hyperlink ref="P242:AD242" location="デリバリ_カリウム平均推移_週別_処方期間別!A1" display="デリバリ_カリウム平均推移_週別_処方期間別"/>
    <hyperlink ref="P243:AD243" location="デリバリ_カリウム平均推移_週別_処方期間別_lbなし!A1" display="デリバリ_カリウム平均推移_週別_処方期間別_lbなし"/>
    <hyperlink ref="P244:AD244" location="デリバリ_カリウム平均推移_週別_処方期間別_lbあり!A1" display="デリバリ_カリウム平均推移_週別_処方期間別_lbあり"/>
    <hyperlink ref="P247:AD247" location="デリバリ_患者_BMI!A1" display="デリバリ_患者_BMI"/>
    <hyperlink ref="P245:AD245" location="デリバリ_カリウム平均推移_週別_処方期間別_lbなし!A1" display="デリバリ_カリウム平均推移_週別_処方期間別_lbなし"/>
    <hyperlink ref="P246:AD246" location="デリバリ_カリウム平均推移_週別_処方期間別_lbあり!A1" display="デリバリ_カリウム平均推移_週別_処方期間別_lbあり"/>
  </hyperlinks>
  <pageMargins left="0.39370078740157483" right="0.23622047244094491" top="0.59055118110236227" bottom="0.39370078740157483" header="0.19685039370078741" footer="0.19685039370078741"/>
  <pageSetup paperSize="9" scale="77" fitToHeight="0" orientation="landscape" horizontalDpi="300" verticalDpi="300" r:id="rId1"/>
  <headerFooter alignWithMargins="0">
    <oddFooter>&amp;C&amp;P/&amp;N</oddFooter>
  </headerFooter>
  <ignoredErrors>
    <ignoredError sqref="C153:F153" numberStoredAsText="1"/>
  </ignoredErrors>
  <legacyDrawingHF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ENT_01_01</v>
      </c>
      <c r="E6" s="272"/>
      <c r="F6" s="272"/>
      <c r="G6" s="272"/>
      <c r="H6" s="272"/>
      <c r="I6" s="272"/>
      <c r="J6" s="273"/>
    </row>
    <row r="7" spans="1:45">
      <c r="B7" s="261" t="s">
        <v>115</v>
      </c>
      <c r="C7" s="262"/>
      <c r="D7" s="263" t="s">
        <v>3675</v>
      </c>
      <c r="E7" s="264"/>
      <c r="F7" s="264"/>
      <c r="G7" s="264"/>
      <c r="H7" s="264"/>
      <c r="I7" s="264"/>
      <c r="J7" s="265"/>
    </row>
    <row r="8" spans="1:45">
      <c r="B8" s="261" t="s">
        <v>116</v>
      </c>
      <c r="C8" s="262"/>
      <c r="D8" s="263" t="str">
        <f>エンティティ一覧!AE2&amp;"_"&amp;D5&amp;"_shohou_first_criteria"</f>
        <v>azn_202310_backup_shohou_first_criteria</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処方データ_組入れ第一条件テーブルから組入れ条件の第一条件で絞り込んだ結果を格納するテーブル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milscm_2023_010.azn_202310_backup_shohou_first_criteria;</v>
      </c>
      <c r="O10" s="76"/>
      <c r="P10" s="76"/>
      <c r="Q10" s="76"/>
      <c r="R10" s="76"/>
      <c r="S10" s="76"/>
      <c r="T10" s="76"/>
      <c r="AJ10" s="76" t="str">
        <f>"ALTER TABLE ONLY "&amp;エンティティ一覧!$O$2&amp;"."&amp;D$8</f>
        <v>ALTER TABLE ONLY milscm_2023_010.azn_202310_backup_shohou_first_criteria</v>
      </c>
      <c r="AS10" s="76" t="str">
        <f>"ALTER TABLE "&amp;エンティティ一覧!$O$2&amp;"."&amp;D$8&amp;" OWNER TO pgmisgrp1;"</f>
        <v>ALTER TABLE milscm_2023_010.azn_202310_backup_shohou_first_criteria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milscm_2023_010.azn_202310_backup_shohou_first_criteria</v>
      </c>
      <c r="O11" s="76"/>
      <c r="P11" s="76"/>
      <c r="Q11" s="76"/>
      <c r="R11" s="76"/>
      <c r="S11" s="76"/>
      <c r="T11" s="76"/>
      <c r="AJ11" s="76" t="str">
        <f>"ADD CONSTRAINT "&amp;D$8&amp;"_pkey PRIMARY KEY"</f>
        <v>ADD CONSTRAINT azn_202310_backup_shohou_first_criteria_pkey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milscm_2023_010.azn_202310_backup_shohou_first_criteria IS 'バックアップ_処方データ_組入れ第一条件';</v>
      </c>
    </row>
    <row r="13" spans="1:45" s="25" customFormat="1">
      <c r="A13" s="4"/>
      <c r="B13" s="21">
        <f>ROW()-12</f>
        <v>1</v>
      </c>
      <c r="C13" s="6" t="s">
        <v>1734</v>
      </c>
      <c r="D13" s="6" t="s">
        <v>209</v>
      </c>
      <c r="E13" s="8" t="s">
        <v>127</v>
      </c>
      <c r="F13" s="8" t="s">
        <v>1735</v>
      </c>
      <c r="G13" s="7" t="str">
        <f>IF(F13="フラグ","boolean",IF(F13="時刻","timestamp",IF(F13="日付","date",IF(F13="文字列","text",IF(F13="整数","integer",IF(F13="実数","numeric",""))))))</f>
        <v>text</v>
      </c>
      <c r="H13" s="9"/>
      <c r="I13" s="10" t="s">
        <v>127</v>
      </c>
      <c r="J13" s="11" t="s">
        <v>1754</v>
      </c>
      <c r="M13" s="4"/>
      <c r="N13" s="76"/>
      <c r="O13" s="76"/>
      <c r="P13" s="76" t="str">
        <f>IF(B13&lt;&gt;1,","&amp;D13,D13)</f>
        <v>shikibetsu_no</v>
      </c>
      <c r="Q13" s="76" t="str">
        <f t="shared" ref="Q13:Q32" si="0">UPPER(G13)</f>
        <v>TEXT</v>
      </c>
      <c r="R13" s="76" t="str">
        <f t="shared" ref="R13:R32"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milscm_2023_010.azn_202310_backup_shohou_first_criteria.shikibetsu_no IS 'データ識別番号';</v>
      </c>
    </row>
    <row r="14" spans="1:45" s="25" customFormat="1">
      <c r="A14" s="4"/>
      <c r="B14" s="21">
        <f t="shared" ref="B14:B31" si="2">ROW()-12</f>
        <v>2</v>
      </c>
      <c r="C14" s="6" t="s">
        <v>137</v>
      </c>
      <c r="D14" s="6" t="s">
        <v>128</v>
      </c>
      <c r="E14" s="8" t="s">
        <v>127</v>
      </c>
      <c r="F14" s="7" t="s">
        <v>1735</v>
      </c>
      <c r="G14" s="7" t="str">
        <f t="shared" ref="G14:G32" si="3">IF(F14="フラグ","boolean",IF(F14="文字列","text",IF(F14="整数","integer",IF(F14="実数","numeric",""))))</f>
        <v>text</v>
      </c>
      <c r="H14" s="26"/>
      <c r="I14" s="10" t="s">
        <v>127</v>
      </c>
      <c r="J14" s="11" t="s">
        <v>1754</v>
      </c>
      <c r="M14" s="4"/>
      <c r="N14" s="76"/>
      <c r="O14" s="76"/>
      <c r="P14" s="76" t="str">
        <f t="shared" ref="P14:P32" si="4">IF(B14&lt;&gt;1,","&amp;D14,D14)</f>
        <v>,facility_id</v>
      </c>
      <c r="Q14" s="76" t="str">
        <f t="shared" si="0"/>
        <v>TEXT</v>
      </c>
      <c r="R14" s="76" t="str">
        <f t="shared" si="1"/>
        <v/>
      </c>
      <c r="S14" s="76" t="str">
        <f>IF(I14="○","NOT NULL","")</f>
        <v>NOT NULL</v>
      </c>
      <c r="T14" s="76" t="str">
        <f>"--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milscm_2023_010.azn_202310_backup_shohou_first_criteria.facility_id IS '施設ID';</v>
      </c>
    </row>
    <row r="15" spans="1:45" s="25" customFormat="1">
      <c r="A15" s="4"/>
      <c r="B15" s="21">
        <f t="shared" si="2"/>
        <v>3</v>
      </c>
      <c r="C15" s="13" t="s">
        <v>1736</v>
      </c>
      <c r="D15" s="13" t="s">
        <v>205</v>
      </c>
      <c r="E15" s="7" t="s">
        <v>127</v>
      </c>
      <c r="F15" s="7" t="s">
        <v>1735</v>
      </c>
      <c r="G15" s="7" t="str">
        <f t="shared" si="3"/>
        <v>text</v>
      </c>
      <c r="H15" s="58"/>
      <c r="I15" s="23" t="s">
        <v>127</v>
      </c>
      <c r="J15" s="24" t="s">
        <v>1754</v>
      </c>
      <c r="M15" s="4"/>
      <c r="N15" s="76"/>
      <c r="O15" s="76"/>
      <c r="P15" s="76" t="str">
        <f t="shared" si="4"/>
        <v>,shinryo_ym</v>
      </c>
      <c r="Q15" s="76" t="str">
        <f t="shared" si="0"/>
        <v>TEXT</v>
      </c>
      <c r="R15" s="76" t="str">
        <f t="shared" si="1"/>
        <v/>
      </c>
      <c r="S15" s="76" t="str">
        <f t="shared" ref="S15:S32" si="5">IF(I15="○","NOT NULL","")</f>
        <v>NOT NULL</v>
      </c>
      <c r="T15" s="76" t="str">
        <f t="shared" ref="T15:T32" si="6">"-- "&amp;C15</f>
        <v>-- 診療年月</v>
      </c>
      <c r="U15" s="4"/>
      <c r="AA15" s="4"/>
      <c r="AB15" s="4"/>
      <c r="AC15" s="4"/>
      <c r="AD15" s="4"/>
      <c r="AE15" s="4"/>
      <c r="AF15" s="4"/>
      <c r="AG15" s="4"/>
      <c r="AH15" s="4"/>
      <c r="AI15" s="4"/>
      <c r="AJ15" s="76" t="str">
        <f>IF(E15="○",IF(COUNTA(E$13:E15)=1,"",",")&amp;D15,"")</f>
        <v>,shinryo_ym</v>
      </c>
      <c r="AK15" s="4"/>
      <c r="AL15" s="4"/>
      <c r="AM15" s="4"/>
      <c r="AN15" s="4"/>
      <c r="AO15" s="4"/>
      <c r="AP15" s="4"/>
      <c r="AQ15" s="4"/>
      <c r="AR15" s="4"/>
      <c r="AS15" s="76" t="str">
        <f>"COMMENT ON COLUMN "&amp;エンティティ一覧!$O$2&amp;"."&amp;D$8&amp;"."&amp;D15&amp;" IS '"&amp;C15&amp;"';"</f>
        <v>COMMENT ON COLUMN milscm_2023_010.azn_202310_backup_shohou_first_criteria.shinryo_ym IS '診療年月';</v>
      </c>
    </row>
    <row r="16" spans="1:45" s="25" customFormat="1">
      <c r="A16" s="4"/>
      <c r="B16" s="21">
        <f t="shared" si="2"/>
        <v>4</v>
      </c>
      <c r="C16" s="13" t="s">
        <v>1737</v>
      </c>
      <c r="D16" s="13" t="s">
        <v>213</v>
      </c>
      <c r="E16" s="7" t="s">
        <v>127</v>
      </c>
      <c r="F16" s="7" t="s">
        <v>1735</v>
      </c>
      <c r="G16" s="7" t="str">
        <f t="shared" si="3"/>
        <v>text</v>
      </c>
      <c r="H16" s="58"/>
      <c r="I16" s="23" t="s">
        <v>127</v>
      </c>
      <c r="J16" s="24" t="s">
        <v>1754</v>
      </c>
      <c r="M16" s="4"/>
      <c r="N16" s="76"/>
      <c r="O16" s="76"/>
      <c r="P16" s="76" t="str">
        <f t="shared" si="4"/>
        <v>,data_kubun</v>
      </c>
      <c r="Q16" s="76" t="str">
        <f t="shared" si="0"/>
        <v>TEXT</v>
      </c>
      <c r="R16" s="76" t="str">
        <f t="shared" si="1"/>
        <v/>
      </c>
      <c r="S16" s="76" t="str">
        <f t="shared" si="5"/>
        <v>NOT NULL</v>
      </c>
      <c r="T16" s="76" t="str">
        <f t="shared" si="6"/>
        <v>-- データ区分</v>
      </c>
      <c r="U16" s="4"/>
      <c r="AA16" s="4"/>
      <c r="AB16" s="4"/>
      <c r="AC16" s="4"/>
      <c r="AD16" s="4"/>
      <c r="AE16" s="4"/>
      <c r="AF16" s="4"/>
      <c r="AG16" s="4"/>
      <c r="AH16" s="4"/>
      <c r="AI16" s="4"/>
      <c r="AJ16" s="76" t="str">
        <f>IF(E16="○",IF(COUNTA(E$13:E16)=1,"",",")&amp;D16,"")</f>
        <v>,data_kubun</v>
      </c>
      <c r="AK16" s="4"/>
      <c r="AL16" s="4"/>
      <c r="AM16" s="4"/>
      <c r="AN16" s="4"/>
      <c r="AO16" s="4"/>
      <c r="AP16" s="4"/>
      <c r="AQ16" s="4"/>
      <c r="AR16" s="4"/>
      <c r="AS16" s="76" t="str">
        <f>"COMMENT ON COLUMN "&amp;エンティティ一覧!$O$2&amp;"."&amp;D$8&amp;"."&amp;D16&amp;" IS '"&amp;C16&amp;"';"</f>
        <v>COMMENT ON COLUMN milscm_2023_010.azn_202310_backup_shohou_first_criteria.data_kubun IS 'データ区分';</v>
      </c>
    </row>
    <row r="17" spans="1:45" s="25" customFormat="1">
      <c r="A17" s="4"/>
      <c r="B17" s="21">
        <f t="shared" si="2"/>
        <v>5</v>
      </c>
      <c r="C17" s="13" t="s">
        <v>1738</v>
      </c>
      <c r="D17" s="13" t="s">
        <v>215</v>
      </c>
      <c r="E17" s="7" t="s">
        <v>127</v>
      </c>
      <c r="F17" s="7" t="s">
        <v>1735</v>
      </c>
      <c r="G17" s="7" t="str">
        <f t="shared" si="3"/>
        <v>text</v>
      </c>
      <c r="H17" s="58"/>
      <c r="I17" s="23" t="s">
        <v>127</v>
      </c>
      <c r="J17" s="24" t="s">
        <v>1754</v>
      </c>
      <c r="M17" s="4"/>
      <c r="N17" s="76"/>
      <c r="O17" s="76"/>
      <c r="P17" s="76" t="str">
        <f t="shared" si="4"/>
        <v>,junjo_no</v>
      </c>
      <c r="Q17" s="76" t="str">
        <f t="shared" si="0"/>
        <v>TEXT</v>
      </c>
      <c r="R17" s="76" t="str">
        <f t="shared" si="1"/>
        <v/>
      </c>
      <c r="S17" s="76" t="str">
        <f t="shared" si="5"/>
        <v>NOT NULL</v>
      </c>
      <c r="T17" s="76" t="str">
        <f t="shared" si="6"/>
        <v>-- 順序番号</v>
      </c>
      <c r="U17" s="4"/>
      <c r="AA17" s="4"/>
      <c r="AB17" s="4"/>
      <c r="AC17" s="4"/>
      <c r="AD17" s="4"/>
      <c r="AE17" s="4"/>
      <c r="AF17" s="4"/>
      <c r="AG17" s="4"/>
      <c r="AH17" s="4"/>
      <c r="AI17" s="4"/>
      <c r="AJ17" s="76" t="str">
        <f>IF(E17="○",IF(COUNTA(E$13:E17)=1,"",",")&amp;D17,"")</f>
        <v>,junjo_no</v>
      </c>
      <c r="AK17" s="4"/>
      <c r="AL17" s="4"/>
      <c r="AM17" s="4"/>
      <c r="AN17" s="4"/>
      <c r="AO17" s="4"/>
      <c r="AP17" s="4"/>
      <c r="AQ17" s="4"/>
      <c r="AR17" s="4"/>
      <c r="AS17" s="76" t="str">
        <f>"COMMENT ON COLUMN "&amp;エンティティ一覧!$O$2&amp;"."&amp;D$8&amp;"."&amp;D17&amp;" IS '"&amp;C17&amp;"';"</f>
        <v>COMMENT ON COLUMN milscm_2023_010.azn_202310_backup_shohou_first_criteria.junjo_no IS '順序番号';</v>
      </c>
    </row>
    <row r="18" spans="1:45" s="25" customFormat="1" ht="37.5">
      <c r="A18" s="4"/>
      <c r="B18" s="21">
        <f t="shared" si="2"/>
        <v>6</v>
      </c>
      <c r="C18" s="13" t="s">
        <v>1739</v>
      </c>
      <c r="D18" s="13" t="s">
        <v>153</v>
      </c>
      <c r="E18" s="7" t="s">
        <v>127</v>
      </c>
      <c r="F18" s="7" t="s">
        <v>1735</v>
      </c>
      <c r="G18" s="7" t="str">
        <f t="shared" si="3"/>
        <v>text</v>
      </c>
      <c r="H18" s="58"/>
      <c r="I18" s="23" t="s">
        <v>127</v>
      </c>
      <c r="J18" s="24" t="s">
        <v>1755</v>
      </c>
      <c r="M18" s="4"/>
      <c r="N18" s="76"/>
      <c r="O18" s="76"/>
      <c r="P18" s="76" t="str">
        <f t="shared" si="4"/>
        <v>,koi_meisai_no</v>
      </c>
      <c r="Q18" s="76" t="str">
        <f t="shared" si="0"/>
        <v>TEXT</v>
      </c>
      <c r="R18" s="76" t="str">
        <f t="shared" si="1"/>
        <v/>
      </c>
      <c r="S18" s="76" t="str">
        <f t="shared" si="5"/>
        <v>NOT NULL</v>
      </c>
      <c r="T18" s="76" t="str">
        <f t="shared" si="6"/>
        <v>-- 行為明細番号</v>
      </c>
      <c r="U18" s="4"/>
      <c r="AA18" s="4"/>
      <c r="AB18" s="4"/>
      <c r="AC18" s="4"/>
      <c r="AD18" s="4"/>
      <c r="AE18" s="4"/>
      <c r="AF18" s="4"/>
      <c r="AG18" s="4"/>
      <c r="AH18" s="4"/>
      <c r="AI18" s="4"/>
      <c r="AJ18" s="76" t="str">
        <f>IF(E18="○",IF(COUNTA(E$13:E18)=1,"",",")&amp;D18,"")</f>
        <v>,koi_meisai_no</v>
      </c>
      <c r="AK18" s="4"/>
      <c r="AL18" s="4"/>
      <c r="AM18" s="4"/>
      <c r="AN18" s="4"/>
      <c r="AO18" s="4"/>
      <c r="AP18" s="4"/>
      <c r="AQ18" s="4"/>
      <c r="AR18" s="4"/>
      <c r="AS18" s="76" t="str">
        <f>"COMMENT ON COLUMN "&amp;エンティティ一覧!$O$2&amp;"."&amp;D$8&amp;"."&amp;D18&amp;" IS '"&amp;C18&amp;"';"</f>
        <v>COMMENT ON COLUMN milscm_2023_010.azn_202310_backup_shohou_first_criteria.koi_meisai_no IS '行為明細番号';</v>
      </c>
    </row>
    <row r="19" spans="1:45" s="25" customFormat="1" ht="37.5">
      <c r="A19" s="4"/>
      <c r="B19" s="21">
        <f t="shared" si="2"/>
        <v>7</v>
      </c>
      <c r="C19" s="13" t="s">
        <v>145</v>
      </c>
      <c r="D19" s="13" t="s">
        <v>154</v>
      </c>
      <c r="E19" s="7"/>
      <c r="F19" s="7" t="s">
        <v>1735</v>
      </c>
      <c r="G19" s="7" t="str">
        <f t="shared" si="3"/>
        <v>text</v>
      </c>
      <c r="H19" s="58"/>
      <c r="I19" s="23"/>
      <c r="J19" s="24" t="s">
        <v>1756</v>
      </c>
      <c r="M19" s="4"/>
      <c r="N19" s="76"/>
      <c r="O19" s="76"/>
      <c r="P19" s="76" t="str">
        <f t="shared" si="4"/>
        <v>,receipt_densan_code</v>
      </c>
      <c r="Q19" s="76" t="str">
        <f t="shared" si="0"/>
        <v>TEXT</v>
      </c>
      <c r="R19" s="76" t="str">
        <f t="shared" si="1"/>
        <v/>
      </c>
      <c r="S19" s="76" t="str">
        <f t="shared" si="5"/>
        <v/>
      </c>
      <c r="T19" s="76" t="str">
        <f t="shared" si="6"/>
        <v>-- レセプト電算処理システム用コード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milscm_2023_010.azn_202310_backup_shohou_first_criteria.receipt_densan_code IS 'レセプト電算処理システム用コード';</v>
      </c>
    </row>
    <row r="20" spans="1:45" s="25" customFormat="1">
      <c r="A20" s="4"/>
      <c r="B20" s="21">
        <f t="shared" si="2"/>
        <v>8</v>
      </c>
      <c r="C20" s="13" t="s">
        <v>1740</v>
      </c>
      <c r="D20" s="13" t="s">
        <v>219</v>
      </c>
      <c r="E20" s="7"/>
      <c r="F20" s="7" t="s">
        <v>1735</v>
      </c>
      <c r="G20" s="7" t="str">
        <f t="shared" si="3"/>
        <v>text</v>
      </c>
      <c r="H20" s="58"/>
      <c r="I20" s="23"/>
      <c r="J20" s="24" t="s">
        <v>1754</v>
      </c>
      <c r="M20" s="4"/>
      <c r="N20" s="76"/>
      <c r="O20" s="76"/>
      <c r="P20" s="76" t="str">
        <f t="shared" si="4"/>
        <v>,kaishaku_no</v>
      </c>
      <c r="Q20" s="76" t="str">
        <f t="shared" si="0"/>
        <v>TEXT</v>
      </c>
      <c r="R20" s="76" t="str">
        <f t="shared" si="1"/>
        <v/>
      </c>
      <c r="S20" s="76" t="str">
        <f t="shared" si="5"/>
        <v/>
      </c>
      <c r="T20" s="76" t="str">
        <f t="shared" si="6"/>
        <v>-- 解釈番号</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milscm_2023_010.azn_202310_backup_shohou_first_criteria.kaishaku_no IS '解釈番号';</v>
      </c>
    </row>
    <row r="21" spans="1:45" s="25" customFormat="1">
      <c r="A21" s="4"/>
      <c r="B21" s="21">
        <f t="shared" si="2"/>
        <v>9</v>
      </c>
      <c r="C21" s="13" t="s">
        <v>1741</v>
      </c>
      <c r="D21" s="13" t="s">
        <v>129</v>
      </c>
      <c r="E21" s="7"/>
      <c r="F21" s="7" t="s">
        <v>1742</v>
      </c>
      <c r="G21" s="7" t="str">
        <f t="shared" si="3"/>
        <v>numeric</v>
      </c>
      <c r="H21" s="58"/>
      <c r="I21" s="23"/>
      <c r="J21" s="24" t="s">
        <v>1754</v>
      </c>
      <c r="M21" s="4"/>
      <c r="N21" s="76"/>
      <c r="O21" s="76"/>
      <c r="P21" s="76" t="str">
        <f t="shared" si="4"/>
        <v>,shiyoryo</v>
      </c>
      <c r="Q21" s="76" t="str">
        <f t="shared" si="0"/>
        <v>NUMERIC</v>
      </c>
      <c r="R21" s="76" t="str">
        <f t="shared" si="1"/>
        <v/>
      </c>
      <c r="S21" s="76" t="str">
        <f t="shared" si="5"/>
        <v/>
      </c>
      <c r="T21" s="76" t="str">
        <f t="shared" si="6"/>
        <v>-- 使用量</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milscm_2023_010.azn_202310_backup_shohou_first_criteria.shiyoryo IS '使用量';</v>
      </c>
    </row>
    <row r="22" spans="1:45" s="25" customFormat="1">
      <c r="A22" s="4"/>
      <c r="B22" s="21">
        <f t="shared" si="2"/>
        <v>10</v>
      </c>
      <c r="C22" s="13" t="s">
        <v>1743</v>
      </c>
      <c r="D22" s="13" t="s">
        <v>275</v>
      </c>
      <c r="E22" s="7"/>
      <c r="F22" s="7" t="s">
        <v>1735</v>
      </c>
      <c r="G22" s="7" t="str">
        <f t="shared" si="3"/>
        <v>text</v>
      </c>
      <c r="H22" s="58"/>
      <c r="I22" s="23"/>
      <c r="J22" s="24" t="s">
        <v>1754</v>
      </c>
      <c r="M22" s="4"/>
      <c r="N22" s="76"/>
      <c r="O22" s="76"/>
      <c r="P22" s="76" t="str">
        <f t="shared" si="4"/>
        <v>,unit</v>
      </c>
      <c r="Q22" s="76" t="str">
        <f t="shared" si="0"/>
        <v>TEXT</v>
      </c>
      <c r="R22" s="76" t="str">
        <f t="shared" si="1"/>
        <v/>
      </c>
      <c r="S22" s="76" t="str">
        <f t="shared" si="5"/>
        <v/>
      </c>
      <c r="T22" s="76" t="str">
        <f t="shared" si="6"/>
        <v>-- 基準単位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milscm_2023_010.azn_202310_backup_shohou_first_criteria.unit IS '基準単位';</v>
      </c>
    </row>
    <row r="23" spans="1:45" s="25" customFormat="1">
      <c r="A23" s="4"/>
      <c r="B23" s="21">
        <f t="shared" si="2"/>
        <v>11</v>
      </c>
      <c r="C23" s="13" t="s">
        <v>1744</v>
      </c>
      <c r="D23" s="13" t="s">
        <v>130</v>
      </c>
      <c r="E23" s="7"/>
      <c r="F23" s="7" t="s">
        <v>1742</v>
      </c>
      <c r="G23" s="7" t="str">
        <f t="shared" si="3"/>
        <v>numeric</v>
      </c>
      <c r="H23" s="58"/>
      <c r="I23" s="23"/>
      <c r="J23" s="24" t="s">
        <v>1754</v>
      </c>
      <c r="M23" s="4"/>
      <c r="N23" s="76"/>
      <c r="O23" s="76"/>
      <c r="P23" s="76" t="str">
        <f t="shared" si="4"/>
        <v>,meisai_tensu</v>
      </c>
      <c r="Q23" s="76" t="str">
        <f t="shared" si="0"/>
        <v>NUMERIC</v>
      </c>
      <c r="R23" s="76" t="str">
        <f t="shared" si="1"/>
        <v/>
      </c>
      <c r="S23" s="76" t="str">
        <f t="shared" si="5"/>
        <v/>
      </c>
      <c r="T23" s="76" t="str">
        <f t="shared" si="6"/>
        <v>-- 明細点数・金額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milscm_2023_010.azn_202310_backup_shohou_first_criteria.meisai_tensu IS '明細点数・金額';</v>
      </c>
    </row>
    <row r="24" spans="1:45" s="25" customFormat="1" ht="37.5">
      <c r="A24" s="4"/>
      <c r="B24" s="21">
        <f t="shared" si="2"/>
        <v>12</v>
      </c>
      <c r="C24" s="13" t="s">
        <v>1745</v>
      </c>
      <c r="D24" s="13" t="s">
        <v>131</v>
      </c>
      <c r="E24" s="7"/>
      <c r="F24" s="7" t="s">
        <v>1735</v>
      </c>
      <c r="G24" s="7" t="str">
        <f t="shared" si="3"/>
        <v>text</v>
      </c>
      <c r="H24" s="58"/>
      <c r="I24" s="23"/>
      <c r="J24" s="24" t="s">
        <v>1757</v>
      </c>
      <c r="M24" s="4"/>
      <c r="N24" s="76"/>
      <c r="O24" s="76"/>
      <c r="P24" s="76" t="str">
        <f t="shared" si="4"/>
        <v>,ten_kubun</v>
      </c>
      <c r="Q24" s="76" t="str">
        <f t="shared" si="0"/>
        <v>TEXT</v>
      </c>
      <c r="R24" s="76" t="str">
        <f t="shared" si="1"/>
        <v/>
      </c>
      <c r="S24" s="76" t="str">
        <f t="shared" si="5"/>
        <v/>
      </c>
      <c r="T24" s="76" t="str">
        <f t="shared" si="6"/>
        <v>-- 円・点区分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milscm_2023_010.azn_202310_backup_shohou_first_criteria.ten_kubun IS '円・点区分';</v>
      </c>
    </row>
    <row r="25" spans="1:45" s="25" customFormat="1">
      <c r="A25" s="4"/>
      <c r="B25" s="21">
        <f t="shared" si="2"/>
        <v>13</v>
      </c>
      <c r="C25" s="13" t="s">
        <v>1746</v>
      </c>
      <c r="D25" s="13" t="s">
        <v>132</v>
      </c>
      <c r="E25" s="7"/>
      <c r="F25" s="7" t="s">
        <v>1735</v>
      </c>
      <c r="G25" s="7" t="str">
        <f t="shared" si="3"/>
        <v>text</v>
      </c>
      <c r="H25" s="58"/>
      <c r="I25" s="23"/>
      <c r="J25" s="24" t="s">
        <v>1754</v>
      </c>
      <c r="M25" s="4"/>
      <c r="N25" s="76"/>
      <c r="O25" s="76"/>
      <c r="P25" s="76" t="str">
        <f t="shared" si="4"/>
        <v>,koi_meisai_kubun</v>
      </c>
      <c r="Q25" s="76" t="str">
        <f t="shared" si="0"/>
        <v>TEXT</v>
      </c>
      <c r="R25" s="76" t="str">
        <f t="shared" si="1"/>
        <v/>
      </c>
      <c r="S25" s="76" t="str">
        <f t="shared" si="5"/>
        <v/>
      </c>
      <c r="T25" s="76" t="str">
        <f t="shared" si="6"/>
        <v>-- 行為明細区分情報</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milscm_2023_010.azn_202310_backup_shohou_first_criteria.koi_meisai_kubun IS '行為明細区分情報';</v>
      </c>
    </row>
    <row r="26" spans="1:45" s="25" customFormat="1">
      <c r="A26" s="4"/>
      <c r="B26" s="21">
        <f t="shared" si="2"/>
        <v>14</v>
      </c>
      <c r="C26" s="13" t="s">
        <v>1747</v>
      </c>
      <c r="D26" s="13" t="s">
        <v>133</v>
      </c>
      <c r="E26" s="7"/>
      <c r="F26" s="7" t="s">
        <v>1742</v>
      </c>
      <c r="G26" s="7" t="str">
        <f t="shared" si="3"/>
        <v>numeric</v>
      </c>
      <c r="H26" s="58"/>
      <c r="I26" s="23"/>
      <c r="J26" s="24" t="s">
        <v>1754</v>
      </c>
      <c r="M26" s="4"/>
      <c r="N26" s="76"/>
      <c r="O26" s="76"/>
      <c r="P26" s="76" t="str">
        <f t="shared" si="4"/>
        <v>,koi_times</v>
      </c>
      <c r="Q26" s="76" t="str">
        <f t="shared" si="0"/>
        <v>NUMERIC</v>
      </c>
      <c r="R26" s="76" t="str">
        <f t="shared" si="1"/>
        <v/>
      </c>
      <c r="S26" s="76" t="str">
        <f t="shared" si="5"/>
        <v/>
      </c>
      <c r="T26" s="76" t="str">
        <f t="shared" si="6"/>
        <v>-- 行為回数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milscm_2023_010.azn_202310_backup_shohou_first_criteria.koi_times IS '行為回数';</v>
      </c>
    </row>
    <row r="27" spans="1:45" s="25" customFormat="1">
      <c r="A27" s="4"/>
      <c r="B27" s="21">
        <f t="shared" si="2"/>
        <v>15</v>
      </c>
      <c r="C27" s="13" t="s">
        <v>1748</v>
      </c>
      <c r="D27" s="13" t="s">
        <v>232</v>
      </c>
      <c r="E27" s="7"/>
      <c r="F27" s="7" t="s">
        <v>1735</v>
      </c>
      <c r="G27" s="7" t="str">
        <f t="shared" si="3"/>
        <v>text</v>
      </c>
      <c r="H27" s="58"/>
      <c r="I27" s="23"/>
      <c r="J27" s="24" t="s">
        <v>1754</v>
      </c>
      <c r="M27" s="4"/>
      <c r="N27" s="76"/>
      <c r="O27" s="76"/>
      <c r="P27" s="76" t="str">
        <f t="shared" si="4"/>
        <v>,receipt_type_code</v>
      </c>
      <c r="Q27" s="76" t="str">
        <f t="shared" si="0"/>
        <v>TEXT</v>
      </c>
      <c r="R27" s="76" t="str">
        <f t="shared" si="1"/>
        <v/>
      </c>
      <c r="S27" s="76" t="str">
        <f t="shared" si="5"/>
        <v/>
      </c>
      <c r="T27" s="76" t="str">
        <f t="shared" si="6"/>
        <v>-- レセプト種別コード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milscm_2023_010.azn_202310_backup_shohou_first_criteria.receipt_type_code IS 'レセプト種別コード';</v>
      </c>
    </row>
    <row r="28" spans="1:45" s="25" customFormat="1">
      <c r="A28" s="4"/>
      <c r="B28" s="21">
        <f t="shared" si="2"/>
        <v>16</v>
      </c>
      <c r="C28" s="13" t="s">
        <v>1749</v>
      </c>
      <c r="D28" s="13" t="s">
        <v>155</v>
      </c>
      <c r="E28" s="7" t="s">
        <v>127</v>
      </c>
      <c r="F28" s="7" t="s">
        <v>1735</v>
      </c>
      <c r="G28" s="7" t="str">
        <f t="shared" si="3"/>
        <v>text</v>
      </c>
      <c r="H28" s="58"/>
      <c r="I28" s="23" t="s">
        <v>127</v>
      </c>
      <c r="J28" s="24" t="s">
        <v>1754</v>
      </c>
      <c r="M28" s="4"/>
      <c r="N28" s="76"/>
      <c r="O28" s="76"/>
      <c r="P28" s="76" t="str">
        <f t="shared" si="4"/>
        <v>,jisshi_ymd</v>
      </c>
      <c r="Q28" s="76" t="str">
        <f t="shared" si="0"/>
        <v>TEXT</v>
      </c>
      <c r="R28" s="76" t="str">
        <f t="shared" si="1"/>
        <v/>
      </c>
      <c r="S28" s="76" t="str">
        <f t="shared" si="5"/>
        <v>NOT NULL</v>
      </c>
      <c r="T28" s="76" t="str">
        <f t="shared" si="6"/>
        <v>-- 実施年月日</v>
      </c>
      <c r="U28" s="4"/>
      <c r="AA28" s="4"/>
      <c r="AB28" s="4"/>
      <c r="AC28" s="4"/>
      <c r="AD28" s="4"/>
      <c r="AE28" s="4"/>
      <c r="AF28" s="4"/>
      <c r="AG28" s="4"/>
      <c r="AH28" s="4"/>
      <c r="AI28" s="4"/>
      <c r="AJ28" s="76" t="str">
        <f>IF(E28="○",IF(COUNTA(E$13:E28)=1,"",",")&amp;D28,"")</f>
        <v>,jisshi_ymd</v>
      </c>
      <c r="AK28" s="4"/>
      <c r="AL28" s="4"/>
      <c r="AM28" s="4"/>
      <c r="AN28" s="4"/>
      <c r="AO28" s="4"/>
      <c r="AP28" s="4"/>
      <c r="AQ28" s="4"/>
      <c r="AR28" s="4"/>
      <c r="AS28" s="76" t="str">
        <f>"COMMENT ON COLUMN "&amp;エンティティ一覧!$O$2&amp;"."&amp;D$8&amp;"."&amp;D28&amp;" IS '"&amp;C28&amp;"';"</f>
        <v>COMMENT ON COLUMN milscm_2023_010.azn_202310_backup_shohou_first_criteria.jisshi_ymd IS '実施年月日';</v>
      </c>
    </row>
    <row r="29" spans="1:45" s="25" customFormat="1">
      <c r="A29" s="4"/>
      <c r="B29" s="21">
        <f t="shared" si="2"/>
        <v>17</v>
      </c>
      <c r="C29" s="13" t="s">
        <v>1750</v>
      </c>
      <c r="D29" s="13" t="s">
        <v>234</v>
      </c>
      <c r="E29" s="7"/>
      <c r="F29" s="7" t="s">
        <v>1735</v>
      </c>
      <c r="G29" s="7" t="str">
        <f t="shared" si="3"/>
        <v>text</v>
      </c>
      <c r="H29" s="58"/>
      <c r="I29" s="23"/>
      <c r="J29" s="24" t="s">
        <v>1754</v>
      </c>
      <c r="M29" s="4"/>
      <c r="N29" s="76"/>
      <c r="O29" s="76"/>
      <c r="P29" s="76" t="str">
        <f t="shared" si="4"/>
        <v>,receipt_ka_kubun</v>
      </c>
      <c r="Q29" s="76" t="str">
        <f t="shared" si="0"/>
        <v>TEXT</v>
      </c>
      <c r="R29" s="76" t="str">
        <f t="shared" si="1"/>
        <v/>
      </c>
      <c r="S29" s="76" t="str">
        <f t="shared" si="5"/>
        <v/>
      </c>
      <c r="T29" s="76" t="str">
        <f t="shared" si="6"/>
        <v>-- レセプト科区分</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milscm_2023_010.azn_202310_backup_shohou_first_criteria.receipt_ka_kubun IS 'レセプト科区分';</v>
      </c>
    </row>
    <row r="30" spans="1:45" s="25" customFormat="1">
      <c r="A30" s="4"/>
      <c r="B30" s="21">
        <f t="shared" si="2"/>
        <v>18</v>
      </c>
      <c r="C30" s="13" t="s">
        <v>134</v>
      </c>
      <c r="D30" s="13" t="s">
        <v>135</v>
      </c>
      <c r="E30" s="7"/>
      <c r="F30" s="7" t="s">
        <v>1735</v>
      </c>
      <c r="G30" s="7" t="str">
        <f t="shared" si="3"/>
        <v>text</v>
      </c>
      <c r="H30" s="58"/>
      <c r="I30" s="23"/>
      <c r="J30" s="24" t="s">
        <v>1754</v>
      </c>
      <c r="M30" s="4"/>
      <c r="N30" s="76"/>
      <c r="O30" s="76"/>
      <c r="P30" s="76" t="str">
        <f t="shared" si="4"/>
        <v>,department_kubun</v>
      </c>
      <c r="Q30" s="76" t="str">
        <f t="shared" si="0"/>
        <v>TEXT</v>
      </c>
      <c r="R30" s="76" t="str">
        <f t="shared" si="1"/>
        <v/>
      </c>
      <c r="S30" s="76" t="str">
        <f t="shared" si="5"/>
        <v/>
      </c>
      <c r="T30" s="76" t="str">
        <f t="shared" si="6"/>
        <v>-- 診療科区分</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milscm_2023_010.azn_202310_backup_shohou_first_criteria.department_kubun IS '診療科区分';</v>
      </c>
    </row>
    <row r="31" spans="1:45" s="25" customFormat="1" ht="37.5">
      <c r="A31" s="4"/>
      <c r="B31" s="21">
        <f t="shared" si="2"/>
        <v>19</v>
      </c>
      <c r="C31" s="13" t="s">
        <v>1751</v>
      </c>
      <c r="D31" s="13" t="s">
        <v>242</v>
      </c>
      <c r="E31" s="7"/>
      <c r="F31" s="7" t="s">
        <v>1735</v>
      </c>
      <c r="G31" s="7" t="str">
        <f t="shared" si="3"/>
        <v>text</v>
      </c>
      <c r="H31" s="58"/>
      <c r="I31" s="23"/>
      <c r="J31" s="24" t="s">
        <v>1758</v>
      </c>
      <c r="M31" s="4"/>
      <c r="N31" s="76"/>
      <c r="O31" s="76"/>
      <c r="P31" s="76" t="str">
        <f t="shared" si="4"/>
        <v>,nyugai_kubun</v>
      </c>
      <c r="Q31" s="76" t="str">
        <f t="shared" si="0"/>
        <v>TEXT</v>
      </c>
      <c r="R31" s="76" t="str">
        <f t="shared" si="1"/>
        <v/>
      </c>
      <c r="S31" s="76" t="str">
        <f t="shared" si="5"/>
        <v/>
      </c>
      <c r="T31" s="76" t="str">
        <f t="shared" si="6"/>
        <v>-- 入外区分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milscm_2023_010.azn_202310_backup_shohou_first_criteria.nyugai_kubun IS '入外区分';</v>
      </c>
    </row>
    <row r="32" spans="1:45" s="25" customFormat="1" ht="19.5" thickBot="1">
      <c r="A32" s="4"/>
      <c r="B32" s="27">
        <f>ROW()-12</f>
        <v>20</v>
      </c>
      <c r="C32" s="57" t="s">
        <v>1752</v>
      </c>
      <c r="D32" s="57" t="s">
        <v>1753</v>
      </c>
      <c r="E32" s="56" t="s">
        <v>127</v>
      </c>
      <c r="F32" s="56" t="s">
        <v>203</v>
      </c>
      <c r="G32" s="56" t="str">
        <f t="shared" si="3"/>
        <v>integer</v>
      </c>
      <c r="H32" s="59"/>
      <c r="I32" s="60"/>
      <c r="J32" s="63" t="s">
        <v>1759</v>
      </c>
      <c r="N32" s="76"/>
      <c r="O32" s="76"/>
      <c r="P32" s="76" t="str">
        <f t="shared" si="4"/>
        <v>,seq_no</v>
      </c>
      <c r="Q32" s="76" t="str">
        <f t="shared" si="0"/>
        <v>INTEGER</v>
      </c>
      <c r="R32" s="76" t="str">
        <f t="shared" si="1"/>
        <v/>
      </c>
      <c r="S32" s="76" t="str">
        <f t="shared" si="5"/>
        <v/>
      </c>
      <c r="T32" s="76" t="str">
        <f t="shared" si="6"/>
        <v>-- シーケンス番号</v>
      </c>
      <c r="U32" s="4"/>
      <c r="AA32" s="4"/>
      <c r="AB32" s="4"/>
      <c r="AC32" s="4"/>
      <c r="AD32" s="4"/>
      <c r="AE32" s="4"/>
      <c r="AF32" s="4"/>
      <c r="AG32" s="4"/>
      <c r="AH32" s="4"/>
      <c r="AI32" s="4"/>
      <c r="AJ32" s="76" t="str">
        <f>IF(E32="○",IF(COUNTA(E$13:E32)=1,"",",")&amp;D32,"")</f>
        <v>,seq_no</v>
      </c>
      <c r="AK32" s="4"/>
      <c r="AL32" s="4"/>
      <c r="AM32" s="4"/>
      <c r="AN32" s="4"/>
      <c r="AO32" s="4"/>
      <c r="AP32" s="4"/>
      <c r="AQ32" s="4"/>
      <c r="AR32" s="4"/>
      <c r="AS32" s="76" t="str">
        <f>"COMMENT ON COLUMN "&amp;エンティティ一覧!$O$2&amp;"."&amp;D$8&amp;"."&amp;D32&amp;" IS '"&amp;C32&amp;"';"</f>
        <v>COMMENT ON COLUMN milscm_2023_010.azn_202310_backup_shohou_first_criteria.seq_no IS 'シーケンス番号';</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ENT_01_02</v>
      </c>
      <c r="E6" s="272"/>
      <c r="F6" s="272"/>
      <c r="G6" s="272"/>
      <c r="H6" s="272"/>
      <c r="I6" s="272"/>
      <c r="J6" s="273"/>
    </row>
    <row r="7" spans="1:45">
      <c r="B7" s="261" t="s">
        <v>115</v>
      </c>
      <c r="C7" s="262"/>
      <c r="D7" s="263" t="s">
        <v>3676</v>
      </c>
      <c r="E7" s="264"/>
      <c r="F7" s="264"/>
      <c r="G7" s="264"/>
      <c r="H7" s="264"/>
      <c r="I7" s="264"/>
      <c r="J7" s="265"/>
    </row>
    <row r="8" spans="1:45">
      <c r="B8" s="261" t="s">
        <v>116</v>
      </c>
      <c r="C8" s="262"/>
      <c r="D8" s="263" t="str">
        <f>エンティティ一覧!AE2&amp;"_"&amp;D5&amp;"_kanja_first_criteria"</f>
        <v>azn_202310_backup_kanja_first_criteria</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患者マスタ_組入れ第一条件テーブルから組入れ条件の第一条件で絞り込んだ結果を格納するテーブル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milscm_2023_010.azn_202310_backup_kanja_first_criteria;</v>
      </c>
      <c r="O10" s="76"/>
      <c r="P10" s="76"/>
      <c r="Q10" s="76"/>
      <c r="R10" s="76"/>
      <c r="S10" s="76"/>
      <c r="T10" s="76"/>
      <c r="AJ10" s="76" t="str">
        <f>"ALTER TABLE ONLY "&amp;エンティティ一覧!$O$2&amp;"."&amp;D$8</f>
        <v>ALTER TABLE ONLY milscm_2023_010.azn_202310_backup_kanja_first_criteria</v>
      </c>
      <c r="AS10" s="76" t="str">
        <f>"ALTER TABLE "&amp;エンティティ一覧!$O$2&amp;"."&amp;D$8&amp;" OWNER TO pgmisgrp1;"</f>
        <v>ALTER TABLE milscm_2023_010.azn_202310_backup_kanja_first_criteria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milscm_2023_010.azn_202310_backup_kanja_first_criteria</v>
      </c>
      <c r="O11" s="76"/>
      <c r="P11" s="76"/>
      <c r="Q11" s="76"/>
      <c r="R11" s="76"/>
      <c r="S11" s="76"/>
      <c r="T11" s="76"/>
      <c r="AJ11" s="76" t="str">
        <f>"ADD CONSTRAINT "&amp;D$8&amp;"_pkey PRIMARY KEY"</f>
        <v>ADD CONSTRAINT azn_202310_backup_kanja_first_criteria_pkey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milscm_2023_010.azn_202310_backup_kanja_first_criteria IS 'バックアップ_患者マスタ_組入れ第一条件';</v>
      </c>
    </row>
    <row r="13" spans="1:45" s="25" customFormat="1">
      <c r="A13" s="4"/>
      <c r="B13" s="21">
        <f>ROW()-12</f>
        <v>1</v>
      </c>
      <c r="C13" s="6" t="s">
        <v>1841</v>
      </c>
      <c r="D13" s="6" t="s">
        <v>128</v>
      </c>
      <c r="E13" s="8" t="s">
        <v>127</v>
      </c>
      <c r="F13" s="8" t="s">
        <v>1826</v>
      </c>
      <c r="G13" s="7" t="str">
        <f>IF(F13="フラグ","boolean",IF(F13="文字列","text",IF(F13="整数","integer",IF(F13="実数","numeric",""))))</f>
        <v>text</v>
      </c>
      <c r="H13" s="9"/>
      <c r="I13" s="10" t="s">
        <v>127</v>
      </c>
      <c r="J13" s="11"/>
      <c r="M13" s="4"/>
      <c r="N13" s="76"/>
      <c r="O13" s="76"/>
      <c r="P13" s="76" t="str">
        <f>IF(B13&lt;&gt;1,","&amp;D13,D13)</f>
        <v>facility_id</v>
      </c>
      <c r="Q13" s="76" t="str">
        <f t="shared" ref="Q13:Q17" si="0">UPPER(G13)</f>
        <v>TEXT</v>
      </c>
      <c r="R13" s="76" t="str">
        <f t="shared" ref="R13:R17"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milscm_2023_010.azn_202310_backup_kanja_first_criteria.facility_id IS '施設ID';</v>
      </c>
    </row>
    <row r="14" spans="1:45" s="25" customFormat="1">
      <c r="A14" s="4"/>
      <c r="B14" s="21">
        <f t="shared" ref="B14" si="2">ROW()-12</f>
        <v>2</v>
      </c>
      <c r="C14" s="6" t="s">
        <v>2785</v>
      </c>
      <c r="D14" s="6" t="s">
        <v>2401</v>
      </c>
      <c r="E14" s="8"/>
      <c r="F14" s="7" t="s">
        <v>1819</v>
      </c>
      <c r="G14" s="7" t="str">
        <f t="shared" ref="G14" si="3">IF(F14="フラグ","boolean",IF(F14="文字列","text",IF(F14="整数","integer",IF(F14="実数","numeric",""))))</f>
        <v>text</v>
      </c>
      <c r="H14" s="26"/>
      <c r="I14" s="10" t="s">
        <v>127</v>
      </c>
      <c r="J14" s="11" t="s">
        <v>2791</v>
      </c>
      <c r="M14" s="4"/>
      <c r="N14" s="76"/>
      <c r="O14" s="76"/>
      <c r="P14" s="76" t="str">
        <f t="shared" ref="P14" si="4">IF(B14&lt;&gt;1,","&amp;D14,D14)</f>
        <v>,facility_id_mml</v>
      </c>
      <c r="Q14" s="76" t="str">
        <f t="shared" si="0"/>
        <v>TEXT</v>
      </c>
      <c r="R14" s="76" t="str">
        <f t="shared" si="1"/>
        <v/>
      </c>
      <c r="S14" s="76" t="str">
        <f t="shared" ref="S14" si="5">IF(I14="○","NOT NULL","")</f>
        <v>NOT NULL</v>
      </c>
      <c r="T14" s="76" t="str">
        <f t="shared" ref="T14" si="6">"-- "&amp;C14</f>
        <v>-- 施設ID（MML）</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milscm_2023_010.azn_202310_backup_kanja_first_criteria.facility_id_mml IS '施設ID（MML）';</v>
      </c>
    </row>
    <row r="15" spans="1:45" s="25" customFormat="1">
      <c r="A15" s="4"/>
      <c r="B15" s="21">
        <f t="shared" ref="B15:B16" si="7">ROW()-12</f>
        <v>3</v>
      </c>
      <c r="C15" s="6" t="s">
        <v>1842</v>
      </c>
      <c r="D15" s="6" t="s">
        <v>1843</v>
      </c>
      <c r="E15" s="8" t="s">
        <v>127</v>
      </c>
      <c r="F15" s="7" t="s">
        <v>1826</v>
      </c>
      <c r="G15" s="7" t="str">
        <f t="shared" ref="G15:G17" si="8">IF(F15="フラグ","boolean",IF(F15="文字列","text",IF(F15="整数","integer",IF(F15="実数","numeric",""))))</f>
        <v>text</v>
      </c>
      <c r="H15" s="26"/>
      <c r="I15" s="10" t="s">
        <v>127</v>
      </c>
      <c r="J15" s="11" t="s">
        <v>1844</v>
      </c>
      <c r="M15" s="4"/>
      <c r="N15" s="76"/>
      <c r="O15" s="76"/>
      <c r="P15" s="76" t="str">
        <f t="shared" ref="P15:P17" si="9">IF(B15&lt;&gt;1,","&amp;D15,D15)</f>
        <v>,himoduke_id</v>
      </c>
      <c r="Q15" s="76" t="str">
        <f t="shared" si="0"/>
        <v>TEXT</v>
      </c>
      <c r="R15" s="76" t="str">
        <f t="shared" si="1"/>
        <v/>
      </c>
      <c r="S15" s="76" t="str">
        <f t="shared" ref="S15:S17" si="10">IF(I15="○","NOT NULL","")</f>
        <v>NOT NULL</v>
      </c>
      <c r="T15" s="76" t="str">
        <f t="shared" ref="T15:T17" si="11">"-- "&amp;C15</f>
        <v>-- 紐付けID</v>
      </c>
      <c r="U15" s="4"/>
      <c r="AA15" s="4"/>
      <c r="AB15" s="4"/>
      <c r="AC15" s="4"/>
      <c r="AD15" s="4"/>
      <c r="AE15" s="4"/>
      <c r="AF15" s="4"/>
      <c r="AG15" s="4"/>
      <c r="AH15" s="4"/>
      <c r="AI15" s="4"/>
      <c r="AJ15" s="76" t="str">
        <f>IF(E15="○",IF(COUNTA(E$13:E15)=1,"",",")&amp;D15,"")</f>
        <v>,himoduke_id</v>
      </c>
      <c r="AK15" s="4"/>
      <c r="AL15" s="4"/>
      <c r="AM15" s="4"/>
      <c r="AN15" s="4"/>
      <c r="AO15" s="4"/>
      <c r="AP15" s="4"/>
      <c r="AQ15" s="4"/>
      <c r="AR15" s="4"/>
      <c r="AS15" s="76" t="str">
        <f>"COMMENT ON COLUMN "&amp;エンティティ一覧!$O$2&amp;"."&amp;D$8&amp;"."&amp;D15&amp;" IS '"&amp;C15&amp;"';"</f>
        <v>COMMENT ON COLUMN milscm_2023_010.azn_202310_backup_kanja_first_criteria.himoduke_id IS '紐付けID';</v>
      </c>
    </row>
    <row r="16" spans="1:45" s="25" customFormat="1">
      <c r="A16" s="4"/>
      <c r="B16" s="21">
        <f t="shared" si="7"/>
        <v>4</v>
      </c>
      <c r="C16" s="6" t="s">
        <v>1818</v>
      </c>
      <c r="D16" s="6" t="s">
        <v>207</v>
      </c>
      <c r="E16" s="8" t="s">
        <v>127</v>
      </c>
      <c r="F16" s="7" t="s">
        <v>1819</v>
      </c>
      <c r="G16" s="7" t="str">
        <f t="shared" si="8"/>
        <v>text</v>
      </c>
      <c r="H16" s="26"/>
      <c r="I16" s="10" t="s">
        <v>127</v>
      </c>
      <c r="J16" s="11" t="s">
        <v>1822</v>
      </c>
      <c r="M16" s="4"/>
      <c r="N16" s="76"/>
      <c r="O16" s="76"/>
      <c r="P16" s="76" t="str">
        <f t="shared" si="9"/>
        <v>,data_type</v>
      </c>
      <c r="Q16" s="76" t="str">
        <f t="shared" si="0"/>
        <v>TEXT</v>
      </c>
      <c r="R16" s="76" t="str">
        <f t="shared" si="1"/>
        <v/>
      </c>
      <c r="S16" s="76" t="str">
        <f t="shared" si="10"/>
        <v>NOT NULL</v>
      </c>
      <c r="T16" s="76" t="str">
        <f t="shared" si="11"/>
        <v>-- データ種別</v>
      </c>
      <c r="U16" s="4"/>
      <c r="AA16" s="4"/>
      <c r="AB16" s="4"/>
      <c r="AC16" s="4"/>
      <c r="AD16" s="4"/>
      <c r="AE16" s="4"/>
      <c r="AF16" s="4"/>
      <c r="AG16" s="4"/>
      <c r="AH16" s="4"/>
      <c r="AI16" s="4"/>
      <c r="AJ16" s="76" t="str">
        <f>IF(E16="○",IF(COUNTA(E$13:E16)=1,"",",")&amp;D16,"")</f>
        <v>,data_type</v>
      </c>
      <c r="AK16" s="4"/>
      <c r="AL16" s="4"/>
      <c r="AM16" s="4"/>
      <c r="AN16" s="4"/>
      <c r="AO16" s="4"/>
      <c r="AP16" s="4"/>
      <c r="AQ16" s="4"/>
      <c r="AR16" s="4"/>
      <c r="AS16" s="76" t="str">
        <f>"COMMENT ON COLUMN "&amp;エンティティ一覧!$O$2&amp;"."&amp;D$8&amp;"."&amp;D16&amp;" IS '"&amp;C16&amp;"';"</f>
        <v>COMMENT ON COLUMN milscm_2023_010.azn_202310_backup_kanja_first_criteria.data_type IS 'データ種別';</v>
      </c>
    </row>
    <row r="17" spans="1:52" s="25" customFormat="1" ht="19.5" thickBot="1">
      <c r="A17" s="4"/>
      <c r="B17" s="27">
        <f>ROW()-12</f>
        <v>5</v>
      </c>
      <c r="C17" s="57" t="s">
        <v>1820</v>
      </c>
      <c r="D17" s="57" t="s">
        <v>1821</v>
      </c>
      <c r="E17" s="56" t="s">
        <v>127</v>
      </c>
      <c r="F17" s="56" t="s">
        <v>1735</v>
      </c>
      <c r="G17" s="56" t="str">
        <f t="shared" si="8"/>
        <v>text</v>
      </c>
      <c r="H17" s="59"/>
      <c r="I17" s="60" t="s">
        <v>127</v>
      </c>
      <c r="J17" s="63"/>
      <c r="N17" s="76"/>
      <c r="O17" s="76"/>
      <c r="P17" s="76" t="str">
        <f t="shared" si="9"/>
        <v>,patient_id</v>
      </c>
      <c r="Q17" s="76" t="str">
        <f t="shared" si="0"/>
        <v>TEXT</v>
      </c>
      <c r="R17" s="76" t="str">
        <f t="shared" si="1"/>
        <v/>
      </c>
      <c r="S17" s="76" t="str">
        <f t="shared" si="10"/>
        <v>NOT NULL</v>
      </c>
      <c r="T17" s="76" t="str">
        <f t="shared" si="11"/>
        <v>-- 患者ID</v>
      </c>
      <c r="U17" s="4"/>
      <c r="AA17" s="4"/>
      <c r="AB17" s="4"/>
      <c r="AC17" s="4"/>
      <c r="AD17" s="4"/>
      <c r="AE17" s="4"/>
      <c r="AF17" s="4"/>
      <c r="AG17" s="4"/>
      <c r="AH17" s="4"/>
      <c r="AI17" s="4"/>
      <c r="AJ17" s="76" t="str">
        <f>IF(E17="○",IF(COUNTA(E$13:E17)=1,"",",")&amp;D17,"")</f>
        <v>,patient_id</v>
      </c>
      <c r="AK17" s="4"/>
      <c r="AL17" s="4"/>
      <c r="AM17" s="4"/>
      <c r="AN17" s="4"/>
      <c r="AO17" s="4"/>
      <c r="AP17" s="4"/>
      <c r="AQ17" s="4"/>
      <c r="AR17" s="4"/>
      <c r="AS17" s="76" t="str">
        <f>"COMMENT ON COLUMN "&amp;エンティティ一覧!$O$2&amp;"."&amp;D$8&amp;"."&amp;D17&amp;" IS '"&amp;C17&amp;"';"</f>
        <v>COMMENT ON COLUMN milscm_2023_010.azn_202310_backup_kanja_first_criteria.patient_id IS '患者ID';</v>
      </c>
    </row>
    <row r="18" spans="1:52">
      <c r="L18" s="25"/>
      <c r="M18" s="25"/>
      <c r="N18" s="76" t="s">
        <v>142</v>
      </c>
      <c r="O18" s="76"/>
      <c r="P18" s="76"/>
      <c r="Q18" s="76"/>
      <c r="R18" s="76"/>
      <c r="S18" s="76"/>
      <c r="T18" s="76"/>
      <c r="V18" s="25"/>
      <c r="W18" s="25"/>
      <c r="X18" s="25"/>
      <c r="Y18" s="25"/>
      <c r="Z18" s="25"/>
      <c r="AJ18" s="76"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ENT_01_A1-02</v>
      </c>
      <c r="E6" s="272"/>
      <c r="F6" s="272"/>
      <c r="G6" s="272"/>
      <c r="H6" s="272"/>
      <c r="I6" s="272"/>
      <c r="J6" s="273"/>
    </row>
    <row r="7" spans="1:45">
      <c r="B7" s="261" t="s">
        <v>115</v>
      </c>
      <c r="C7" s="262"/>
      <c r="D7" s="263" t="s">
        <v>1733</v>
      </c>
      <c r="E7" s="264"/>
      <c r="F7" s="264"/>
      <c r="G7" s="264"/>
      <c r="H7" s="264"/>
      <c r="I7" s="264"/>
      <c r="J7" s="265"/>
    </row>
    <row r="8" spans="1:45">
      <c r="B8" s="261" t="s">
        <v>116</v>
      </c>
      <c r="C8" s="262"/>
      <c r="D8" s="263" t="str">
        <f>エンティティ一覧!AE2&amp;"_"&amp;D5&amp;"_mart_shohou"</f>
        <v>azn_202310_backup_mart_shohou</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処方データテーブルから組入れ条件の第一条件で絞り込んだ結果を格納するテーブル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milscm_2023_010.azn_202310_backup_mart_shohou;</v>
      </c>
      <c r="O10" s="76"/>
      <c r="P10" s="76"/>
      <c r="Q10" s="76"/>
      <c r="R10" s="76"/>
      <c r="S10" s="76"/>
      <c r="T10" s="76"/>
      <c r="AJ10" s="76" t="str">
        <f>"ALTER TABLE ONLY "&amp;エンティティ一覧!$O$2&amp;"."&amp;D$8</f>
        <v>ALTER TABLE ONLY milscm_2023_010.azn_202310_backup_mart_shohou</v>
      </c>
      <c r="AS10" s="76" t="str">
        <f>"ALTER TABLE "&amp;エンティティ一覧!$O$2&amp;"."&amp;D$8&amp;" OWNER TO pgmisgrp1;"</f>
        <v>ALTER TABLE milscm_2023_010.azn_202310_backup_mart_shohou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milscm_2023_010.azn_202310_backup_mart_shohou</v>
      </c>
      <c r="O11" s="76"/>
      <c r="P11" s="76"/>
      <c r="Q11" s="76"/>
      <c r="R11" s="76"/>
      <c r="S11" s="76"/>
      <c r="T11" s="76"/>
      <c r="AJ11" s="76" t="str">
        <f>"ADD CONSTRAINT "&amp;D$8&amp;"_pkey PRIMARY KEY"</f>
        <v>ADD CONSTRAINT azn_202310_backup_mart_shohou_pkey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milscm_2023_010.azn_202310_backup_mart_shohou IS 'バックアップ_処方データ';</v>
      </c>
    </row>
    <row r="13" spans="1:45" s="25" customFormat="1">
      <c r="A13" s="4"/>
      <c r="B13" s="21">
        <f>ROW()-12</f>
        <v>1</v>
      </c>
      <c r="C13" s="6" t="s">
        <v>1734</v>
      </c>
      <c r="D13" s="6" t="s">
        <v>209</v>
      </c>
      <c r="E13" s="8" t="s">
        <v>127</v>
      </c>
      <c r="F13" s="8" t="s">
        <v>1735</v>
      </c>
      <c r="G13" s="7" t="str">
        <f>IF(F13="フラグ","boolean",IF(F13="文字列","text",IF(F13="整数","integer",IF(F13="実数","numeric",""))))</f>
        <v>text</v>
      </c>
      <c r="H13" s="9"/>
      <c r="I13" s="10" t="s">
        <v>127</v>
      </c>
      <c r="J13" s="11" t="s">
        <v>1754</v>
      </c>
      <c r="M13" s="4"/>
      <c r="N13" s="76"/>
      <c r="O13" s="76"/>
      <c r="P13" s="76" t="str">
        <f>IF(B13&lt;&gt;1,","&amp;D13,D13)</f>
        <v>shikibetsu_no</v>
      </c>
      <c r="Q13" s="76" t="str">
        <f t="shared" ref="Q13:Q32" si="0">UPPER(G13)</f>
        <v>TEXT</v>
      </c>
      <c r="R13" s="76" t="str">
        <f t="shared" ref="R13:R32"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milscm_2023_010.azn_202310_backup_mart_shohou.shikibetsu_no IS 'データ識別番号';</v>
      </c>
    </row>
    <row r="14" spans="1:45" s="25" customFormat="1">
      <c r="A14" s="4"/>
      <c r="B14" s="21">
        <f t="shared" ref="B14:B31" si="2">ROW()-12</f>
        <v>2</v>
      </c>
      <c r="C14" s="6" t="s">
        <v>137</v>
      </c>
      <c r="D14" s="6" t="s">
        <v>128</v>
      </c>
      <c r="E14" s="8" t="s">
        <v>127</v>
      </c>
      <c r="F14" s="7" t="s">
        <v>1735</v>
      </c>
      <c r="G14" s="7" t="str">
        <f t="shared" ref="G14:G32" si="3">IF(F14="フラグ","boolean",IF(F14="文字列","text",IF(F14="整数","integer",IF(F14="実数","numeric",""))))</f>
        <v>text</v>
      </c>
      <c r="H14" s="26"/>
      <c r="I14" s="10" t="s">
        <v>127</v>
      </c>
      <c r="J14" s="11" t="s">
        <v>1754</v>
      </c>
      <c r="M14" s="4"/>
      <c r="N14" s="76"/>
      <c r="O14" s="76"/>
      <c r="P14" s="76" t="str">
        <f t="shared" ref="P14:P32" si="4">IF(B14&lt;&gt;1,","&amp;D14,D14)</f>
        <v>,facility_id</v>
      </c>
      <c r="Q14" s="76" t="str">
        <f t="shared" si="0"/>
        <v>TEXT</v>
      </c>
      <c r="R14" s="76" t="str">
        <f t="shared" si="1"/>
        <v/>
      </c>
      <c r="S14" s="76" t="str">
        <f>IF(I14="○","NOT NULL","")</f>
        <v>NOT NULL</v>
      </c>
      <c r="T14" s="76" t="str">
        <f>"--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milscm_2023_010.azn_202310_backup_mart_shohou.facility_id IS '施設ID';</v>
      </c>
    </row>
    <row r="15" spans="1:45" s="25" customFormat="1">
      <c r="A15" s="4"/>
      <c r="B15" s="21">
        <f t="shared" si="2"/>
        <v>3</v>
      </c>
      <c r="C15" s="13" t="s">
        <v>1736</v>
      </c>
      <c r="D15" s="13" t="s">
        <v>205</v>
      </c>
      <c r="E15" s="7" t="s">
        <v>127</v>
      </c>
      <c r="F15" s="7" t="s">
        <v>1735</v>
      </c>
      <c r="G15" s="7" t="str">
        <f t="shared" si="3"/>
        <v>text</v>
      </c>
      <c r="H15" s="58"/>
      <c r="I15" s="23" t="s">
        <v>127</v>
      </c>
      <c r="J15" s="24" t="s">
        <v>1754</v>
      </c>
      <c r="M15" s="4"/>
      <c r="N15" s="76"/>
      <c r="O15" s="76"/>
      <c r="P15" s="76" t="str">
        <f t="shared" si="4"/>
        <v>,shinryo_ym</v>
      </c>
      <c r="Q15" s="76" t="str">
        <f t="shared" si="0"/>
        <v>TEXT</v>
      </c>
      <c r="R15" s="76" t="str">
        <f t="shared" si="1"/>
        <v/>
      </c>
      <c r="S15" s="76" t="str">
        <f t="shared" ref="S15:S32" si="5">IF(I15="○","NOT NULL","")</f>
        <v>NOT NULL</v>
      </c>
      <c r="T15" s="76" t="str">
        <f t="shared" ref="T15:T32" si="6">"-- "&amp;C15</f>
        <v>-- 診療年月</v>
      </c>
      <c r="U15" s="4"/>
      <c r="AA15" s="4"/>
      <c r="AB15" s="4"/>
      <c r="AC15" s="4"/>
      <c r="AD15" s="4"/>
      <c r="AE15" s="4"/>
      <c r="AF15" s="4"/>
      <c r="AG15" s="4"/>
      <c r="AH15" s="4"/>
      <c r="AI15" s="4"/>
      <c r="AJ15" s="76" t="str">
        <f>IF(E15="○",IF(COUNTA(E$13:E15)=1,"",",")&amp;D15,"")</f>
        <v>,shinryo_ym</v>
      </c>
      <c r="AK15" s="4"/>
      <c r="AL15" s="4"/>
      <c r="AM15" s="4"/>
      <c r="AN15" s="4"/>
      <c r="AO15" s="4"/>
      <c r="AP15" s="4"/>
      <c r="AQ15" s="4"/>
      <c r="AR15" s="4"/>
      <c r="AS15" s="76" t="str">
        <f>"COMMENT ON COLUMN "&amp;エンティティ一覧!$O$2&amp;"."&amp;D$8&amp;"."&amp;D15&amp;" IS '"&amp;C15&amp;"';"</f>
        <v>COMMENT ON COLUMN milscm_2023_010.azn_202310_backup_mart_shohou.shinryo_ym IS '診療年月';</v>
      </c>
    </row>
    <row r="16" spans="1:45" s="25" customFormat="1">
      <c r="A16" s="4"/>
      <c r="B16" s="21">
        <f t="shared" si="2"/>
        <v>4</v>
      </c>
      <c r="C16" s="13" t="s">
        <v>1737</v>
      </c>
      <c r="D16" s="13" t="s">
        <v>213</v>
      </c>
      <c r="E16" s="7" t="s">
        <v>127</v>
      </c>
      <c r="F16" s="7" t="s">
        <v>1735</v>
      </c>
      <c r="G16" s="7" t="str">
        <f t="shared" si="3"/>
        <v>text</v>
      </c>
      <c r="H16" s="58"/>
      <c r="I16" s="23" t="s">
        <v>127</v>
      </c>
      <c r="J16" s="24" t="s">
        <v>1754</v>
      </c>
      <c r="M16" s="4"/>
      <c r="N16" s="76"/>
      <c r="O16" s="76"/>
      <c r="P16" s="76" t="str">
        <f t="shared" si="4"/>
        <v>,data_kubun</v>
      </c>
      <c r="Q16" s="76" t="str">
        <f t="shared" si="0"/>
        <v>TEXT</v>
      </c>
      <c r="R16" s="76" t="str">
        <f t="shared" si="1"/>
        <v/>
      </c>
      <c r="S16" s="76" t="str">
        <f t="shared" si="5"/>
        <v>NOT NULL</v>
      </c>
      <c r="T16" s="76" t="str">
        <f t="shared" si="6"/>
        <v>-- データ区分</v>
      </c>
      <c r="U16" s="4"/>
      <c r="AA16" s="4"/>
      <c r="AB16" s="4"/>
      <c r="AC16" s="4"/>
      <c r="AD16" s="4"/>
      <c r="AE16" s="4"/>
      <c r="AF16" s="4"/>
      <c r="AG16" s="4"/>
      <c r="AH16" s="4"/>
      <c r="AI16" s="4"/>
      <c r="AJ16" s="76" t="str">
        <f>IF(E16="○",IF(COUNTA(E$13:E16)=1,"",",")&amp;D16,"")</f>
        <v>,data_kubun</v>
      </c>
      <c r="AK16" s="4"/>
      <c r="AL16" s="4"/>
      <c r="AM16" s="4"/>
      <c r="AN16" s="4"/>
      <c r="AO16" s="4"/>
      <c r="AP16" s="4"/>
      <c r="AQ16" s="4"/>
      <c r="AR16" s="4"/>
      <c r="AS16" s="76" t="str">
        <f>"COMMENT ON COLUMN "&amp;エンティティ一覧!$O$2&amp;"."&amp;D$8&amp;"."&amp;D16&amp;" IS '"&amp;C16&amp;"';"</f>
        <v>COMMENT ON COLUMN milscm_2023_010.azn_202310_backup_mart_shohou.data_kubun IS 'データ区分';</v>
      </c>
    </row>
    <row r="17" spans="1:45" s="25" customFormat="1">
      <c r="A17" s="4"/>
      <c r="B17" s="21">
        <f t="shared" si="2"/>
        <v>5</v>
      </c>
      <c r="C17" s="13" t="s">
        <v>1738</v>
      </c>
      <c r="D17" s="13" t="s">
        <v>215</v>
      </c>
      <c r="E17" s="7" t="s">
        <v>127</v>
      </c>
      <c r="F17" s="7" t="s">
        <v>1735</v>
      </c>
      <c r="G17" s="7" t="str">
        <f t="shared" si="3"/>
        <v>text</v>
      </c>
      <c r="H17" s="58"/>
      <c r="I17" s="23" t="s">
        <v>127</v>
      </c>
      <c r="J17" s="24" t="s">
        <v>1754</v>
      </c>
      <c r="M17" s="4"/>
      <c r="N17" s="76"/>
      <c r="O17" s="76"/>
      <c r="P17" s="76" t="str">
        <f t="shared" si="4"/>
        <v>,junjo_no</v>
      </c>
      <c r="Q17" s="76" t="str">
        <f t="shared" si="0"/>
        <v>TEXT</v>
      </c>
      <c r="R17" s="76" t="str">
        <f t="shared" si="1"/>
        <v/>
      </c>
      <c r="S17" s="76" t="str">
        <f t="shared" si="5"/>
        <v>NOT NULL</v>
      </c>
      <c r="T17" s="76" t="str">
        <f t="shared" si="6"/>
        <v>-- 順序番号</v>
      </c>
      <c r="U17" s="4"/>
      <c r="AA17" s="4"/>
      <c r="AB17" s="4"/>
      <c r="AC17" s="4"/>
      <c r="AD17" s="4"/>
      <c r="AE17" s="4"/>
      <c r="AF17" s="4"/>
      <c r="AG17" s="4"/>
      <c r="AH17" s="4"/>
      <c r="AI17" s="4"/>
      <c r="AJ17" s="76" t="str">
        <f>IF(E17="○",IF(COUNTA(E$13:E17)=1,"",",")&amp;D17,"")</f>
        <v>,junjo_no</v>
      </c>
      <c r="AK17" s="4"/>
      <c r="AL17" s="4"/>
      <c r="AM17" s="4"/>
      <c r="AN17" s="4"/>
      <c r="AO17" s="4"/>
      <c r="AP17" s="4"/>
      <c r="AQ17" s="4"/>
      <c r="AR17" s="4"/>
      <c r="AS17" s="76" t="str">
        <f>"COMMENT ON COLUMN "&amp;エンティティ一覧!$O$2&amp;"."&amp;D$8&amp;"."&amp;D17&amp;" IS '"&amp;C17&amp;"';"</f>
        <v>COMMENT ON COLUMN milscm_2023_010.azn_202310_backup_mart_shohou.junjo_no IS '順序番号';</v>
      </c>
    </row>
    <row r="18" spans="1:45" s="25" customFormat="1" ht="37.5">
      <c r="A18" s="4"/>
      <c r="B18" s="21">
        <f t="shared" si="2"/>
        <v>6</v>
      </c>
      <c r="C18" s="13" t="s">
        <v>1739</v>
      </c>
      <c r="D18" s="13" t="s">
        <v>153</v>
      </c>
      <c r="E18" s="7" t="s">
        <v>127</v>
      </c>
      <c r="F18" s="7" t="s">
        <v>1735</v>
      </c>
      <c r="G18" s="7" t="str">
        <f t="shared" si="3"/>
        <v>text</v>
      </c>
      <c r="H18" s="58"/>
      <c r="I18" s="23" t="s">
        <v>127</v>
      </c>
      <c r="J18" s="24" t="s">
        <v>1755</v>
      </c>
      <c r="M18" s="4"/>
      <c r="N18" s="76"/>
      <c r="O18" s="76"/>
      <c r="P18" s="76" t="str">
        <f t="shared" si="4"/>
        <v>,koi_meisai_no</v>
      </c>
      <c r="Q18" s="76" t="str">
        <f t="shared" si="0"/>
        <v>TEXT</v>
      </c>
      <c r="R18" s="76" t="str">
        <f t="shared" si="1"/>
        <v/>
      </c>
      <c r="S18" s="76" t="str">
        <f t="shared" si="5"/>
        <v>NOT NULL</v>
      </c>
      <c r="T18" s="76" t="str">
        <f t="shared" si="6"/>
        <v>-- 行為明細番号</v>
      </c>
      <c r="U18" s="4"/>
      <c r="AA18" s="4"/>
      <c r="AB18" s="4"/>
      <c r="AC18" s="4"/>
      <c r="AD18" s="4"/>
      <c r="AE18" s="4"/>
      <c r="AF18" s="4"/>
      <c r="AG18" s="4"/>
      <c r="AH18" s="4"/>
      <c r="AI18" s="4"/>
      <c r="AJ18" s="76" t="str">
        <f>IF(E18="○",IF(COUNTA(E$13:E18)=1,"",",")&amp;D18,"")</f>
        <v>,koi_meisai_no</v>
      </c>
      <c r="AK18" s="4"/>
      <c r="AL18" s="4"/>
      <c r="AM18" s="4"/>
      <c r="AN18" s="4"/>
      <c r="AO18" s="4"/>
      <c r="AP18" s="4"/>
      <c r="AQ18" s="4"/>
      <c r="AR18" s="4"/>
      <c r="AS18" s="76" t="str">
        <f>"COMMENT ON COLUMN "&amp;エンティティ一覧!$O$2&amp;"."&amp;D$8&amp;"."&amp;D18&amp;" IS '"&amp;C18&amp;"';"</f>
        <v>COMMENT ON COLUMN milscm_2023_010.azn_202310_backup_mart_shohou.koi_meisai_no IS '行為明細番号';</v>
      </c>
    </row>
    <row r="19" spans="1:45" s="25" customFormat="1" ht="37.5">
      <c r="A19" s="4"/>
      <c r="B19" s="21">
        <f t="shared" si="2"/>
        <v>7</v>
      </c>
      <c r="C19" s="13" t="s">
        <v>145</v>
      </c>
      <c r="D19" s="13" t="s">
        <v>154</v>
      </c>
      <c r="E19" s="7"/>
      <c r="F19" s="7" t="s">
        <v>1735</v>
      </c>
      <c r="G19" s="7" t="str">
        <f t="shared" si="3"/>
        <v>text</v>
      </c>
      <c r="H19" s="58"/>
      <c r="I19" s="23"/>
      <c r="J19" s="24" t="s">
        <v>1756</v>
      </c>
      <c r="M19" s="4"/>
      <c r="N19" s="76"/>
      <c r="O19" s="76"/>
      <c r="P19" s="76" t="str">
        <f t="shared" si="4"/>
        <v>,receipt_densan_code</v>
      </c>
      <c r="Q19" s="76" t="str">
        <f t="shared" si="0"/>
        <v>TEXT</v>
      </c>
      <c r="R19" s="76" t="str">
        <f t="shared" si="1"/>
        <v/>
      </c>
      <c r="S19" s="76" t="str">
        <f t="shared" si="5"/>
        <v/>
      </c>
      <c r="T19" s="76" t="str">
        <f t="shared" si="6"/>
        <v>-- レセプト電算処理システム用コード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milscm_2023_010.azn_202310_backup_mart_shohou.receipt_densan_code IS 'レセプト電算処理システム用コード';</v>
      </c>
    </row>
    <row r="20" spans="1:45" s="25" customFormat="1">
      <c r="A20" s="4"/>
      <c r="B20" s="21">
        <f t="shared" si="2"/>
        <v>8</v>
      </c>
      <c r="C20" s="13" t="s">
        <v>1740</v>
      </c>
      <c r="D20" s="13" t="s">
        <v>219</v>
      </c>
      <c r="E20" s="7"/>
      <c r="F20" s="7" t="s">
        <v>1735</v>
      </c>
      <c r="G20" s="7" t="str">
        <f t="shared" si="3"/>
        <v>text</v>
      </c>
      <c r="H20" s="58"/>
      <c r="I20" s="23"/>
      <c r="J20" s="24" t="s">
        <v>1754</v>
      </c>
      <c r="M20" s="4"/>
      <c r="N20" s="76"/>
      <c r="O20" s="76"/>
      <c r="P20" s="76" t="str">
        <f t="shared" si="4"/>
        <v>,kaishaku_no</v>
      </c>
      <c r="Q20" s="76" t="str">
        <f t="shared" si="0"/>
        <v>TEXT</v>
      </c>
      <c r="R20" s="76" t="str">
        <f t="shared" si="1"/>
        <v/>
      </c>
      <c r="S20" s="76" t="str">
        <f t="shared" si="5"/>
        <v/>
      </c>
      <c r="T20" s="76" t="str">
        <f t="shared" si="6"/>
        <v>-- 解釈番号</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milscm_2023_010.azn_202310_backup_mart_shohou.kaishaku_no IS '解釈番号';</v>
      </c>
    </row>
    <row r="21" spans="1:45" s="25" customFormat="1">
      <c r="A21" s="4"/>
      <c r="B21" s="21">
        <f t="shared" si="2"/>
        <v>9</v>
      </c>
      <c r="C21" s="13" t="s">
        <v>1741</v>
      </c>
      <c r="D21" s="13" t="s">
        <v>129</v>
      </c>
      <c r="E21" s="7"/>
      <c r="F21" s="7" t="s">
        <v>1742</v>
      </c>
      <c r="G21" s="7" t="str">
        <f t="shared" si="3"/>
        <v>numeric</v>
      </c>
      <c r="H21" s="58"/>
      <c r="I21" s="23"/>
      <c r="J21" s="24" t="s">
        <v>1754</v>
      </c>
      <c r="M21" s="4"/>
      <c r="N21" s="76"/>
      <c r="O21" s="76"/>
      <c r="P21" s="76" t="str">
        <f t="shared" si="4"/>
        <v>,shiyoryo</v>
      </c>
      <c r="Q21" s="76" t="str">
        <f t="shared" si="0"/>
        <v>NUMERIC</v>
      </c>
      <c r="R21" s="76" t="str">
        <f t="shared" si="1"/>
        <v/>
      </c>
      <c r="S21" s="76" t="str">
        <f t="shared" si="5"/>
        <v/>
      </c>
      <c r="T21" s="76" t="str">
        <f t="shared" si="6"/>
        <v>-- 使用量</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milscm_2023_010.azn_202310_backup_mart_shohou.shiyoryo IS '使用量';</v>
      </c>
    </row>
    <row r="22" spans="1:45" s="25" customFormat="1">
      <c r="A22" s="4"/>
      <c r="B22" s="21">
        <f t="shared" si="2"/>
        <v>10</v>
      </c>
      <c r="C22" s="13" t="s">
        <v>1743</v>
      </c>
      <c r="D22" s="13" t="s">
        <v>275</v>
      </c>
      <c r="E22" s="7"/>
      <c r="F22" s="7" t="s">
        <v>1735</v>
      </c>
      <c r="G22" s="7" t="str">
        <f t="shared" si="3"/>
        <v>text</v>
      </c>
      <c r="H22" s="58"/>
      <c r="I22" s="23"/>
      <c r="J22" s="24" t="s">
        <v>1754</v>
      </c>
      <c r="M22" s="4"/>
      <c r="N22" s="76"/>
      <c r="O22" s="76"/>
      <c r="P22" s="76" t="str">
        <f t="shared" si="4"/>
        <v>,unit</v>
      </c>
      <c r="Q22" s="76" t="str">
        <f t="shared" si="0"/>
        <v>TEXT</v>
      </c>
      <c r="R22" s="76" t="str">
        <f t="shared" si="1"/>
        <v/>
      </c>
      <c r="S22" s="76" t="str">
        <f t="shared" si="5"/>
        <v/>
      </c>
      <c r="T22" s="76" t="str">
        <f t="shared" si="6"/>
        <v>-- 基準単位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milscm_2023_010.azn_202310_backup_mart_shohou.unit IS '基準単位';</v>
      </c>
    </row>
    <row r="23" spans="1:45" s="25" customFormat="1">
      <c r="A23" s="4"/>
      <c r="B23" s="21">
        <f t="shared" si="2"/>
        <v>11</v>
      </c>
      <c r="C23" s="13" t="s">
        <v>1744</v>
      </c>
      <c r="D23" s="13" t="s">
        <v>130</v>
      </c>
      <c r="E23" s="7"/>
      <c r="F23" s="7" t="s">
        <v>1742</v>
      </c>
      <c r="G23" s="7" t="str">
        <f t="shared" si="3"/>
        <v>numeric</v>
      </c>
      <c r="H23" s="58"/>
      <c r="I23" s="23"/>
      <c r="J23" s="24" t="s">
        <v>1754</v>
      </c>
      <c r="M23" s="4"/>
      <c r="N23" s="76"/>
      <c r="O23" s="76"/>
      <c r="P23" s="76" t="str">
        <f t="shared" si="4"/>
        <v>,meisai_tensu</v>
      </c>
      <c r="Q23" s="76" t="str">
        <f t="shared" si="0"/>
        <v>NUMERIC</v>
      </c>
      <c r="R23" s="76" t="str">
        <f t="shared" si="1"/>
        <v/>
      </c>
      <c r="S23" s="76" t="str">
        <f t="shared" si="5"/>
        <v/>
      </c>
      <c r="T23" s="76" t="str">
        <f t="shared" si="6"/>
        <v>-- 明細点数・金額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milscm_2023_010.azn_202310_backup_mart_shohou.meisai_tensu IS '明細点数・金額';</v>
      </c>
    </row>
    <row r="24" spans="1:45" s="25" customFormat="1" ht="37.5">
      <c r="A24" s="4"/>
      <c r="B24" s="21">
        <f t="shared" si="2"/>
        <v>12</v>
      </c>
      <c r="C24" s="13" t="s">
        <v>1745</v>
      </c>
      <c r="D24" s="13" t="s">
        <v>131</v>
      </c>
      <c r="E24" s="7"/>
      <c r="F24" s="7" t="s">
        <v>1735</v>
      </c>
      <c r="G24" s="7" t="str">
        <f t="shared" si="3"/>
        <v>text</v>
      </c>
      <c r="H24" s="58"/>
      <c r="I24" s="23"/>
      <c r="J24" s="24" t="s">
        <v>1757</v>
      </c>
      <c r="M24" s="4"/>
      <c r="N24" s="76"/>
      <c r="O24" s="76"/>
      <c r="P24" s="76" t="str">
        <f t="shared" si="4"/>
        <v>,ten_kubun</v>
      </c>
      <c r="Q24" s="76" t="str">
        <f t="shared" si="0"/>
        <v>TEXT</v>
      </c>
      <c r="R24" s="76" t="str">
        <f t="shared" si="1"/>
        <v/>
      </c>
      <c r="S24" s="76" t="str">
        <f t="shared" si="5"/>
        <v/>
      </c>
      <c r="T24" s="76" t="str">
        <f t="shared" si="6"/>
        <v>-- 円・点区分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milscm_2023_010.azn_202310_backup_mart_shohou.ten_kubun IS '円・点区分';</v>
      </c>
    </row>
    <row r="25" spans="1:45" s="25" customFormat="1">
      <c r="A25" s="4"/>
      <c r="B25" s="21">
        <f t="shared" si="2"/>
        <v>13</v>
      </c>
      <c r="C25" s="13" t="s">
        <v>1746</v>
      </c>
      <c r="D25" s="13" t="s">
        <v>132</v>
      </c>
      <c r="E25" s="7"/>
      <c r="F25" s="7" t="s">
        <v>1735</v>
      </c>
      <c r="G25" s="7" t="str">
        <f t="shared" si="3"/>
        <v>text</v>
      </c>
      <c r="H25" s="58"/>
      <c r="I25" s="23"/>
      <c r="J25" s="24" t="s">
        <v>1754</v>
      </c>
      <c r="M25" s="4"/>
      <c r="N25" s="76"/>
      <c r="O25" s="76"/>
      <c r="P25" s="76" t="str">
        <f t="shared" si="4"/>
        <v>,koi_meisai_kubun</v>
      </c>
      <c r="Q25" s="76" t="str">
        <f t="shared" si="0"/>
        <v>TEXT</v>
      </c>
      <c r="R25" s="76" t="str">
        <f t="shared" si="1"/>
        <v/>
      </c>
      <c r="S25" s="76" t="str">
        <f t="shared" si="5"/>
        <v/>
      </c>
      <c r="T25" s="76" t="str">
        <f t="shared" si="6"/>
        <v>-- 行為明細区分情報</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milscm_2023_010.azn_202310_backup_mart_shohou.koi_meisai_kubun IS '行為明細区分情報';</v>
      </c>
    </row>
    <row r="26" spans="1:45" s="25" customFormat="1">
      <c r="A26" s="4"/>
      <c r="B26" s="21">
        <f t="shared" si="2"/>
        <v>14</v>
      </c>
      <c r="C26" s="13" t="s">
        <v>1747</v>
      </c>
      <c r="D26" s="13" t="s">
        <v>133</v>
      </c>
      <c r="E26" s="7"/>
      <c r="F26" s="7" t="s">
        <v>1742</v>
      </c>
      <c r="G26" s="7" t="str">
        <f t="shared" si="3"/>
        <v>numeric</v>
      </c>
      <c r="H26" s="58"/>
      <c r="I26" s="23"/>
      <c r="J26" s="24" t="s">
        <v>1754</v>
      </c>
      <c r="M26" s="4"/>
      <c r="N26" s="76"/>
      <c r="O26" s="76"/>
      <c r="P26" s="76" t="str">
        <f t="shared" si="4"/>
        <v>,koi_times</v>
      </c>
      <c r="Q26" s="76" t="str">
        <f t="shared" si="0"/>
        <v>NUMERIC</v>
      </c>
      <c r="R26" s="76" t="str">
        <f t="shared" si="1"/>
        <v/>
      </c>
      <c r="S26" s="76" t="str">
        <f t="shared" si="5"/>
        <v/>
      </c>
      <c r="T26" s="76" t="str">
        <f t="shared" si="6"/>
        <v>-- 行為回数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milscm_2023_010.azn_202310_backup_mart_shohou.koi_times IS '行為回数';</v>
      </c>
    </row>
    <row r="27" spans="1:45" s="25" customFormat="1">
      <c r="A27" s="4"/>
      <c r="B27" s="21">
        <f t="shared" si="2"/>
        <v>15</v>
      </c>
      <c r="C27" s="13" t="s">
        <v>1748</v>
      </c>
      <c r="D27" s="13" t="s">
        <v>232</v>
      </c>
      <c r="E27" s="7"/>
      <c r="F27" s="7" t="s">
        <v>1735</v>
      </c>
      <c r="G27" s="7" t="str">
        <f t="shared" si="3"/>
        <v>text</v>
      </c>
      <c r="H27" s="58"/>
      <c r="I27" s="23"/>
      <c r="J27" s="24" t="s">
        <v>1754</v>
      </c>
      <c r="M27" s="4"/>
      <c r="N27" s="76"/>
      <c r="O27" s="76"/>
      <c r="P27" s="76" t="str">
        <f t="shared" si="4"/>
        <v>,receipt_type_code</v>
      </c>
      <c r="Q27" s="76" t="str">
        <f t="shared" si="0"/>
        <v>TEXT</v>
      </c>
      <c r="R27" s="76" t="str">
        <f t="shared" si="1"/>
        <v/>
      </c>
      <c r="S27" s="76" t="str">
        <f t="shared" si="5"/>
        <v/>
      </c>
      <c r="T27" s="76" t="str">
        <f t="shared" si="6"/>
        <v>-- レセプト種別コード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milscm_2023_010.azn_202310_backup_mart_shohou.receipt_type_code IS 'レセプト種別コード';</v>
      </c>
    </row>
    <row r="28" spans="1:45" s="25" customFormat="1">
      <c r="A28" s="4"/>
      <c r="B28" s="21">
        <f t="shared" si="2"/>
        <v>16</v>
      </c>
      <c r="C28" s="13" t="s">
        <v>1749</v>
      </c>
      <c r="D28" s="13" t="s">
        <v>155</v>
      </c>
      <c r="E28" s="7" t="s">
        <v>127</v>
      </c>
      <c r="F28" s="7" t="s">
        <v>1735</v>
      </c>
      <c r="G28" s="7" t="str">
        <f t="shared" si="3"/>
        <v>text</v>
      </c>
      <c r="H28" s="58"/>
      <c r="I28" s="23" t="s">
        <v>127</v>
      </c>
      <c r="J28" s="24" t="s">
        <v>1754</v>
      </c>
      <c r="M28" s="4"/>
      <c r="N28" s="76"/>
      <c r="O28" s="76"/>
      <c r="P28" s="76" t="str">
        <f t="shared" si="4"/>
        <v>,jisshi_ymd</v>
      </c>
      <c r="Q28" s="76" t="str">
        <f t="shared" si="0"/>
        <v>TEXT</v>
      </c>
      <c r="R28" s="76" t="str">
        <f t="shared" si="1"/>
        <v/>
      </c>
      <c r="S28" s="76" t="str">
        <f t="shared" si="5"/>
        <v>NOT NULL</v>
      </c>
      <c r="T28" s="76" t="str">
        <f t="shared" si="6"/>
        <v>-- 実施年月日</v>
      </c>
      <c r="U28" s="4"/>
      <c r="AA28" s="4"/>
      <c r="AB28" s="4"/>
      <c r="AC28" s="4"/>
      <c r="AD28" s="4"/>
      <c r="AE28" s="4"/>
      <c r="AF28" s="4"/>
      <c r="AG28" s="4"/>
      <c r="AH28" s="4"/>
      <c r="AI28" s="4"/>
      <c r="AJ28" s="76" t="str">
        <f>IF(E28="○",IF(COUNTA(E$13:E28)=1,"",",")&amp;D28,"")</f>
        <v>,jisshi_ymd</v>
      </c>
      <c r="AK28" s="4"/>
      <c r="AL28" s="4"/>
      <c r="AM28" s="4"/>
      <c r="AN28" s="4"/>
      <c r="AO28" s="4"/>
      <c r="AP28" s="4"/>
      <c r="AQ28" s="4"/>
      <c r="AR28" s="4"/>
      <c r="AS28" s="76" t="str">
        <f>"COMMENT ON COLUMN "&amp;エンティティ一覧!$O$2&amp;"."&amp;D$8&amp;"."&amp;D28&amp;" IS '"&amp;C28&amp;"';"</f>
        <v>COMMENT ON COLUMN milscm_2023_010.azn_202310_backup_mart_shohou.jisshi_ymd IS '実施年月日';</v>
      </c>
    </row>
    <row r="29" spans="1:45" s="25" customFormat="1">
      <c r="A29" s="4"/>
      <c r="B29" s="21">
        <f t="shared" si="2"/>
        <v>17</v>
      </c>
      <c r="C29" s="13" t="s">
        <v>1750</v>
      </c>
      <c r="D29" s="13" t="s">
        <v>234</v>
      </c>
      <c r="E29" s="7"/>
      <c r="F29" s="7" t="s">
        <v>1735</v>
      </c>
      <c r="G29" s="7" t="str">
        <f t="shared" si="3"/>
        <v>text</v>
      </c>
      <c r="H29" s="58"/>
      <c r="I29" s="23"/>
      <c r="J29" s="24" t="s">
        <v>1754</v>
      </c>
      <c r="M29" s="4"/>
      <c r="N29" s="76"/>
      <c r="O29" s="76"/>
      <c r="P29" s="76" t="str">
        <f t="shared" si="4"/>
        <v>,receipt_ka_kubun</v>
      </c>
      <c r="Q29" s="76" t="str">
        <f t="shared" si="0"/>
        <v>TEXT</v>
      </c>
      <c r="R29" s="76" t="str">
        <f t="shared" si="1"/>
        <v/>
      </c>
      <c r="S29" s="76" t="str">
        <f t="shared" si="5"/>
        <v/>
      </c>
      <c r="T29" s="76" t="str">
        <f t="shared" si="6"/>
        <v>-- レセプト科区分</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milscm_2023_010.azn_202310_backup_mart_shohou.receipt_ka_kubun IS 'レセプト科区分';</v>
      </c>
    </row>
    <row r="30" spans="1:45" s="25" customFormat="1">
      <c r="A30" s="4"/>
      <c r="B30" s="21">
        <f t="shared" si="2"/>
        <v>18</v>
      </c>
      <c r="C30" s="13" t="s">
        <v>134</v>
      </c>
      <c r="D30" s="13" t="s">
        <v>135</v>
      </c>
      <c r="E30" s="7"/>
      <c r="F30" s="7" t="s">
        <v>1735</v>
      </c>
      <c r="G30" s="7" t="str">
        <f t="shared" si="3"/>
        <v>text</v>
      </c>
      <c r="H30" s="58"/>
      <c r="I30" s="23"/>
      <c r="J30" s="24" t="s">
        <v>1754</v>
      </c>
      <c r="M30" s="4"/>
      <c r="N30" s="76"/>
      <c r="O30" s="76"/>
      <c r="P30" s="76" t="str">
        <f t="shared" si="4"/>
        <v>,department_kubun</v>
      </c>
      <c r="Q30" s="76" t="str">
        <f t="shared" si="0"/>
        <v>TEXT</v>
      </c>
      <c r="R30" s="76" t="str">
        <f t="shared" si="1"/>
        <v/>
      </c>
      <c r="S30" s="76" t="str">
        <f t="shared" si="5"/>
        <v/>
      </c>
      <c r="T30" s="76" t="str">
        <f t="shared" si="6"/>
        <v>-- 診療科区分</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milscm_2023_010.azn_202310_backup_mart_shohou.department_kubun IS '診療科区分';</v>
      </c>
    </row>
    <row r="31" spans="1:45" s="25" customFormat="1" ht="37.5">
      <c r="A31" s="4"/>
      <c r="B31" s="21">
        <f t="shared" si="2"/>
        <v>19</v>
      </c>
      <c r="C31" s="13" t="s">
        <v>1751</v>
      </c>
      <c r="D31" s="13" t="s">
        <v>242</v>
      </c>
      <c r="E31" s="7"/>
      <c r="F31" s="7" t="s">
        <v>1735</v>
      </c>
      <c r="G31" s="7" t="str">
        <f t="shared" si="3"/>
        <v>text</v>
      </c>
      <c r="H31" s="58"/>
      <c r="I31" s="23"/>
      <c r="J31" s="24" t="s">
        <v>1758</v>
      </c>
      <c r="M31" s="4"/>
      <c r="N31" s="76"/>
      <c r="O31" s="76"/>
      <c r="P31" s="76" t="str">
        <f t="shared" si="4"/>
        <v>,nyugai_kubun</v>
      </c>
      <c r="Q31" s="76" t="str">
        <f t="shared" si="0"/>
        <v>TEXT</v>
      </c>
      <c r="R31" s="76" t="str">
        <f t="shared" si="1"/>
        <v/>
      </c>
      <c r="S31" s="76" t="str">
        <f t="shared" si="5"/>
        <v/>
      </c>
      <c r="T31" s="76" t="str">
        <f t="shared" si="6"/>
        <v>-- 入外区分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milscm_2023_010.azn_202310_backup_mart_shohou.nyugai_kubun IS '入外区分';</v>
      </c>
    </row>
    <row r="32" spans="1:45" s="25" customFormat="1" ht="19.5" thickBot="1">
      <c r="A32" s="4"/>
      <c r="B32" s="27">
        <f>ROW()-12</f>
        <v>20</v>
      </c>
      <c r="C32" s="57" t="s">
        <v>1752</v>
      </c>
      <c r="D32" s="57" t="s">
        <v>1753</v>
      </c>
      <c r="E32" s="56" t="s">
        <v>127</v>
      </c>
      <c r="F32" s="56" t="s">
        <v>203</v>
      </c>
      <c r="G32" s="56" t="str">
        <f t="shared" si="3"/>
        <v>integer</v>
      </c>
      <c r="H32" s="59"/>
      <c r="I32" s="60"/>
      <c r="J32" s="63" t="s">
        <v>1759</v>
      </c>
      <c r="N32" s="76"/>
      <c r="O32" s="76"/>
      <c r="P32" s="76" t="str">
        <f t="shared" si="4"/>
        <v>,seq_no</v>
      </c>
      <c r="Q32" s="76" t="str">
        <f t="shared" si="0"/>
        <v>INTEGER</v>
      </c>
      <c r="R32" s="76" t="str">
        <f t="shared" si="1"/>
        <v/>
      </c>
      <c r="S32" s="76" t="str">
        <f t="shared" si="5"/>
        <v/>
      </c>
      <c r="T32" s="76" t="str">
        <f t="shared" si="6"/>
        <v>-- シーケンス番号</v>
      </c>
      <c r="U32" s="4"/>
      <c r="AA32" s="4"/>
      <c r="AB32" s="4"/>
      <c r="AC32" s="4"/>
      <c r="AD32" s="4"/>
      <c r="AE32" s="4"/>
      <c r="AF32" s="4"/>
      <c r="AG32" s="4"/>
      <c r="AH32" s="4"/>
      <c r="AI32" s="4"/>
      <c r="AJ32" s="76" t="str">
        <f>IF(E32="○",IF(COUNTA(E$13:E32)=1,"",",")&amp;D32,"")</f>
        <v>,seq_no</v>
      </c>
      <c r="AK32" s="4"/>
      <c r="AL32" s="4"/>
      <c r="AM32" s="4"/>
      <c r="AN32" s="4"/>
      <c r="AO32" s="4"/>
      <c r="AP32" s="4"/>
      <c r="AQ32" s="4"/>
      <c r="AR32" s="4"/>
      <c r="AS32" s="76" t="str">
        <f>"COMMENT ON COLUMN "&amp;エンティティ一覧!$O$2&amp;"."&amp;D$8&amp;"."&amp;D32&amp;" IS '"&amp;C32&amp;"';"</f>
        <v>COMMENT ON COLUMN milscm_2023_010.azn_202310_backup_mart_shohou.seq_no IS 'シーケンス番号';</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ENT_01_A1-03</v>
      </c>
      <c r="E6" s="272"/>
      <c r="F6" s="272"/>
      <c r="G6" s="272"/>
      <c r="H6" s="272"/>
      <c r="I6" s="272"/>
      <c r="J6" s="273"/>
    </row>
    <row r="7" spans="1:45">
      <c r="B7" s="261" t="s">
        <v>115</v>
      </c>
      <c r="C7" s="262"/>
      <c r="D7" s="263" t="s">
        <v>1760</v>
      </c>
      <c r="E7" s="264"/>
      <c r="F7" s="264"/>
      <c r="G7" s="264"/>
      <c r="H7" s="264"/>
      <c r="I7" s="264"/>
      <c r="J7" s="265"/>
    </row>
    <row r="8" spans="1:45">
      <c r="B8" s="261" t="s">
        <v>116</v>
      </c>
      <c r="C8" s="262"/>
      <c r="D8" s="263" t="str">
        <f>エンティティ一覧!AE2&amp;"_"&amp;D5&amp;"_mart_shinryou_koui"</f>
        <v>azn_202310_backup_mart_shinryou_koui</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診療行為データテーブルから組入れ条件の第一条件で絞り込んだ結果を格納するテーブル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milscm_2023_010.azn_202310_backup_mart_shinryou_koui;</v>
      </c>
      <c r="O10" s="76"/>
      <c r="P10" s="76"/>
      <c r="Q10" s="76"/>
      <c r="R10" s="76"/>
      <c r="S10" s="76"/>
      <c r="T10" s="76"/>
      <c r="AJ10" s="76" t="str">
        <f>"ALTER TABLE ONLY "&amp;エンティティ一覧!$O$2&amp;"."&amp;D$8</f>
        <v>ALTER TABLE ONLY milscm_2023_010.azn_202310_backup_mart_shinryou_koui</v>
      </c>
      <c r="AS10" s="76" t="str">
        <f>"ALTER TABLE "&amp;エンティティ一覧!$O$2&amp;"."&amp;D$8&amp;" OWNER TO pgmisgrp1;"</f>
        <v>ALTER TABLE milscm_2023_010.azn_202310_backup_mart_shinryou_koui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milscm_2023_010.azn_202310_backup_mart_shinryou_koui</v>
      </c>
      <c r="O11" s="76"/>
      <c r="P11" s="76"/>
      <c r="Q11" s="76"/>
      <c r="R11" s="76"/>
      <c r="S11" s="76"/>
      <c r="T11" s="76"/>
      <c r="AJ11" s="76" t="str">
        <f>"ADD CONSTRAINT "&amp;D$8&amp;"_pkey PRIMARY KEY"</f>
        <v>ADD CONSTRAINT azn_202310_backup_mart_shinryou_koui_pkey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milscm_2023_010.azn_202310_backup_mart_shinryou_koui IS 'バックアップ_診療行為データ';</v>
      </c>
    </row>
    <row r="13" spans="1:45" s="25" customFormat="1">
      <c r="A13" s="4"/>
      <c r="B13" s="21">
        <f>ROW()-12</f>
        <v>1</v>
      </c>
      <c r="C13" s="6" t="s">
        <v>1734</v>
      </c>
      <c r="D13" s="6" t="s">
        <v>209</v>
      </c>
      <c r="E13" s="8" t="s">
        <v>127</v>
      </c>
      <c r="F13" s="8" t="s">
        <v>1735</v>
      </c>
      <c r="G13" s="7" t="str">
        <f>IF(F13="フラグ","boolean",IF(F13="文字列","text",IF(F13="整数","integer",IF(F13="実数","numeric",""))))</f>
        <v>text</v>
      </c>
      <c r="H13" s="9"/>
      <c r="I13" s="10" t="s">
        <v>127</v>
      </c>
      <c r="J13" s="11" t="s">
        <v>1754</v>
      </c>
      <c r="M13" s="4"/>
      <c r="N13" s="76"/>
      <c r="O13" s="76"/>
      <c r="P13" s="76" t="str">
        <f>IF(B13&lt;&gt;1,","&amp;D13,D13)</f>
        <v>shikibetsu_no</v>
      </c>
      <c r="Q13" s="76" t="str">
        <f t="shared" ref="Q13:Q36" si="0">UPPER(G13)</f>
        <v>TEXT</v>
      </c>
      <c r="R13" s="76" t="str">
        <f t="shared" ref="R13:R36"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milscm_2023_010.azn_202310_backup_mart_shinryou_koui.shikibetsu_no IS 'データ識別番号';</v>
      </c>
    </row>
    <row r="14" spans="1:45" s="25" customFormat="1">
      <c r="A14" s="4"/>
      <c r="B14" s="21">
        <f t="shared" ref="B14:B35" si="2">ROW()-12</f>
        <v>2</v>
      </c>
      <c r="C14" s="6" t="s">
        <v>137</v>
      </c>
      <c r="D14" s="6" t="s">
        <v>128</v>
      </c>
      <c r="E14" s="8" t="s">
        <v>127</v>
      </c>
      <c r="F14" s="7" t="s">
        <v>1735</v>
      </c>
      <c r="G14" s="7" t="str">
        <f t="shared" ref="G14:G36" si="3">IF(F14="フラグ","boolean",IF(F14="文字列","text",IF(F14="整数","integer",IF(F14="実数","numeric",""))))</f>
        <v>text</v>
      </c>
      <c r="H14" s="26"/>
      <c r="I14" s="10" t="s">
        <v>127</v>
      </c>
      <c r="J14" s="11" t="s">
        <v>1754</v>
      </c>
      <c r="M14" s="4"/>
      <c r="N14" s="76"/>
      <c r="O14" s="76"/>
      <c r="P14" s="76" t="str">
        <f t="shared" ref="P14:P36" si="4">IF(B14&lt;&gt;1,","&amp;D14,D14)</f>
        <v>,facility_id</v>
      </c>
      <c r="Q14" s="76" t="str">
        <f t="shared" si="0"/>
        <v>TEXT</v>
      </c>
      <c r="R14" s="76" t="str">
        <f t="shared" si="1"/>
        <v/>
      </c>
      <c r="S14" s="76" t="str">
        <f>IF(I14="○","NOT NULL","")</f>
        <v>NOT NULL</v>
      </c>
      <c r="T14" s="76" t="str">
        <f>"--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milscm_2023_010.azn_202310_backup_mart_shinryou_koui.facility_id IS '施設ID';</v>
      </c>
    </row>
    <row r="15" spans="1:45" s="25" customFormat="1">
      <c r="A15" s="4"/>
      <c r="B15" s="21">
        <f t="shared" si="2"/>
        <v>3</v>
      </c>
      <c r="C15" s="13" t="s">
        <v>1736</v>
      </c>
      <c r="D15" s="13" t="s">
        <v>205</v>
      </c>
      <c r="E15" s="7" t="s">
        <v>127</v>
      </c>
      <c r="F15" s="7" t="s">
        <v>1735</v>
      </c>
      <c r="G15" s="7" t="str">
        <f t="shared" si="3"/>
        <v>text</v>
      </c>
      <c r="H15" s="58"/>
      <c r="I15" s="23" t="s">
        <v>127</v>
      </c>
      <c r="J15" s="24" t="s">
        <v>1754</v>
      </c>
      <c r="M15" s="4"/>
      <c r="N15" s="76"/>
      <c r="O15" s="76"/>
      <c r="P15" s="76" t="str">
        <f t="shared" si="4"/>
        <v>,shinryo_ym</v>
      </c>
      <c r="Q15" s="76" t="str">
        <f t="shared" si="0"/>
        <v>TEXT</v>
      </c>
      <c r="R15" s="76" t="str">
        <f t="shared" si="1"/>
        <v/>
      </c>
      <c r="S15" s="76" t="str">
        <f t="shared" ref="S15:S36" si="5">IF(I15="○","NOT NULL","")</f>
        <v>NOT NULL</v>
      </c>
      <c r="T15" s="76" t="str">
        <f t="shared" ref="T15:T36" si="6">"-- "&amp;C15</f>
        <v>-- 診療年月</v>
      </c>
      <c r="U15" s="4"/>
      <c r="AA15" s="4"/>
      <c r="AB15" s="4"/>
      <c r="AC15" s="4"/>
      <c r="AD15" s="4"/>
      <c r="AE15" s="4"/>
      <c r="AF15" s="4"/>
      <c r="AG15" s="4"/>
      <c r="AH15" s="4"/>
      <c r="AI15" s="4"/>
      <c r="AJ15" s="76" t="str">
        <f>IF(E15="○",IF(COUNTA(E$13:E15)=1,"",",")&amp;D15,"")</f>
        <v>,shinryo_ym</v>
      </c>
      <c r="AK15" s="4"/>
      <c r="AL15" s="4"/>
      <c r="AM15" s="4"/>
      <c r="AN15" s="4"/>
      <c r="AO15" s="4"/>
      <c r="AP15" s="4"/>
      <c r="AQ15" s="4"/>
      <c r="AR15" s="4"/>
      <c r="AS15" s="76" t="str">
        <f>"COMMENT ON COLUMN "&amp;エンティティ一覧!$O$2&amp;"."&amp;D$8&amp;"."&amp;D15&amp;" IS '"&amp;C15&amp;"';"</f>
        <v>COMMENT ON COLUMN milscm_2023_010.azn_202310_backup_mart_shinryou_koui.shinryo_ym IS '診療年月';</v>
      </c>
    </row>
    <row r="16" spans="1:45" s="25" customFormat="1">
      <c r="A16" s="4"/>
      <c r="B16" s="21">
        <f t="shared" si="2"/>
        <v>4</v>
      </c>
      <c r="C16" s="13" t="s">
        <v>1737</v>
      </c>
      <c r="D16" s="13" t="s">
        <v>213</v>
      </c>
      <c r="E16" s="7" t="s">
        <v>127</v>
      </c>
      <c r="F16" s="7" t="s">
        <v>1735</v>
      </c>
      <c r="G16" s="7" t="str">
        <f t="shared" si="3"/>
        <v>text</v>
      </c>
      <c r="H16" s="58"/>
      <c r="I16" s="23" t="s">
        <v>127</v>
      </c>
      <c r="J16" s="24" t="s">
        <v>1754</v>
      </c>
      <c r="M16" s="4"/>
      <c r="N16" s="76"/>
      <c r="O16" s="76"/>
      <c r="P16" s="76" t="str">
        <f t="shared" si="4"/>
        <v>,data_kubun</v>
      </c>
      <c r="Q16" s="76" t="str">
        <f t="shared" si="0"/>
        <v>TEXT</v>
      </c>
      <c r="R16" s="76" t="str">
        <f t="shared" si="1"/>
        <v/>
      </c>
      <c r="S16" s="76" t="str">
        <f t="shared" si="5"/>
        <v>NOT NULL</v>
      </c>
      <c r="T16" s="76" t="str">
        <f t="shared" si="6"/>
        <v>-- データ区分</v>
      </c>
      <c r="U16" s="4"/>
      <c r="AA16" s="4"/>
      <c r="AB16" s="4"/>
      <c r="AC16" s="4"/>
      <c r="AD16" s="4"/>
      <c r="AE16" s="4"/>
      <c r="AF16" s="4"/>
      <c r="AG16" s="4"/>
      <c r="AH16" s="4"/>
      <c r="AI16" s="4"/>
      <c r="AJ16" s="76" t="str">
        <f>IF(E16="○",IF(COUNTA(E$13:E16)=1,"",",")&amp;D16,"")</f>
        <v>,data_kubun</v>
      </c>
      <c r="AK16" s="4"/>
      <c r="AL16" s="4"/>
      <c r="AM16" s="4"/>
      <c r="AN16" s="4"/>
      <c r="AO16" s="4"/>
      <c r="AP16" s="4"/>
      <c r="AQ16" s="4"/>
      <c r="AR16" s="4"/>
      <c r="AS16" s="76" t="str">
        <f>"COMMENT ON COLUMN "&amp;エンティティ一覧!$O$2&amp;"."&amp;D$8&amp;"."&amp;D16&amp;" IS '"&amp;C16&amp;"';"</f>
        <v>COMMENT ON COLUMN milscm_2023_010.azn_202310_backup_mart_shinryou_koui.data_kubun IS 'データ区分';</v>
      </c>
    </row>
    <row r="17" spans="1:45" s="25" customFormat="1">
      <c r="A17" s="4"/>
      <c r="B17" s="21">
        <f t="shared" si="2"/>
        <v>5</v>
      </c>
      <c r="C17" s="13" t="s">
        <v>1738</v>
      </c>
      <c r="D17" s="13" t="s">
        <v>215</v>
      </c>
      <c r="E17" s="7" t="s">
        <v>127</v>
      </c>
      <c r="F17" s="7" t="s">
        <v>1735</v>
      </c>
      <c r="G17" s="7" t="str">
        <f t="shared" si="3"/>
        <v>text</v>
      </c>
      <c r="H17" s="58"/>
      <c r="I17" s="23" t="s">
        <v>127</v>
      </c>
      <c r="J17" s="24" t="s">
        <v>1754</v>
      </c>
      <c r="M17" s="4"/>
      <c r="N17" s="76"/>
      <c r="O17" s="76"/>
      <c r="P17" s="76" t="str">
        <f t="shared" si="4"/>
        <v>,junjo_no</v>
      </c>
      <c r="Q17" s="76" t="str">
        <f t="shared" si="0"/>
        <v>TEXT</v>
      </c>
      <c r="R17" s="76" t="str">
        <f t="shared" si="1"/>
        <v/>
      </c>
      <c r="S17" s="76" t="str">
        <f t="shared" si="5"/>
        <v>NOT NULL</v>
      </c>
      <c r="T17" s="76" t="str">
        <f t="shared" si="6"/>
        <v>-- 順序番号</v>
      </c>
      <c r="U17" s="4"/>
      <c r="AA17" s="4"/>
      <c r="AB17" s="4"/>
      <c r="AC17" s="4"/>
      <c r="AD17" s="4"/>
      <c r="AE17" s="4"/>
      <c r="AF17" s="4"/>
      <c r="AG17" s="4"/>
      <c r="AH17" s="4"/>
      <c r="AI17" s="4"/>
      <c r="AJ17" s="76" t="str">
        <f>IF(E17="○",IF(COUNTA(E$13:E17)=1,"",",")&amp;D17,"")</f>
        <v>,junjo_no</v>
      </c>
      <c r="AK17" s="4"/>
      <c r="AL17" s="4"/>
      <c r="AM17" s="4"/>
      <c r="AN17" s="4"/>
      <c r="AO17" s="4"/>
      <c r="AP17" s="4"/>
      <c r="AQ17" s="4"/>
      <c r="AR17" s="4"/>
      <c r="AS17" s="76" t="str">
        <f>"COMMENT ON COLUMN "&amp;エンティティ一覧!$O$2&amp;"."&amp;D$8&amp;"."&amp;D17&amp;" IS '"&amp;C17&amp;"';"</f>
        <v>COMMENT ON COLUMN milscm_2023_010.azn_202310_backup_mart_shinryou_koui.junjo_no IS '順序番号';</v>
      </c>
    </row>
    <row r="18" spans="1:45" s="25" customFormat="1" ht="37.5">
      <c r="A18" s="4"/>
      <c r="B18" s="21">
        <f t="shared" si="2"/>
        <v>6</v>
      </c>
      <c r="C18" s="13" t="s">
        <v>1739</v>
      </c>
      <c r="D18" s="13" t="s">
        <v>153</v>
      </c>
      <c r="E18" s="7" t="s">
        <v>127</v>
      </c>
      <c r="F18" s="7" t="s">
        <v>1735</v>
      </c>
      <c r="G18" s="7" t="str">
        <f t="shared" si="3"/>
        <v>text</v>
      </c>
      <c r="H18" s="58"/>
      <c r="I18" s="23" t="s">
        <v>127</v>
      </c>
      <c r="J18" s="24" t="s">
        <v>1755</v>
      </c>
      <c r="M18" s="4"/>
      <c r="N18" s="76"/>
      <c r="O18" s="76"/>
      <c r="P18" s="76" t="str">
        <f t="shared" si="4"/>
        <v>,koi_meisai_no</v>
      </c>
      <c r="Q18" s="76" t="str">
        <f t="shared" si="0"/>
        <v>TEXT</v>
      </c>
      <c r="R18" s="76" t="str">
        <f t="shared" si="1"/>
        <v/>
      </c>
      <c r="S18" s="76" t="str">
        <f t="shared" si="5"/>
        <v>NOT NULL</v>
      </c>
      <c r="T18" s="76" t="str">
        <f t="shared" si="6"/>
        <v>-- 行為明細番号</v>
      </c>
      <c r="U18" s="4"/>
      <c r="AA18" s="4"/>
      <c r="AB18" s="4"/>
      <c r="AC18" s="4"/>
      <c r="AD18" s="4"/>
      <c r="AE18" s="4"/>
      <c r="AF18" s="4"/>
      <c r="AG18" s="4"/>
      <c r="AH18" s="4"/>
      <c r="AI18" s="4"/>
      <c r="AJ18" s="76" t="str">
        <f>IF(E18="○",IF(COUNTA(E$13:E18)=1,"",",")&amp;D18,"")</f>
        <v>,koi_meisai_no</v>
      </c>
      <c r="AK18" s="4"/>
      <c r="AL18" s="4"/>
      <c r="AM18" s="4"/>
      <c r="AN18" s="4"/>
      <c r="AO18" s="4"/>
      <c r="AP18" s="4"/>
      <c r="AQ18" s="4"/>
      <c r="AR18" s="4"/>
      <c r="AS18" s="76" t="str">
        <f>"COMMENT ON COLUMN "&amp;エンティティ一覧!$O$2&amp;"."&amp;D$8&amp;"."&amp;D18&amp;" IS '"&amp;C18&amp;"';"</f>
        <v>COMMENT ON COLUMN milscm_2023_010.azn_202310_backup_mart_shinryou_koui.koi_meisai_no IS '行為明細番号';</v>
      </c>
    </row>
    <row r="19" spans="1:45" s="25" customFormat="1" ht="37.5">
      <c r="A19" s="4"/>
      <c r="B19" s="21">
        <f t="shared" si="2"/>
        <v>7</v>
      </c>
      <c r="C19" s="13" t="s">
        <v>145</v>
      </c>
      <c r="D19" s="13" t="s">
        <v>154</v>
      </c>
      <c r="E19" s="7"/>
      <c r="F19" s="7" t="s">
        <v>1735</v>
      </c>
      <c r="G19" s="7" t="str">
        <f t="shared" si="3"/>
        <v>text</v>
      </c>
      <c r="H19" s="58"/>
      <c r="I19" s="23"/>
      <c r="J19" s="24" t="s">
        <v>1765</v>
      </c>
      <c r="M19" s="4"/>
      <c r="N19" s="76"/>
      <c r="O19" s="76"/>
      <c r="P19" s="76" t="str">
        <f t="shared" si="4"/>
        <v>,receipt_densan_code</v>
      </c>
      <c r="Q19" s="76" t="str">
        <f t="shared" si="0"/>
        <v>TEXT</v>
      </c>
      <c r="R19" s="76" t="str">
        <f t="shared" si="1"/>
        <v/>
      </c>
      <c r="S19" s="76" t="str">
        <f t="shared" si="5"/>
        <v/>
      </c>
      <c r="T19" s="76" t="str">
        <f t="shared" si="6"/>
        <v>-- レセプト電算処理システム用コード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milscm_2023_010.azn_202310_backup_mart_shinryou_koui.receipt_densan_code IS 'レセプト電算処理システム用コード';</v>
      </c>
    </row>
    <row r="20" spans="1:45" s="25" customFormat="1">
      <c r="A20" s="4"/>
      <c r="B20" s="21">
        <f t="shared" si="2"/>
        <v>8</v>
      </c>
      <c r="C20" s="13" t="s">
        <v>1740</v>
      </c>
      <c r="D20" s="13" t="s">
        <v>219</v>
      </c>
      <c r="E20" s="7"/>
      <c r="F20" s="7" t="s">
        <v>1735</v>
      </c>
      <c r="G20" s="7" t="str">
        <f t="shared" si="3"/>
        <v>text</v>
      </c>
      <c r="H20" s="58"/>
      <c r="I20" s="23"/>
      <c r="J20" s="24"/>
      <c r="M20" s="4"/>
      <c r="N20" s="76"/>
      <c r="O20" s="76"/>
      <c r="P20" s="76" t="str">
        <f t="shared" si="4"/>
        <v>,kaishaku_no</v>
      </c>
      <c r="Q20" s="76" t="str">
        <f t="shared" si="0"/>
        <v>TEXT</v>
      </c>
      <c r="R20" s="76" t="str">
        <f t="shared" si="1"/>
        <v/>
      </c>
      <c r="S20" s="76" t="str">
        <f t="shared" si="5"/>
        <v/>
      </c>
      <c r="T20" s="76" t="str">
        <f t="shared" si="6"/>
        <v>-- 解釈番号</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milscm_2023_010.azn_202310_backup_mart_shinryou_koui.kaishaku_no IS '解釈番号';</v>
      </c>
    </row>
    <row r="21" spans="1:45" s="25" customFormat="1" ht="37.5">
      <c r="A21" s="4"/>
      <c r="B21" s="21">
        <f t="shared" si="2"/>
        <v>9</v>
      </c>
      <c r="C21" s="13" t="s">
        <v>1741</v>
      </c>
      <c r="D21" s="13" t="s">
        <v>129</v>
      </c>
      <c r="E21" s="7"/>
      <c r="F21" s="7" t="s">
        <v>1742</v>
      </c>
      <c r="G21" s="7" t="str">
        <f t="shared" si="3"/>
        <v>numeric</v>
      </c>
      <c r="H21" s="58"/>
      <c r="I21" s="23"/>
      <c r="J21" s="24" t="s">
        <v>150</v>
      </c>
      <c r="M21" s="4"/>
      <c r="N21" s="76"/>
      <c r="O21" s="76"/>
      <c r="P21" s="76" t="str">
        <f t="shared" si="4"/>
        <v>,shiyoryo</v>
      </c>
      <c r="Q21" s="76" t="str">
        <f t="shared" si="0"/>
        <v>NUMERIC</v>
      </c>
      <c r="R21" s="76" t="str">
        <f t="shared" si="1"/>
        <v/>
      </c>
      <c r="S21" s="76" t="str">
        <f t="shared" si="5"/>
        <v/>
      </c>
      <c r="T21" s="76" t="str">
        <f t="shared" si="6"/>
        <v>-- 使用量</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milscm_2023_010.azn_202310_backup_mart_shinryou_koui.shiyoryo IS '使用量';</v>
      </c>
    </row>
    <row r="22" spans="1:45" s="25" customFormat="1">
      <c r="A22" s="4"/>
      <c r="B22" s="21">
        <f t="shared" si="2"/>
        <v>10</v>
      </c>
      <c r="C22" s="13" t="s">
        <v>1743</v>
      </c>
      <c r="D22" s="13" t="s">
        <v>275</v>
      </c>
      <c r="E22" s="7"/>
      <c r="F22" s="7" t="s">
        <v>1735</v>
      </c>
      <c r="G22" s="7" t="str">
        <f t="shared" si="3"/>
        <v>text</v>
      </c>
      <c r="H22" s="58"/>
      <c r="I22" s="23"/>
      <c r="J22" s="24" t="s">
        <v>1766</v>
      </c>
      <c r="M22" s="4"/>
      <c r="N22" s="76"/>
      <c r="O22" s="76"/>
      <c r="P22" s="76" t="str">
        <f t="shared" si="4"/>
        <v>,unit</v>
      </c>
      <c r="Q22" s="76" t="str">
        <f t="shared" si="0"/>
        <v>TEXT</v>
      </c>
      <c r="R22" s="76" t="str">
        <f t="shared" si="1"/>
        <v/>
      </c>
      <c r="S22" s="76" t="str">
        <f t="shared" si="5"/>
        <v/>
      </c>
      <c r="T22" s="76" t="str">
        <f t="shared" si="6"/>
        <v>-- 基準単位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milscm_2023_010.azn_202310_backup_mart_shinryou_koui.unit IS '基準単位';</v>
      </c>
    </row>
    <row r="23" spans="1:45" s="25" customFormat="1">
      <c r="A23" s="4"/>
      <c r="B23" s="21">
        <f t="shared" si="2"/>
        <v>11</v>
      </c>
      <c r="C23" s="13" t="s">
        <v>1744</v>
      </c>
      <c r="D23" s="13" t="s">
        <v>130</v>
      </c>
      <c r="E23" s="7"/>
      <c r="F23" s="7" t="s">
        <v>1742</v>
      </c>
      <c r="G23" s="7" t="str">
        <f t="shared" si="3"/>
        <v>numeric</v>
      </c>
      <c r="H23" s="58"/>
      <c r="I23" s="23"/>
      <c r="J23" s="24" t="s">
        <v>1766</v>
      </c>
      <c r="M23" s="4"/>
      <c r="N23" s="76"/>
      <c r="O23" s="76"/>
      <c r="P23" s="76" t="str">
        <f t="shared" si="4"/>
        <v>,meisai_tensu</v>
      </c>
      <c r="Q23" s="76" t="str">
        <f t="shared" si="0"/>
        <v>NUMERIC</v>
      </c>
      <c r="R23" s="76" t="str">
        <f t="shared" si="1"/>
        <v/>
      </c>
      <c r="S23" s="76" t="str">
        <f t="shared" si="5"/>
        <v/>
      </c>
      <c r="T23" s="76" t="str">
        <f t="shared" si="6"/>
        <v>-- 明細点数・金額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milscm_2023_010.azn_202310_backup_mart_shinryou_koui.meisai_tensu IS '明細点数・金額';</v>
      </c>
    </row>
    <row r="24" spans="1:45" s="25" customFormat="1" ht="37.5">
      <c r="A24" s="4"/>
      <c r="B24" s="21">
        <f t="shared" si="2"/>
        <v>12</v>
      </c>
      <c r="C24" s="13" t="s">
        <v>1745</v>
      </c>
      <c r="D24" s="13" t="s">
        <v>131</v>
      </c>
      <c r="E24" s="7"/>
      <c r="F24" s="7" t="s">
        <v>1735</v>
      </c>
      <c r="G24" s="7" t="str">
        <f t="shared" si="3"/>
        <v>text</v>
      </c>
      <c r="H24" s="58"/>
      <c r="I24" s="23"/>
      <c r="J24" s="24" t="s">
        <v>1757</v>
      </c>
      <c r="M24" s="4"/>
      <c r="N24" s="76"/>
      <c r="O24" s="76"/>
      <c r="P24" s="76" t="str">
        <f t="shared" si="4"/>
        <v>,ten_kubun</v>
      </c>
      <c r="Q24" s="76" t="str">
        <f t="shared" si="0"/>
        <v>TEXT</v>
      </c>
      <c r="R24" s="76" t="str">
        <f t="shared" si="1"/>
        <v/>
      </c>
      <c r="S24" s="76" t="str">
        <f t="shared" si="5"/>
        <v/>
      </c>
      <c r="T24" s="76" t="str">
        <f t="shared" si="6"/>
        <v>-- 円・点区分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milscm_2023_010.azn_202310_backup_mart_shinryou_koui.ten_kubun IS '円・点区分';</v>
      </c>
    </row>
    <row r="25" spans="1:45" s="25" customFormat="1">
      <c r="A25" s="4"/>
      <c r="B25" s="21">
        <f t="shared" si="2"/>
        <v>13</v>
      </c>
      <c r="C25" s="13" t="s">
        <v>1761</v>
      </c>
      <c r="D25" s="13" t="s">
        <v>279</v>
      </c>
      <c r="E25" s="7"/>
      <c r="F25" s="7" t="s">
        <v>1742</v>
      </c>
      <c r="G25" s="7" t="str">
        <f t="shared" si="3"/>
        <v>numeric</v>
      </c>
      <c r="H25" s="58"/>
      <c r="I25" s="23"/>
      <c r="J25" s="24" t="s">
        <v>1766</v>
      </c>
      <c r="M25" s="4"/>
      <c r="N25" s="76"/>
      <c r="O25" s="76"/>
      <c r="P25" s="76" t="str">
        <f t="shared" si="4"/>
        <v>,dekidaka_tensu</v>
      </c>
      <c r="Q25" s="76" t="str">
        <f t="shared" si="0"/>
        <v>NUMERIC</v>
      </c>
      <c r="R25" s="76" t="str">
        <f t="shared" si="1"/>
        <v/>
      </c>
      <c r="S25" s="76" t="str">
        <f t="shared" si="5"/>
        <v/>
      </c>
      <c r="T25" s="76" t="str">
        <f t="shared" si="6"/>
        <v>-- 出来高実績点数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milscm_2023_010.azn_202310_backup_mart_shinryou_koui.dekidaka_tensu IS '出来高実績点数';</v>
      </c>
    </row>
    <row r="26" spans="1:45" s="25" customFormat="1" ht="56.25">
      <c r="A26" s="4"/>
      <c r="B26" s="21">
        <f t="shared" si="2"/>
        <v>14</v>
      </c>
      <c r="C26" s="13" t="s">
        <v>1746</v>
      </c>
      <c r="D26" s="13" t="s">
        <v>132</v>
      </c>
      <c r="E26" s="7"/>
      <c r="F26" s="7" t="s">
        <v>1735</v>
      </c>
      <c r="G26" s="7" t="str">
        <f t="shared" si="3"/>
        <v>text</v>
      </c>
      <c r="H26" s="58"/>
      <c r="I26" s="23"/>
      <c r="J26" s="24" t="s">
        <v>1767</v>
      </c>
      <c r="M26" s="4"/>
      <c r="N26" s="76"/>
      <c r="O26" s="76"/>
      <c r="P26" s="76" t="str">
        <f t="shared" si="4"/>
        <v>,koi_meisai_kubun</v>
      </c>
      <c r="Q26" s="76" t="str">
        <f t="shared" si="0"/>
        <v>TEXT</v>
      </c>
      <c r="R26" s="76" t="str">
        <f t="shared" si="1"/>
        <v/>
      </c>
      <c r="S26" s="76" t="str">
        <f t="shared" si="5"/>
        <v/>
      </c>
      <c r="T26" s="76" t="str">
        <f t="shared" si="6"/>
        <v>-- 行為明細区分情報</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milscm_2023_010.azn_202310_backup_mart_shinryou_koui.koi_meisai_kubun IS '行為明細区分情報';</v>
      </c>
    </row>
    <row r="27" spans="1:45" s="25" customFormat="1" ht="37.5">
      <c r="A27" s="4"/>
      <c r="B27" s="21">
        <f t="shared" si="2"/>
        <v>15</v>
      </c>
      <c r="C27" s="13" t="s">
        <v>1762</v>
      </c>
      <c r="D27" s="13" t="s">
        <v>223</v>
      </c>
      <c r="E27" s="7"/>
      <c r="F27" s="7" t="s">
        <v>1742</v>
      </c>
      <c r="G27" s="7" t="str">
        <f t="shared" si="3"/>
        <v>numeric</v>
      </c>
      <c r="H27" s="58"/>
      <c r="I27" s="23"/>
      <c r="J27" s="24" t="s">
        <v>1768</v>
      </c>
      <c r="M27" s="4"/>
      <c r="N27" s="76"/>
      <c r="O27" s="76"/>
      <c r="P27" s="76" t="str">
        <f t="shared" si="4"/>
        <v>,koi_tensu</v>
      </c>
      <c r="Q27" s="76" t="str">
        <f t="shared" si="0"/>
        <v>NUMERIC</v>
      </c>
      <c r="R27" s="76" t="str">
        <f t="shared" si="1"/>
        <v/>
      </c>
      <c r="S27" s="76" t="str">
        <f t="shared" si="5"/>
        <v/>
      </c>
      <c r="T27" s="76" t="str">
        <f t="shared" si="6"/>
        <v>-- 行為点数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milscm_2023_010.azn_202310_backup_mart_shinryou_koui.koi_tensu IS '行為点数';</v>
      </c>
    </row>
    <row r="28" spans="1:45" s="25" customFormat="1">
      <c r="A28" s="4"/>
      <c r="B28" s="21">
        <f t="shared" si="2"/>
        <v>16</v>
      </c>
      <c r="C28" s="13" t="s">
        <v>1763</v>
      </c>
      <c r="D28" s="13" t="s">
        <v>226</v>
      </c>
      <c r="E28" s="7"/>
      <c r="F28" s="7" t="s">
        <v>1742</v>
      </c>
      <c r="G28" s="7" t="str">
        <f t="shared" si="3"/>
        <v>numeric</v>
      </c>
      <c r="H28" s="58"/>
      <c r="I28" s="23"/>
      <c r="J28" s="24" t="s">
        <v>1766</v>
      </c>
      <c r="M28" s="4"/>
      <c r="N28" s="76"/>
      <c r="O28" s="76"/>
      <c r="P28" s="76" t="str">
        <f t="shared" si="4"/>
        <v>,koi_yakuzai</v>
      </c>
      <c r="Q28" s="76" t="str">
        <f t="shared" si="0"/>
        <v>NUMERIC</v>
      </c>
      <c r="R28" s="76" t="str">
        <f t="shared" si="1"/>
        <v/>
      </c>
      <c r="S28" s="76" t="str">
        <f t="shared" si="5"/>
        <v/>
      </c>
      <c r="T28" s="76" t="str">
        <f t="shared" si="6"/>
        <v>-- 行為薬剤料</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milscm_2023_010.azn_202310_backup_mart_shinryou_koui.koi_yakuzai IS '行為薬剤料';</v>
      </c>
    </row>
    <row r="29" spans="1:45" s="25" customFormat="1">
      <c r="A29" s="4"/>
      <c r="B29" s="21">
        <f t="shared" si="2"/>
        <v>17</v>
      </c>
      <c r="C29" s="13" t="s">
        <v>1764</v>
      </c>
      <c r="D29" s="13" t="s">
        <v>228</v>
      </c>
      <c r="E29" s="7"/>
      <c r="F29" s="7" t="s">
        <v>1742</v>
      </c>
      <c r="G29" s="7" t="str">
        <f t="shared" si="3"/>
        <v>numeric</v>
      </c>
      <c r="H29" s="58"/>
      <c r="I29" s="23"/>
      <c r="J29" s="24" t="s">
        <v>1766</v>
      </c>
      <c r="M29" s="4"/>
      <c r="N29" s="76"/>
      <c r="O29" s="76"/>
      <c r="P29" s="76" t="str">
        <f t="shared" si="4"/>
        <v>,koi_zairyo</v>
      </c>
      <c r="Q29" s="76" t="str">
        <f t="shared" si="0"/>
        <v>NUMERIC</v>
      </c>
      <c r="R29" s="76" t="str">
        <f t="shared" si="1"/>
        <v/>
      </c>
      <c r="S29" s="76" t="str">
        <f t="shared" si="5"/>
        <v/>
      </c>
      <c r="T29" s="76" t="str">
        <f t="shared" si="6"/>
        <v>-- 行為材料料</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milscm_2023_010.azn_202310_backup_mart_shinryou_koui.koi_zairyo IS '行為材料料';</v>
      </c>
    </row>
    <row r="30" spans="1:45" s="25" customFormat="1">
      <c r="A30" s="4"/>
      <c r="B30" s="21">
        <f t="shared" si="2"/>
        <v>18</v>
      </c>
      <c r="C30" s="13" t="s">
        <v>1747</v>
      </c>
      <c r="D30" s="13" t="s">
        <v>133</v>
      </c>
      <c r="E30" s="7"/>
      <c r="F30" s="7" t="s">
        <v>1742</v>
      </c>
      <c r="G30" s="7" t="str">
        <f t="shared" si="3"/>
        <v>numeric</v>
      </c>
      <c r="H30" s="58"/>
      <c r="I30" s="23"/>
      <c r="J30" s="24" t="s">
        <v>1766</v>
      </c>
      <c r="M30" s="4"/>
      <c r="N30" s="76"/>
      <c r="O30" s="76"/>
      <c r="P30" s="76" t="str">
        <f t="shared" si="4"/>
        <v>,koi_times</v>
      </c>
      <c r="Q30" s="76" t="str">
        <f t="shared" si="0"/>
        <v>NUMERIC</v>
      </c>
      <c r="R30" s="76" t="str">
        <f t="shared" si="1"/>
        <v/>
      </c>
      <c r="S30" s="76" t="str">
        <f t="shared" si="5"/>
        <v/>
      </c>
      <c r="T30" s="76" t="str">
        <f t="shared" si="6"/>
        <v>-- 行為回数</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milscm_2023_010.azn_202310_backup_mart_shinryou_koui.koi_times IS '行為回数';</v>
      </c>
    </row>
    <row r="31" spans="1:45" s="25" customFormat="1">
      <c r="A31" s="4"/>
      <c r="B31" s="21">
        <f t="shared" si="2"/>
        <v>19</v>
      </c>
      <c r="C31" s="13" t="s">
        <v>1748</v>
      </c>
      <c r="D31" s="13" t="s">
        <v>232</v>
      </c>
      <c r="E31" s="7"/>
      <c r="F31" s="7" t="s">
        <v>1735</v>
      </c>
      <c r="G31" s="7" t="str">
        <f t="shared" ref="G31:G34" si="7">IF(F31="フラグ","boolean",IF(F31="文字列","text",IF(F31="整数","integer",IF(F31="実数","numeric",""))))</f>
        <v>text</v>
      </c>
      <c r="H31" s="58"/>
      <c r="I31" s="23"/>
      <c r="J31" s="24" t="s">
        <v>1766</v>
      </c>
      <c r="M31" s="4"/>
      <c r="N31" s="76"/>
      <c r="O31" s="76"/>
      <c r="P31" s="76" t="str">
        <f t="shared" ref="P31:P34" si="8">IF(B31&lt;&gt;1,","&amp;D31,D31)</f>
        <v>,receipt_type_code</v>
      </c>
      <c r="Q31" s="76" t="str">
        <f t="shared" ref="Q31:Q34" si="9">UPPER(G31)</f>
        <v>TEXT</v>
      </c>
      <c r="R31" s="76" t="str">
        <f t="shared" ref="R31:R34" si="10">IF(H31&lt;&gt;"","default "&amp;IF(G31="text","'"&amp;H31&amp;"'",H31),"")</f>
        <v/>
      </c>
      <c r="S31" s="76" t="str">
        <f t="shared" ref="S31:S34" si="11">IF(I31="○","NOT NULL","")</f>
        <v/>
      </c>
      <c r="T31" s="76" t="str">
        <f t="shared" ref="T31:T34" si="12">"-- "&amp;C31</f>
        <v>-- レセプト種別コード</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milscm_2023_010.azn_202310_backup_mart_shinryou_koui.receipt_type_code IS 'レセプト種別コード';</v>
      </c>
    </row>
    <row r="32" spans="1:45" s="25" customFormat="1">
      <c r="A32" s="4"/>
      <c r="B32" s="21">
        <f t="shared" si="2"/>
        <v>20</v>
      </c>
      <c r="C32" s="13" t="s">
        <v>1749</v>
      </c>
      <c r="D32" s="13" t="s">
        <v>155</v>
      </c>
      <c r="E32" s="7" t="s">
        <v>127</v>
      </c>
      <c r="F32" s="7" t="s">
        <v>1735</v>
      </c>
      <c r="G32" s="7" t="str">
        <f t="shared" si="7"/>
        <v>text</v>
      </c>
      <c r="H32" s="58"/>
      <c r="I32" s="23" t="s">
        <v>127</v>
      </c>
      <c r="J32" s="24" t="s">
        <v>1766</v>
      </c>
      <c r="M32" s="4"/>
      <c r="N32" s="76"/>
      <c r="O32" s="76"/>
      <c r="P32" s="76" t="str">
        <f t="shared" si="8"/>
        <v>,jisshi_ymd</v>
      </c>
      <c r="Q32" s="76" t="str">
        <f t="shared" si="9"/>
        <v>TEXT</v>
      </c>
      <c r="R32" s="76" t="str">
        <f t="shared" si="10"/>
        <v/>
      </c>
      <c r="S32" s="76" t="str">
        <f t="shared" si="11"/>
        <v>NOT NULL</v>
      </c>
      <c r="T32" s="76" t="str">
        <f t="shared" si="12"/>
        <v>-- 実施年月日</v>
      </c>
      <c r="U32" s="4"/>
      <c r="AA32" s="4"/>
      <c r="AB32" s="4"/>
      <c r="AC32" s="4"/>
      <c r="AD32" s="4"/>
      <c r="AE32" s="4"/>
      <c r="AF32" s="4"/>
      <c r="AG32" s="4"/>
      <c r="AH32" s="4"/>
      <c r="AI32" s="4"/>
      <c r="AJ32" s="76" t="str">
        <f>IF(E32="○",IF(COUNTA(E$13:E32)=1,"",",")&amp;D32,"")</f>
        <v>,jisshi_ymd</v>
      </c>
      <c r="AK32" s="4"/>
      <c r="AL32" s="4"/>
      <c r="AM32" s="4"/>
      <c r="AN32" s="4"/>
      <c r="AO32" s="4"/>
      <c r="AP32" s="4"/>
      <c r="AQ32" s="4"/>
      <c r="AR32" s="4"/>
      <c r="AS32" s="76" t="str">
        <f>"COMMENT ON COLUMN "&amp;エンティティ一覧!$O$2&amp;"."&amp;D$8&amp;"."&amp;D32&amp;" IS '"&amp;C32&amp;"';"</f>
        <v>COMMENT ON COLUMN milscm_2023_010.azn_202310_backup_mart_shinryou_koui.jisshi_ymd IS '実施年月日';</v>
      </c>
    </row>
    <row r="33" spans="1:52" s="25" customFormat="1">
      <c r="A33" s="4"/>
      <c r="B33" s="21">
        <f t="shared" si="2"/>
        <v>21</v>
      </c>
      <c r="C33" s="13" t="s">
        <v>1750</v>
      </c>
      <c r="D33" s="13" t="s">
        <v>234</v>
      </c>
      <c r="E33" s="7"/>
      <c r="F33" s="7" t="s">
        <v>1735</v>
      </c>
      <c r="G33" s="7" t="str">
        <f t="shared" si="7"/>
        <v>text</v>
      </c>
      <c r="H33" s="58"/>
      <c r="I33" s="23"/>
      <c r="J33" s="24" t="s">
        <v>1766</v>
      </c>
      <c r="M33" s="4"/>
      <c r="N33" s="76"/>
      <c r="O33" s="76"/>
      <c r="P33" s="76" t="str">
        <f t="shared" si="8"/>
        <v>,receipt_ka_kubun</v>
      </c>
      <c r="Q33" s="76" t="str">
        <f t="shared" si="9"/>
        <v>TEXT</v>
      </c>
      <c r="R33" s="76" t="str">
        <f t="shared" si="10"/>
        <v/>
      </c>
      <c r="S33" s="76" t="str">
        <f t="shared" si="11"/>
        <v/>
      </c>
      <c r="T33" s="76" t="str">
        <f t="shared" si="12"/>
        <v>-- レセプト科区分</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milscm_2023_010.azn_202310_backup_mart_shinryou_koui.receipt_ka_kubun IS 'レセプト科区分';</v>
      </c>
    </row>
    <row r="34" spans="1:52" s="25" customFormat="1">
      <c r="A34" s="4"/>
      <c r="B34" s="21">
        <f t="shared" si="2"/>
        <v>22</v>
      </c>
      <c r="C34" s="13" t="s">
        <v>134</v>
      </c>
      <c r="D34" s="13" t="s">
        <v>135</v>
      </c>
      <c r="E34" s="7"/>
      <c r="F34" s="7" t="s">
        <v>1735</v>
      </c>
      <c r="G34" s="7" t="str">
        <f t="shared" si="7"/>
        <v>text</v>
      </c>
      <c r="H34" s="58"/>
      <c r="I34" s="23"/>
      <c r="J34" s="24" t="s">
        <v>1766</v>
      </c>
      <c r="M34" s="4"/>
      <c r="N34" s="76"/>
      <c r="O34" s="76"/>
      <c r="P34" s="76" t="str">
        <f t="shared" si="8"/>
        <v>,department_kubun</v>
      </c>
      <c r="Q34" s="76" t="str">
        <f t="shared" si="9"/>
        <v>TEXT</v>
      </c>
      <c r="R34" s="76" t="str">
        <f t="shared" si="10"/>
        <v/>
      </c>
      <c r="S34" s="76" t="str">
        <f t="shared" si="11"/>
        <v/>
      </c>
      <c r="T34" s="76" t="str">
        <f t="shared" si="12"/>
        <v>-- 診療科区分</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milscm_2023_010.azn_202310_backup_mart_shinryou_koui.department_kubun IS '診療科区分';</v>
      </c>
    </row>
    <row r="35" spans="1:52" s="25" customFormat="1" ht="37.5">
      <c r="A35" s="4"/>
      <c r="B35" s="21">
        <f t="shared" si="2"/>
        <v>23</v>
      </c>
      <c r="C35" s="13" t="s">
        <v>1751</v>
      </c>
      <c r="D35" s="13" t="s">
        <v>242</v>
      </c>
      <c r="E35" s="7"/>
      <c r="F35" s="7" t="s">
        <v>1735</v>
      </c>
      <c r="G35" s="7" t="str">
        <f t="shared" si="3"/>
        <v>text</v>
      </c>
      <c r="H35" s="58"/>
      <c r="I35" s="23"/>
      <c r="J35" s="24" t="s">
        <v>1758</v>
      </c>
      <c r="M35" s="4"/>
      <c r="N35" s="76"/>
      <c r="O35" s="76"/>
      <c r="P35" s="76" t="str">
        <f t="shared" si="4"/>
        <v>,nyugai_kubun</v>
      </c>
      <c r="Q35" s="76" t="str">
        <f t="shared" si="0"/>
        <v>TEXT</v>
      </c>
      <c r="R35" s="76" t="str">
        <f t="shared" si="1"/>
        <v/>
      </c>
      <c r="S35" s="76" t="str">
        <f t="shared" si="5"/>
        <v/>
      </c>
      <c r="T35" s="76" t="str">
        <f t="shared" si="6"/>
        <v>-- 入外区分</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milscm_2023_010.azn_202310_backup_mart_shinryou_koui.nyugai_kubun IS '入外区分';</v>
      </c>
    </row>
    <row r="36" spans="1:52" s="25" customFormat="1" ht="19.5" thickBot="1">
      <c r="A36" s="4"/>
      <c r="B36" s="27">
        <f>ROW()-12</f>
        <v>24</v>
      </c>
      <c r="C36" s="57" t="s">
        <v>1752</v>
      </c>
      <c r="D36" s="57" t="s">
        <v>1753</v>
      </c>
      <c r="E36" s="56" t="s">
        <v>127</v>
      </c>
      <c r="F36" s="56" t="s">
        <v>203</v>
      </c>
      <c r="G36" s="56" t="str">
        <f t="shared" si="3"/>
        <v>integer</v>
      </c>
      <c r="H36" s="59"/>
      <c r="I36" s="60"/>
      <c r="J36" s="63" t="s">
        <v>1759</v>
      </c>
      <c r="N36" s="76"/>
      <c r="O36" s="76"/>
      <c r="P36" s="76" t="str">
        <f t="shared" si="4"/>
        <v>,seq_no</v>
      </c>
      <c r="Q36" s="76" t="str">
        <f t="shared" si="0"/>
        <v>INTEGER</v>
      </c>
      <c r="R36" s="76" t="str">
        <f t="shared" si="1"/>
        <v/>
      </c>
      <c r="S36" s="76" t="str">
        <f t="shared" si="5"/>
        <v/>
      </c>
      <c r="T36" s="76" t="str">
        <f t="shared" si="6"/>
        <v>-- シーケンス番号</v>
      </c>
      <c r="U36" s="4"/>
      <c r="AA36" s="4"/>
      <c r="AB36" s="4"/>
      <c r="AC36" s="4"/>
      <c r="AD36" s="4"/>
      <c r="AE36" s="4"/>
      <c r="AF36" s="4"/>
      <c r="AG36" s="4"/>
      <c r="AH36" s="4"/>
      <c r="AI36" s="4"/>
      <c r="AJ36" s="76" t="str">
        <f>IF(E36="○",IF(COUNTA(E$13:E36)=1,"",",")&amp;D36,"")</f>
        <v>,seq_no</v>
      </c>
      <c r="AK36" s="4"/>
      <c r="AL36" s="4"/>
      <c r="AM36" s="4"/>
      <c r="AN36" s="4"/>
      <c r="AO36" s="4"/>
      <c r="AP36" s="4"/>
      <c r="AQ36" s="4"/>
      <c r="AR36" s="4"/>
      <c r="AS36" s="76" t="str">
        <f>"COMMENT ON COLUMN "&amp;エンティティ一覧!$O$2&amp;"."&amp;D$8&amp;"."&amp;D36&amp;" IS '"&amp;C36&amp;"';"</f>
        <v>COMMENT ON COLUMN milscm_2023_010.azn_202310_backup_mart_shinryou_koui.seq_no IS 'シーケンス番号';</v>
      </c>
    </row>
    <row r="37" spans="1:52">
      <c r="L37" s="25"/>
      <c r="M37" s="25"/>
      <c r="N37" s="76" t="s">
        <v>142</v>
      </c>
      <c r="O37" s="76"/>
      <c r="P37" s="76"/>
      <c r="Q37" s="76"/>
      <c r="R37" s="76"/>
      <c r="S37" s="76"/>
      <c r="T37" s="76"/>
      <c r="V37" s="25"/>
      <c r="W37" s="25"/>
      <c r="X37" s="25"/>
      <c r="Y37" s="25"/>
      <c r="Z37" s="25"/>
      <c r="AJ37" s="76"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ENT_01_A1-04</v>
      </c>
      <c r="E6" s="272"/>
      <c r="F6" s="272"/>
      <c r="G6" s="272"/>
      <c r="H6" s="272"/>
      <c r="I6" s="272"/>
      <c r="J6" s="273"/>
    </row>
    <row r="7" spans="1:45">
      <c r="B7" s="261" t="s">
        <v>115</v>
      </c>
      <c r="C7" s="262"/>
      <c r="D7" s="263" t="s">
        <v>1769</v>
      </c>
      <c r="E7" s="264"/>
      <c r="F7" s="264"/>
      <c r="G7" s="264"/>
      <c r="H7" s="264"/>
      <c r="I7" s="264"/>
      <c r="J7" s="265"/>
    </row>
    <row r="8" spans="1:45">
      <c r="B8" s="261" t="s">
        <v>116</v>
      </c>
      <c r="C8" s="262"/>
      <c r="D8" s="263" t="str">
        <f>エンティティ一覧!AE2&amp;"_"&amp;D5&amp;"_mart_shikkan"</f>
        <v>azn_202310_backup_mart_shikkan</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疾患データテーブルから組入れ条件の第一条件で絞り込んだ結果を格納するテーブル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milscm_2023_010.azn_202310_backup_mart_shikkan;</v>
      </c>
      <c r="O10" s="76"/>
      <c r="P10" s="76"/>
      <c r="Q10" s="76"/>
      <c r="R10" s="76"/>
      <c r="S10" s="76"/>
      <c r="T10" s="76"/>
      <c r="AJ10" s="76" t="str">
        <f>"ALTER TABLE ONLY "&amp;エンティティ一覧!$O$2&amp;"."&amp;D$8</f>
        <v>ALTER TABLE ONLY milscm_2023_010.azn_202310_backup_mart_shikkan</v>
      </c>
      <c r="AS10" s="76" t="str">
        <f>"ALTER TABLE "&amp;エンティティ一覧!$O$2&amp;"."&amp;D$8&amp;" OWNER TO pgmisgrp1;"</f>
        <v>ALTER TABLE milscm_2023_010.azn_202310_backup_mart_shikkan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milscm_2023_010.azn_202310_backup_mart_shikkan</v>
      </c>
      <c r="O11" s="76"/>
      <c r="P11" s="76"/>
      <c r="Q11" s="76"/>
      <c r="R11" s="76"/>
      <c r="S11" s="76"/>
      <c r="T11" s="76"/>
      <c r="AJ11" s="76" t="str">
        <f>"ADD CONSTRAINT "&amp;D$8&amp;"_pkey PRIMARY KEY"</f>
        <v>ADD CONSTRAINT azn_202310_backup_mart_shikkan_pkey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milscm_2023_010.azn_202310_backup_mart_shikkan IS 'バックアップ_疾患データ';</v>
      </c>
    </row>
    <row r="13" spans="1:45" s="25" customFormat="1">
      <c r="A13" s="4"/>
      <c r="B13" s="21">
        <f>ROW()-12</f>
        <v>1</v>
      </c>
      <c r="C13" s="6" t="s">
        <v>1770</v>
      </c>
      <c r="D13" s="6" t="s">
        <v>199</v>
      </c>
      <c r="E13" s="8"/>
      <c r="F13" s="8" t="s">
        <v>1735</v>
      </c>
      <c r="G13" s="7" t="str">
        <f>IF(F13="フラグ","boolean",IF(F13="文字列","text",IF(F13="整数","integer",IF(F13="実数","numeric",""))))</f>
        <v>text</v>
      </c>
      <c r="H13" s="9"/>
      <c r="I13" s="10" t="s">
        <v>127</v>
      </c>
      <c r="J13" s="11" t="s">
        <v>1782</v>
      </c>
      <c r="M13" s="4"/>
      <c r="N13" s="76"/>
      <c r="O13" s="76"/>
      <c r="P13" s="76" t="str">
        <f>IF(B13&lt;&gt;1,","&amp;D13,D13)</f>
        <v>torikomi_ym</v>
      </c>
      <c r="Q13" s="76" t="str">
        <f t="shared" ref="Q13:Q59" si="0">UPPER(G13)</f>
        <v>TEXT</v>
      </c>
      <c r="R13" s="76" t="str">
        <f t="shared" ref="R13:R59"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milscm_2023_010.azn_202310_backup_mart_shikkan.torikomi_ym IS '取込年月';</v>
      </c>
    </row>
    <row r="14" spans="1:45" s="25" customFormat="1">
      <c r="A14" s="4"/>
      <c r="B14" s="21">
        <f t="shared" ref="B14:B58" si="2">ROW()-12</f>
        <v>2</v>
      </c>
      <c r="C14" s="6" t="s">
        <v>137</v>
      </c>
      <c r="D14" s="6" t="s">
        <v>128</v>
      </c>
      <c r="E14" s="8" t="s">
        <v>127</v>
      </c>
      <c r="F14" s="7" t="s">
        <v>1735</v>
      </c>
      <c r="G14" s="7" t="str">
        <f t="shared" ref="G14:G59" si="3">IF(F14="フラグ","boolean",IF(F14="文字列","text",IF(F14="整数","integer",IF(F14="実数","numeric",""))))</f>
        <v>text</v>
      </c>
      <c r="H14" s="26"/>
      <c r="I14" s="10" t="s">
        <v>127</v>
      </c>
      <c r="J14" s="11" t="s">
        <v>1783</v>
      </c>
      <c r="M14" s="4"/>
      <c r="N14" s="76"/>
      <c r="O14" s="76"/>
      <c r="P14" s="76" t="str">
        <f t="shared" ref="P14:P59" si="4">IF(B14&lt;&gt;1,","&amp;D14,D14)</f>
        <v>,facility_id</v>
      </c>
      <c r="Q14" s="76" t="str">
        <f t="shared" si="0"/>
        <v>TEXT</v>
      </c>
      <c r="R14" s="76" t="str">
        <f t="shared" si="1"/>
        <v/>
      </c>
      <c r="S14" s="76" t="str">
        <f>IF(I14="○","NOT NULL","")</f>
        <v>NOT NULL</v>
      </c>
      <c r="T14" s="76" t="str">
        <f>"--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milscm_2023_010.azn_202310_backup_mart_shikkan.facility_id IS '施設ID';</v>
      </c>
    </row>
    <row r="15" spans="1:45" s="25" customFormat="1">
      <c r="A15" s="4"/>
      <c r="B15" s="21">
        <f t="shared" si="2"/>
        <v>3</v>
      </c>
      <c r="C15" s="13" t="s">
        <v>1771</v>
      </c>
      <c r="D15" s="13" t="s">
        <v>903</v>
      </c>
      <c r="E15" s="7" t="s">
        <v>127</v>
      </c>
      <c r="F15" s="7" t="s">
        <v>1735</v>
      </c>
      <c r="G15" s="7" t="str">
        <f t="shared" si="3"/>
        <v>text</v>
      </c>
      <c r="H15" s="58"/>
      <c r="I15" s="23" t="s">
        <v>127</v>
      </c>
      <c r="J15" s="24" t="s">
        <v>1784</v>
      </c>
      <c r="M15" s="4"/>
      <c r="N15" s="76"/>
      <c r="O15" s="76"/>
      <c r="P15" s="76" t="str">
        <f t="shared" si="4"/>
        <v>,seikyu_ym</v>
      </c>
      <c r="Q15" s="76" t="str">
        <f t="shared" si="0"/>
        <v>TEXT</v>
      </c>
      <c r="R15" s="76" t="str">
        <f t="shared" si="1"/>
        <v/>
      </c>
      <c r="S15" s="76" t="str">
        <f t="shared" ref="S15:S59" si="5">IF(I15="○","NOT NULL","")</f>
        <v>NOT NULL</v>
      </c>
      <c r="T15" s="76" t="str">
        <f t="shared" ref="T15:T59" si="6">"-- "&amp;C15</f>
        <v>-- 請求年月</v>
      </c>
      <c r="U15" s="4"/>
      <c r="AA15" s="4"/>
      <c r="AB15" s="4"/>
      <c r="AC15" s="4"/>
      <c r="AD15" s="4"/>
      <c r="AE15" s="4"/>
      <c r="AF15" s="4"/>
      <c r="AG15" s="4"/>
      <c r="AH15" s="4"/>
      <c r="AI15" s="4"/>
      <c r="AJ15" s="76" t="str">
        <f>IF(E15="○",IF(COUNTA(E$13:E15)=1,"",",")&amp;D15,"")</f>
        <v>,seikyu_ym</v>
      </c>
      <c r="AK15" s="4"/>
      <c r="AL15" s="4"/>
      <c r="AM15" s="4"/>
      <c r="AN15" s="4"/>
      <c r="AO15" s="4"/>
      <c r="AP15" s="4"/>
      <c r="AQ15" s="4"/>
      <c r="AR15" s="4"/>
      <c r="AS15" s="76" t="str">
        <f>"COMMENT ON COLUMN "&amp;エンティティ一覧!$O$2&amp;"."&amp;D$8&amp;"."&amp;D15&amp;" IS '"&amp;C15&amp;"';"</f>
        <v>COMMENT ON COLUMN milscm_2023_010.azn_202310_backup_mart_shikkan.seikyu_ym IS '請求年月';</v>
      </c>
    </row>
    <row r="16" spans="1:45" s="25" customFormat="1">
      <c r="A16" s="4"/>
      <c r="B16" s="21">
        <f t="shared" si="2"/>
        <v>4</v>
      </c>
      <c r="C16" s="13" t="s">
        <v>1736</v>
      </c>
      <c r="D16" s="13" t="s">
        <v>205</v>
      </c>
      <c r="E16" s="7" t="s">
        <v>127</v>
      </c>
      <c r="F16" s="7" t="s">
        <v>1735</v>
      </c>
      <c r="G16" s="7" t="str">
        <f t="shared" si="3"/>
        <v>text</v>
      </c>
      <c r="H16" s="58"/>
      <c r="I16" s="23" t="s">
        <v>127</v>
      </c>
      <c r="J16" s="24" t="s">
        <v>1785</v>
      </c>
      <c r="M16" s="4"/>
      <c r="N16" s="76"/>
      <c r="O16" s="76"/>
      <c r="P16" s="76" t="str">
        <f t="shared" si="4"/>
        <v>,shinryo_ym</v>
      </c>
      <c r="Q16" s="76" t="str">
        <f t="shared" si="0"/>
        <v>TEXT</v>
      </c>
      <c r="R16" s="76" t="str">
        <f t="shared" si="1"/>
        <v/>
      </c>
      <c r="S16" s="76" t="str">
        <f t="shared" si="5"/>
        <v>NOT NULL</v>
      </c>
      <c r="T16" s="76" t="str">
        <f t="shared" si="6"/>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milscm_2023_010.azn_202310_backup_mart_shikkan.shinryo_ym IS '診療年月';</v>
      </c>
    </row>
    <row r="17" spans="1:45" s="25" customFormat="1">
      <c r="A17" s="4"/>
      <c r="B17" s="21">
        <f t="shared" si="2"/>
        <v>5</v>
      </c>
      <c r="C17" s="13" t="s">
        <v>318</v>
      </c>
      <c r="D17" s="13" t="s">
        <v>207</v>
      </c>
      <c r="E17" s="7"/>
      <c r="F17" s="7" t="s">
        <v>1735</v>
      </c>
      <c r="G17" s="7" t="str">
        <f t="shared" ref="G17:G40" si="7">IF(F17="フラグ","boolean",IF(F17="文字列","text",IF(F17="整数","integer",IF(F17="実数","numeric",""))))</f>
        <v>text</v>
      </c>
      <c r="H17" s="58" t="s">
        <v>930</v>
      </c>
      <c r="I17" s="23" t="s">
        <v>127</v>
      </c>
      <c r="J17" s="24" t="s">
        <v>1786</v>
      </c>
      <c r="M17" s="4"/>
      <c r="N17" s="76"/>
      <c r="O17" s="76"/>
      <c r="P17" s="76" t="str">
        <f t="shared" ref="P17:P40" si="8">IF(B17&lt;&gt;1,","&amp;D17,D17)</f>
        <v>,data_type</v>
      </c>
      <c r="Q17" s="76" t="str">
        <f t="shared" ref="Q17:Q40" si="9">UPPER(G17)</f>
        <v>TEXT</v>
      </c>
      <c r="R17" s="76" t="str">
        <f t="shared" ref="R17:R40" si="10">IF(H17&lt;&gt;"","default "&amp;IF(G17="text","'"&amp;H17&amp;"'",H17),"")</f>
        <v>default 'RCP'</v>
      </c>
      <c r="S17" s="76" t="str">
        <f t="shared" ref="S17:S40" si="11">IF(I17="○","NOT NULL","")</f>
        <v>NOT NULL</v>
      </c>
      <c r="T17" s="76" t="str">
        <f t="shared" ref="T17:T40" si="12">"-- "&amp;C17</f>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milscm_2023_010.azn_202310_backup_mart_shikkan.data_type IS 'データ種別';</v>
      </c>
    </row>
    <row r="18" spans="1:45" s="25" customFormat="1">
      <c r="A18" s="4"/>
      <c r="B18" s="21">
        <f t="shared" si="2"/>
        <v>6</v>
      </c>
      <c r="C18" s="13" t="s">
        <v>904</v>
      </c>
      <c r="D18" s="13" t="s">
        <v>905</v>
      </c>
      <c r="E18" s="7" t="s">
        <v>127</v>
      </c>
      <c r="F18" s="7" t="s">
        <v>1735</v>
      </c>
      <c r="G18" s="7" t="str">
        <f t="shared" si="7"/>
        <v>text</v>
      </c>
      <c r="H18" s="58"/>
      <c r="I18" s="23" t="s">
        <v>127</v>
      </c>
      <c r="J18" s="24" t="s">
        <v>1055</v>
      </c>
      <c r="M18" s="4"/>
      <c r="N18" s="76"/>
      <c r="O18" s="76"/>
      <c r="P18" s="76" t="str">
        <f t="shared" si="8"/>
        <v>,shinsa_kikan</v>
      </c>
      <c r="Q18" s="76" t="str">
        <f t="shared" si="9"/>
        <v>TEXT</v>
      </c>
      <c r="R18" s="76" t="str">
        <f t="shared" si="10"/>
        <v/>
      </c>
      <c r="S18" s="76" t="str">
        <f t="shared" si="11"/>
        <v>NOT NULL</v>
      </c>
      <c r="T18" s="76" t="str">
        <f t="shared" si="12"/>
        <v>-- 審査支払機関</v>
      </c>
      <c r="U18" s="4"/>
      <c r="AA18" s="4"/>
      <c r="AB18" s="4"/>
      <c r="AC18" s="4"/>
      <c r="AD18" s="4"/>
      <c r="AE18" s="4"/>
      <c r="AF18" s="4"/>
      <c r="AG18" s="4"/>
      <c r="AH18" s="4"/>
      <c r="AI18" s="4"/>
      <c r="AJ18" s="76" t="str">
        <f>IF(E18="○",IF(COUNTA(E$13:E18)=1,"",",")&amp;D18,"")</f>
        <v>,shinsa_kikan</v>
      </c>
      <c r="AK18" s="4"/>
      <c r="AL18" s="4"/>
      <c r="AM18" s="4"/>
      <c r="AN18" s="4"/>
      <c r="AO18" s="4"/>
      <c r="AP18" s="4"/>
      <c r="AQ18" s="4"/>
      <c r="AR18" s="4"/>
      <c r="AS18" s="76" t="str">
        <f>"COMMENT ON COLUMN "&amp;エンティティ一覧!$O$2&amp;"."&amp;D$8&amp;"."&amp;D18&amp;" IS '"&amp;C18&amp;"';"</f>
        <v>COMMENT ON COLUMN milscm_2023_010.azn_202310_backup_mart_shikkan.shinsa_kikan IS '審査支払機関';</v>
      </c>
    </row>
    <row r="19" spans="1:45" s="25" customFormat="1" ht="56.25">
      <c r="A19" s="4"/>
      <c r="B19" s="21">
        <f t="shared" si="2"/>
        <v>7</v>
      </c>
      <c r="C19" s="13" t="s">
        <v>1772</v>
      </c>
      <c r="D19" s="13" t="s">
        <v>1773</v>
      </c>
      <c r="E19" s="7" t="s">
        <v>127</v>
      </c>
      <c r="F19" s="7" t="s">
        <v>1735</v>
      </c>
      <c r="G19" s="7" t="str">
        <f t="shared" si="7"/>
        <v>text</v>
      </c>
      <c r="H19" s="58"/>
      <c r="I19" s="23" t="s">
        <v>127</v>
      </c>
      <c r="J19" s="24" t="s">
        <v>1787</v>
      </c>
      <c r="M19" s="4"/>
      <c r="N19" s="76"/>
      <c r="O19" s="76"/>
      <c r="P19" s="76" t="str">
        <f t="shared" si="8"/>
        <v>,jyouhoumoto_kubun</v>
      </c>
      <c r="Q19" s="76" t="str">
        <f t="shared" si="9"/>
        <v>TEXT</v>
      </c>
      <c r="R19" s="76" t="str">
        <f t="shared" si="10"/>
        <v/>
      </c>
      <c r="S19" s="76" t="str">
        <f t="shared" si="11"/>
        <v>NOT NULL</v>
      </c>
      <c r="T19" s="76" t="str">
        <f t="shared" si="12"/>
        <v>-- 情報元区分</v>
      </c>
      <c r="U19" s="4"/>
      <c r="AA19" s="4"/>
      <c r="AB19" s="4"/>
      <c r="AC19" s="4"/>
      <c r="AD19" s="4"/>
      <c r="AE19" s="4"/>
      <c r="AF19" s="4"/>
      <c r="AG19" s="4"/>
      <c r="AH19" s="4"/>
      <c r="AI19" s="4"/>
      <c r="AJ19" s="76" t="str">
        <f>IF(E19="○",IF(COUNTA(E$13:E19)=1,"",",")&amp;D19,"")</f>
        <v>,jyouhoumoto_kubun</v>
      </c>
      <c r="AK19" s="4"/>
      <c r="AL19" s="4"/>
      <c r="AM19" s="4"/>
      <c r="AN19" s="4"/>
      <c r="AO19" s="4"/>
      <c r="AP19" s="4"/>
      <c r="AQ19" s="4"/>
      <c r="AR19" s="4"/>
      <c r="AS19" s="76" t="str">
        <f>"COMMENT ON COLUMN "&amp;エンティティ一覧!$O$2&amp;"."&amp;D$8&amp;"."&amp;D19&amp;" IS '"&amp;C19&amp;"';"</f>
        <v>COMMENT ON COLUMN milscm_2023_010.azn_202310_backup_mart_shikkan.jyouhoumoto_kubun IS '情報元区分';</v>
      </c>
    </row>
    <row r="20" spans="1:45" s="25" customFormat="1">
      <c r="A20" s="4"/>
      <c r="B20" s="21">
        <f t="shared" si="2"/>
        <v>8</v>
      </c>
      <c r="C20" s="13" t="s">
        <v>1774</v>
      </c>
      <c r="D20" s="13" t="s">
        <v>909</v>
      </c>
      <c r="E20" s="7" t="s">
        <v>127</v>
      </c>
      <c r="F20" s="7" t="s">
        <v>203</v>
      </c>
      <c r="G20" s="7" t="str">
        <f t="shared" si="7"/>
        <v>integer</v>
      </c>
      <c r="H20" s="58"/>
      <c r="I20" s="23" t="s">
        <v>127</v>
      </c>
      <c r="J20" s="24" t="s">
        <v>1788</v>
      </c>
      <c r="M20" s="4"/>
      <c r="N20" s="76"/>
      <c r="O20" s="76"/>
      <c r="P20" s="76" t="str">
        <f t="shared" si="8"/>
        <v>,receipt_no</v>
      </c>
      <c r="Q20" s="76" t="str">
        <f t="shared" si="9"/>
        <v>INTEGER</v>
      </c>
      <c r="R20" s="76" t="str">
        <f t="shared" si="10"/>
        <v/>
      </c>
      <c r="S20" s="76" t="str">
        <f t="shared" si="11"/>
        <v>NOT NULL</v>
      </c>
      <c r="T20" s="76" t="str">
        <f t="shared" si="12"/>
        <v>-- レセプト番号</v>
      </c>
      <c r="U20" s="4"/>
      <c r="AA20" s="4"/>
      <c r="AB20" s="4"/>
      <c r="AC20" s="4"/>
      <c r="AD20" s="4"/>
      <c r="AE20" s="4"/>
      <c r="AF20" s="4"/>
      <c r="AG20" s="4"/>
      <c r="AH20" s="4"/>
      <c r="AI20" s="4"/>
      <c r="AJ20" s="76" t="str">
        <f>IF(E20="○",IF(COUNTA(E$13:E20)=1,"",",")&amp;D20,"")</f>
        <v>,receipt_no</v>
      </c>
      <c r="AK20" s="4"/>
      <c r="AL20" s="4"/>
      <c r="AM20" s="4"/>
      <c r="AN20" s="4"/>
      <c r="AO20" s="4"/>
      <c r="AP20" s="4"/>
      <c r="AQ20" s="4"/>
      <c r="AR20" s="4"/>
      <c r="AS20" s="76" t="str">
        <f>"COMMENT ON COLUMN "&amp;エンティティ一覧!$O$2&amp;"."&amp;D$8&amp;"."&amp;D20&amp;" IS '"&amp;C20&amp;"';"</f>
        <v>COMMENT ON COLUMN milscm_2023_010.azn_202310_backup_mart_shikkan.receipt_no IS 'レセプト番号';</v>
      </c>
    </row>
    <row r="21" spans="1:45" s="25" customFormat="1">
      <c r="A21" s="4"/>
      <c r="B21" s="21">
        <f t="shared" si="2"/>
        <v>9</v>
      </c>
      <c r="C21" s="13" t="s">
        <v>1775</v>
      </c>
      <c r="D21" s="13" t="s">
        <v>911</v>
      </c>
      <c r="E21" s="7" t="s">
        <v>127</v>
      </c>
      <c r="F21" s="7" t="s">
        <v>203</v>
      </c>
      <c r="G21" s="7" t="str">
        <f t="shared" si="7"/>
        <v>integer</v>
      </c>
      <c r="H21" s="58"/>
      <c r="I21" s="23" t="s">
        <v>127</v>
      </c>
      <c r="J21" s="24" t="s">
        <v>1789</v>
      </c>
      <c r="M21" s="4"/>
      <c r="N21" s="76"/>
      <c r="O21" s="76"/>
      <c r="P21" s="76" t="str">
        <f t="shared" si="8"/>
        <v>,gyo_no</v>
      </c>
      <c r="Q21" s="76" t="str">
        <f t="shared" si="9"/>
        <v>INTEGER</v>
      </c>
      <c r="R21" s="76" t="str">
        <f t="shared" si="10"/>
        <v/>
      </c>
      <c r="S21" s="76" t="str">
        <f t="shared" si="11"/>
        <v>NOT NULL</v>
      </c>
      <c r="T21" s="76" t="str">
        <f t="shared" si="12"/>
        <v>-- 行番号</v>
      </c>
      <c r="U21" s="4"/>
      <c r="AA21" s="4"/>
      <c r="AB21" s="4"/>
      <c r="AC21" s="4"/>
      <c r="AD21" s="4"/>
      <c r="AE21" s="4"/>
      <c r="AF21" s="4"/>
      <c r="AG21" s="4"/>
      <c r="AH21" s="4"/>
      <c r="AI21" s="4"/>
      <c r="AJ21" s="76" t="str">
        <f>IF(E21="○",IF(COUNTA(E$13:E21)=1,"",",")&amp;D21,"")</f>
        <v>,gyo_no</v>
      </c>
      <c r="AK21" s="4"/>
      <c r="AL21" s="4"/>
      <c r="AM21" s="4"/>
      <c r="AN21" s="4"/>
      <c r="AO21" s="4"/>
      <c r="AP21" s="4"/>
      <c r="AQ21" s="4"/>
      <c r="AR21" s="4"/>
      <c r="AS21" s="76" t="str">
        <f>"COMMENT ON COLUMN "&amp;エンティティ一覧!$O$2&amp;"."&amp;D$8&amp;"."&amp;D21&amp;" IS '"&amp;C21&amp;"';"</f>
        <v>COMMENT ON COLUMN milscm_2023_010.azn_202310_backup_mart_shikkan.gyo_no IS '行番号';</v>
      </c>
    </row>
    <row r="22" spans="1:45" s="25" customFormat="1">
      <c r="A22" s="4"/>
      <c r="B22" s="21">
        <f t="shared" si="2"/>
        <v>10</v>
      </c>
      <c r="C22" s="13" t="s">
        <v>1776</v>
      </c>
      <c r="D22" s="13" t="s">
        <v>913</v>
      </c>
      <c r="E22" s="7" t="s">
        <v>127</v>
      </c>
      <c r="F22" s="7" t="s">
        <v>1735</v>
      </c>
      <c r="G22" s="7" t="str">
        <f t="shared" si="7"/>
        <v>text</v>
      </c>
      <c r="H22" s="58"/>
      <c r="I22" s="23" t="s">
        <v>127</v>
      </c>
      <c r="J22" s="24" t="s">
        <v>1790</v>
      </c>
      <c r="M22" s="4"/>
      <c r="N22" s="76"/>
      <c r="O22" s="76"/>
      <c r="P22" s="76" t="str">
        <f t="shared" si="8"/>
        <v>,karute_no</v>
      </c>
      <c r="Q22" s="76" t="str">
        <f t="shared" si="9"/>
        <v>TEXT</v>
      </c>
      <c r="R22" s="76" t="str">
        <f t="shared" si="10"/>
        <v/>
      </c>
      <c r="S22" s="76" t="str">
        <f t="shared" si="11"/>
        <v>NOT NULL</v>
      </c>
      <c r="T22" s="76" t="str">
        <f t="shared" si="12"/>
        <v>-- カルテ番号等</v>
      </c>
      <c r="U22" s="4"/>
      <c r="AA22" s="4"/>
      <c r="AB22" s="4"/>
      <c r="AC22" s="4"/>
      <c r="AD22" s="4"/>
      <c r="AE22" s="4"/>
      <c r="AF22" s="4"/>
      <c r="AG22" s="4"/>
      <c r="AH22" s="4"/>
      <c r="AI22" s="4"/>
      <c r="AJ22" s="76" t="str">
        <f>IF(E22="○",IF(COUNTA(E$13:E22)=1,"",",")&amp;D22,"")</f>
        <v>,karute_no</v>
      </c>
      <c r="AK22" s="4"/>
      <c r="AL22" s="4"/>
      <c r="AM22" s="4"/>
      <c r="AN22" s="4"/>
      <c r="AO22" s="4"/>
      <c r="AP22" s="4"/>
      <c r="AQ22" s="4"/>
      <c r="AR22" s="4"/>
      <c r="AS22" s="76" t="str">
        <f>"COMMENT ON COLUMN "&amp;エンティティ一覧!$O$2&amp;"."&amp;D$8&amp;"."&amp;D22&amp;" IS '"&amp;C22&amp;"';"</f>
        <v>COMMENT ON COLUMN milscm_2023_010.azn_202310_backup_mart_shikkan.karute_no IS 'カルテ番号等';</v>
      </c>
    </row>
    <row r="23" spans="1:45" s="25" customFormat="1">
      <c r="A23" s="4"/>
      <c r="B23" s="21">
        <f t="shared" si="2"/>
        <v>11</v>
      </c>
      <c r="C23" s="13" t="s">
        <v>1777</v>
      </c>
      <c r="D23" s="13" t="s">
        <v>1197</v>
      </c>
      <c r="E23" s="7"/>
      <c r="F23" s="7" t="s">
        <v>1735</v>
      </c>
      <c r="G23" s="7" t="str">
        <f t="shared" si="7"/>
        <v>text</v>
      </c>
      <c r="H23" s="58"/>
      <c r="I23" s="23"/>
      <c r="J23" s="24" t="s">
        <v>1791</v>
      </c>
      <c r="M23" s="4"/>
      <c r="N23" s="76"/>
      <c r="O23" s="76"/>
      <c r="P23" s="76" t="str">
        <f t="shared" si="8"/>
        <v>,receipt_sokatsu_kubun</v>
      </c>
      <c r="Q23" s="76" t="str">
        <f t="shared" si="9"/>
        <v>TEXT</v>
      </c>
      <c r="R23" s="76" t="str">
        <f t="shared" si="10"/>
        <v/>
      </c>
      <c r="S23" s="76" t="str">
        <f t="shared" si="11"/>
        <v/>
      </c>
      <c r="T23" s="76" t="str">
        <f t="shared" si="12"/>
        <v>-- レセプト総括区分</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milscm_2023_010.azn_202310_backup_mart_shikkan.receipt_sokatsu_kubun IS 'レセプト総括区分';</v>
      </c>
    </row>
    <row r="24" spans="1:45" s="25" customFormat="1">
      <c r="A24" s="4"/>
      <c r="B24" s="21">
        <f t="shared" si="2"/>
        <v>12</v>
      </c>
      <c r="C24" s="13" t="s">
        <v>663</v>
      </c>
      <c r="D24" s="13" t="s">
        <v>870</v>
      </c>
      <c r="E24" s="7"/>
      <c r="F24" s="7" t="s">
        <v>1735</v>
      </c>
      <c r="G24" s="7" t="str">
        <f t="shared" si="7"/>
        <v>text</v>
      </c>
      <c r="H24" s="58"/>
      <c r="I24" s="23"/>
      <c r="J24" s="24"/>
      <c r="M24" s="4"/>
      <c r="N24" s="76"/>
      <c r="O24" s="76"/>
      <c r="P24" s="76" t="str">
        <f t="shared" si="8"/>
        <v>,shobyo_code</v>
      </c>
      <c r="Q24" s="76" t="str">
        <f t="shared" si="9"/>
        <v>TEXT</v>
      </c>
      <c r="R24" s="76" t="str">
        <f t="shared" si="10"/>
        <v/>
      </c>
      <c r="S24" s="76" t="str">
        <f t="shared" si="11"/>
        <v/>
      </c>
      <c r="T24" s="76" t="str">
        <f t="shared" si="12"/>
        <v>-- 傷病名コード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milscm_2023_010.azn_202310_backup_mart_shikkan.shobyo_code IS '傷病名コード';</v>
      </c>
    </row>
    <row r="25" spans="1:45" s="25" customFormat="1">
      <c r="A25" s="4"/>
      <c r="B25" s="21">
        <f t="shared" si="2"/>
        <v>13</v>
      </c>
      <c r="C25" s="13" t="s">
        <v>1070</v>
      </c>
      <c r="D25" s="13" t="s">
        <v>1071</v>
      </c>
      <c r="E25" s="7"/>
      <c r="F25" s="7" t="s">
        <v>1735</v>
      </c>
      <c r="G25" s="7" t="str">
        <f t="shared" si="7"/>
        <v>text</v>
      </c>
      <c r="H25" s="58"/>
      <c r="I25" s="23"/>
      <c r="J25" s="24" t="s">
        <v>1792</v>
      </c>
      <c r="M25" s="4"/>
      <c r="N25" s="76"/>
      <c r="O25" s="76"/>
      <c r="P25" s="76" t="str">
        <f t="shared" si="8"/>
        <v>,shinryo_start_date</v>
      </c>
      <c r="Q25" s="76" t="str">
        <f t="shared" si="9"/>
        <v>TEXT</v>
      </c>
      <c r="R25" s="76" t="str">
        <f t="shared" si="10"/>
        <v/>
      </c>
      <c r="S25" s="76" t="str">
        <f t="shared" si="11"/>
        <v/>
      </c>
      <c r="T25" s="76" t="str">
        <f t="shared" si="12"/>
        <v>-- 診療開始日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milscm_2023_010.azn_202310_backup_mart_shikkan.shinryo_start_date IS '診療開始日';</v>
      </c>
    </row>
    <row r="26" spans="1:45" s="25" customFormat="1">
      <c r="A26" s="4"/>
      <c r="B26" s="21">
        <f t="shared" si="2"/>
        <v>14</v>
      </c>
      <c r="C26" s="13" t="s">
        <v>1072</v>
      </c>
      <c r="D26" s="13" t="s">
        <v>1073</v>
      </c>
      <c r="E26" s="7"/>
      <c r="F26" s="7" t="s">
        <v>1735</v>
      </c>
      <c r="G26" s="7" t="str">
        <f t="shared" si="7"/>
        <v>text</v>
      </c>
      <c r="H26" s="58"/>
      <c r="I26" s="23"/>
      <c r="J26" s="24"/>
      <c r="M26" s="4"/>
      <c r="N26" s="76"/>
      <c r="O26" s="76"/>
      <c r="P26" s="76" t="str">
        <f t="shared" si="8"/>
        <v>,tenki_kubun</v>
      </c>
      <c r="Q26" s="76" t="str">
        <f t="shared" si="9"/>
        <v>TEXT</v>
      </c>
      <c r="R26" s="76" t="str">
        <f t="shared" si="10"/>
        <v/>
      </c>
      <c r="S26" s="76" t="str">
        <f t="shared" si="11"/>
        <v/>
      </c>
      <c r="T26" s="76" t="str">
        <f t="shared" si="12"/>
        <v>-- 転帰区分</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milscm_2023_010.azn_202310_backup_mart_shikkan.tenki_kubun IS '転帰区分';</v>
      </c>
    </row>
    <row r="27" spans="1:45" s="25" customFormat="1">
      <c r="A27" s="4"/>
      <c r="B27" s="21">
        <f t="shared" si="2"/>
        <v>15</v>
      </c>
      <c r="C27" s="13" t="s">
        <v>665</v>
      </c>
      <c r="D27" s="13" t="s">
        <v>871</v>
      </c>
      <c r="E27" s="7"/>
      <c r="F27" s="7" t="s">
        <v>1735</v>
      </c>
      <c r="G27" s="7" t="str">
        <f t="shared" si="7"/>
        <v>text</v>
      </c>
      <c r="H27" s="58"/>
      <c r="I27" s="23"/>
      <c r="J27" s="24" t="s">
        <v>1793</v>
      </c>
      <c r="M27" s="4"/>
      <c r="N27" s="76"/>
      <c r="O27" s="76"/>
      <c r="P27" s="76" t="str">
        <f t="shared" si="8"/>
        <v>,shushoku_code1</v>
      </c>
      <c r="Q27" s="76" t="str">
        <f t="shared" si="9"/>
        <v>TEXT</v>
      </c>
      <c r="R27" s="76" t="str">
        <f t="shared" si="10"/>
        <v/>
      </c>
      <c r="S27" s="76" t="str">
        <f t="shared" si="11"/>
        <v/>
      </c>
      <c r="T27" s="76" t="str">
        <f t="shared" si="12"/>
        <v>-- 修飾語コード1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milscm_2023_010.azn_202310_backup_mart_shikkan.shushoku_code1 IS '修飾語コード1';</v>
      </c>
    </row>
    <row r="28" spans="1:45" s="25" customFormat="1">
      <c r="A28" s="4"/>
      <c r="B28" s="21">
        <f t="shared" si="2"/>
        <v>16</v>
      </c>
      <c r="C28" s="13" t="s">
        <v>667</v>
      </c>
      <c r="D28" s="13" t="s">
        <v>872</v>
      </c>
      <c r="E28" s="7"/>
      <c r="F28" s="7" t="s">
        <v>1735</v>
      </c>
      <c r="G28" s="7" t="str">
        <f t="shared" si="7"/>
        <v>text</v>
      </c>
      <c r="H28" s="58"/>
      <c r="I28" s="23"/>
      <c r="J28" s="24"/>
      <c r="M28" s="4"/>
      <c r="N28" s="76"/>
      <c r="O28" s="76"/>
      <c r="P28" s="76" t="str">
        <f t="shared" si="8"/>
        <v>,shushoku_code2</v>
      </c>
      <c r="Q28" s="76" t="str">
        <f t="shared" si="9"/>
        <v>TEXT</v>
      </c>
      <c r="R28" s="76" t="str">
        <f t="shared" si="10"/>
        <v/>
      </c>
      <c r="S28" s="76" t="str">
        <f t="shared" si="11"/>
        <v/>
      </c>
      <c r="T28" s="76" t="str">
        <f t="shared" si="12"/>
        <v>-- 修飾語コード2</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milscm_2023_010.azn_202310_backup_mart_shikkan.shushoku_code2 IS '修飾語コード2';</v>
      </c>
    </row>
    <row r="29" spans="1:45" s="25" customFormat="1">
      <c r="A29" s="4"/>
      <c r="B29" s="21">
        <f t="shared" si="2"/>
        <v>17</v>
      </c>
      <c r="C29" s="13" t="s">
        <v>669</v>
      </c>
      <c r="D29" s="13" t="s">
        <v>873</v>
      </c>
      <c r="E29" s="7"/>
      <c r="F29" s="7" t="s">
        <v>1735</v>
      </c>
      <c r="G29" s="7" t="str">
        <f t="shared" si="7"/>
        <v>text</v>
      </c>
      <c r="H29" s="58"/>
      <c r="I29" s="23"/>
      <c r="J29" s="24"/>
      <c r="M29" s="4"/>
      <c r="N29" s="76"/>
      <c r="O29" s="76"/>
      <c r="P29" s="76" t="str">
        <f t="shared" si="8"/>
        <v>,shushoku_code3</v>
      </c>
      <c r="Q29" s="76" t="str">
        <f t="shared" si="9"/>
        <v>TEXT</v>
      </c>
      <c r="R29" s="76" t="str">
        <f t="shared" si="10"/>
        <v/>
      </c>
      <c r="S29" s="76" t="str">
        <f t="shared" si="11"/>
        <v/>
      </c>
      <c r="T29" s="76" t="str">
        <f t="shared" si="12"/>
        <v>-- 修飾語コード3</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milscm_2023_010.azn_202310_backup_mart_shikkan.shushoku_code3 IS '修飾語コード3';</v>
      </c>
    </row>
    <row r="30" spans="1:45" s="25" customFormat="1">
      <c r="A30" s="4"/>
      <c r="B30" s="21">
        <f t="shared" si="2"/>
        <v>18</v>
      </c>
      <c r="C30" s="13" t="s">
        <v>671</v>
      </c>
      <c r="D30" s="13" t="s">
        <v>874</v>
      </c>
      <c r="E30" s="7"/>
      <c r="F30" s="7" t="s">
        <v>1735</v>
      </c>
      <c r="G30" s="7" t="str">
        <f t="shared" si="7"/>
        <v>text</v>
      </c>
      <c r="H30" s="58"/>
      <c r="I30" s="23"/>
      <c r="J30" s="24"/>
      <c r="M30" s="4"/>
      <c r="N30" s="76"/>
      <c r="O30" s="76"/>
      <c r="P30" s="76" t="str">
        <f t="shared" si="8"/>
        <v>,shushoku_code4</v>
      </c>
      <c r="Q30" s="76" t="str">
        <f t="shared" si="9"/>
        <v>TEXT</v>
      </c>
      <c r="R30" s="76" t="str">
        <f t="shared" si="10"/>
        <v/>
      </c>
      <c r="S30" s="76" t="str">
        <f t="shared" si="11"/>
        <v/>
      </c>
      <c r="T30" s="76" t="str">
        <f t="shared" si="12"/>
        <v>-- 修飾語コード4</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milscm_2023_010.azn_202310_backup_mart_shikkan.shushoku_code4 IS '修飾語コード4';</v>
      </c>
    </row>
    <row r="31" spans="1:45" s="25" customFormat="1">
      <c r="A31" s="4"/>
      <c r="B31" s="21">
        <f t="shared" si="2"/>
        <v>19</v>
      </c>
      <c r="C31" s="13" t="s">
        <v>1074</v>
      </c>
      <c r="D31" s="13" t="s">
        <v>1075</v>
      </c>
      <c r="E31" s="7"/>
      <c r="F31" s="7" t="s">
        <v>1735</v>
      </c>
      <c r="G31" s="7" t="str">
        <f t="shared" si="7"/>
        <v>text</v>
      </c>
      <c r="H31" s="58"/>
      <c r="I31" s="23"/>
      <c r="J31" s="24"/>
      <c r="M31" s="4"/>
      <c r="N31" s="76"/>
      <c r="O31" s="76"/>
      <c r="P31" s="76" t="str">
        <f t="shared" si="8"/>
        <v>,shushoku_code5</v>
      </c>
      <c r="Q31" s="76" t="str">
        <f t="shared" si="9"/>
        <v>TEXT</v>
      </c>
      <c r="R31" s="76" t="str">
        <f t="shared" si="10"/>
        <v/>
      </c>
      <c r="S31" s="76" t="str">
        <f t="shared" si="11"/>
        <v/>
      </c>
      <c r="T31" s="76" t="str">
        <f t="shared" si="12"/>
        <v>-- 修飾語コード5</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milscm_2023_010.azn_202310_backup_mart_shikkan.shushoku_code5 IS '修飾語コード5';</v>
      </c>
    </row>
    <row r="32" spans="1:45" s="25" customFormat="1">
      <c r="A32" s="4"/>
      <c r="B32" s="21">
        <f t="shared" si="2"/>
        <v>20</v>
      </c>
      <c r="C32" s="13" t="s">
        <v>1076</v>
      </c>
      <c r="D32" s="13" t="s">
        <v>1077</v>
      </c>
      <c r="E32" s="7"/>
      <c r="F32" s="7" t="s">
        <v>1735</v>
      </c>
      <c r="G32" s="7" t="str">
        <f t="shared" si="7"/>
        <v>text</v>
      </c>
      <c r="H32" s="58"/>
      <c r="I32" s="23"/>
      <c r="J32" s="24"/>
      <c r="M32" s="4"/>
      <c r="N32" s="76"/>
      <c r="O32" s="76"/>
      <c r="P32" s="76" t="str">
        <f t="shared" si="8"/>
        <v>,shushoku_code6</v>
      </c>
      <c r="Q32" s="76" t="str">
        <f t="shared" si="9"/>
        <v>TEXT</v>
      </c>
      <c r="R32" s="76" t="str">
        <f t="shared" si="10"/>
        <v/>
      </c>
      <c r="S32" s="76" t="str">
        <f t="shared" si="11"/>
        <v/>
      </c>
      <c r="T32" s="76" t="str">
        <f t="shared" si="12"/>
        <v>-- 修飾語コード6</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milscm_2023_010.azn_202310_backup_mart_shikkan.shushoku_code6 IS '修飾語コード6';</v>
      </c>
    </row>
    <row r="33" spans="1:45" s="25" customFormat="1">
      <c r="A33" s="4"/>
      <c r="B33" s="21">
        <f t="shared" si="2"/>
        <v>21</v>
      </c>
      <c r="C33" s="13" t="s">
        <v>1078</v>
      </c>
      <c r="D33" s="13" t="s">
        <v>1079</v>
      </c>
      <c r="E33" s="7"/>
      <c r="F33" s="7" t="s">
        <v>1735</v>
      </c>
      <c r="G33" s="7" t="str">
        <f t="shared" si="7"/>
        <v>text</v>
      </c>
      <c r="H33" s="58"/>
      <c r="I33" s="23"/>
      <c r="J33" s="24"/>
      <c r="M33" s="4"/>
      <c r="N33" s="76"/>
      <c r="O33" s="76"/>
      <c r="P33" s="76" t="str">
        <f t="shared" si="8"/>
        <v>,shushoku_code7</v>
      </c>
      <c r="Q33" s="76" t="str">
        <f t="shared" si="9"/>
        <v>TEXT</v>
      </c>
      <c r="R33" s="76" t="str">
        <f t="shared" si="10"/>
        <v/>
      </c>
      <c r="S33" s="76" t="str">
        <f t="shared" si="11"/>
        <v/>
      </c>
      <c r="T33" s="76" t="str">
        <f t="shared" si="12"/>
        <v>-- 修飾語コード7</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milscm_2023_010.azn_202310_backup_mart_shikkan.shushoku_code7 IS '修飾語コード7';</v>
      </c>
    </row>
    <row r="34" spans="1:45" s="25" customFormat="1">
      <c r="A34" s="4"/>
      <c r="B34" s="21">
        <f t="shared" si="2"/>
        <v>22</v>
      </c>
      <c r="C34" s="13" t="s">
        <v>1080</v>
      </c>
      <c r="D34" s="13" t="s">
        <v>1081</v>
      </c>
      <c r="E34" s="7"/>
      <c r="F34" s="7" t="s">
        <v>1735</v>
      </c>
      <c r="G34" s="7" t="str">
        <f t="shared" si="7"/>
        <v>text</v>
      </c>
      <c r="H34" s="58"/>
      <c r="I34" s="23"/>
      <c r="J34" s="24"/>
      <c r="M34" s="4"/>
      <c r="N34" s="76"/>
      <c r="O34" s="76"/>
      <c r="P34" s="76" t="str">
        <f t="shared" si="8"/>
        <v>,shushoku_code8</v>
      </c>
      <c r="Q34" s="76" t="str">
        <f t="shared" si="9"/>
        <v>TEXT</v>
      </c>
      <c r="R34" s="76" t="str">
        <f t="shared" si="10"/>
        <v/>
      </c>
      <c r="S34" s="76" t="str">
        <f t="shared" si="11"/>
        <v/>
      </c>
      <c r="T34" s="76" t="str">
        <f t="shared" si="12"/>
        <v>-- 修飾語コード8</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milscm_2023_010.azn_202310_backup_mart_shikkan.shushoku_code8 IS '修飾語コード8';</v>
      </c>
    </row>
    <row r="35" spans="1:45" s="25" customFormat="1">
      <c r="A35" s="4"/>
      <c r="B35" s="21">
        <f t="shared" si="2"/>
        <v>23</v>
      </c>
      <c r="C35" s="13" t="s">
        <v>1082</v>
      </c>
      <c r="D35" s="13" t="s">
        <v>1083</v>
      </c>
      <c r="E35" s="7"/>
      <c r="F35" s="7" t="s">
        <v>1735</v>
      </c>
      <c r="G35" s="7" t="str">
        <f t="shared" si="7"/>
        <v>text</v>
      </c>
      <c r="H35" s="58"/>
      <c r="I35" s="23"/>
      <c r="J35" s="24"/>
      <c r="M35" s="4"/>
      <c r="N35" s="76"/>
      <c r="O35" s="76"/>
      <c r="P35" s="76" t="str">
        <f t="shared" si="8"/>
        <v>,shushoku_code9</v>
      </c>
      <c r="Q35" s="76" t="str">
        <f t="shared" si="9"/>
        <v>TEXT</v>
      </c>
      <c r="R35" s="76" t="str">
        <f t="shared" si="10"/>
        <v/>
      </c>
      <c r="S35" s="76" t="str">
        <f t="shared" si="11"/>
        <v/>
      </c>
      <c r="T35" s="76" t="str">
        <f t="shared" si="12"/>
        <v>-- 修飾語コード9</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milscm_2023_010.azn_202310_backup_mart_shikkan.shushoku_code9 IS '修飾語コード9';</v>
      </c>
    </row>
    <row r="36" spans="1:45" s="25" customFormat="1">
      <c r="A36" s="4"/>
      <c r="B36" s="21">
        <f t="shared" si="2"/>
        <v>24</v>
      </c>
      <c r="C36" s="13" t="s">
        <v>1084</v>
      </c>
      <c r="D36" s="13" t="s">
        <v>1085</v>
      </c>
      <c r="E36" s="7"/>
      <c r="F36" s="7" t="s">
        <v>1735</v>
      </c>
      <c r="G36" s="7" t="str">
        <f t="shared" si="7"/>
        <v>text</v>
      </c>
      <c r="H36" s="58"/>
      <c r="I36" s="23"/>
      <c r="J36" s="24"/>
      <c r="M36" s="4"/>
      <c r="N36" s="76"/>
      <c r="O36" s="76"/>
      <c r="P36" s="76" t="str">
        <f t="shared" si="8"/>
        <v>,shushoku_code10</v>
      </c>
      <c r="Q36" s="76" t="str">
        <f t="shared" si="9"/>
        <v>TEXT</v>
      </c>
      <c r="R36" s="76" t="str">
        <f t="shared" si="10"/>
        <v/>
      </c>
      <c r="S36" s="76" t="str">
        <f t="shared" si="11"/>
        <v/>
      </c>
      <c r="T36" s="76" t="str">
        <f t="shared" si="12"/>
        <v>-- 修飾語コード10</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milscm_2023_010.azn_202310_backup_mart_shikkan.shushoku_code10 IS '修飾語コード10';</v>
      </c>
    </row>
    <row r="37" spans="1:45" s="25" customFormat="1">
      <c r="A37" s="4"/>
      <c r="B37" s="21">
        <f t="shared" si="2"/>
        <v>25</v>
      </c>
      <c r="C37" s="13" t="s">
        <v>1086</v>
      </c>
      <c r="D37" s="13" t="s">
        <v>1087</v>
      </c>
      <c r="E37" s="7"/>
      <c r="F37" s="7" t="s">
        <v>1735</v>
      </c>
      <c r="G37" s="7" t="str">
        <f t="shared" si="7"/>
        <v>text</v>
      </c>
      <c r="H37" s="58"/>
      <c r="I37" s="23"/>
      <c r="J37" s="24"/>
      <c r="M37" s="4"/>
      <c r="N37" s="76"/>
      <c r="O37" s="76"/>
      <c r="P37" s="76" t="str">
        <f t="shared" si="8"/>
        <v>,shushoku_code11</v>
      </c>
      <c r="Q37" s="76" t="str">
        <f t="shared" si="9"/>
        <v>TEXT</v>
      </c>
      <c r="R37" s="76" t="str">
        <f t="shared" si="10"/>
        <v/>
      </c>
      <c r="S37" s="76" t="str">
        <f t="shared" si="11"/>
        <v/>
      </c>
      <c r="T37" s="76" t="str">
        <f t="shared" si="12"/>
        <v>-- 修飾語コード11</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milscm_2023_010.azn_202310_backup_mart_shikkan.shushoku_code11 IS '修飾語コード11';</v>
      </c>
    </row>
    <row r="38" spans="1:45" s="25" customFormat="1">
      <c r="A38" s="4"/>
      <c r="B38" s="21">
        <f t="shared" si="2"/>
        <v>26</v>
      </c>
      <c r="C38" s="13" t="s">
        <v>1088</v>
      </c>
      <c r="D38" s="13" t="s">
        <v>1089</v>
      </c>
      <c r="E38" s="7"/>
      <c r="F38" s="7" t="s">
        <v>1735</v>
      </c>
      <c r="G38" s="7" t="str">
        <f t="shared" si="7"/>
        <v>text</v>
      </c>
      <c r="H38" s="58"/>
      <c r="I38" s="23"/>
      <c r="J38" s="24"/>
      <c r="M38" s="4"/>
      <c r="N38" s="76"/>
      <c r="O38" s="76"/>
      <c r="P38" s="76" t="str">
        <f t="shared" si="8"/>
        <v>,shushoku_code12</v>
      </c>
      <c r="Q38" s="76" t="str">
        <f t="shared" si="9"/>
        <v>TEXT</v>
      </c>
      <c r="R38" s="76" t="str">
        <f t="shared" si="10"/>
        <v/>
      </c>
      <c r="S38" s="76" t="str">
        <f t="shared" si="11"/>
        <v/>
      </c>
      <c r="T38" s="76" t="str">
        <f t="shared" si="12"/>
        <v>-- 修飾語コード12</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milscm_2023_010.azn_202310_backup_mart_shikkan.shushoku_code12 IS '修飾語コード12';</v>
      </c>
    </row>
    <row r="39" spans="1:45" s="25" customFormat="1">
      <c r="A39" s="4"/>
      <c r="B39" s="21">
        <f t="shared" si="2"/>
        <v>27</v>
      </c>
      <c r="C39" s="13" t="s">
        <v>1090</v>
      </c>
      <c r="D39" s="13" t="s">
        <v>1091</v>
      </c>
      <c r="E39" s="7"/>
      <c r="F39" s="7" t="s">
        <v>1735</v>
      </c>
      <c r="G39" s="7" t="str">
        <f t="shared" si="7"/>
        <v>text</v>
      </c>
      <c r="H39" s="58"/>
      <c r="I39" s="23"/>
      <c r="J39" s="24"/>
      <c r="M39" s="4"/>
      <c r="N39" s="76"/>
      <c r="O39" s="76"/>
      <c r="P39" s="76" t="str">
        <f t="shared" si="8"/>
        <v>,shushoku_code13</v>
      </c>
      <c r="Q39" s="76" t="str">
        <f t="shared" si="9"/>
        <v>TEXT</v>
      </c>
      <c r="R39" s="76" t="str">
        <f t="shared" si="10"/>
        <v/>
      </c>
      <c r="S39" s="76" t="str">
        <f t="shared" si="11"/>
        <v/>
      </c>
      <c r="T39" s="76" t="str">
        <f t="shared" si="12"/>
        <v>-- 修飾語コード13</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milscm_2023_010.azn_202310_backup_mart_shikkan.shushoku_code13 IS '修飾語コード13';</v>
      </c>
    </row>
    <row r="40" spans="1:45" s="25" customFormat="1">
      <c r="A40" s="4"/>
      <c r="B40" s="21">
        <f t="shared" si="2"/>
        <v>28</v>
      </c>
      <c r="C40" s="13" t="s">
        <v>1092</v>
      </c>
      <c r="D40" s="13" t="s">
        <v>1093</v>
      </c>
      <c r="E40" s="7"/>
      <c r="F40" s="7" t="s">
        <v>1735</v>
      </c>
      <c r="G40" s="7" t="str">
        <f t="shared" si="7"/>
        <v>text</v>
      </c>
      <c r="H40" s="58"/>
      <c r="I40" s="23"/>
      <c r="J40" s="24"/>
      <c r="M40" s="4"/>
      <c r="N40" s="76"/>
      <c r="O40" s="76"/>
      <c r="P40" s="76" t="str">
        <f t="shared" si="8"/>
        <v>,shushoku_code14</v>
      </c>
      <c r="Q40" s="76" t="str">
        <f t="shared" si="9"/>
        <v>TEXT</v>
      </c>
      <c r="R40" s="76" t="str">
        <f t="shared" si="10"/>
        <v/>
      </c>
      <c r="S40" s="76" t="str">
        <f t="shared" si="11"/>
        <v/>
      </c>
      <c r="T40" s="76" t="str">
        <f t="shared" si="12"/>
        <v>-- 修飾語コード14</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milscm_2023_010.azn_202310_backup_mart_shikkan.shushoku_code14 IS '修飾語コード14';</v>
      </c>
    </row>
    <row r="41" spans="1:45" s="25" customFormat="1">
      <c r="A41" s="4"/>
      <c r="B41" s="21">
        <f t="shared" si="2"/>
        <v>29</v>
      </c>
      <c r="C41" s="13" t="s">
        <v>1094</v>
      </c>
      <c r="D41" s="13" t="s">
        <v>1095</v>
      </c>
      <c r="E41" s="7"/>
      <c r="F41" s="7" t="s">
        <v>1735</v>
      </c>
      <c r="G41" s="7" t="str">
        <f t="shared" si="3"/>
        <v>text</v>
      </c>
      <c r="H41" s="58"/>
      <c r="I41" s="23"/>
      <c r="J41" s="24"/>
      <c r="M41" s="4"/>
      <c r="N41" s="76"/>
      <c r="O41" s="76"/>
      <c r="P41" s="76" t="str">
        <f t="shared" si="4"/>
        <v>,shushoku_code15</v>
      </c>
      <c r="Q41" s="76" t="str">
        <f t="shared" si="0"/>
        <v>TEXT</v>
      </c>
      <c r="R41" s="76" t="str">
        <f t="shared" si="1"/>
        <v/>
      </c>
      <c r="S41" s="76" t="str">
        <f t="shared" si="5"/>
        <v/>
      </c>
      <c r="T41" s="76" t="str">
        <f t="shared" si="6"/>
        <v>-- 修飾語コード15</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milscm_2023_010.azn_202310_backup_mart_shikkan.shushoku_code15 IS '修飾語コード15';</v>
      </c>
    </row>
    <row r="42" spans="1:45" s="25" customFormat="1">
      <c r="A42" s="4"/>
      <c r="B42" s="21">
        <f t="shared" si="2"/>
        <v>30</v>
      </c>
      <c r="C42" s="13" t="s">
        <v>1096</v>
      </c>
      <c r="D42" s="13" t="s">
        <v>1097</v>
      </c>
      <c r="E42" s="7"/>
      <c r="F42" s="7" t="s">
        <v>1735</v>
      </c>
      <c r="G42" s="7" t="str">
        <f t="shared" si="3"/>
        <v>text</v>
      </c>
      <c r="H42" s="58"/>
      <c r="I42" s="23"/>
      <c r="J42" s="24"/>
      <c r="M42" s="4"/>
      <c r="N42" s="76"/>
      <c r="O42" s="76"/>
      <c r="P42" s="76" t="str">
        <f t="shared" si="4"/>
        <v>,shushoku_code16</v>
      </c>
      <c r="Q42" s="76" t="str">
        <f t="shared" si="0"/>
        <v>TEXT</v>
      </c>
      <c r="R42" s="76" t="str">
        <f t="shared" si="1"/>
        <v/>
      </c>
      <c r="S42" s="76" t="str">
        <f t="shared" si="5"/>
        <v/>
      </c>
      <c r="T42" s="76" t="str">
        <f t="shared" si="6"/>
        <v>-- 修飾語コード16</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milscm_2023_010.azn_202310_backup_mart_shikkan.shushoku_code16 IS '修飾語コード16';</v>
      </c>
    </row>
    <row r="43" spans="1:45" s="25" customFormat="1">
      <c r="A43" s="4"/>
      <c r="B43" s="21">
        <f t="shared" si="2"/>
        <v>31</v>
      </c>
      <c r="C43" s="13" t="s">
        <v>1098</v>
      </c>
      <c r="D43" s="13" t="s">
        <v>1099</v>
      </c>
      <c r="E43" s="7"/>
      <c r="F43" s="7" t="s">
        <v>1735</v>
      </c>
      <c r="G43" s="7" t="str">
        <f t="shared" si="3"/>
        <v>text</v>
      </c>
      <c r="H43" s="58"/>
      <c r="I43" s="23"/>
      <c r="J43" s="24"/>
      <c r="M43" s="4"/>
      <c r="N43" s="76"/>
      <c r="O43" s="76"/>
      <c r="P43" s="76" t="str">
        <f t="shared" si="4"/>
        <v>,shushoku_code17</v>
      </c>
      <c r="Q43" s="76" t="str">
        <f t="shared" si="0"/>
        <v>TEXT</v>
      </c>
      <c r="R43" s="76" t="str">
        <f t="shared" si="1"/>
        <v/>
      </c>
      <c r="S43" s="76" t="str">
        <f t="shared" si="5"/>
        <v/>
      </c>
      <c r="T43" s="76" t="str">
        <f t="shared" si="6"/>
        <v>-- 修飾語コード17</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milscm_2023_010.azn_202310_backup_mart_shikkan.shushoku_code17 IS '修飾語コード17';</v>
      </c>
    </row>
    <row r="44" spans="1:45" s="25" customFormat="1">
      <c r="A44" s="4"/>
      <c r="B44" s="21">
        <f t="shared" si="2"/>
        <v>32</v>
      </c>
      <c r="C44" s="13" t="s">
        <v>1100</v>
      </c>
      <c r="D44" s="13" t="s">
        <v>1101</v>
      </c>
      <c r="E44" s="7"/>
      <c r="F44" s="7" t="s">
        <v>1735</v>
      </c>
      <c r="G44" s="7" t="str">
        <f t="shared" si="3"/>
        <v>text</v>
      </c>
      <c r="H44" s="58"/>
      <c r="I44" s="23"/>
      <c r="J44" s="24"/>
      <c r="M44" s="4"/>
      <c r="N44" s="76"/>
      <c r="O44" s="76"/>
      <c r="P44" s="76" t="str">
        <f t="shared" si="4"/>
        <v>,shushoku_code18</v>
      </c>
      <c r="Q44" s="76" t="str">
        <f t="shared" si="0"/>
        <v>TEXT</v>
      </c>
      <c r="R44" s="76" t="str">
        <f t="shared" si="1"/>
        <v/>
      </c>
      <c r="S44" s="76" t="str">
        <f t="shared" si="5"/>
        <v/>
      </c>
      <c r="T44" s="76" t="str">
        <f t="shared" si="6"/>
        <v>-- 修飾語コード18</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milscm_2023_010.azn_202310_backup_mart_shikkan.shushoku_code18 IS '修飾語コード18';</v>
      </c>
    </row>
    <row r="45" spans="1:45" s="25" customFormat="1">
      <c r="A45" s="4"/>
      <c r="B45" s="21">
        <f t="shared" si="2"/>
        <v>33</v>
      </c>
      <c r="C45" s="13" t="s">
        <v>1102</v>
      </c>
      <c r="D45" s="13" t="s">
        <v>1103</v>
      </c>
      <c r="E45" s="7"/>
      <c r="F45" s="7" t="s">
        <v>1735</v>
      </c>
      <c r="G45" s="7" t="str">
        <f t="shared" si="3"/>
        <v>text</v>
      </c>
      <c r="H45" s="58"/>
      <c r="I45" s="23"/>
      <c r="J45" s="24"/>
      <c r="M45" s="4"/>
      <c r="N45" s="76"/>
      <c r="O45" s="76"/>
      <c r="P45" s="76" t="str">
        <f t="shared" si="4"/>
        <v>,shushoku_code19</v>
      </c>
      <c r="Q45" s="76" t="str">
        <f t="shared" si="0"/>
        <v>TEXT</v>
      </c>
      <c r="R45" s="76" t="str">
        <f t="shared" si="1"/>
        <v/>
      </c>
      <c r="S45" s="76" t="str">
        <f t="shared" si="5"/>
        <v/>
      </c>
      <c r="T45" s="76" t="str">
        <f t="shared" si="6"/>
        <v>-- 修飾語コード19</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milscm_2023_010.azn_202310_backup_mart_shikkan.shushoku_code19 IS '修飾語コード19';</v>
      </c>
    </row>
    <row r="46" spans="1:45" s="25" customFormat="1">
      <c r="A46" s="4"/>
      <c r="B46" s="21">
        <f t="shared" si="2"/>
        <v>34</v>
      </c>
      <c r="C46" s="13" t="s">
        <v>1104</v>
      </c>
      <c r="D46" s="13" t="s">
        <v>1105</v>
      </c>
      <c r="E46" s="7"/>
      <c r="F46" s="7" t="s">
        <v>1735</v>
      </c>
      <c r="G46" s="7" t="str">
        <f t="shared" si="3"/>
        <v>text</v>
      </c>
      <c r="H46" s="58"/>
      <c r="I46" s="23"/>
      <c r="J46" s="24"/>
      <c r="M46" s="4"/>
      <c r="N46" s="76"/>
      <c r="O46" s="76"/>
      <c r="P46" s="76" t="str">
        <f t="shared" si="4"/>
        <v>,shushoku_code20</v>
      </c>
      <c r="Q46" s="76" t="str">
        <f t="shared" si="0"/>
        <v>TEXT</v>
      </c>
      <c r="R46" s="76" t="str">
        <f t="shared" si="1"/>
        <v/>
      </c>
      <c r="S46" s="76" t="str">
        <f t="shared" si="5"/>
        <v/>
      </c>
      <c r="T46" s="76" t="str">
        <f t="shared" si="6"/>
        <v>-- 修飾語コード20</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milscm_2023_010.azn_202310_backup_mart_shikkan.shushoku_code20 IS '修飾語コード20';</v>
      </c>
    </row>
    <row r="47" spans="1:45" s="25" customFormat="1">
      <c r="A47" s="4"/>
      <c r="B47" s="21">
        <f t="shared" si="2"/>
        <v>35</v>
      </c>
      <c r="C47" s="13" t="s">
        <v>1106</v>
      </c>
      <c r="D47" s="13" t="s">
        <v>1107</v>
      </c>
      <c r="E47" s="7"/>
      <c r="F47" s="7" t="s">
        <v>1735</v>
      </c>
      <c r="G47" s="7" t="str">
        <f t="shared" si="3"/>
        <v>text</v>
      </c>
      <c r="H47" s="58"/>
      <c r="I47" s="23"/>
      <c r="J47" s="24"/>
      <c r="M47" s="4"/>
      <c r="N47" s="76"/>
      <c r="O47" s="76"/>
      <c r="P47" s="76" t="str">
        <f t="shared" si="4"/>
        <v>,shobyo_name</v>
      </c>
      <c r="Q47" s="76" t="str">
        <f t="shared" si="0"/>
        <v>TEXT</v>
      </c>
      <c r="R47" s="76" t="str">
        <f t="shared" si="1"/>
        <v/>
      </c>
      <c r="S47" s="76" t="str">
        <f t="shared" si="5"/>
        <v/>
      </c>
      <c r="T47" s="76" t="str">
        <f t="shared" si="6"/>
        <v>-- 傷病名称</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milscm_2023_010.azn_202310_backup_mart_shikkan.shobyo_name IS '傷病名称';</v>
      </c>
    </row>
    <row r="48" spans="1:45" s="25" customFormat="1">
      <c r="A48" s="4"/>
      <c r="B48" s="21">
        <f t="shared" si="2"/>
        <v>36</v>
      </c>
      <c r="C48" s="13" t="s">
        <v>1108</v>
      </c>
      <c r="D48" s="13" t="s">
        <v>1109</v>
      </c>
      <c r="E48" s="7"/>
      <c r="F48" s="7" t="s">
        <v>1735</v>
      </c>
      <c r="G48" s="7" t="str">
        <f t="shared" si="3"/>
        <v>text</v>
      </c>
      <c r="H48" s="58"/>
      <c r="I48" s="23"/>
      <c r="J48" s="24"/>
      <c r="M48" s="4"/>
      <c r="N48" s="76"/>
      <c r="O48" s="76"/>
      <c r="P48" s="76" t="str">
        <f t="shared" si="4"/>
        <v>,main_shobyo_code</v>
      </c>
      <c r="Q48" s="76" t="str">
        <f t="shared" si="0"/>
        <v>TEXT</v>
      </c>
      <c r="R48" s="76" t="str">
        <f t="shared" si="1"/>
        <v/>
      </c>
      <c r="S48" s="76" t="str">
        <f t="shared" si="5"/>
        <v/>
      </c>
      <c r="T48" s="76" t="str">
        <f t="shared" si="6"/>
        <v>-- 主傷病</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milscm_2023_010.azn_202310_backup_mart_shikkan.main_shobyo_code IS '主傷病';</v>
      </c>
    </row>
    <row r="49" spans="1:52" s="25" customFormat="1">
      <c r="A49" s="4"/>
      <c r="B49" s="21">
        <f t="shared" si="2"/>
        <v>37</v>
      </c>
      <c r="C49" s="13" t="s">
        <v>661</v>
      </c>
      <c r="D49" s="13" t="s">
        <v>869</v>
      </c>
      <c r="E49" s="7"/>
      <c r="F49" s="7" t="s">
        <v>1735</v>
      </c>
      <c r="G49" s="7" t="str">
        <f t="shared" si="3"/>
        <v>text</v>
      </c>
      <c r="H49" s="58"/>
      <c r="I49" s="23"/>
      <c r="J49" s="24"/>
      <c r="M49" s="4"/>
      <c r="N49" s="76"/>
      <c r="O49" s="76"/>
      <c r="P49" s="76" t="str">
        <f t="shared" si="4"/>
        <v>,icd10_code</v>
      </c>
      <c r="Q49" s="76" t="str">
        <f t="shared" si="0"/>
        <v>TEXT</v>
      </c>
      <c r="R49" s="76" t="str">
        <f t="shared" si="1"/>
        <v/>
      </c>
      <c r="S49" s="76" t="str">
        <f t="shared" si="5"/>
        <v/>
      </c>
      <c r="T49" s="76" t="str">
        <f t="shared" si="6"/>
        <v>-- ICD10コード</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milscm_2023_010.azn_202310_backup_mart_shikkan.icd10_code IS 'ICD10コード';</v>
      </c>
    </row>
    <row r="50" spans="1:52" s="25" customFormat="1">
      <c r="A50" s="4"/>
      <c r="B50" s="21">
        <f t="shared" si="2"/>
        <v>38</v>
      </c>
      <c r="C50" s="13" t="s">
        <v>1221</v>
      </c>
      <c r="D50" s="13" t="s">
        <v>1222</v>
      </c>
      <c r="E50" s="7"/>
      <c r="F50" s="7" t="s">
        <v>1735</v>
      </c>
      <c r="G50" s="7" t="str">
        <f t="shared" si="3"/>
        <v>text</v>
      </c>
      <c r="H50" s="58"/>
      <c r="I50" s="23"/>
      <c r="J50" s="24"/>
      <c r="M50" s="4"/>
      <c r="N50" s="76"/>
      <c r="O50" s="76"/>
      <c r="P50" s="76" t="str">
        <f t="shared" si="4"/>
        <v>,shobyo_kubun</v>
      </c>
      <c r="Q50" s="76" t="str">
        <f t="shared" si="0"/>
        <v>TEXT</v>
      </c>
      <c r="R50" s="76" t="str">
        <f t="shared" si="1"/>
        <v/>
      </c>
      <c r="S50" s="76" t="str">
        <f t="shared" si="5"/>
        <v/>
      </c>
      <c r="T50" s="76" t="str">
        <f t="shared" si="6"/>
        <v>-- 傷病名区分</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milscm_2023_010.azn_202310_backup_mart_shikkan.shobyo_kubun IS '傷病名区分';</v>
      </c>
    </row>
    <row r="51" spans="1:52" s="25" customFormat="1">
      <c r="A51" s="4"/>
      <c r="B51" s="21">
        <f t="shared" si="2"/>
        <v>39</v>
      </c>
      <c r="C51" s="13" t="s">
        <v>1208</v>
      </c>
      <c r="D51" s="13" t="s">
        <v>1209</v>
      </c>
      <c r="E51" s="7"/>
      <c r="F51" s="7" t="s">
        <v>1778</v>
      </c>
      <c r="G51" s="7" t="str">
        <f t="shared" si="3"/>
        <v>text</v>
      </c>
      <c r="H51" s="58"/>
      <c r="I51" s="23"/>
      <c r="J51" s="24" t="s">
        <v>1792</v>
      </c>
      <c r="M51" s="4"/>
      <c r="N51" s="76"/>
      <c r="O51" s="76"/>
      <c r="P51" s="76" t="str">
        <f t="shared" si="4"/>
        <v>,konnyuin_ymd</v>
      </c>
      <c r="Q51" s="76" t="str">
        <f t="shared" si="0"/>
        <v>TEXT</v>
      </c>
      <c r="R51" s="76" t="str">
        <f t="shared" si="1"/>
        <v/>
      </c>
      <c r="S51" s="76" t="str">
        <f t="shared" si="5"/>
        <v/>
      </c>
      <c r="T51" s="76" t="str">
        <f t="shared" si="6"/>
        <v xml:space="preserve">-- 今回入院年月日 </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milscm_2023_010.azn_202310_backup_mart_shikkan.konnyuin_ymd IS '今回入院年月日 ';</v>
      </c>
    </row>
    <row r="52" spans="1:52" s="25" customFormat="1">
      <c r="A52" s="4"/>
      <c r="B52" s="21">
        <f t="shared" si="2"/>
        <v>40</v>
      </c>
      <c r="C52" s="13" t="s">
        <v>1210</v>
      </c>
      <c r="D52" s="13" t="s">
        <v>1211</v>
      </c>
      <c r="E52" s="7"/>
      <c r="F52" s="7" t="s">
        <v>1778</v>
      </c>
      <c r="G52" s="7" t="str">
        <f t="shared" si="3"/>
        <v>text</v>
      </c>
      <c r="H52" s="58"/>
      <c r="I52" s="23"/>
      <c r="J52" s="24" t="s">
        <v>1792</v>
      </c>
      <c r="M52" s="4"/>
      <c r="N52" s="76"/>
      <c r="O52" s="76"/>
      <c r="P52" s="76" t="str">
        <f t="shared" si="4"/>
        <v>,kontaiin_ymd</v>
      </c>
      <c r="Q52" s="76" t="str">
        <f t="shared" si="0"/>
        <v>TEXT</v>
      </c>
      <c r="R52" s="76" t="str">
        <f t="shared" si="1"/>
        <v/>
      </c>
      <c r="S52" s="76" t="str">
        <f t="shared" si="5"/>
        <v/>
      </c>
      <c r="T52" s="76" t="str">
        <f t="shared" si="6"/>
        <v>-- 今回退院年月日</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milscm_2023_010.azn_202310_backup_mart_shikkan.kontaiin_ymd IS '今回退院年月日';</v>
      </c>
    </row>
    <row r="53" spans="1:52" s="25" customFormat="1">
      <c r="A53" s="4"/>
      <c r="B53" s="21">
        <f t="shared" si="2"/>
        <v>41</v>
      </c>
      <c r="C53" s="13" t="s">
        <v>1212</v>
      </c>
      <c r="D53" s="13" t="s">
        <v>1213</v>
      </c>
      <c r="E53" s="7"/>
      <c r="F53" s="7" t="s">
        <v>1778</v>
      </c>
      <c r="G53" s="7" t="str">
        <f t="shared" si="3"/>
        <v>text</v>
      </c>
      <c r="H53" s="58"/>
      <c r="I53" s="23"/>
      <c r="J53" s="24"/>
      <c r="M53" s="4"/>
      <c r="N53" s="76"/>
      <c r="O53" s="76"/>
      <c r="P53" s="76" t="str">
        <f t="shared" si="4"/>
        <v>,dpc_tenki_code</v>
      </c>
      <c r="Q53" s="76" t="str">
        <f t="shared" si="0"/>
        <v>TEXT</v>
      </c>
      <c r="R53" s="76" t="str">
        <f t="shared" si="1"/>
        <v/>
      </c>
      <c r="S53" s="76" t="str">
        <f t="shared" si="5"/>
        <v/>
      </c>
      <c r="T53" s="76" t="str">
        <f t="shared" si="6"/>
        <v>-- DPC転帰区分</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milscm_2023_010.azn_202310_backup_mart_shikkan.dpc_tenki_code IS 'DPC転帰区分';</v>
      </c>
    </row>
    <row r="54" spans="1:52" s="25" customFormat="1">
      <c r="A54" s="4"/>
      <c r="B54" s="21">
        <f t="shared" si="2"/>
        <v>42</v>
      </c>
      <c r="C54" s="13" t="s">
        <v>1214</v>
      </c>
      <c r="D54" s="13" t="s">
        <v>1215</v>
      </c>
      <c r="E54" s="7"/>
      <c r="F54" s="7" t="s">
        <v>1735</v>
      </c>
      <c r="G54" s="7" t="str">
        <f t="shared" si="3"/>
        <v>text</v>
      </c>
      <c r="H54" s="58"/>
      <c r="I54" s="23"/>
      <c r="J54" s="24"/>
      <c r="M54" s="4"/>
      <c r="N54" s="76"/>
      <c r="O54" s="76"/>
      <c r="P54" s="76" t="str">
        <f t="shared" si="4"/>
        <v>,death_cause</v>
      </c>
      <c r="Q54" s="76" t="str">
        <f t="shared" si="0"/>
        <v>TEXT</v>
      </c>
      <c r="R54" s="76" t="str">
        <f t="shared" si="1"/>
        <v/>
      </c>
      <c r="S54" s="76" t="str">
        <f t="shared" si="5"/>
        <v/>
      </c>
      <c r="T54" s="76" t="str">
        <f t="shared" si="6"/>
        <v>-- 死因</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milscm_2023_010.azn_202310_backup_mart_shikkan.death_cause IS '死因';</v>
      </c>
    </row>
    <row r="55" spans="1:52" s="25" customFormat="1">
      <c r="A55" s="4"/>
      <c r="B55" s="21">
        <f t="shared" si="2"/>
        <v>43</v>
      </c>
      <c r="C55" s="13" t="s">
        <v>1779</v>
      </c>
      <c r="D55" s="13" t="s">
        <v>939</v>
      </c>
      <c r="E55" s="7"/>
      <c r="F55" s="7" t="s">
        <v>1735</v>
      </c>
      <c r="G55" s="7" t="str">
        <f t="shared" si="3"/>
        <v>text</v>
      </c>
      <c r="H55" s="58"/>
      <c r="I55" s="23"/>
      <c r="J55" s="24"/>
      <c r="M55" s="4"/>
      <c r="N55" s="76"/>
      <c r="O55" s="76"/>
      <c r="P55" s="76" t="str">
        <f t="shared" si="4"/>
        <v>,receipt_type</v>
      </c>
      <c r="Q55" s="76" t="str">
        <f t="shared" si="0"/>
        <v>TEXT</v>
      </c>
      <c r="R55" s="76" t="str">
        <f t="shared" si="1"/>
        <v/>
      </c>
      <c r="S55" s="76" t="str">
        <f t="shared" si="5"/>
        <v/>
      </c>
      <c r="T55" s="76" t="str">
        <f t="shared" si="6"/>
        <v>-- レセプト種別</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milscm_2023_010.azn_202310_backup_mart_shikkan.receipt_type IS 'レセプト種別';</v>
      </c>
    </row>
    <row r="56" spans="1:52" s="25" customFormat="1" ht="56.25">
      <c r="A56" s="4"/>
      <c r="B56" s="21">
        <f t="shared" si="2"/>
        <v>44</v>
      </c>
      <c r="C56" s="13" t="s">
        <v>1751</v>
      </c>
      <c r="D56" s="13" t="s">
        <v>242</v>
      </c>
      <c r="E56" s="7"/>
      <c r="F56" s="7" t="s">
        <v>1735</v>
      </c>
      <c r="G56" s="7" t="str">
        <f t="shared" si="3"/>
        <v>text</v>
      </c>
      <c r="H56" s="58"/>
      <c r="I56" s="23"/>
      <c r="J56" s="24" t="s">
        <v>1794</v>
      </c>
      <c r="M56" s="4"/>
      <c r="N56" s="76"/>
      <c r="O56" s="76"/>
      <c r="P56" s="76" t="str">
        <f t="shared" si="4"/>
        <v>,nyugai_kubun</v>
      </c>
      <c r="Q56" s="76" t="str">
        <f t="shared" si="0"/>
        <v>TEXT</v>
      </c>
      <c r="R56" s="76" t="str">
        <f t="shared" si="1"/>
        <v/>
      </c>
      <c r="S56" s="76" t="str">
        <f t="shared" si="5"/>
        <v/>
      </c>
      <c r="T56" s="76" t="str">
        <f t="shared" si="6"/>
        <v>-- 入外区分</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milscm_2023_010.azn_202310_backup_mart_shikkan.nyugai_kubun IS '入外区分';</v>
      </c>
    </row>
    <row r="57" spans="1:52" s="25" customFormat="1" ht="75">
      <c r="A57" s="4"/>
      <c r="B57" s="21">
        <f t="shared" si="2"/>
        <v>45</v>
      </c>
      <c r="C57" s="13" t="s">
        <v>1780</v>
      </c>
      <c r="D57" s="13" t="s">
        <v>1781</v>
      </c>
      <c r="E57" s="7"/>
      <c r="F57" s="7" t="s">
        <v>1735</v>
      </c>
      <c r="G57" s="7" t="str">
        <f t="shared" si="3"/>
        <v>text</v>
      </c>
      <c r="H57" s="58"/>
      <c r="I57" s="23"/>
      <c r="J57" s="24" t="s">
        <v>1795</v>
      </c>
      <c r="M57" s="4"/>
      <c r="N57" s="76"/>
      <c r="O57" s="76"/>
      <c r="P57" s="76" t="str">
        <f t="shared" si="4"/>
        <v>,utagai_f</v>
      </c>
      <c r="Q57" s="76" t="str">
        <f t="shared" si="0"/>
        <v>TEXT</v>
      </c>
      <c r="R57" s="76" t="str">
        <f t="shared" si="1"/>
        <v/>
      </c>
      <c r="S57" s="76" t="str">
        <f t="shared" si="5"/>
        <v/>
      </c>
      <c r="T57" s="76" t="str">
        <f t="shared" si="6"/>
        <v>-- 疑いフラグ</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milscm_2023_010.azn_202310_backup_mart_shikkan.utagai_f IS '疑いフラグ';</v>
      </c>
    </row>
    <row r="58" spans="1:52" s="25" customFormat="1">
      <c r="A58" s="4"/>
      <c r="B58" s="21">
        <f t="shared" si="2"/>
        <v>46</v>
      </c>
      <c r="C58" s="13" t="s">
        <v>1110</v>
      </c>
      <c r="D58" s="13" t="s">
        <v>1111</v>
      </c>
      <c r="E58" s="7"/>
      <c r="F58" s="7" t="s">
        <v>1735</v>
      </c>
      <c r="G58" s="7" t="str">
        <f t="shared" si="3"/>
        <v>text</v>
      </c>
      <c r="H58" s="58"/>
      <c r="I58" s="23"/>
      <c r="J58" s="24"/>
      <c r="M58" s="4"/>
      <c r="N58" s="76"/>
      <c r="O58" s="76"/>
      <c r="P58" s="76" t="str">
        <f t="shared" si="4"/>
        <v>,hosoku_comment</v>
      </c>
      <c r="Q58" s="76" t="str">
        <f t="shared" si="0"/>
        <v>TEXT</v>
      </c>
      <c r="R58" s="76" t="str">
        <f t="shared" si="1"/>
        <v/>
      </c>
      <c r="S58" s="76" t="str">
        <f t="shared" si="5"/>
        <v/>
      </c>
      <c r="T58" s="76" t="str">
        <f t="shared" si="6"/>
        <v>-- 補足コメント</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milscm_2023_010.azn_202310_backup_mart_shikkan.hosoku_comment IS '補足コメント';</v>
      </c>
    </row>
    <row r="59" spans="1:52" s="25" customFormat="1" ht="19.5" thickBot="1">
      <c r="A59" s="4"/>
      <c r="B59" s="27">
        <f>ROW()-12</f>
        <v>47</v>
      </c>
      <c r="C59" s="57" t="s">
        <v>1752</v>
      </c>
      <c r="D59" s="57" t="s">
        <v>1753</v>
      </c>
      <c r="E59" s="56"/>
      <c r="F59" s="56" t="s">
        <v>203</v>
      </c>
      <c r="G59" s="56" t="str">
        <f t="shared" si="3"/>
        <v>integer</v>
      </c>
      <c r="H59" s="59"/>
      <c r="I59" s="60"/>
      <c r="J59" s="63" t="s">
        <v>1759</v>
      </c>
      <c r="N59" s="76"/>
      <c r="O59" s="76"/>
      <c r="P59" s="76" t="str">
        <f t="shared" si="4"/>
        <v>,seq_no</v>
      </c>
      <c r="Q59" s="76" t="str">
        <f t="shared" si="0"/>
        <v>INTEGER</v>
      </c>
      <c r="R59" s="76" t="str">
        <f t="shared" si="1"/>
        <v/>
      </c>
      <c r="S59" s="76" t="str">
        <f t="shared" si="5"/>
        <v/>
      </c>
      <c r="T59" s="76" t="str">
        <f t="shared" si="6"/>
        <v>-- シーケンス番号</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milscm_2023_010.azn_202310_backup_mart_shikkan.seq_no IS 'シーケンス番号';</v>
      </c>
    </row>
    <row r="60" spans="1:52">
      <c r="L60" s="25"/>
      <c r="M60" s="25"/>
      <c r="N60" s="76" t="s">
        <v>142</v>
      </c>
      <c r="O60" s="76"/>
      <c r="P60" s="76"/>
      <c r="Q60" s="76"/>
      <c r="R60" s="76"/>
      <c r="S60" s="76"/>
      <c r="T60" s="76"/>
      <c r="V60" s="25"/>
      <c r="W60" s="25"/>
      <c r="X60" s="25"/>
      <c r="Y60" s="25"/>
      <c r="Z60" s="25"/>
      <c r="AJ60" s="76" t="s">
        <v>142</v>
      </c>
      <c r="AT60" s="25"/>
      <c r="AU60" s="25"/>
      <c r="AV60" s="25"/>
      <c r="AW60" s="25"/>
      <c r="AX60" s="25"/>
      <c r="AY60" s="25"/>
      <c r="AZ60" s="25"/>
    </row>
    <row r="61" spans="1:52">
      <c r="L61" s="25"/>
      <c r="M61" s="25"/>
      <c r="V61" s="25"/>
      <c r="W61" s="25"/>
      <c r="X61" s="25"/>
      <c r="Y61" s="25"/>
      <c r="Z61" s="25"/>
      <c r="AT61" s="25"/>
      <c r="AU61" s="25"/>
      <c r="AV61" s="25"/>
      <c r="AW61" s="25"/>
      <c r="AX61" s="25"/>
      <c r="AY61" s="25"/>
      <c r="AZ61" s="25"/>
    </row>
    <row r="62" spans="1:52">
      <c r="L62" s="25"/>
      <c r="M62" s="25"/>
      <c r="V62" s="25"/>
      <c r="W62" s="25"/>
      <c r="X62" s="25"/>
      <c r="Y62" s="25"/>
      <c r="Z62" s="25"/>
      <c r="AT62" s="25"/>
      <c r="AU62" s="25"/>
      <c r="AV62" s="25"/>
      <c r="AW62" s="25"/>
      <c r="AX62" s="25"/>
      <c r="AY62" s="25"/>
      <c r="AZ62" s="25"/>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50" t="s">
        <v>110</v>
      </c>
      <c r="C1" s="251"/>
      <c r="D1" s="254" t="s">
        <v>111</v>
      </c>
      <c r="E1" s="255"/>
      <c r="F1" s="255"/>
      <c r="G1" s="246"/>
      <c r="H1" s="254" t="s">
        <v>112</v>
      </c>
      <c r="I1" s="246"/>
      <c r="J1" s="15" t="s">
        <v>113</v>
      </c>
    </row>
    <row r="2" spans="1:52" ht="19.5" thickBot="1">
      <c r="B2" s="252"/>
      <c r="C2" s="253"/>
      <c r="D2" s="256" t="s">
        <v>114</v>
      </c>
      <c r="E2" s="257"/>
      <c r="F2" s="257"/>
      <c r="G2" s="258"/>
      <c r="H2" s="259"/>
      <c r="I2" s="260"/>
      <c r="J2" s="17"/>
    </row>
    <row r="3" spans="1:52" ht="19.5" thickBot="1">
      <c r="B3" s="5"/>
      <c r="C3" s="5"/>
      <c r="D3" s="5"/>
      <c r="E3" s="5"/>
      <c r="F3" s="5"/>
      <c r="G3" s="5"/>
      <c r="H3" s="5"/>
      <c r="I3" s="5"/>
      <c r="J3" s="18"/>
    </row>
    <row r="4" spans="1:52">
      <c r="B4" s="245" t="s">
        <v>3703</v>
      </c>
      <c r="C4" s="246"/>
      <c r="D4" s="247" t="str">
        <f>VLOOKUP(D7,エンティティ一覧!A1:'エンティティ一覧'!AM10203,2,FALSE)</f>
        <v>01</v>
      </c>
      <c r="E4" s="248"/>
      <c r="F4" s="248"/>
      <c r="G4" s="248"/>
      <c r="H4" s="248"/>
      <c r="I4" s="248"/>
      <c r="J4" s="249"/>
    </row>
    <row r="5" spans="1:52">
      <c r="B5" s="261" t="s">
        <v>3704</v>
      </c>
      <c r="C5" s="262"/>
      <c r="D5" s="271" t="str">
        <f>VLOOKUP(D7,エンティティ一覧!A1:'エンティティ一覧'!AM10203,7,FALSE)</f>
        <v>backup</v>
      </c>
      <c r="E5" s="272"/>
      <c r="F5" s="272"/>
      <c r="G5" s="272"/>
      <c r="H5" s="272"/>
      <c r="I5" s="272"/>
      <c r="J5" s="273"/>
    </row>
    <row r="6" spans="1:52">
      <c r="B6" s="261" t="s">
        <v>3705</v>
      </c>
      <c r="C6" s="262"/>
      <c r="D6" s="271" t="str">
        <f>VLOOKUP(D7,エンティティ一覧!A1:'エンティティ一覧'!AM10203,15,FALSE)</f>
        <v>ENT_01_A1-05</v>
      </c>
      <c r="E6" s="272"/>
      <c r="F6" s="272"/>
      <c r="G6" s="272"/>
      <c r="H6" s="272"/>
      <c r="I6" s="272"/>
      <c r="J6" s="273"/>
    </row>
    <row r="7" spans="1:52">
      <c r="B7" s="261" t="s">
        <v>115</v>
      </c>
      <c r="C7" s="262"/>
      <c r="D7" s="263" t="s">
        <v>1796</v>
      </c>
      <c r="E7" s="264"/>
      <c r="F7" s="264"/>
      <c r="G7" s="264"/>
      <c r="H7" s="264"/>
      <c r="I7" s="264"/>
      <c r="J7" s="265"/>
    </row>
    <row r="8" spans="1:52">
      <c r="B8" s="261" t="s">
        <v>116</v>
      </c>
      <c r="C8" s="262"/>
      <c r="D8" s="263" t="str">
        <f>エンティティ一覧!AE2&amp;"_"&amp;D5&amp;"_mart_shikkan_department"</f>
        <v>azn_202310_backup_mart_shikkan_department</v>
      </c>
      <c r="E8" s="264"/>
      <c r="F8" s="264"/>
      <c r="G8" s="264"/>
      <c r="H8" s="264"/>
      <c r="I8" s="264"/>
      <c r="J8" s="265"/>
    </row>
    <row r="9" spans="1:52" ht="19.5" customHeight="1" thickBot="1">
      <c r="B9" s="266" t="s">
        <v>117</v>
      </c>
      <c r="C9" s="267"/>
      <c r="D9" s="268" t="str">
        <f>SUBSTITUTE(D7,"バックアップ_","")&amp;"テーブルから組入れ条件の第一条件で絞り込んだ結果を格納するテーブル"</f>
        <v>疾患診療科データテーブルから組入れ条件の第一条件で絞り込んだ結果を格納するテーブル</v>
      </c>
      <c r="E9" s="269"/>
      <c r="F9" s="269"/>
      <c r="G9" s="269"/>
      <c r="H9" s="269"/>
      <c r="I9" s="269"/>
      <c r="J9" s="270"/>
    </row>
    <row r="10" spans="1:52">
      <c r="B10" s="19"/>
      <c r="C10" s="19"/>
      <c r="D10" s="5"/>
      <c r="E10" s="5"/>
      <c r="F10" s="5"/>
      <c r="G10" s="5"/>
      <c r="H10" s="5"/>
      <c r="I10" s="5"/>
      <c r="J10" s="18"/>
      <c r="N10" s="76" t="str">
        <f>"--DROP TABLE  "&amp;エンティティ一覧!$O$2&amp;"."&amp;D$8&amp;";"</f>
        <v>--DROP TABLE  milscm_2023_010.azn_202310_backup_mart_shikkan_department;</v>
      </c>
      <c r="O10" s="76"/>
      <c r="P10" s="76"/>
      <c r="Q10" s="76"/>
      <c r="R10" s="76"/>
      <c r="S10" s="76"/>
      <c r="T10" s="76"/>
      <c r="AJ10" s="76" t="str">
        <f>"ALTER TABLE ONLY "&amp;エンティティ一覧!$O$2&amp;"."&amp;D$8</f>
        <v>ALTER TABLE ONLY milscm_2023_010.azn_202310_backup_mart_shikkan_department</v>
      </c>
      <c r="AS10" s="76" t="str">
        <f>"ALTER TABLE "&amp;エンティティ一覧!$O$2&amp;"."&amp;D$8&amp;" OWNER TO pgmisgrp1;"</f>
        <v>ALTER TABLE milscm_2023_010.azn_202310_backup_mart_shikkan_department OWNER TO pgmisgrp1;</v>
      </c>
    </row>
    <row r="11" spans="1:52" ht="19.5" thickBot="1">
      <c r="B11" s="20" t="s">
        <v>118</v>
      </c>
      <c r="C11" s="19"/>
      <c r="D11" s="5"/>
      <c r="E11" s="5"/>
      <c r="F11" s="5"/>
      <c r="G11" s="5"/>
      <c r="H11" s="5"/>
      <c r="I11" s="5"/>
      <c r="J11" s="18"/>
      <c r="N11" s="76" t="str">
        <f>"CREATE TABLE  "&amp;エンティティ一覧!$O$2&amp;"."&amp;D$8</f>
        <v>CREATE TABLE  milscm_2023_010.azn_202310_backup_mart_shikkan_department</v>
      </c>
      <c r="O11" s="76"/>
      <c r="P11" s="76"/>
      <c r="Q11" s="76"/>
      <c r="R11" s="76"/>
      <c r="S11" s="76"/>
      <c r="T11" s="76"/>
      <c r="AJ11" s="76" t="str">
        <f>"ADD CONSTRAINT "&amp;D$8&amp;"_pkey PRIMARY KEY"</f>
        <v>ADD CONSTRAINT azn_202310_backup_mart_shikkan_department_pkey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milscm_2023_010.azn_202310_backup_mart_shikkan_department IS 'バックアップ_疾患診療科データ';</v>
      </c>
    </row>
    <row r="13" spans="1:52" s="25" customFormat="1">
      <c r="A13" s="4"/>
      <c r="B13" s="21">
        <f>ROW()-12</f>
        <v>1</v>
      </c>
      <c r="C13" s="6" t="s">
        <v>1797</v>
      </c>
      <c r="D13" s="6" t="s">
        <v>1798</v>
      </c>
      <c r="E13" s="8" t="s">
        <v>127</v>
      </c>
      <c r="F13" s="8" t="s">
        <v>203</v>
      </c>
      <c r="G13" s="7" t="str">
        <f>IF(F13="フラグ","boolean",IF(F13="文字列","text",IF(F13="整数","integer",IF(F13="実数","numeric",""))))</f>
        <v>integer</v>
      </c>
      <c r="H13" s="9"/>
      <c r="I13" s="10" t="s">
        <v>127</v>
      </c>
      <c r="J13" s="11" t="s">
        <v>1801</v>
      </c>
      <c r="M13" s="4"/>
      <c r="N13" s="76"/>
      <c r="O13" s="76"/>
      <c r="P13" s="76" t="str">
        <f>IF(B13&lt;&gt;1,","&amp;D13,D13)</f>
        <v>parent_seq_no</v>
      </c>
      <c r="Q13" s="76" t="str">
        <f t="shared" ref="Q13:Q15" si="0">UPPER(G13)</f>
        <v>INTEGER</v>
      </c>
      <c r="R13" s="76" t="str">
        <f t="shared" ref="R13:R15" si="1">IF(H13&lt;&gt;"","default "&amp;IF(G13="text","'"&amp;H13&amp;"'",H13),"")</f>
        <v/>
      </c>
      <c r="S13" s="76" t="str">
        <f>IF(I13="○","NOT NULL","")</f>
        <v>NOT NULL</v>
      </c>
      <c r="T13" s="76" t="str">
        <f>"-- "&amp;C13</f>
        <v>-- 親シーケンス番号</v>
      </c>
      <c r="U13" s="4"/>
      <c r="AA13" s="4"/>
      <c r="AB13" s="4"/>
      <c r="AC13" s="4"/>
      <c r="AD13" s="4"/>
      <c r="AE13" s="4"/>
      <c r="AF13" s="4"/>
      <c r="AG13" s="4"/>
      <c r="AH13" s="4"/>
      <c r="AI13" s="4"/>
      <c r="AJ13" s="76" t="str">
        <f>IF(E13="○",IF(COUNTA(E$13:E13)=1,"",",")&amp;D13,"")</f>
        <v>parent_seq_no</v>
      </c>
      <c r="AK13" s="4"/>
      <c r="AL13" s="4"/>
      <c r="AM13" s="4"/>
      <c r="AN13" s="4"/>
      <c r="AO13" s="4"/>
      <c r="AP13" s="4"/>
      <c r="AQ13" s="4"/>
      <c r="AR13" s="4"/>
      <c r="AS13" s="76" t="str">
        <f>"COMMENT ON COLUMN "&amp;エンティティ一覧!$O$2&amp;"."&amp;D$8&amp;"."&amp;D13&amp;" IS '"&amp;C13&amp;"';"</f>
        <v>COMMENT ON COLUMN milscm_2023_010.azn_202310_backup_mart_shikkan_department.parent_seq_no IS '親シーケンス番号';</v>
      </c>
    </row>
    <row r="14" spans="1:52" s="25" customFormat="1">
      <c r="A14" s="4"/>
      <c r="B14" s="21">
        <f t="shared" ref="B14" si="2">ROW()-12</f>
        <v>2</v>
      </c>
      <c r="C14" s="6" t="s">
        <v>1799</v>
      </c>
      <c r="D14" s="6" t="s">
        <v>1680</v>
      </c>
      <c r="E14" s="8"/>
      <c r="F14" s="7" t="s">
        <v>1735</v>
      </c>
      <c r="G14" s="7" t="str">
        <f t="shared" ref="G14:G15" si="3">IF(F14="フラグ","boolean",IF(F14="文字列","text",IF(F14="整数","integer",IF(F14="実数","numeric",""))))</f>
        <v>text</v>
      </c>
      <c r="H14" s="26"/>
      <c r="I14" s="10"/>
      <c r="J14" s="11" t="s">
        <v>1802</v>
      </c>
      <c r="M14" s="4"/>
      <c r="N14" s="76"/>
      <c r="O14" s="76"/>
      <c r="P14" s="76" t="str">
        <f t="shared" ref="P14:P15" si="4">IF(B14&lt;&gt;1,","&amp;D14,D14)</f>
        <v>,department_name</v>
      </c>
      <c r="Q14" s="76" t="str">
        <f t="shared" si="0"/>
        <v>TEXT</v>
      </c>
      <c r="R14" s="76" t="str">
        <f t="shared" si="1"/>
        <v/>
      </c>
      <c r="S14" s="76" t="str">
        <f>IF(I14="○","NOT NULL","")</f>
        <v/>
      </c>
      <c r="T14" s="76" t="str">
        <f>"-- "&amp;C14</f>
        <v>-- 診療科名</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milscm_2023_010.azn_202310_backup_mart_shikkan_department.department_name IS '診療科名';</v>
      </c>
    </row>
    <row r="15" spans="1:52" s="25" customFormat="1" ht="57" thickBot="1">
      <c r="A15" s="4"/>
      <c r="B15" s="27">
        <f>ROW()-12</f>
        <v>3</v>
      </c>
      <c r="C15" s="57" t="s">
        <v>1800</v>
      </c>
      <c r="D15" s="57" t="s">
        <v>135</v>
      </c>
      <c r="E15" s="56" t="s">
        <v>127</v>
      </c>
      <c r="F15" s="56" t="s">
        <v>1735</v>
      </c>
      <c r="G15" s="56" t="str">
        <f t="shared" si="3"/>
        <v>text</v>
      </c>
      <c r="H15" s="59"/>
      <c r="I15" s="60"/>
      <c r="J15" s="63" t="s">
        <v>1803</v>
      </c>
      <c r="N15" s="76"/>
      <c r="O15" s="76"/>
      <c r="P15" s="76" t="str">
        <f t="shared" si="4"/>
        <v>,department_kubun</v>
      </c>
      <c r="Q15" s="76" t="str">
        <f t="shared" si="0"/>
        <v>TEXT</v>
      </c>
      <c r="R15" s="76" t="str">
        <f t="shared" si="1"/>
        <v/>
      </c>
      <c r="S15" s="76" t="str">
        <f t="shared" ref="S15" si="5">IF(I15="○","NOT NULL","")</f>
        <v/>
      </c>
      <c r="T15" s="76" t="str">
        <f t="shared" ref="T15" si="6">"-- "&amp;C15</f>
        <v>-- 診療科名区分</v>
      </c>
      <c r="U15" s="4"/>
      <c r="AA15" s="4"/>
      <c r="AB15" s="4"/>
      <c r="AC15" s="4"/>
      <c r="AD15" s="4"/>
      <c r="AE15" s="4"/>
      <c r="AF15" s="4"/>
      <c r="AG15" s="4"/>
      <c r="AH15" s="4"/>
      <c r="AI15" s="4"/>
      <c r="AJ15" s="76" t="str">
        <f>IF(E15="○",IF(COUNTA(E$13:E15)=1,"",",")&amp;D15,"")</f>
        <v>,department_kubun</v>
      </c>
      <c r="AK15" s="4"/>
      <c r="AL15" s="4"/>
      <c r="AM15" s="4"/>
      <c r="AN15" s="4"/>
      <c r="AO15" s="4"/>
      <c r="AP15" s="4"/>
      <c r="AQ15" s="4"/>
      <c r="AR15" s="4"/>
      <c r="AS15" s="76" t="str">
        <f>"COMMENT ON COLUMN "&amp;エンティティ一覧!$O$2&amp;"."&amp;D$8&amp;"."&amp;D15&amp;" IS '"&amp;C15&amp;"';"</f>
        <v>COMMENT ON COLUMN milscm_2023_010.azn_202310_backup_mart_shikkan_department.department_kubun IS '診療科名区分';</v>
      </c>
    </row>
    <row r="16" spans="1:52">
      <c r="L16" s="25"/>
      <c r="M16" s="25"/>
      <c r="N16" s="76" t="s">
        <v>142</v>
      </c>
      <c r="O16" s="76"/>
      <c r="P16" s="76"/>
      <c r="Q16" s="76"/>
      <c r="R16" s="76"/>
      <c r="S16" s="76"/>
      <c r="T16" s="76"/>
      <c r="V16" s="25"/>
      <c r="W16" s="25"/>
      <c r="X16" s="25"/>
      <c r="Y16" s="25"/>
      <c r="Z16" s="25"/>
      <c r="AJ16" s="76"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ENT_01_A1-06</v>
      </c>
      <c r="E6" s="272"/>
      <c r="F6" s="272"/>
      <c r="G6" s="272"/>
      <c r="H6" s="272"/>
      <c r="I6" s="272"/>
      <c r="J6" s="273"/>
    </row>
    <row r="7" spans="1:45">
      <c r="B7" s="261" t="s">
        <v>115</v>
      </c>
      <c r="C7" s="262"/>
      <c r="D7" s="263" t="s">
        <v>1804</v>
      </c>
      <c r="E7" s="264"/>
      <c r="F7" s="264"/>
      <c r="G7" s="264"/>
      <c r="H7" s="264"/>
      <c r="I7" s="264"/>
      <c r="J7" s="265"/>
    </row>
    <row r="8" spans="1:45">
      <c r="B8" s="261" t="s">
        <v>116</v>
      </c>
      <c r="C8" s="262"/>
      <c r="D8" s="263" t="str">
        <f>エンティティ一覧!AE2&amp;"_"&amp;D5&amp;"_mart_nyu_tai_in"</f>
        <v>azn_202310_backup_mart_nyu_tai_in</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入院退院データテーブルから組入れ条件の第一条件で絞り込んだ結果を格納するテーブル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milscm_2023_010.azn_202310_backup_mart_nyu_tai_in;</v>
      </c>
      <c r="O10" s="76"/>
      <c r="P10" s="76"/>
      <c r="Q10" s="76"/>
      <c r="R10" s="76"/>
      <c r="S10" s="76"/>
      <c r="T10" s="76"/>
      <c r="AJ10" s="76" t="str">
        <f>"ALTER TABLE ONLY "&amp;エンティティ一覧!$O$2&amp;"."&amp;D$8</f>
        <v>ALTER TABLE ONLY milscm_2023_010.azn_202310_backup_mart_nyu_tai_in</v>
      </c>
      <c r="AS10" s="76" t="str">
        <f>"ALTER TABLE "&amp;エンティティ一覧!$O$2&amp;"."&amp;D$8&amp;" OWNER TO pgmisgrp1;"</f>
        <v>ALTER TABLE milscm_2023_010.azn_202310_backup_mart_nyu_tai_in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milscm_2023_010.azn_202310_backup_mart_nyu_tai_in</v>
      </c>
      <c r="O11" s="76"/>
      <c r="P11" s="76"/>
      <c r="Q11" s="76"/>
      <c r="R11" s="76"/>
      <c r="S11" s="76"/>
      <c r="T11" s="76"/>
      <c r="AJ11" s="76" t="str">
        <f>"ADD CONSTRAINT "&amp;D$8&amp;"_pkey PRIMARY KEY"</f>
        <v>ADD CONSTRAINT azn_202310_backup_mart_nyu_tai_in_pkey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milscm_2023_010.azn_202310_backup_mart_nyu_tai_in IS 'バックアップ_入院退院データ';</v>
      </c>
    </row>
    <row r="13" spans="1:45" s="25" customFormat="1">
      <c r="A13" s="4"/>
      <c r="B13" s="21">
        <f>ROW()-12</f>
        <v>1</v>
      </c>
      <c r="C13" s="6" t="s">
        <v>1734</v>
      </c>
      <c r="D13" s="6" t="s">
        <v>209</v>
      </c>
      <c r="E13" s="8" t="s">
        <v>127</v>
      </c>
      <c r="F13" s="8" t="s">
        <v>1735</v>
      </c>
      <c r="G13" s="7" t="str">
        <f>IF(F13="フラグ","boolean",IF(F13="文字列","text",IF(F13="整数","integer",IF(F13="実数","numeric",""))))</f>
        <v>text</v>
      </c>
      <c r="H13" s="9"/>
      <c r="I13" s="10" t="s">
        <v>127</v>
      </c>
      <c r="J13" s="11" t="s">
        <v>1813</v>
      </c>
      <c r="M13" s="4"/>
      <c r="N13" s="76"/>
      <c r="O13" s="76"/>
      <c r="P13" s="76" t="str">
        <f>IF(B13&lt;&gt;1,","&amp;D13,D13)</f>
        <v>shikibetsu_no</v>
      </c>
      <c r="Q13" s="76" t="str">
        <f t="shared" ref="Q13:Q19" si="0">UPPER(G13)</f>
        <v>TEXT</v>
      </c>
      <c r="R13" s="76" t="str">
        <f t="shared" ref="R13:R19"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milscm_2023_010.azn_202310_backup_mart_nyu_tai_in.shikibetsu_no IS 'データ識別番号';</v>
      </c>
    </row>
    <row r="14" spans="1:45" s="25" customFormat="1">
      <c r="A14" s="4"/>
      <c r="B14" s="21">
        <f t="shared" ref="B14:B17" si="2">ROW()-12</f>
        <v>2</v>
      </c>
      <c r="C14" s="6" t="s">
        <v>137</v>
      </c>
      <c r="D14" s="6" t="s">
        <v>128</v>
      </c>
      <c r="E14" s="8" t="s">
        <v>127</v>
      </c>
      <c r="F14" s="7" t="s">
        <v>735</v>
      </c>
      <c r="G14" s="7" t="str">
        <f t="shared" ref="G14:G17" si="3">IF(F14="フラグ","boolean",IF(F14="文字列","text",IF(F14="整数","integer",IF(F14="実数","numeric",""))))</f>
        <v>text</v>
      </c>
      <c r="H14" s="26"/>
      <c r="I14" s="10" t="s">
        <v>127</v>
      </c>
      <c r="J14" s="11" t="s">
        <v>1813</v>
      </c>
      <c r="M14" s="4"/>
      <c r="N14" s="76"/>
      <c r="O14" s="76"/>
      <c r="P14" s="76" t="str">
        <f t="shared" ref="P14:P17" si="4">IF(B14&lt;&gt;1,","&amp;D14,D14)</f>
        <v>,facility_id</v>
      </c>
      <c r="Q14" s="76" t="str">
        <f t="shared" ref="Q14:Q17" si="5">UPPER(G14)</f>
        <v>TEXT</v>
      </c>
      <c r="R14" s="76" t="str">
        <f t="shared" ref="R14:R17" si="6">IF(H14&lt;&gt;"","default "&amp;IF(G14="text","'"&amp;H14&amp;"'",H14),"")</f>
        <v/>
      </c>
      <c r="S14" s="76" t="str">
        <f t="shared" ref="S14:S17" si="7">IF(I14="○","NOT NULL","")</f>
        <v>NOT NULL</v>
      </c>
      <c r="T14" s="76" t="str">
        <f t="shared" ref="T14:T17" si="8">"--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milscm_2023_010.azn_202310_backup_mart_nyu_tai_in.facility_id IS '施設ID';</v>
      </c>
    </row>
    <row r="15" spans="1:45" s="25" customFormat="1">
      <c r="A15" s="4"/>
      <c r="B15" s="21">
        <f t="shared" si="2"/>
        <v>3</v>
      </c>
      <c r="C15" s="6" t="s">
        <v>1805</v>
      </c>
      <c r="D15" s="6" t="s">
        <v>1806</v>
      </c>
      <c r="E15" s="8"/>
      <c r="F15" s="7" t="s">
        <v>1735</v>
      </c>
      <c r="G15" s="7" t="str">
        <f t="shared" si="3"/>
        <v>text</v>
      </c>
      <c r="H15" s="26"/>
      <c r="I15" s="10" t="s">
        <v>127</v>
      </c>
      <c r="J15" s="11" t="s">
        <v>1814</v>
      </c>
      <c r="M15" s="4"/>
      <c r="N15" s="76"/>
      <c r="O15" s="76"/>
      <c r="P15" s="76" t="str">
        <f t="shared" si="4"/>
        <v>,nyuin_ym</v>
      </c>
      <c r="Q15" s="76" t="str">
        <f t="shared" si="5"/>
        <v>TEXT</v>
      </c>
      <c r="R15" s="76" t="str">
        <f t="shared" si="6"/>
        <v/>
      </c>
      <c r="S15" s="76" t="str">
        <f t="shared" si="7"/>
        <v>NOT NULL</v>
      </c>
      <c r="T15" s="76" t="str">
        <f t="shared" si="8"/>
        <v>-- 入院年月</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milscm_2023_010.azn_202310_backup_mart_nyu_tai_in.nyuin_ym IS '入院年月';</v>
      </c>
    </row>
    <row r="16" spans="1:45" s="25" customFormat="1">
      <c r="A16" s="4"/>
      <c r="B16" s="21">
        <f t="shared" si="2"/>
        <v>4</v>
      </c>
      <c r="C16" s="6" t="s">
        <v>1807</v>
      </c>
      <c r="D16" s="6" t="s">
        <v>1808</v>
      </c>
      <c r="E16" s="8"/>
      <c r="F16" s="7" t="s">
        <v>1735</v>
      </c>
      <c r="G16" s="7" t="str">
        <f t="shared" si="3"/>
        <v>text</v>
      </c>
      <c r="H16" s="26"/>
      <c r="I16" s="10" t="s">
        <v>127</v>
      </c>
      <c r="J16" s="11" t="s">
        <v>1815</v>
      </c>
      <c r="M16" s="4"/>
      <c r="N16" s="76"/>
      <c r="O16" s="76"/>
      <c r="P16" s="76" t="str">
        <f t="shared" si="4"/>
        <v>,taiin_ym</v>
      </c>
      <c r="Q16" s="76" t="str">
        <f t="shared" si="5"/>
        <v>TEXT</v>
      </c>
      <c r="R16" s="76" t="str">
        <f t="shared" si="6"/>
        <v/>
      </c>
      <c r="S16" s="76" t="str">
        <f t="shared" si="7"/>
        <v>NOT NULL</v>
      </c>
      <c r="T16" s="76" t="str">
        <f t="shared" si="8"/>
        <v>-- 退院年月</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milscm_2023_010.azn_202310_backup_mart_nyu_tai_in.taiin_ym IS '退院年月';</v>
      </c>
    </row>
    <row r="17" spans="1:52" s="25" customFormat="1">
      <c r="A17" s="4"/>
      <c r="B17" s="21">
        <f t="shared" si="2"/>
        <v>5</v>
      </c>
      <c r="C17" s="6" t="s">
        <v>1809</v>
      </c>
      <c r="D17" s="6" t="s">
        <v>156</v>
      </c>
      <c r="E17" s="8" t="s">
        <v>127</v>
      </c>
      <c r="F17" s="7" t="s">
        <v>1735</v>
      </c>
      <c r="G17" s="7" t="str">
        <f t="shared" si="3"/>
        <v>text</v>
      </c>
      <c r="H17" s="26"/>
      <c r="I17" s="10" t="s">
        <v>127</v>
      </c>
      <c r="J17" s="11" t="s">
        <v>1813</v>
      </c>
      <c r="M17" s="4"/>
      <c r="N17" s="76"/>
      <c r="O17" s="76"/>
      <c r="P17" s="76" t="str">
        <f t="shared" si="4"/>
        <v>,nyuin_ymd</v>
      </c>
      <c r="Q17" s="76" t="str">
        <f t="shared" si="5"/>
        <v>TEXT</v>
      </c>
      <c r="R17" s="76" t="str">
        <f t="shared" si="6"/>
        <v/>
      </c>
      <c r="S17" s="76" t="str">
        <f t="shared" si="7"/>
        <v>NOT NULL</v>
      </c>
      <c r="T17" s="76" t="str">
        <f t="shared" si="8"/>
        <v>-- 入院年月日</v>
      </c>
      <c r="U17" s="4"/>
      <c r="AA17" s="4"/>
      <c r="AB17" s="4"/>
      <c r="AC17" s="4"/>
      <c r="AD17" s="4"/>
      <c r="AE17" s="4"/>
      <c r="AF17" s="4"/>
      <c r="AG17" s="4"/>
      <c r="AH17" s="4"/>
      <c r="AI17" s="4"/>
      <c r="AJ17" s="76" t="str">
        <f>IF(E17="○",IF(COUNTA(E$13:E17)=1,"",",")&amp;D17,"")</f>
        <v>,nyuin_ymd</v>
      </c>
      <c r="AK17" s="4"/>
      <c r="AL17" s="4"/>
      <c r="AM17" s="4"/>
      <c r="AN17" s="4"/>
      <c r="AO17" s="4"/>
      <c r="AP17" s="4"/>
      <c r="AQ17" s="4"/>
      <c r="AR17" s="4"/>
      <c r="AS17" s="76" t="str">
        <f>"COMMENT ON COLUMN "&amp;エンティティ一覧!$O$2&amp;"."&amp;D$8&amp;"."&amp;D17&amp;" IS '"&amp;C17&amp;"';"</f>
        <v>COMMENT ON COLUMN milscm_2023_010.azn_202310_backup_mart_nyu_tai_in.nyuin_ymd IS '入院年月日';</v>
      </c>
    </row>
    <row r="18" spans="1:52" s="25" customFormat="1">
      <c r="A18" s="4"/>
      <c r="B18" s="21">
        <f t="shared" ref="B18" si="9">ROW()-12</f>
        <v>6</v>
      </c>
      <c r="C18" s="6" t="s">
        <v>1810</v>
      </c>
      <c r="D18" s="6" t="s">
        <v>211</v>
      </c>
      <c r="E18" s="8" t="s">
        <v>127</v>
      </c>
      <c r="F18" s="7" t="s">
        <v>1735</v>
      </c>
      <c r="G18" s="7" t="str">
        <f t="shared" ref="G18:G19" si="10">IF(F18="フラグ","boolean",IF(F18="文字列","text",IF(F18="整数","integer",IF(F18="実数","numeric",""))))</f>
        <v>text</v>
      </c>
      <c r="H18" s="26"/>
      <c r="I18" s="10" t="s">
        <v>127</v>
      </c>
      <c r="J18" s="11" t="s">
        <v>1813</v>
      </c>
      <c r="M18" s="4"/>
      <c r="N18" s="76"/>
      <c r="O18" s="76"/>
      <c r="P18" s="76" t="str">
        <f t="shared" ref="P18:P19" si="11">IF(B18&lt;&gt;1,","&amp;D18,D18)</f>
        <v>,taiin_ymd</v>
      </c>
      <c r="Q18" s="76" t="str">
        <f t="shared" si="0"/>
        <v>TEXT</v>
      </c>
      <c r="R18" s="76" t="str">
        <f t="shared" si="1"/>
        <v/>
      </c>
      <c r="S18" s="76" t="str">
        <f>IF(I18="○","NOT NULL","")</f>
        <v>NOT NULL</v>
      </c>
      <c r="T18" s="76" t="str">
        <f>"-- "&amp;C18</f>
        <v>-- 退院年月日</v>
      </c>
      <c r="U18" s="4"/>
      <c r="AA18" s="4"/>
      <c r="AB18" s="4"/>
      <c r="AC18" s="4"/>
      <c r="AD18" s="4"/>
      <c r="AE18" s="4"/>
      <c r="AF18" s="4"/>
      <c r="AG18" s="4"/>
      <c r="AH18" s="4"/>
      <c r="AI18" s="4"/>
      <c r="AJ18" s="76" t="str">
        <f>IF(E18="○",IF(COUNTA(E$13:E18)=1,"",",")&amp;D18,"")</f>
        <v>,taiin_ymd</v>
      </c>
      <c r="AK18" s="4"/>
      <c r="AL18" s="4"/>
      <c r="AM18" s="4"/>
      <c r="AN18" s="4"/>
      <c r="AO18" s="4"/>
      <c r="AP18" s="4"/>
      <c r="AQ18" s="4"/>
      <c r="AR18" s="4"/>
      <c r="AS18" s="76" t="str">
        <f>"COMMENT ON COLUMN "&amp;エンティティ一覧!$O$2&amp;"."&amp;D$8&amp;"."&amp;D18&amp;" IS '"&amp;C18&amp;"';"</f>
        <v>COMMENT ON COLUMN milscm_2023_010.azn_202310_backup_mart_nyu_tai_in.taiin_ymd IS '退院年月日';</v>
      </c>
    </row>
    <row r="19" spans="1:52" s="25" customFormat="1" ht="38.25" thickBot="1">
      <c r="A19" s="4"/>
      <c r="B19" s="27">
        <f>ROW()-12</f>
        <v>7</v>
      </c>
      <c r="C19" s="57" t="s">
        <v>1811</v>
      </c>
      <c r="D19" s="57" t="s">
        <v>1812</v>
      </c>
      <c r="E19" s="56"/>
      <c r="F19" s="56" t="s">
        <v>1735</v>
      </c>
      <c r="G19" s="56" t="str">
        <f t="shared" si="10"/>
        <v>text</v>
      </c>
      <c r="H19" s="59"/>
      <c r="I19" s="60" t="s">
        <v>127</v>
      </c>
      <c r="J19" s="63" t="s">
        <v>1816</v>
      </c>
      <c r="N19" s="76"/>
      <c r="O19" s="76"/>
      <c r="P19" s="76" t="str">
        <f t="shared" si="11"/>
        <v>,nyuinchu_flg</v>
      </c>
      <c r="Q19" s="76" t="str">
        <f t="shared" si="0"/>
        <v>TEXT</v>
      </c>
      <c r="R19" s="76" t="str">
        <f t="shared" si="1"/>
        <v/>
      </c>
      <c r="S19" s="76" t="str">
        <f t="shared" ref="S19" si="12">IF(I19="○","NOT NULL","")</f>
        <v>NOT NULL</v>
      </c>
      <c r="T19" s="76" t="str">
        <f t="shared" ref="T19" si="13">"-- "&amp;C19</f>
        <v>-- 入院中F</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milscm_2023_010.azn_202310_backup_mart_nyu_tai_in.nyuinchu_flg IS '入院中F';</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50" t="s">
        <v>110</v>
      </c>
      <c r="C1" s="251"/>
      <c r="D1" s="254" t="s">
        <v>111</v>
      </c>
      <c r="E1" s="255"/>
      <c r="F1" s="255"/>
      <c r="G1" s="246"/>
      <c r="H1" s="254" t="s">
        <v>112</v>
      </c>
      <c r="I1" s="246"/>
      <c r="J1" s="15" t="s">
        <v>113</v>
      </c>
    </row>
    <row r="2" spans="1:52" ht="19.5" thickBot="1">
      <c r="B2" s="252"/>
      <c r="C2" s="253"/>
      <c r="D2" s="256" t="s">
        <v>114</v>
      </c>
      <c r="E2" s="257"/>
      <c r="F2" s="257"/>
      <c r="G2" s="258"/>
      <c r="H2" s="259"/>
      <c r="I2" s="260"/>
      <c r="J2" s="17"/>
    </row>
    <row r="3" spans="1:52" ht="19.5" thickBot="1">
      <c r="B3" s="5"/>
      <c r="C3" s="5"/>
      <c r="D3" s="5"/>
      <c r="E3" s="5"/>
      <c r="F3" s="5"/>
      <c r="G3" s="5"/>
      <c r="H3" s="5"/>
      <c r="I3" s="5"/>
      <c r="J3" s="18"/>
    </row>
    <row r="4" spans="1:52">
      <c r="B4" s="245" t="s">
        <v>3703</v>
      </c>
      <c r="C4" s="246"/>
      <c r="D4" s="247" t="str">
        <f>VLOOKUP(D7,エンティティ一覧!A1:'エンティティ一覧'!AM10203,2,FALSE)</f>
        <v>01</v>
      </c>
      <c r="E4" s="248"/>
      <c r="F4" s="248"/>
      <c r="G4" s="248"/>
      <c r="H4" s="248"/>
      <c r="I4" s="248"/>
      <c r="J4" s="249"/>
    </row>
    <row r="5" spans="1:52">
      <c r="B5" s="261" t="s">
        <v>3704</v>
      </c>
      <c r="C5" s="262"/>
      <c r="D5" s="271" t="str">
        <f>VLOOKUP(D7,エンティティ一覧!A1:'エンティティ一覧'!AM10203,7,FALSE)</f>
        <v>backup</v>
      </c>
      <c r="E5" s="272"/>
      <c r="F5" s="272"/>
      <c r="G5" s="272"/>
      <c r="H5" s="272"/>
      <c r="I5" s="272"/>
      <c r="J5" s="273"/>
    </row>
    <row r="6" spans="1:52">
      <c r="B6" s="261" t="s">
        <v>3705</v>
      </c>
      <c r="C6" s="262"/>
      <c r="D6" s="271" t="str">
        <f>VLOOKUP(D7,エンティティ一覧!A1:'エンティティ一覧'!AM10203,15,FALSE)</f>
        <v>ENT_01_A1-07</v>
      </c>
      <c r="E6" s="272"/>
      <c r="F6" s="272"/>
      <c r="G6" s="272"/>
      <c r="H6" s="272"/>
      <c r="I6" s="272"/>
      <c r="J6" s="273"/>
    </row>
    <row r="7" spans="1:52">
      <c r="B7" s="261" t="s">
        <v>115</v>
      </c>
      <c r="C7" s="262"/>
      <c r="D7" s="263" t="s">
        <v>1817</v>
      </c>
      <c r="E7" s="264"/>
      <c r="F7" s="264"/>
      <c r="G7" s="264"/>
      <c r="H7" s="264"/>
      <c r="I7" s="264"/>
      <c r="J7" s="265"/>
    </row>
    <row r="8" spans="1:52">
      <c r="B8" s="261" t="s">
        <v>116</v>
      </c>
      <c r="C8" s="262"/>
      <c r="D8" s="263" t="str">
        <f>エンティティ一覧!AE2&amp;"_"&amp;D5&amp;"_mart_2riyo_patient_id"</f>
        <v>azn_202310_backup_mart_2riyo_patient_id</v>
      </c>
      <c r="E8" s="264"/>
      <c r="F8" s="264"/>
      <c r="G8" s="264"/>
      <c r="H8" s="264"/>
      <c r="I8" s="264"/>
      <c r="J8" s="265"/>
    </row>
    <row r="9" spans="1:52" ht="19.5" customHeight="1" thickBot="1">
      <c r="B9" s="266" t="s">
        <v>117</v>
      </c>
      <c r="C9" s="267"/>
      <c r="D9" s="268" t="str">
        <f>SUBSTITUTE(D7,"バックアップ_","")&amp;"テーブルから組入れ条件の第一条件で絞り込んだ結果を格納するテーブル"</f>
        <v>二次利用DB登録患者データテーブルから組入れ条件の第一条件で絞り込んだ結果を格納するテーブル</v>
      </c>
      <c r="E9" s="269"/>
      <c r="F9" s="269"/>
      <c r="G9" s="269"/>
      <c r="H9" s="269"/>
      <c r="I9" s="269"/>
      <c r="J9" s="270"/>
    </row>
    <row r="10" spans="1:52">
      <c r="B10" s="19"/>
      <c r="C10" s="19"/>
      <c r="D10" s="5"/>
      <c r="E10" s="5"/>
      <c r="F10" s="5"/>
      <c r="G10" s="5"/>
      <c r="H10" s="5"/>
      <c r="I10" s="5"/>
      <c r="J10" s="18"/>
      <c r="N10" s="76" t="str">
        <f>"--DROP TABLE  "&amp;エンティティ一覧!$O$2&amp;"."&amp;D$8&amp;";"</f>
        <v>--DROP TABLE  milscm_2023_010.azn_202310_backup_mart_2riyo_patient_id;</v>
      </c>
      <c r="O10" s="76"/>
      <c r="P10" s="76"/>
      <c r="Q10" s="76"/>
      <c r="R10" s="76"/>
      <c r="S10" s="76"/>
      <c r="T10" s="76"/>
      <c r="AJ10" s="76" t="str">
        <f>"ALTER TABLE ONLY "&amp;エンティティ一覧!$O$2&amp;"."&amp;D$8</f>
        <v>ALTER TABLE ONLY milscm_2023_010.azn_202310_backup_mart_2riyo_patient_id</v>
      </c>
      <c r="AS10" s="76" t="str">
        <f>"ALTER TABLE "&amp;エンティティ一覧!$O$2&amp;"."&amp;D$8&amp;" OWNER TO pgmisgrp1;"</f>
        <v>ALTER TABLE milscm_2023_010.azn_202310_backup_mart_2riyo_patient_id OWNER TO pgmisgrp1;</v>
      </c>
    </row>
    <row r="11" spans="1:52" ht="19.5" thickBot="1">
      <c r="B11" s="20" t="s">
        <v>118</v>
      </c>
      <c r="C11" s="19"/>
      <c r="D11" s="5"/>
      <c r="E11" s="5"/>
      <c r="F11" s="5"/>
      <c r="G11" s="5"/>
      <c r="H11" s="5"/>
      <c r="I11" s="5"/>
      <c r="J11" s="18"/>
      <c r="N11" s="76" t="str">
        <f>"CREATE TABLE  "&amp;エンティティ一覧!$O$2&amp;"."&amp;D$8</f>
        <v>CREATE TABLE  milscm_2023_010.azn_202310_backup_mart_2riyo_patient_id</v>
      </c>
      <c r="O11" s="76"/>
      <c r="P11" s="76"/>
      <c r="Q11" s="76"/>
      <c r="R11" s="76"/>
      <c r="S11" s="76"/>
      <c r="T11" s="76"/>
      <c r="AJ11" s="76" t="str">
        <f>"ADD CONSTRAINT "&amp;D$8&amp;"_pkey PRIMARY KEY"</f>
        <v>ADD CONSTRAINT azn_202310_backup_mart_2riyo_patient_id_pkey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milscm_2023_010.azn_202310_backup_mart_2riyo_patient_id IS 'バックアップ_二次利用DB登録患者データ';</v>
      </c>
    </row>
    <row r="13" spans="1:52" s="25" customFormat="1">
      <c r="A13" s="4"/>
      <c r="B13" s="21">
        <f>ROW()-12</f>
        <v>1</v>
      </c>
      <c r="C13" s="6" t="s">
        <v>137</v>
      </c>
      <c r="D13" s="6" t="s">
        <v>128</v>
      </c>
      <c r="E13" s="8" t="s">
        <v>127</v>
      </c>
      <c r="F13" s="8" t="s">
        <v>735</v>
      </c>
      <c r="G13" s="7" t="str">
        <f>IF(F13="フラグ","boolean",IF(F13="文字列","text",IF(F13="整数","integer",IF(F13="実数","numeric",""))))</f>
        <v>text</v>
      </c>
      <c r="H13" s="9"/>
      <c r="I13" s="10" t="s">
        <v>127</v>
      </c>
      <c r="J13" s="11"/>
      <c r="M13" s="4"/>
      <c r="N13" s="76"/>
      <c r="O13" s="76"/>
      <c r="P13" s="76" t="str">
        <f>IF(B13&lt;&gt;1,","&amp;D13,D13)</f>
        <v>facility_id</v>
      </c>
      <c r="Q13" s="76" t="str">
        <f t="shared" ref="Q13:Q15" si="0">UPPER(G13)</f>
        <v>TEXT</v>
      </c>
      <c r="R13" s="76" t="str">
        <f t="shared" ref="R13:R15"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milscm_2023_010.azn_202310_backup_mart_2riyo_patient_id.facility_id IS '施設ID';</v>
      </c>
    </row>
    <row r="14" spans="1:52" s="25" customFormat="1">
      <c r="A14" s="4"/>
      <c r="B14" s="21">
        <f t="shared" ref="B14" si="2">ROW()-12</f>
        <v>2</v>
      </c>
      <c r="C14" s="6" t="s">
        <v>1818</v>
      </c>
      <c r="D14" s="6" t="s">
        <v>207</v>
      </c>
      <c r="E14" s="8" t="s">
        <v>127</v>
      </c>
      <c r="F14" s="7" t="s">
        <v>1819</v>
      </c>
      <c r="G14" s="7" t="str">
        <f t="shared" ref="G14:G15" si="3">IF(F14="フラグ","boolean",IF(F14="文字列","text",IF(F14="整数","integer",IF(F14="実数","numeric",""))))</f>
        <v>text</v>
      </c>
      <c r="H14" s="26"/>
      <c r="I14" s="10" t="s">
        <v>127</v>
      </c>
      <c r="J14" s="11" t="s">
        <v>1822</v>
      </c>
      <c r="M14" s="4"/>
      <c r="N14" s="76"/>
      <c r="O14" s="76"/>
      <c r="P14" s="76" t="str">
        <f t="shared" ref="P14:P15" si="4">IF(B14&lt;&gt;1,","&amp;D14,D14)</f>
        <v>,data_type</v>
      </c>
      <c r="Q14" s="76" t="str">
        <f t="shared" si="0"/>
        <v>TEXT</v>
      </c>
      <c r="R14" s="76" t="str">
        <f t="shared" si="1"/>
        <v/>
      </c>
      <c r="S14" s="76" t="str">
        <f t="shared" ref="S14" si="5">IF(I14="○","NOT NULL","")</f>
        <v>NOT NULL</v>
      </c>
      <c r="T14" s="76" t="str">
        <f t="shared" ref="T14" si="6">"-- "&amp;C14</f>
        <v>-- データ種別</v>
      </c>
      <c r="U14" s="4"/>
      <c r="AA14" s="4"/>
      <c r="AB14" s="4"/>
      <c r="AC14" s="4"/>
      <c r="AD14" s="4"/>
      <c r="AE14" s="4"/>
      <c r="AF14" s="4"/>
      <c r="AG14" s="4"/>
      <c r="AH14" s="4"/>
      <c r="AI14" s="4"/>
      <c r="AJ14" s="76" t="str">
        <f>IF(E14="○",IF(COUNTA(E$13:E14)=1,"",",")&amp;D14,"")</f>
        <v>,data_type</v>
      </c>
      <c r="AK14" s="4"/>
      <c r="AL14" s="4"/>
      <c r="AM14" s="4"/>
      <c r="AN14" s="4"/>
      <c r="AO14" s="4"/>
      <c r="AP14" s="4"/>
      <c r="AQ14" s="4"/>
      <c r="AR14" s="4"/>
      <c r="AS14" s="76" t="str">
        <f>"COMMENT ON COLUMN "&amp;エンティティ一覧!$O$2&amp;"."&amp;D$8&amp;"."&amp;D14&amp;" IS '"&amp;C14&amp;"';"</f>
        <v>COMMENT ON COLUMN milscm_2023_010.azn_202310_backup_mart_2riyo_patient_id.data_type IS 'データ種別';</v>
      </c>
    </row>
    <row r="15" spans="1:52" s="25" customFormat="1" ht="19.5" thickBot="1">
      <c r="A15" s="4"/>
      <c r="B15" s="27">
        <f>ROW()-12</f>
        <v>3</v>
      </c>
      <c r="C15" s="57" t="s">
        <v>1820</v>
      </c>
      <c r="D15" s="57" t="s">
        <v>1821</v>
      </c>
      <c r="E15" s="56" t="s">
        <v>127</v>
      </c>
      <c r="F15" s="56" t="s">
        <v>1735</v>
      </c>
      <c r="G15" s="56" t="str">
        <f t="shared" si="3"/>
        <v>text</v>
      </c>
      <c r="H15" s="59"/>
      <c r="I15" s="60" t="s">
        <v>127</v>
      </c>
      <c r="J15" s="63"/>
      <c r="N15" s="76"/>
      <c r="O15" s="76"/>
      <c r="P15" s="76" t="str">
        <f t="shared" si="4"/>
        <v>,patient_id</v>
      </c>
      <c r="Q15" s="76" t="str">
        <f t="shared" si="0"/>
        <v>TEXT</v>
      </c>
      <c r="R15" s="76" t="str">
        <f t="shared" si="1"/>
        <v/>
      </c>
      <c r="S15" s="76" t="str">
        <f t="shared" ref="S15" si="7">IF(I15="○","NOT NULL","")</f>
        <v>NOT NULL</v>
      </c>
      <c r="T15" s="76" t="str">
        <f t="shared" ref="T15" si="8">"-- "&amp;C15</f>
        <v>-- 患者ID</v>
      </c>
      <c r="U15" s="4"/>
      <c r="AA15" s="4"/>
      <c r="AB15" s="4"/>
      <c r="AC15" s="4"/>
      <c r="AD15" s="4"/>
      <c r="AE15" s="4"/>
      <c r="AF15" s="4"/>
      <c r="AG15" s="4"/>
      <c r="AH15" s="4"/>
      <c r="AI15" s="4"/>
      <c r="AJ15" s="76" t="str">
        <f>IF(E15="○",IF(COUNTA(E$13:E15)=1,"",",")&amp;D15,"")</f>
        <v>,patient_id</v>
      </c>
      <c r="AK15" s="4"/>
      <c r="AL15" s="4"/>
      <c r="AM15" s="4"/>
      <c r="AN15" s="4"/>
      <c r="AO15" s="4"/>
      <c r="AP15" s="4"/>
      <c r="AQ15" s="4"/>
      <c r="AR15" s="4"/>
      <c r="AS15" s="76" t="str">
        <f>"COMMENT ON COLUMN "&amp;エンティティ一覧!$O$2&amp;"."&amp;D$8&amp;"."&amp;D15&amp;" IS '"&amp;C15&amp;"';"</f>
        <v>COMMENT ON COLUMN milscm_2023_010.azn_202310_backup_mart_2riyo_patient_id.patient_id IS '患者ID';</v>
      </c>
    </row>
    <row r="16" spans="1:52">
      <c r="L16" s="25"/>
      <c r="M16" s="25"/>
      <c r="N16" s="76" t="s">
        <v>142</v>
      </c>
      <c r="O16" s="76"/>
      <c r="P16" s="76"/>
      <c r="Q16" s="76"/>
      <c r="R16" s="76"/>
      <c r="S16" s="76"/>
      <c r="T16" s="76"/>
      <c r="V16" s="25"/>
      <c r="W16" s="25"/>
      <c r="X16" s="25"/>
      <c r="Y16" s="25"/>
      <c r="Z16" s="25"/>
      <c r="AJ16" s="76"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ENT_01_A1-08</v>
      </c>
      <c r="E6" s="272"/>
      <c r="F6" s="272"/>
      <c r="G6" s="272"/>
      <c r="H6" s="272"/>
      <c r="I6" s="272"/>
      <c r="J6" s="273"/>
    </row>
    <row r="7" spans="1:45">
      <c r="B7" s="261" t="s">
        <v>115</v>
      </c>
      <c r="C7" s="262"/>
      <c r="D7" s="263" t="s">
        <v>1823</v>
      </c>
      <c r="E7" s="264"/>
      <c r="F7" s="264"/>
      <c r="G7" s="264"/>
      <c r="H7" s="264"/>
      <c r="I7" s="264"/>
      <c r="J7" s="265"/>
    </row>
    <row r="8" spans="1:45">
      <c r="B8" s="261" t="s">
        <v>116</v>
      </c>
      <c r="C8" s="262"/>
      <c r="D8" s="263" t="str">
        <f>エンティティ一覧!AE2&amp;"_"&amp;D5&amp;"_mart_2riyo_patient_id_dpc"</f>
        <v>azn_202310_backup_mart_2riyo_patient_id_dpc</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二次利用DB登録患者データ_DPCテーブルから組入れ条件の第一条件で絞り込んだ結果を格納するテーブル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milscm_2023_010.azn_202310_backup_mart_2riyo_patient_id_dpc;</v>
      </c>
      <c r="O10" s="76"/>
      <c r="P10" s="76"/>
      <c r="Q10" s="76"/>
      <c r="R10" s="76"/>
      <c r="S10" s="76"/>
      <c r="T10" s="76"/>
      <c r="AJ10" s="76" t="str">
        <f>"ALTER TABLE ONLY "&amp;エンティティ一覧!$O$2&amp;"."&amp;D$8</f>
        <v>ALTER TABLE ONLY milscm_2023_010.azn_202310_backup_mart_2riyo_patient_id_dpc</v>
      </c>
      <c r="AS10" s="76" t="str">
        <f>"ALTER TABLE "&amp;エンティティ一覧!$O$2&amp;"."&amp;D$8&amp;" OWNER TO pgmisgrp1;"</f>
        <v>ALTER TABLE milscm_2023_010.azn_202310_backup_mart_2riyo_patient_id_dpc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milscm_2023_010.azn_202310_backup_mart_2riyo_patient_id_dpc</v>
      </c>
      <c r="O11" s="76"/>
      <c r="P11" s="76"/>
      <c r="Q11" s="76"/>
      <c r="R11" s="76"/>
      <c r="S11" s="76"/>
      <c r="T11" s="76"/>
      <c r="AJ11" s="76" t="str">
        <f>"ADD CONSTRAINT "&amp;D$8&amp;"_pkey PRIMARY KEY"</f>
        <v>ADD CONSTRAINT azn_202310_backup_mart_2riyo_patient_id_dpc_pkey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milscm_2023_010.azn_202310_backup_mart_2riyo_patient_id_dpc IS 'バックアップ_二次利用DB登録患者データ_DPC';</v>
      </c>
    </row>
    <row r="13" spans="1:45" s="25" customFormat="1">
      <c r="A13" s="4"/>
      <c r="B13" s="21">
        <f>ROW()-12</f>
        <v>1</v>
      </c>
      <c r="C13" s="6" t="s">
        <v>201</v>
      </c>
      <c r="D13" s="6" t="s">
        <v>202</v>
      </c>
      <c r="E13" s="8" t="s">
        <v>127</v>
      </c>
      <c r="F13" s="8" t="s">
        <v>203</v>
      </c>
      <c r="G13" s="7" t="str">
        <f>IF(F13="フラグ","boolean",IF(F13="文字列","text",IF(F13="整数","integer",IF(F13="実数","numeric",""))))</f>
        <v>integer</v>
      </c>
      <c r="H13" s="9"/>
      <c r="I13" s="10" t="s">
        <v>127</v>
      </c>
      <c r="J13" s="11"/>
      <c r="M13" s="4"/>
      <c r="N13" s="76"/>
      <c r="O13" s="76"/>
      <c r="P13" s="76" t="str">
        <f>IF(B13&lt;&gt;1,","&amp;D13,D13)</f>
        <v>mil_karute_id</v>
      </c>
      <c r="Q13" s="76" t="str">
        <f t="shared" ref="Q13:Q19" si="0">UPPER(G13)</f>
        <v>INTEGER</v>
      </c>
      <c r="R13" s="76" t="str">
        <f t="shared" ref="R13:R19" si="1">IF(H13&lt;&gt;"","default "&amp;IF(G13="text","'"&amp;H13&amp;"'",H13),"")</f>
        <v/>
      </c>
      <c r="S13" s="76" t="str">
        <f>IF(I13="○","NOT NULL","")</f>
        <v>NOT NULL</v>
      </c>
      <c r="T13" s="76" t="str">
        <f>"-- "&amp;C13</f>
        <v>-- 千年カルテID</v>
      </c>
      <c r="U13" s="4"/>
      <c r="AA13" s="4"/>
      <c r="AB13" s="4"/>
      <c r="AC13" s="4"/>
      <c r="AD13" s="4"/>
      <c r="AE13" s="4"/>
      <c r="AF13" s="4"/>
      <c r="AG13" s="4"/>
      <c r="AH13" s="4"/>
      <c r="AI13" s="4"/>
      <c r="AJ13" s="76" t="str">
        <f>IF(E13="○",IF(COUNTA(E$13:E13)=1,"",",")&amp;D13,"")</f>
        <v>mil_karute_id</v>
      </c>
      <c r="AK13" s="4"/>
      <c r="AL13" s="4"/>
      <c r="AM13" s="4"/>
      <c r="AN13" s="4"/>
      <c r="AO13" s="4"/>
      <c r="AP13" s="4"/>
      <c r="AQ13" s="4"/>
      <c r="AR13" s="4"/>
      <c r="AS13" s="76" t="str">
        <f>"COMMENT ON COLUMN "&amp;エンティティ一覧!$O$2&amp;"."&amp;D$8&amp;"."&amp;D13&amp;" IS '"&amp;C13&amp;"';"</f>
        <v>COMMENT ON COLUMN milscm_2023_010.azn_202310_backup_mart_2riyo_patient_id_dpc.mil_karute_id IS '千年カルテID';</v>
      </c>
    </row>
    <row r="14" spans="1:45" s="25" customFormat="1">
      <c r="A14" s="4"/>
      <c r="B14" s="21">
        <f t="shared" ref="B14:B18" si="2">ROW()-12</f>
        <v>2</v>
      </c>
      <c r="C14" s="6" t="s">
        <v>137</v>
      </c>
      <c r="D14" s="6" t="s">
        <v>128</v>
      </c>
      <c r="E14" s="8" t="s">
        <v>127</v>
      </c>
      <c r="F14" s="7" t="s">
        <v>735</v>
      </c>
      <c r="G14" s="7" t="str">
        <f t="shared" ref="G14:G19" si="3">IF(F14="フラグ","boolean",IF(F14="文字列","text",IF(F14="整数","integer",IF(F14="実数","numeric",""))))</f>
        <v>text</v>
      </c>
      <c r="H14" s="26"/>
      <c r="I14" s="10" t="s">
        <v>127</v>
      </c>
      <c r="J14" s="11"/>
      <c r="M14" s="4"/>
      <c r="N14" s="76"/>
      <c r="O14" s="76"/>
      <c r="P14" s="76" t="str">
        <f t="shared" ref="P14:P19" si="4">IF(B14&lt;&gt;1,","&amp;D14,D14)</f>
        <v>,facility_id</v>
      </c>
      <c r="Q14" s="76" t="str">
        <f t="shared" si="0"/>
        <v>TEXT</v>
      </c>
      <c r="R14" s="76" t="str">
        <f t="shared" si="1"/>
        <v/>
      </c>
      <c r="S14" s="76" t="str">
        <f t="shared" ref="S14:S17" si="5">IF(I14="○","NOT NULL","")</f>
        <v>NOT NULL</v>
      </c>
      <c r="T14" s="76" t="str">
        <f t="shared" ref="T14:T17" si="6">"--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milscm_2023_010.azn_202310_backup_mart_2riyo_patient_id_dpc.facility_id IS '施設ID';</v>
      </c>
    </row>
    <row r="15" spans="1:45" s="25" customFormat="1">
      <c r="A15" s="4"/>
      <c r="B15" s="21">
        <f t="shared" si="2"/>
        <v>3</v>
      </c>
      <c r="C15" s="6" t="s">
        <v>1820</v>
      </c>
      <c r="D15" s="6" t="s">
        <v>1821</v>
      </c>
      <c r="E15" s="8" t="s">
        <v>127</v>
      </c>
      <c r="F15" s="7" t="s">
        <v>1735</v>
      </c>
      <c r="G15" s="7" t="str">
        <f t="shared" si="3"/>
        <v>text</v>
      </c>
      <c r="H15" s="26"/>
      <c r="I15" s="10" t="s">
        <v>127</v>
      </c>
      <c r="J15" s="11"/>
      <c r="M15" s="4"/>
      <c r="N15" s="76"/>
      <c r="O15" s="76"/>
      <c r="P15" s="76" t="str">
        <f t="shared" si="4"/>
        <v>,patient_id</v>
      </c>
      <c r="Q15" s="76" t="str">
        <f t="shared" si="0"/>
        <v>TEXT</v>
      </c>
      <c r="R15" s="76" t="str">
        <f t="shared" si="1"/>
        <v/>
      </c>
      <c r="S15" s="76" t="str">
        <f t="shared" si="5"/>
        <v>NOT NULL</v>
      </c>
      <c r="T15" s="76" t="str">
        <f t="shared" si="6"/>
        <v>-- 患者ID</v>
      </c>
      <c r="U15" s="4"/>
      <c r="AA15" s="4"/>
      <c r="AB15" s="4"/>
      <c r="AC15" s="4"/>
      <c r="AD15" s="4"/>
      <c r="AE15" s="4"/>
      <c r="AF15" s="4"/>
      <c r="AG15" s="4"/>
      <c r="AH15" s="4"/>
      <c r="AI15" s="4"/>
      <c r="AJ15" s="76" t="str">
        <f>IF(E15="○",IF(COUNTA(E$13:E15)=1,"",",")&amp;D15,"")</f>
        <v>,patient_id</v>
      </c>
      <c r="AK15" s="4"/>
      <c r="AL15" s="4"/>
      <c r="AM15" s="4"/>
      <c r="AN15" s="4"/>
      <c r="AO15" s="4"/>
      <c r="AP15" s="4"/>
      <c r="AQ15" s="4"/>
      <c r="AR15" s="4"/>
      <c r="AS15" s="76" t="str">
        <f>"COMMENT ON COLUMN "&amp;エンティティ一覧!$O$2&amp;"."&amp;D$8&amp;"."&amp;D15&amp;" IS '"&amp;C15&amp;"';"</f>
        <v>COMMENT ON COLUMN milscm_2023_010.azn_202310_backup_mart_2riyo_patient_id_dpc.patient_id IS '患者ID';</v>
      </c>
    </row>
    <row r="16" spans="1:45" s="25" customFormat="1">
      <c r="A16" s="4"/>
      <c r="B16" s="21">
        <f t="shared" si="2"/>
        <v>4</v>
      </c>
      <c r="C16" s="6" t="s">
        <v>1824</v>
      </c>
      <c r="D16" s="6" t="s">
        <v>1825</v>
      </c>
      <c r="E16" s="8"/>
      <c r="F16" s="7" t="s">
        <v>1826</v>
      </c>
      <c r="G16" s="7" t="str">
        <f t="shared" si="3"/>
        <v>text</v>
      </c>
      <c r="H16" s="26"/>
      <c r="I16" s="10" t="s">
        <v>127</v>
      </c>
      <c r="J16" s="11"/>
      <c r="M16" s="4"/>
      <c r="N16" s="76"/>
      <c r="O16" s="76"/>
      <c r="P16" s="76" t="str">
        <f t="shared" si="4"/>
        <v>,shinryo_ym_min</v>
      </c>
      <c r="Q16" s="76" t="str">
        <f t="shared" si="0"/>
        <v>TEXT</v>
      </c>
      <c r="R16" s="76" t="str">
        <f t="shared" si="1"/>
        <v/>
      </c>
      <c r="S16" s="76" t="str">
        <f t="shared" si="5"/>
        <v>NOT NULL</v>
      </c>
      <c r="T16" s="76" t="str">
        <f t="shared" si="6"/>
        <v>-- 診療年月_最小</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milscm_2023_010.azn_202310_backup_mart_2riyo_patient_id_dpc.shinryo_ym_min IS '診療年月_最小';</v>
      </c>
    </row>
    <row r="17" spans="1:52" s="25" customFormat="1">
      <c r="A17" s="4"/>
      <c r="B17" s="21">
        <f t="shared" si="2"/>
        <v>5</v>
      </c>
      <c r="C17" s="6" t="s">
        <v>1827</v>
      </c>
      <c r="D17" s="6" t="s">
        <v>1828</v>
      </c>
      <c r="E17" s="8"/>
      <c r="F17" s="7" t="s">
        <v>1819</v>
      </c>
      <c r="G17" s="7" t="str">
        <f t="shared" si="3"/>
        <v>text</v>
      </c>
      <c r="H17" s="26"/>
      <c r="I17" s="10" t="s">
        <v>127</v>
      </c>
      <c r="J17" s="11"/>
      <c r="M17" s="4"/>
      <c r="N17" s="76"/>
      <c r="O17" s="76"/>
      <c r="P17" s="76" t="str">
        <f t="shared" si="4"/>
        <v>,shinryo_ym_max</v>
      </c>
      <c r="Q17" s="76" t="str">
        <f t="shared" si="0"/>
        <v>TEXT</v>
      </c>
      <c r="R17" s="76" t="str">
        <f t="shared" si="1"/>
        <v/>
      </c>
      <c r="S17" s="76" t="str">
        <f t="shared" si="5"/>
        <v>NOT NULL</v>
      </c>
      <c r="T17" s="76" t="str">
        <f t="shared" si="6"/>
        <v>-- 診療年月_最大</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milscm_2023_010.azn_202310_backup_mart_2riyo_patient_id_dpc.shinryo_ym_max IS '診療年月_最大';</v>
      </c>
    </row>
    <row r="18" spans="1:52" s="25" customFormat="1" ht="56.25">
      <c r="A18" s="4"/>
      <c r="B18" s="21">
        <f t="shared" si="2"/>
        <v>6</v>
      </c>
      <c r="C18" s="6" t="s">
        <v>1829</v>
      </c>
      <c r="D18" s="6" t="s">
        <v>943</v>
      </c>
      <c r="E18" s="8" t="s">
        <v>127</v>
      </c>
      <c r="F18" s="7" t="s">
        <v>1735</v>
      </c>
      <c r="G18" s="7" t="str">
        <f t="shared" si="3"/>
        <v>text</v>
      </c>
      <c r="H18" s="26"/>
      <c r="I18" s="10" t="s">
        <v>127</v>
      </c>
      <c r="J18" s="11" t="s">
        <v>1831</v>
      </c>
      <c r="M18" s="4"/>
      <c r="N18" s="76"/>
      <c r="O18" s="76"/>
      <c r="P18" s="76" t="str">
        <f t="shared" si="4"/>
        <v>,sex_kubun</v>
      </c>
      <c r="Q18" s="76" t="str">
        <f t="shared" si="0"/>
        <v>TEXT</v>
      </c>
      <c r="R18" s="76" t="str">
        <f t="shared" si="1"/>
        <v/>
      </c>
      <c r="S18" s="76" t="str">
        <f>IF(I18="○","NOT NULL","")</f>
        <v>NOT NULL</v>
      </c>
      <c r="T18" s="76" t="str">
        <f>"-- "&amp;C18</f>
        <v>-- 男女区分</v>
      </c>
      <c r="U18" s="4"/>
      <c r="AA18" s="4"/>
      <c r="AB18" s="4"/>
      <c r="AC18" s="4"/>
      <c r="AD18" s="4"/>
      <c r="AE18" s="4"/>
      <c r="AF18" s="4"/>
      <c r="AG18" s="4"/>
      <c r="AH18" s="4"/>
      <c r="AI18" s="4"/>
      <c r="AJ18" s="76" t="str">
        <f>IF(E18="○",IF(COUNTA(E$13:E18)=1,"",",")&amp;D18,"")</f>
        <v>,sex_kubun</v>
      </c>
      <c r="AK18" s="4"/>
      <c r="AL18" s="4"/>
      <c r="AM18" s="4"/>
      <c r="AN18" s="4"/>
      <c r="AO18" s="4"/>
      <c r="AP18" s="4"/>
      <c r="AQ18" s="4"/>
      <c r="AR18" s="4"/>
      <c r="AS18" s="76" t="str">
        <f>"COMMENT ON COLUMN "&amp;エンティティ一覧!$O$2&amp;"."&amp;D$8&amp;"."&amp;D18&amp;" IS '"&amp;C18&amp;"';"</f>
        <v>COMMENT ON COLUMN milscm_2023_010.azn_202310_backup_mart_2riyo_patient_id_dpc.sex_kubun IS '男女区分';</v>
      </c>
    </row>
    <row r="19" spans="1:52" s="25" customFormat="1" ht="94.5" thickBot="1">
      <c r="A19" s="4"/>
      <c r="B19" s="27">
        <f>ROW()-12</f>
        <v>7</v>
      </c>
      <c r="C19" s="57" t="s">
        <v>1830</v>
      </c>
      <c r="D19" s="57" t="s">
        <v>321</v>
      </c>
      <c r="E19" s="56" t="s">
        <v>127</v>
      </c>
      <c r="F19" s="56" t="s">
        <v>1735</v>
      </c>
      <c r="G19" s="56" t="str">
        <f t="shared" si="3"/>
        <v>text</v>
      </c>
      <c r="H19" s="59"/>
      <c r="I19" s="60" t="s">
        <v>127</v>
      </c>
      <c r="J19" s="63" t="s">
        <v>1832</v>
      </c>
      <c r="N19" s="76"/>
      <c r="O19" s="76"/>
      <c r="P19" s="76" t="str">
        <f t="shared" si="4"/>
        <v>,birthday</v>
      </c>
      <c r="Q19" s="76" t="str">
        <f t="shared" si="0"/>
        <v>TEXT</v>
      </c>
      <c r="R19" s="76" t="str">
        <f t="shared" si="1"/>
        <v/>
      </c>
      <c r="S19" s="76" t="str">
        <f t="shared" ref="S19" si="7">IF(I19="○","NOT NULL","")</f>
        <v>NOT NULL</v>
      </c>
      <c r="T19" s="76" t="str">
        <f t="shared" ref="T19" si="8">"-- "&amp;C19</f>
        <v>-- 生年月日</v>
      </c>
      <c r="U19" s="4"/>
      <c r="AA19" s="4"/>
      <c r="AB19" s="4"/>
      <c r="AC19" s="4"/>
      <c r="AD19" s="4"/>
      <c r="AE19" s="4"/>
      <c r="AF19" s="4"/>
      <c r="AG19" s="4"/>
      <c r="AH19" s="4"/>
      <c r="AI19" s="4"/>
      <c r="AJ19" s="76" t="str">
        <f>IF(E19="○",IF(COUNTA(E$13:E19)=1,"",",")&amp;D19,"")</f>
        <v>,birthday</v>
      </c>
      <c r="AK19" s="4"/>
      <c r="AL19" s="4"/>
      <c r="AM19" s="4"/>
      <c r="AN19" s="4"/>
      <c r="AO19" s="4"/>
      <c r="AP19" s="4"/>
      <c r="AQ19" s="4"/>
      <c r="AR19" s="4"/>
      <c r="AS19" s="76" t="str">
        <f>"COMMENT ON COLUMN "&amp;エンティティ一覧!$O$2&amp;"."&amp;D$8&amp;"."&amp;D19&amp;" IS '"&amp;C19&amp;"';"</f>
        <v>COMMENT ON COLUMN milscm_2023_010.azn_202310_backup_mart_2riyo_patient_id_dpc.birthday IS '生年月日';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ENT_01_A1-09</v>
      </c>
      <c r="E6" s="272"/>
      <c r="F6" s="272"/>
      <c r="G6" s="272"/>
      <c r="H6" s="272"/>
      <c r="I6" s="272"/>
      <c r="J6" s="273"/>
    </row>
    <row r="7" spans="1:45">
      <c r="B7" s="261" t="s">
        <v>115</v>
      </c>
      <c r="C7" s="262"/>
      <c r="D7" s="263" t="s">
        <v>1833</v>
      </c>
      <c r="E7" s="264"/>
      <c r="F7" s="264"/>
      <c r="G7" s="264"/>
      <c r="H7" s="264"/>
      <c r="I7" s="264"/>
      <c r="J7" s="265"/>
    </row>
    <row r="8" spans="1:45">
      <c r="B8" s="261" t="s">
        <v>116</v>
      </c>
      <c r="C8" s="262"/>
      <c r="D8" s="263" t="str">
        <f>エンティティ一覧!AE2&amp;"_"&amp;D5&amp;"_mart_2riyo_patient_id_rcp"</f>
        <v>azn_202310_backup_mart_2riyo_patient_id_rcp</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二次利用DB登録患者データ_レセプトテーブルから組入れ条件の第一条件で絞り込んだ結果を格納するテーブル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milscm_2023_010.azn_202310_backup_mart_2riyo_patient_id_rcp;</v>
      </c>
      <c r="O10" s="76"/>
      <c r="P10" s="76"/>
      <c r="Q10" s="76"/>
      <c r="R10" s="76"/>
      <c r="S10" s="76"/>
      <c r="T10" s="76"/>
      <c r="AJ10" s="76" t="str">
        <f>"ALTER TABLE ONLY "&amp;エンティティ一覧!$O$2&amp;"."&amp;D$8</f>
        <v>ALTER TABLE ONLY milscm_2023_010.azn_202310_backup_mart_2riyo_patient_id_rcp</v>
      </c>
      <c r="AS10" s="76" t="str">
        <f>"ALTER TABLE "&amp;エンティティ一覧!$O$2&amp;"."&amp;D$8&amp;" OWNER TO pgmisgrp1;"</f>
        <v>ALTER TABLE milscm_2023_010.azn_202310_backup_mart_2riyo_patient_id_rcp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milscm_2023_010.azn_202310_backup_mart_2riyo_patient_id_rcp</v>
      </c>
      <c r="O11" s="76"/>
      <c r="P11" s="76"/>
      <c r="Q11" s="76"/>
      <c r="R11" s="76"/>
      <c r="S11" s="76"/>
      <c r="T11" s="76"/>
      <c r="AJ11" s="76" t="str">
        <f>"ADD CONSTRAINT "&amp;D$8&amp;"_pkey PRIMARY KEY"</f>
        <v>ADD CONSTRAINT azn_202310_backup_mart_2riyo_patient_id_rcp_pkey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milscm_2023_010.azn_202310_backup_mart_2riyo_patient_id_rcp IS 'バックアップ_二次利用DB登録患者データ_レセプト';</v>
      </c>
    </row>
    <row r="13" spans="1:45" s="25" customFormat="1">
      <c r="A13" s="4"/>
      <c r="B13" s="21">
        <f>ROW()-12</f>
        <v>1</v>
      </c>
      <c r="C13" s="6" t="s">
        <v>201</v>
      </c>
      <c r="D13" s="6" t="s">
        <v>202</v>
      </c>
      <c r="E13" s="8" t="s">
        <v>127</v>
      </c>
      <c r="F13" s="8" t="s">
        <v>203</v>
      </c>
      <c r="G13" s="7" t="str">
        <f>IF(F13="フラグ","boolean",IF(F13="文字列","text",IF(F13="整数","integer",IF(F13="実数","numeric",""))))</f>
        <v>integer</v>
      </c>
      <c r="H13" s="9"/>
      <c r="I13" s="10" t="s">
        <v>127</v>
      </c>
      <c r="J13" s="11"/>
      <c r="M13" s="4"/>
      <c r="N13" s="76"/>
      <c r="O13" s="76"/>
      <c r="P13" s="76" t="str">
        <f>IF(B13&lt;&gt;1,","&amp;D13,D13)</f>
        <v>mil_karute_id</v>
      </c>
      <c r="Q13" s="76" t="str">
        <f t="shared" ref="Q13:Q19" si="0">UPPER(G13)</f>
        <v>INTEGER</v>
      </c>
      <c r="R13" s="76" t="str">
        <f t="shared" ref="R13:R19" si="1">IF(H13&lt;&gt;"","default "&amp;IF(G13="text","'"&amp;H13&amp;"'",H13),"")</f>
        <v/>
      </c>
      <c r="S13" s="76" t="str">
        <f>IF(I13="○","NOT NULL","")</f>
        <v>NOT NULL</v>
      </c>
      <c r="T13" s="76" t="str">
        <f>"-- "&amp;C13</f>
        <v>-- 千年カルテID</v>
      </c>
      <c r="U13" s="4"/>
      <c r="AA13" s="4"/>
      <c r="AB13" s="4"/>
      <c r="AC13" s="4"/>
      <c r="AD13" s="4"/>
      <c r="AE13" s="4"/>
      <c r="AF13" s="4"/>
      <c r="AG13" s="4"/>
      <c r="AH13" s="4"/>
      <c r="AI13" s="4"/>
      <c r="AJ13" s="76" t="str">
        <f>IF(E13="○",IF(COUNTA(E$13:E13)=1,"",",")&amp;D13,"")</f>
        <v>mil_karute_id</v>
      </c>
      <c r="AK13" s="4"/>
      <c r="AL13" s="4"/>
      <c r="AM13" s="4"/>
      <c r="AN13" s="4"/>
      <c r="AO13" s="4"/>
      <c r="AP13" s="4"/>
      <c r="AQ13" s="4"/>
      <c r="AR13" s="4"/>
      <c r="AS13" s="76" t="str">
        <f>"COMMENT ON COLUMN "&amp;エンティティ一覧!$O$2&amp;"."&amp;D$8&amp;"."&amp;D13&amp;" IS '"&amp;C13&amp;"';"</f>
        <v>COMMENT ON COLUMN milscm_2023_010.azn_202310_backup_mart_2riyo_patient_id_rcp.mil_karute_id IS '千年カルテID';</v>
      </c>
    </row>
    <row r="14" spans="1:45" s="25" customFormat="1">
      <c r="A14" s="4"/>
      <c r="B14" s="21">
        <f t="shared" ref="B14:B18" si="2">ROW()-12</f>
        <v>2</v>
      </c>
      <c r="C14" s="6" t="s">
        <v>137</v>
      </c>
      <c r="D14" s="6" t="s">
        <v>128</v>
      </c>
      <c r="E14" s="8" t="s">
        <v>127</v>
      </c>
      <c r="F14" s="7" t="s">
        <v>735</v>
      </c>
      <c r="G14" s="7" t="str">
        <f t="shared" ref="G14:G19" si="3">IF(F14="フラグ","boolean",IF(F14="文字列","text",IF(F14="整数","integer",IF(F14="実数","numeric",""))))</f>
        <v>text</v>
      </c>
      <c r="H14" s="26"/>
      <c r="I14" s="10" t="s">
        <v>127</v>
      </c>
      <c r="J14" s="11"/>
      <c r="M14" s="4"/>
      <c r="N14" s="76"/>
      <c r="O14" s="76"/>
      <c r="P14" s="76" t="str">
        <f t="shared" ref="P14:P19" si="4">IF(B14&lt;&gt;1,","&amp;D14,D14)</f>
        <v>,facility_id</v>
      </c>
      <c r="Q14" s="76" t="str">
        <f t="shared" si="0"/>
        <v>TEXT</v>
      </c>
      <c r="R14" s="76" t="str">
        <f t="shared" si="1"/>
        <v/>
      </c>
      <c r="S14" s="76" t="str">
        <f t="shared" ref="S14:S17" si="5">IF(I14="○","NOT NULL","")</f>
        <v>NOT NULL</v>
      </c>
      <c r="T14" s="76" t="str">
        <f t="shared" ref="T14:T17" si="6">"--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milscm_2023_010.azn_202310_backup_mart_2riyo_patient_id_rcp.facility_id IS '施設ID';</v>
      </c>
    </row>
    <row r="15" spans="1:45" s="25" customFormat="1">
      <c r="A15" s="4"/>
      <c r="B15" s="21">
        <f t="shared" si="2"/>
        <v>3</v>
      </c>
      <c r="C15" s="6" t="s">
        <v>1820</v>
      </c>
      <c r="D15" s="6" t="s">
        <v>1821</v>
      </c>
      <c r="E15" s="8" t="s">
        <v>127</v>
      </c>
      <c r="F15" s="7" t="s">
        <v>1735</v>
      </c>
      <c r="G15" s="7" t="str">
        <f t="shared" si="3"/>
        <v>text</v>
      </c>
      <c r="H15" s="26"/>
      <c r="I15" s="10" t="s">
        <v>127</v>
      </c>
      <c r="J15" s="11"/>
      <c r="M15" s="4"/>
      <c r="N15" s="76"/>
      <c r="O15" s="76"/>
      <c r="P15" s="76" t="str">
        <f t="shared" si="4"/>
        <v>,patient_id</v>
      </c>
      <c r="Q15" s="76" t="str">
        <f t="shared" si="0"/>
        <v>TEXT</v>
      </c>
      <c r="R15" s="76" t="str">
        <f t="shared" si="1"/>
        <v/>
      </c>
      <c r="S15" s="76" t="str">
        <f t="shared" si="5"/>
        <v>NOT NULL</v>
      </c>
      <c r="T15" s="76" t="str">
        <f t="shared" si="6"/>
        <v>-- 患者ID</v>
      </c>
      <c r="U15" s="4"/>
      <c r="AA15" s="4"/>
      <c r="AB15" s="4"/>
      <c r="AC15" s="4"/>
      <c r="AD15" s="4"/>
      <c r="AE15" s="4"/>
      <c r="AF15" s="4"/>
      <c r="AG15" s="4"/>
      <c r="AH15" s="4"/>
      <c r="AI15" s="4"/>
      <c r="AJ15" s="76" t="str">
        <f>IF(E15="○",IF(COUNTA(E$13:E15)=1,"",",")&amp;D15,"")</f>
        <v>,patient_id</v>
      </c>
      <c r="AK15" s="4"/>
      <c r="AL15" s="4"/>
      <c r="AM15" s="4"/>
      <c r="AN15" s="4"/>
      <c r="AO15" s="4"/>
      <c r="AP15" s="4"/>
      <c r="AQ15" s="4"/>
      <c r="AR15" s="4"/>
      <c r="AS15" s="76" t="str">
        <f>"COMMENT ON COLUMN "&amp;エンティティ一覧!$O$2&amp;"."&amp;D$8&amp;"."&amp;D15&amp;" IS '"&amp;C15&amp;"';"</f>
        <v>COMMENT ON COLUMN milscm_2023_010.azn_202310_backup_mart_2riyo_patient_id_rcp.patient_id IS '患者ID';</v>
      </c>
    </row>
    <row r="16" spans="1:45" s="25" customFormat="1">
      <c r="A16" s="4"/>
      <c r="B16" s="21">
        <f t="shared" si="2"/>
        <v>4</v>
      </c>
      <c r="C16" s="6" t="s">
        <v>1824</v>
      </c>
      <c r="D16" s="6" t="s">
        <v>1825</v>
      </c>
      <c r="E16" s="8"/>
      <c r="F16" s="7" t="s">
        <v>1826</v>
      </c>
      <c r="G16" s="7" t="str">
        <f t="shared" si="3"/>
        <v>text</v>
      </c>
      <c r="H16" s="26"/>
      <c r="I16" s="10" t="s">
        <v>127</v>
      </c>
      <c r="J16" s="11"/>
      <c r="M16" s="4"/>
      <c r="N16" s="76"/>
      <c r="O16" s="76"/>
      <c r="P16" s="76" t="str">
        <f t="shared" si="4"/>
        <v>,shinryo_ym_min</v>
      </c>
      <c r="Q16" s="76" t="str">
        <f t="shared" si="0"/>
        <v>TEXT</v>
      </c>
      <c r="R16" s="76" t="str">
        <f t="shared" si="1"/>
        <v/>
      </c>
      <c r="S16" s="76" t="str">
        <f t="shared" si="5"/>
        <v>NOT NULL</v>
      </c>
      <c r="T16" s="76" t="str">
        <f t="shared" si="6"/>
        <v>-- 診療年月_最小</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milscm_2023_010.azn_202310_backup_mart_2riyo_patient_id_rcp.shinryo_ym_min IS '診療年月_最小';</v>
      </c>
    </row>
    <row r="17" spans="1:52" s="25" customFormat="1">
      <c r="A17" s="4"/>
      <c r="B17" s="21">
        <f t="shared" si="2"/>
        <v>5</v>
      </c>
      <c r="C17" s="6" t="s">
        <v>1827</v>
      </c>
      <c r="D17" s="6" t="s">
        <v>1828</v>
      </c>
      <c r="E17" s="8"/>
      <c r="F17" s="7" t="s">
        <v>1819</v>
      </c>
      <c r="G17" s="7" t="str">
        <f t="shared" si="3"/>
        <v>text</v>
      </c>
      <c r="H17" s="26"/>
      <c r="I17" s="10" t="s">
        <v>127</v>
      </c>
      <c r="J17" s="11"/>
      <c r="M17" s="4"/>
      <c r="N17" s="76"/>
      <c r="O17" s="76"/>
      <c r="P17" s="76" t="str">
        <f t="shared" si="4"/>
        <v>,shinryo_ym_max</v>
      </c>
      <c r="Q17" s="76" t="str">
        <f t="shared" si="0"/>
        <v>TEXT</v>
      </c>
      <c r="R17" s="76" t="str">
        <f t="shared" si="1"/>
        <v/>
      </c>
      <c r="S17" s="76" t="str">
        <f t="shared" si="5"/>
        <v>NOT NULL</v>
      </c>
      <c r="T17" s="76" t="str">
        <f t="shared" si="6"/>
        <v>-- 診療年月_最大</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milscm_2023_010.azn_202310_backup_mart_2riyo_patient_id_rcp.shinryo_ym_max IS '診療年月_最大';</v>
      </c>
    </row>
    <row r="18" spans="1:52" s="25" customFormat="1">
      <c r="A18" s="4"/>
      <c r="B18" s="21">
        <f t="shared" si="2"/>
        <v>6</v>
      </c>
      <c r="C18" s="6" t="s">
        <v>1829</v>
      </c>
      <c r="D18" s="6" t="s">
        <v>943</v>
      </c>
      <c r="E18" s="8" t="s">
        <v>127</v>
      </c>
      <c r="F18" s="7" t="s">
        <v>1735</v>
      </c>
      <c r="G18" s="7" t="str">
        <f t="shared" si="3"/>
        <v>text</v>
      </c>
      <c r="H18" s="26"/>
      <c r="I18" s="10" t="s">
        <v>127</v>
      </c>
      <c r="J18" s="11" t="s">
        <v>1834</v>
      </c>
      <c r="M18" s="4"/>
      <c r="N18" s="76"/>
      <c r="O18" s="76"/>
      <c r="P18" s="76" t="str">
        <f t="shared" si="4"/>
        <v>,sex_kubun</v>
      </c>
      <c r="Q18" s="76" t="str">
        <f t="shared" si="0"/>
        <v>TEXT</v>
      </c>
      <c r="R18" s="76" t="str">
        <f t="shared" si="1"/>
        <v/>
      </c>
      <c r="S18" s="76" t="str">
        <f>IF(I18="○","NOT NULL","")</f>
        <v>NOT NULL</v>
      </c>
      <c r="T18" s="76" t="str">
        <f>"-- "&amp;C18</f>
        <v>-- 男女区分</v>
      </c>
      <c r="U18" s="4"/>
      <c r="AA18" s="4"/>
      <c r="AB18" s="4"/>
      <c r="AC18" s="4"/>
      <c r="AD18" s="4"/>
      <c r="AE18" s="4"/>
      <c r="AF18" s="4"/>
      <c r="AG18" s="4"/>
      <c r="AH18" s="4"/>
      <c r="AI18" s="4"/>
      <c r="AJ18" s="76" t="str">
        <f>IF(E18="○",IF(COUNTA(E$13:E18)=1,"",",")&amp;D18,"")</f>
        <v>,sex_kubun</v>
      </c>
      <c r="AK18" s="4"/>
      <c r="AL18" s="4"/>
      <c r="AM18" s="4"/>
      <c r="AN18" s="4"/>
      <c r="AO18" s="4"/>
      <c r="AP18" s="4"/>
      <c r="AQ18" s="4"/>
      <c r="AR18" s="4"/>
      <c r="AS18" s="76" t="str">
        <f>"COMMENT ON COLUMN "&amp;エンティティ一覧!$O$2&amp;"."&amp;D$8&amp;"."&amp;D18&amp;" IS '"&amp;C18&amp;"';"</f>
        <v>COMMENT ON COLUMN milscm_2023_010.azn_202310_backup_mart_2riyo_patient_id_rcp.sex_kubun IS '男女区分';</v>
      </c>
    </row>
    <row r="19" spans="1:52" s="25" customFormat="1" ht="57" thickBot="1">
      <c r="A19" s="4"/>
      <c r="B19" s="27">
        <f>ROW()-12</f>
        <v>7</v>
      </c>
      <c r="C19" s="57" t="s">
        <v>1830</v>
      </c>
      <c r="D19" s="57" t="s">
        <v>321</v>
      </c>
      <c r="E19" s="56" t="s">
        <v>127</v>
      </c>
      <c r="F19" s="56" t="s">
        <v>1735</v>
      </c>
      <c r="G19" s="56" t="str">
        <f t="shared" si="3"/>
        <v>text</v>
      </c>
      <c r="H19" s="59"/>
      <c r="I19" s="60" t="s">
        <v>127</v>
      </c>
      <c r="J19" s="63" t="s">
        <v>1835</v>
      </c>
      <c r="N19" s="76"/>
      <c r="O19" s="76"/>
      <c r="P19" s="76" t="str">
        <f t="shared" si="4"/>
        <v>,birthday</v>
      </c>
      <c r="Q19" s="76" t="str">
        <f t="shared" si="0"/>
        <v>TEXT</v>
      </c>
      <c r="R19" s="76" t="str">
        <f t="shared" si="1"/>
        <v/>
      </c>
      <c r="S19" s="76" t="str">
        <f t="shared" ref="S19" si="7">IF(I19="○","NOT NULL","")</f>
        <v>NOT NULL</v>
      </c>
      <c r="T19" s="76" t="str">
        <f t="shared" ref="T19" si="8">"-- "&amp;C19</f>
        <v>-- 生年月日</v>
      </c>
      <c r="U19" s="4"/>
      <c r="AA19" s="4"/>
      <c r="AB19" s="4"/>
      <c r="AC19" s="4"/>
      <c r="AD19" s="4"/>
      <c r="AE19" s="4"/>
      <c r="AF19" s="4"/>
      <c r="AG19" s="4"/>
      <c r="AH19" s="4"/>
      <c r="AI19" s="4"/>
      <c r="AJ19" s="76" t="str">
        <f>IF(E19="○",IF(COUNTA(E$13:E19)=1,"",",")&amp;D19,"")</f>
        <v>,birthday</v>
      </c>
      <c r="AK19" s="4"/>
      <c r="AL19" s="4"/>
      <c r="AM19" s="4"/>
      <c r="AN19" s="4"/>
      <c r="AO19" s="4"/>
      <c r="AP19" s="4"/>
      <c r="AQ19" s="4"/>
      <c r="AR19" s="4"/>
      <c r="AS19" s="76" t="str">
        <f>"COMMENT ON COLUMN "&amp;エンティティ一覧!$O$2&amp;"."&amp;D$8&amp;"."&amp;D19&amp;" IS '"&amp;C19&amp;"';"</f>
        <v>COMMENT ON COLUMN milscm_2023_010.azn_202310_backup_mart_2riyo_patient_id_rcp.birthday IS '生年月日';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ENT_01_A1-10</v>
      </c>
      <c r="E6" s="272"/>
      <c r="F6" s="272"/>
      <c r="G6" s="272"/>
      <c r="H6" s="272"/>
      <c r="I6" s="272"/>
      <c r="J6" s="273"/>
    </row>
    <row r="7" spans="1:45">
      <c r="B7" s="261" t="s">
        <v>115</v>
      </c>
      <c r="C7" s="262"/>
      <c r="D7" s="263" t="s">
        <v>1836</v>
      </c>
      <c r="E7" s="264"/>
      <c r="F7" s="264"/>
      <c r="G7" s="264"/>
      <c r="H7" s="264"/>
      <c r="I7" s="264"/>
      <c r="J7" s="265"/>
    </row>
    <row r="8" spans="1:45">
      <c r="B8" s="261" t="s">
        <v>116</v>
      </c>
      <c r="C8" s="262"/>
      <c r="D8" s="263" t="str">
        <f>エンティティ一覧!AE2&amp;"_"&amp;D5&amp;"_mart_2riyo_patient_id_mml"</f>
        <v>azn_202310_backup_mart_2riyo_patient_id_mml</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二次利用DB登録患者データ_MMLテーブルから組入れ条件の第一条件で絞り込んだ結果を格納するテーブル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milscm_2023_010.azn_202310_backup_mart_2riyo_patient_id_mml;</v>
      </c>
      <c r="O10" s="76"/>
      <c r="P10" s="76"/>
      <c r="Q10" s="76"/>
      <c r="R10" s="76"/>
      <c r="S10" s="76"/>
      <c r="T10" s="76"/>
      <c r="AJ10" s="76" t="str">
        <f>"ALTER TABLE ONLY "&amp;エンティティ一覧!$O$2&amp;"."&amp;D$8</f>
        <v>ALTER TABLE ONLY milscm_2023_010.azn_202310_backup_mart_2riyo_patient_id_mml</v>
      </c>
      <c r="AS10" s="76" t="str">
        <f>"ALTER TABLE "&amp;エンティティ一覧!$O$2&amp;"."&amp;D$8&amp;" OWNER TO pgmisgrp1;"</f>
        <v>ALTER TABLE milscm_2023_010.azn_202310_backup_mart_2riyo_patient_id_mml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milscm_2023_010.azn_202310_backup_mart_2riyo_patient_id_mml</v>
      </c>
      <c r="O11" s="76"/>
      <c r="P11" s="76"/>
      <c r="Q11" s="76"/>
      <c r="R11" s="76"/>
      <c r="S11" s="76"/>
      <c r="T11" s="76"/>
      <c r="AJ11" s="76" t="str">
        <f>"ADD CONSTRAINT "&amp;D$8&amp;"_pkey PRIMARY KEY"</f>
        <v>ADD CONSTRAINT azn_202310_backup_mart_2riyo_patient_id_mml_pkey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milscm_2023_010.azn_202310_backup_mart_2riyo_patient_id_mml IS 'バックアップ_二次利用DB登録患者データ_MML';</v>
      </c>
    </row>
    <row r="13" spans="1:45" s="25" customFormat="1">
      <c r="A13" s="4"/>
      <c r="B13" s="21">
        <f>ROW()-12</f>
        <v>1</v>
      </c>
      <c r="C13" s="6" t="s">
        <v>201</v>
      </c>
      <c r="D13" s="6" t="s">
        <v>202</v>
      </c>
      <c r="E13" s="8" t="s">
        <v>127</v>
      </c>
      <c r="F13" s="8" t="s">
        <v>203</v>
      </c>
      <c r="G13" s="7" t="str">
        <f>IF(F13="フラグ","boolean",IF(F13="文字列","text",IF(F13="整数","integer",IF(F13="実数","numeric",""))))</f>
        <v>integer</v>
      </c>
      <c r="H13" s="9"/>
      <c r="I13" s="10" t="s">
        <v>127</v>
      </c>
      <c r="J13" s="11"/>
      <c r="M13" s="4"/>
      <c r="N13" s="76"/>
      <c r="O13" s="76"/>
      <c r="P13" s="76" t="str">
        <f>IF(B13&lt;&gt;1,","&amp;D13,D13)</f>
        <v>mil_karute_id</v>
      </c>
      <c r="Q13" s="76" t="str">
        <f t="shared" ref="Q13:Q19" si="0">UPPER(G13)</f>
        <v>INTEGER</v>
      </c>
      <c r="R13" s="76" t="str">
        <f t="shared" ref="R13:R19" si="1">IF(H13&lt;&gt;"","default "&amp;IF(G13="text","'"&amp;H13&amp;"'",H13),"")</f>
        <v/>
      </c>
      <c r="S13" s="76" t="str">
        <f>IF(I13="○","NOT NULL","")</f>
        <v>NOT NULL</v>
      </c>
      <c r="T13" s="76" t="str">
        <f>"-- "&amp;C13</f>
        <v>-- 千年カルテID</v>
      </c>
      <c r="U13" s="4"/>
      <c r="AA13" s="4"/>
      <c r="AB13" s="4"/>
      <c r="AC13" s="4"/>
      <c r="AD13" s="4"/>
      <c r="AE13" s="4"/>
      <c r="AF13" s="4"/>
      <c r="AG13" s="4"/>
      <c r="AH13" s="4"/>
      <c r="AI13" s="4"/>
      <c r="AJ13" s="76" t="str">
        <f>IF(E13="○",IF(COUNTA(E$13:E13)=1,"",",")&amp;D13,"")</f>
        <v>mil_karute_id</v>
      </c>
      <c r="AK13" s="4"/>
      <c r="AL13" s="4"/>
      <c r="AM13" s="4"/>
      <c r="AN13" s="4"/>
      <c r="AO13" s="4"/>
      <c r="AP13" s="4"/>
      <c r="AQ13" s="4"/>
      <c r="AR13" s="4"/>
      <c r="AS13" s="76" t="str">
        <f>"COMMENT ON COLUMN "&amp;エンティティ一覧!$O$2&amp;"."&amp;D$8&amp;"."&amp;D13&amp;" IS '"&amp;C13&amp;"';"</f>
        <v>COMMENT ON COLUMN milscm_2023_010.azn_202310_backup_mart_2riyo_patient_id_mml.mil_karute_id IS '千年カルテID';</v>
      </c>
    </row>
    <row r="14" spans="1:45" s="25" customFormat="1">
      <c r="A14" s="4"/>
      <c r="B14" s="21">
        <f t="shared" ref="B14:B18" si="2">ROW()-12</f>
        <v>2</v>
      </c>
      <c r="C14" s="6" t="s">
        <v>137</v>
      </c>
      <c r="D14" s="6" t="s">
        <v>128</v>
      </c>
      <c r="E14" s="8" t="s">
        <v>127</v>
      </c>
      <c r="F14" s="7" t="s">
        <v>735</v>
      </c>
      <c r="G14" s="7" t="str">
        <f t="shared" ref="G14:G19" si="3">IF(F14="フラグ","boolean",IF(F14="文字列","text",IF(F14="整数","integer",IF(F14="実数","numeric",""))))</f>
        <v>text</v>
      </c>
      <c r="H14" s="26"/>
      <c r="I14" s="10" t="s">
        <v>127</v>
      </c>
      <c r="J14" s="11"/>
      <c r="M14" s="4"/>
      <c r="N14" s="76"/>
      <c r="O14" s="76"/>
      <c r="P14" s="76" t="str">
        <f t="shared" ref="P14:P19" si="4">IF(B14&lt;&gt;1,","&amp;D14,D14)</f>
        <v>,facility_id</v>
      </c>
      <c r="Q14" s="76" t="str">
        <f t="shared" si="0"/>
        <v>TEXT</v>
      </c>
      <c r="R14" s="76" t="str">
        <f t="shared" si="1"/>
        <v/>
      </c>
      <c r="S14" s="76" t="str">
        <f t="shared" ref="S14:S17" si="5">IF(I14="○","NOT NULL","")</f>
        <v>NOT NULL</v>
      </c>
      <c r="T14" s="76" t="str">
        <f t="shared" ref="T14:T17" si="6">"--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milscm_2023_010.azn_202310_backup_mart_2riyo_patient_id_mml.facility_id IS '施設ID';</v>
      </c>
    </row>
    <row r="15" spans="1:45" s="25" customFormat="1">
      <c r="A15" s="4"/>
      <c r="B15" s="21">
        <f t="shared" si="2"/>
        <v>3</v>
      </c>
      <c r="C15" s="6" t="s">
        <v>1820</v>
      </c>
      <c r="D15" s="6" t="s">
        <v>1821</v>
      </c>
      <c r="E15" s="8" t="s">
        <v>127</v>
      </c>
      <c r="F15" s="7" t="s">
        <v>1735</v>
      </c>
      <c r="G15" s="7" t="str">
        <f t="shared" si="3"/>
        <v>text</v>
      </c>
      <c r="H15" s="26"/>
      <c r="I15" s="10" t="s">
        <v>127</v>
      </c>
      <c r="J15" s="11"/>
      <c r="M15" s="4"/>
      <c r="N15" s="76"/>
      <c r="O15" s="76"/>
      <c r="P15" s="76" t="str">
        <f t="shared" si="4"/>
        <v>,patient_id</v>
      </c>
      <c r="Q15" s="76" t="str">
        <f t="shared" si="0"/>
        <v>TEXT</v>
      </c>
      <c r="R15" s="76" t="str">
        <f t="shared" si="1"/>
        <v/>
      </c>
      <c r="S15" s="76" t="str">
        <f t="shared" si="5"/>
        <v>NOT NULL</v>
      </c>
      <c r="T15" s="76" t="str">
        <f t="shared" si="6"/>
        <v>-- 患者ID</v>
      </c>
      <c r="U15" s="4"/>
      <c r="AA15" s="4"/>
      <c r="AB15" s="4"/>
      <c r="AC15" s="4"/>
      <c r="AD15" s="4"/>
      <c r="AE15" s="4"/>
      <c r="AF15" s="4"/>
      <c r="AG15" s="4"/>
      <c r="AH15" s="4"/>
      <c r="AI15" s="4"/>
      <c r="AJ15" s="76" t="str">
        <f>IF(E15="○",IF(COUNTA(E$13:E15)=1,"",",")&amp;D15,"")</f>
        <v>,patient_id</v>
      </c>
      <c r="AK15" s="4"/>
      <c r="AL15" s="4"/>
      <c r="AM15" s="4"/>
      <c r="AN15" s="4"/>
      <c r="AO15" s="4"/>
      <c r="AP15" s="4"/>
      <c r="AQ15" s="4"/>
      <c r="AR15" s="4"/>
      <c r="AS15" s="76" t="str">
        <f>"COMMENT ON COLUMN "&amp;エンティティ一覧!$O$2&amp;"."&amp;D$8&amp;"."&amp;D15&amp;" IS '"&amp;C15&amp;"';"</f>
        <v>COMMENT ON COLUMN milscm_2023_010.azn_202310_backup_mart_2riyo_patient_id_mml.patient_id IS '患者ID';</v>
      </c>
    </row>
    <row r="16" spans="1:45" s="25" customFormat="1">
      <c r="A16" s="4"/>
      <c r="B16" s="21">
        <f t="shared" si="2"/>
        <v>4</v>
      </c>
      <c r="C16" s="6" t="s">
        <v>1829</v>
      </c>
      <c r="D16" s="6" t="s">
        <v>943</v>
      </c>
      <c r="E16" s="8" t="s">
        <v>127</v>
      </c>
      <c r="F16" s="7" t="s">
        <v>1735</v>
      </c>
      <c r="G16" s="7" t="str">
        <f t="shared" si="3"/>
        <v>text</v>
      </c>
      <c r="H16" s="26"/>
      <c r="I16" s="10" t="s">
        <v>127</v>
      </c>
      <c r="J16" s="11" t="s">
        <v>1837</v>
      </c>
      <c r="M16" s="4"/>
      <c r="N16" s="76"/>
      <c r="O16" s="76"/>
      <c r="P16" s="76" t="str">
        <f t="shared" si="4"/>
        <v>,sex_kubun</v>
      </c>
      <c r="Q16" s="76" t="str">
        <f t="shared" si="0"/>
        <v>TEXT</v>
      </c>
      <c r="R16" s="76" t="str">
        <f t="shared" si="1"/>
        <v/>
      </c>
      <c r="S16" s="76" t="str">
        <f t="shared" si="5"/>
        <v>NOT NULL</v>
      </c>
      <c r="T16" s="76" t="str">
        <f t="shared" si="6"/>
        <v>-- 男女区分</v>
      </c>
      <c r="U16" s="4"/>
      <c r="AA16" s="4"/>
      <c r="AB16" s="4"/>
      <c r="AC16" s="4"/>
      <c r="AD16" s="4"/>
      <c r="AE16" s="4"/>
      <c r="AF16" s="4"/>
      <c r="AG16" s="4"/>
      <c r="AH16" s="4"/>
      <c r="AI16" s="4"/>
      <c r="AJ16" s="76" t="str">
        <f>IF(E16="○",IF(COUNTA(E$13:E16)=1,"",",")&amp;D16,"")</f>
        <v>,sex_kubun</v>
      </c>
      <c r="AK16" s="4"/>
      <c r="AL16" s="4"/>
      <c r="AM16" s="4"/>
      <c r="AN16" s="4"/>
      <c r="AO16" s="4"/>
      <c r="AP16" s="4"/>
      <c r="AQ16" s="4"/>
      <c r="AR16" s="4"/>
      <c r="AS16" s="76" t="str">
        <f>"COMMENT ON COLUMN "&amp;エンティティ一覧!$O$2&amp;"."&amp;D$8&amp;"."&amp;D16&amp;" IS '"&amp;C16&amp;"';"</f>
        <v>COMMENT ON COLUMN milscm_2023_010.azn_202310_backup_mart_2riyo_patient_id_mml.sex_kubun IS '男女区分';</v>
      </c>
    </row>
    <row r="17" spans="1:52" s="25" customFormat="1" ht="56.25">
      <c r="A17" s="4"/>
      <c r="B17" s="21">
        <f t="shared" si="2"/>
        <v>5</v>
      </c>
      <c r="C17" s="6" t="s">
        <v>1830</v>
      </c>
      <c r="D17" s="6" t="s">
        <v>321</v>
      </c>
      <c r="E17" s="8" t="s">
        <v>127</v>
      </c>
      <c r="F17" s="7" t="s">
        <v>1735</v>
      </c>
      <c r="G17" s="7" t="str">
        <f t="shared" si="3"/>
        <v>text</v>
      </c>
      <c r="H17" s="26"/>
      <c r="I17" s="10" t="s">
        <v>127</v>
      </c>
      <c r="J17" s="11" t="s">
        <v>1835</v>
      </c>
      <c r="M17" s="4"/>
      <c r="N17" s="76"/>
      <c r="O17" s="76"/>
      <c r="P17" s="76" t="str">
        <f t="shared" si="4"/>
        <v>,birthday</v>
      </c>
      <c r="Q17" s="76" t="str">
        <f t="shared" si="0"/>
        <v>TEXT</v>
      </c>
      <c r="R17" s="76" t="str">
        <f t="shared" si="1"/>
        <v/>
      </c>
      <c r="S17" s="76" t="str">
        <f t="shared" si="5"/>
        <v>NOT NULL</v>
      </c>
      <c r="T17" s="76" t="str">
        <f t="shared" si="6"/>
        <v>-- 生年月日</v>
      </c>
      <c r="U17" s="4"/>
      <c r="AA17" s="4"/>
      <c r="AB17" s="4"/>
      <c r="AC17" s="4"/>
      <c r="AD17" s="4"/>
      <c r="AE17" s="4"/>
      <c r="AF17" s="4"/>
      <c r="AG17" s="4"/>
      <c r="AH17" s="4"/>
      <c r="AI17" s="4"/>
      <c r="AJ17" s="76" t="str">
        <f>IF(E17="○",IF(COUNTA(E$13:E17)=1,"",",")&amp;D17,"")</f>
        <v>,birthday</v>
      </c>
      <c r="AK17" s="4"/>
      <c r="AL17" s="4"/>
      <c r="AM17" s="4"/>
      <c r="AN17" s="4"/>
      <c r="AO17" s="4"/>
      <c r="AP17" s="4"/>
      <c r="AQ17" s="4"/>
      <c r="AR17" s="4"/>
      <c r="AS17" s="76" t="str">
        <f>"COMMENT ON COLUMN "&amp;エンティティ一覧!$O$2&amp;"."&amp;D$8&amp;"."&amp;D17&amp;" IS '"&amp;C17&amp;"';"</f>
        <v>COMMENT ON COLUMN milscm_2023_010.azn_202310_backup_mart_2riyo_patient_id_mml.birthday IS '生年月日';</v>
      </c>
    </row>
    <row r="18" spans="1:52" s="25" customFormat="1" ht="56.25">
      <c r="A18" s="4"/>
      <c r="B18" s="21">
        <f t="shared" si="2"/>
        <v>6</v>
      </c>
      <c r="C18" s="6" t="s">
        <v>1276</v>
      </c>
      <c r="D18" s="6" t="s">
        <v>1277</v>
      </c>
      <c r="E18" s="8" t="s">
        <v>127</v>
      </c>
      <c r="F18" s="7" t="s">
        <v>316</v>
      </c>
      <c r="G18" s="7" t="str">
        <f t="shared" si="3"/>
        <v>text</v>
      </c>
      <c r="H18" s="26"/>
      <c r="I18" s="10" t="s">
        <v>127</v>
      </c>
      <c r="J18" s="11" t="s">
        <v>1838</v>
      </c>
      <c r="M18" s="4"/>
      <c r="N18" s="76"/>
      <c r="O18" s="76"/>
      <c r="P18" s="76" t="str">
        <f t="shared" si="4"/>
        <v>,death_flag</v>
      </c>
      <c r="Q18" s="76" t="str">
        <f t="shared" si="0"/>
        <v>TEXT</v>
      </c>
      <c r="R18" s="76" t="str">
        <f t="shared" si="1"/>
        <v/>
      </c>
      <c r="S18" s="76" t="str">
        <f>IF(I18="○","NOT NULL","")</f>
        <v>NOT NULL</v>
      </c>
      <c r="T18" s="76" t="str">
        <f>"-- "&amp;C18</f>
        <v>-- 死亡フラグ</v>
      </c>
      <c r="U18" s="4"/>
      <c r="AA18" s="4"/>
      <c r="AB18" s="4"/>
      <c r="AC18" s="4"/>
      <c r="AD18" s="4"/>
      <c r="AE18" s="4"/>
      <c r="AF18" s="4"/>
      <c r="AG18" s="4"/>
      <c r="AH18" s="4"/>
      <c r="AI18" s="4"/>
      <c r="AJ18" s="76" t="str">
        <f>IF(E18="○",IF(COUNTA(E$13:E18)=1,"",",")&amp;D18,"")</f>
        <v>,death_flag</v>
      </c>
      <c r="AK18" s="4"/>
      <c r="AL18" s="4"/>
      <c r="AM18" s="4"/>
      <c r="AN18" s="4"/>
      <c r="AO18" s="4"/>
      <c r="AP18" s="4"/>
      <c r="AQ18" s="4"/>
      <c r="AR18" s="4"/>
      <c r="AS18" s="76" t="str">
        <f>"COMMENT ON COLUMN "&amp;エンティティ一覧!$O$2&amp;"."&amp;D$8&amp;"."&amp;D18&amp;" IS '"&amp;C18&amp;"';"</f>
        <v>COMMENT ON COLUMN milscm_2023_010.azn_202310_backup_mart_2riyo_patient_id_mml.death_flag IS '死亡フラグ';</v>
      </c>
    </row>
    <row r="19" spans="1:52" s="25" customFormat="1" ht="57" thickBot="1">
      <c r="A19" s="4"/>
      <c r="B19" s="27">
        <f>ROW()-12</f>
        <v>7</v>
      </c>
      <c r="C19" s="57" t="s">
        <v>1278</v>
      </c>
      <c r="D19" s="57" t="s">
        <v>1279</v>
      </c>
      <c r="E19" s="56" t="s">
        <v>127</v>
      </c>
      <c r="F19" s="56" t="s">
        <v>316</v>
      </c>
      <c r="G19" s="56" t="str">
        <f t="shared" si="3"/>
        <v>text</v>
      </c>
      <c r="H19" s="59"/>
      <c r="I19" s="60" t="s">
        <v>127</v>
      </c>
      <c r="J19" s="63" t="s">
        <v>1839</v>
      </c>
      <c r="N19" s="76"/>
      <c r="O19" s="76"/>
      <c r="P19" s="76" t="str">
        <f t="shared" si="4"/>
        <v>,death_date</v>
      </c>
      <c r="Q19" s="76" t="str">
        <f t="shared" si="0"/>
        <v>TEXT</v>
      </c>
      <c r="R19" s="76" t="str">
        <f t="shared" si="1"/>
        <v/>
      </c>
      <c r="S19" s="76" t="str">
        <f t="shared" ref="S19" si="7">IF(I19="○","NOT NULL","")</f>
        <v>NOT NULL</v>
      </c>
      <c r="T19" s="76" t="str">
        <f t="shared" ref="T19" si="8">"-- "&amp;C19</f>
        <v>-- 死亡日時</v>
      </c>
      <c r="U19" s="4"/>
      <c r="AA19" s="4"/>
      <c r="AB19" s="4"/>
      <c r="AC19" s="4"/>
      <c r="AD19" s="4"/>
      <c r="AE19" s="4"/>
      <c r="AF19" s="4"/>
      <c r="AG19" s="4"/>
      <c r="AH19" s="4"/>
      <c r="AI19" s="4"/>
      <c r="AJ19" s="76" t="str">
        <f>IF(E19="○",IF(COUNTA(E$13:E19)=1,"",",")&amp;D19,"")</f>
        <v>,death_date</v>
      </c>
      <c r="AK19" s="4"/>
      <c r="AL19" s="4"/>
      <c r="AM19" s="4"/>
      <c r="AN19" s="4"/>
      <c r="AO19" s="4"/>
      <c r="AP19" s="4"/>
      <c r="AQ19" s="4"/>
      <c r="AR19" s="4"/>
      <c r="AS19" s="76" t="str">
        <f>"COMMENT ON COLUMN "&amp;エンティティ一覧!$O$2&amp;"."&amp;D$8&amp;"."&amp;D19&amp;" IS '"&amp;C19&amp;"';"</f>
        <v>COMMENT ON COLUMN milscm_2023_010.azn_202310_backup_mart_2riyo_patient_id_mml.death_date IS '死亡日時';</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ENT_01_A1-11</v>
      </c>
      <c r="E6" s="272"/>
      <c r="F6" s="272"/>
      <c r="G6" s="272"/>
      <c r="H6" s="272"/>
      <c r="I6" s="272"/>
      <c r="J6" s="273"/>
    </row>
    <row r="7" spans="1:45">
      <c r="B7" s="261" t="s">
        <v>115</v>
      </c>
      <c r="C7" s="262"/>
      <c r="D7" s="263" t="s">
        <v>1840</v>
      </c>
      <c r="E7" s="264"/>
      <c r="F7" s="264"/>
      <c r="G7" s="264"/>
      <c r="H7" s="264"/>
      <c r="I7" s="264"/>
      <c r="J7" s="265"/>
    </row>
    <row r="8" spans="1:45">
      <c r="B8" s="261" t="s">
        <v>116</v>
      </c>
      <c r="C8" s="262"/>
      <c r="D8" s="263" t="str">
        <f>エンティティ一覧!AE2&amp;"_"&amp;D5&amp;"_mart_2riyo_patient_himoduke"</f>
        <v>azn_202310_backup_mart_2riyo_patient_himoduke</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二次利用DB登録患者紐付けデータテーブルから組入れ条件の第一条件で絞り込んだ結果を格納するテーブル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milscm_2023_010.azn_202310_backup_mart_2riyo_patient_himoduke;</v>
      </c>
      <c r="O10" s="76"/>
      <c r="P10" s="76"/>
      <c r="Q10" s="76"/>
      <c r="R10" s="76"/>
      <c r="S10" s="76"/>
      <c r="T10" s="76"/>
      <c r="AJ10" s="76" t="str">
        <f>"ALTER TABLE ONLY "&amp;エンティティ一覧!$O$2&amp;"."&amp;D$8</f>
        <v>ALTER TABLE ONLY milscm_2023_010.azn_202310_backup_mart_2riyo_patient_himoduke</v>
      </c>
      <c r="AS10" s="76" t="str">
        <f>"ALTER TABLE "&amp;エンティティ一覧!$O$2&amp;"."&amp;D$8&amp;" OWNER TO pgmisgrp1;"</f>
        <v>ALTER TABLE milscm_2023_010.azn_202310_backup_mart_2riyo_patient_himoduke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milscm_2023_010.azn_202310_backup_mart_2riyo_patient_himoduke</v>
      </c>
      <c r="O11" s="76"/>
      <c r="P11" s="76"/>
      <c r="Q11" s="76"/>
      <c r="R11" s="76"/>
      <c r="S11" s="76"/>
      <c r="T11" s="76"/>
      <c r="AJ11" s="76" t="str">
        <f>"ADD CONSTRAINT "&amp;D$8&amp;"_pkey PRIMARY KEY"</f>
        <v>ADD CONSTRAINT azn_202310_backup_mart_2riyo_patient_himoduke_pkey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milscm_2023_010.azn_202310_backup_mart_2riyo_patient_himoduke IS 'バックアップ_二次利用DB登録患者紐付けデータ';</v>
      </c>
    </row>
    <row r="13" spans="1:45" s="25" customFormat="1">
      <c r="A13" s="4"/>
      <c r="B13" s="21">
        <f>ROW()-12</f>
        <v>1</v>
      </c>
      <c r="C13" s="6" t="s">
        <v>1841</v>
      </c>
      <c r="D13" s="6" t="s">
        <v>128</v>
      </c>
      <c r="E13" s="8" t="s">
        <v>127</v>
      </c>
      <c r="F13" s="8" t="s">
        <v>1826</v>
      </c>
      <c r="G13" s="7" t="str">
        <f>IF(F13="フラグ","boolean",IF(F13="文字列","text",IF(F13="整数","integer",IF(F13="実数","numeric",""))))</f>
        <v>text</v>
      </c>
      <c r="H13" s="9"/>
      <c r="I13" s="10" t="s">
        <v>127</v>
      </c>
      <c r="J13" s="11"/>
      <c r="M13" s="4"/>
      <c r="N13" s="76"/>
      <c r="O13" s="76"/>
      <c r="P13" s="76" t="str">
        <f>IF(B13&lt;&gt;1,","&amp;D13,D13)</f>
        <v>facility_id</v>
      </c>
      <c r="Q13" s="76" t="str">
        <f t="shared" ref="Q13:Q16" si="0">UPPER(G13)</f>
        <v>TEXT</v>
      </c>
      <c r="R13" s="76" t="str">
        <f t="shared" ref="R13:R16"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milscm_2023_010.azn_202310_backup_mart_2riyo_patient_himoduke.facility_id IS '施設ID';</v>
      </c>
    </row>
    <row r="14" spans="1:45" s="25" customFormat="1">
      <c r="A14" s="4"/>
      <c r="B14" s="21">
        <f t="shared" ref="B14:B15" si="2">ROW()-12</f>
        <v>2</v>
      </c>
      <c r="C14" s="6" t="s">
        <v>1842</v>
      </c>
      <c r="D14" s="6" t="s">
        <v>1843</v>
      </c>
      <c r="E14" s="8" t="s">
        <v>127</v>
      </c>
      <c r="F14" s="7" t="s">
        <v>1826</v>
      </c>
      <c r="G14" s="7" t="str">
        <f t="shared" ref="G14:G16" si="3">IF(F14="フラグ","boolean",IF(F14="文字列","text",IF(F14="整数","integer",IF(F14="実数","numeric",""))))</f>
        <v>text</v>
      </c>
      <c r="H14" s="26"/>
      <c r="I14" s="10" t="s">
        <v>127</v>
      </c>
      <c r="J14" s="11" t="s">
        <v>1844</v>
      </c>
      <c r="M14" s="4"/>
      <c r="N14" s="76"/>
      <c r="O14" s="76"/>
      <c r="P14" s="76" t="str">
        <f t="shared" ref="P14:P16" si="4">IF(B14&lt;&gt;1,","&amp;D14,D14)</f>
        <v>,himoduke_id</v>
      </c>
      <c r="Q14" s="76" t="str">
        <f t="shared" si="0"/>
        <v>TEXT</v>
      </c>
      <c r="R14" s="76" t="str">
        <f t="shared" si="1"/>
        <v/>
      </c>
      <c r="S14" s="76" t="str">
        <f t="shared" ref="S14:S15" si="5">IF(I14="○","NOT NULL","")</f>
        <v>NOT NULL</v>
      </c>
      <c r="T14" s="76" t="str">
        <f t="shared" ref="T14:T15" si="6">"-- "&amp;C14</f>
        <v>-- 紐付けID</v>
      </c>
      <c r="U14" s="4"/>
      <c r="AA14" s="4"/>
      <c r="AB14" s="4"/>
      <c r="AC14" s="4"/>
      <c r="AD14" s="4"/>
      <c r="AE14" s="4"/>
      <c r="AF14" s="4"/>
      <c r="AG14" s="4"/>
      <c r="AH14" s="4"/>
      <c r="AI14" s="4"/>
      <c r="AJ14" s="76" t="str">
        <f>IF(E14="○",IF(COUNTA(E$13:E14)=1,"",",")&amp;D14,"")</f>
        <v>,himoduke_id</v>
      </c>
      <c r="AK14" s="4"/>
      <c r="AL14" s="4"/>
      <c r="AM14" s="4"/>
      <c r="AN14" s="4"/>
      <c r="AO14" s="4"/>
      <c r="AP14" s="4"/>
      <c r="AQ14" s="4"/>
      <c r="AR14" s="4"/>
      <c r="AS14" s="76" t="str">
        <f>"COMMENT ON COLUMN "&amp;エンティティ一覧!$O$2&amp;"."&amp;D$8&amp;"."&amp;D14&amp;" IS '"&amp;C14&amp;"';"</f>
        <v>COMMENT ON COLUMN milscm_2023_010.azn_202310_backup_mart_2riyo_patient_himoduke.himoduke_id IS '紐付けID';</v>
      </c>
    </row>
    <row r="15" spans="1:45" s="25" customFormat="1">
      <c r="A15" s="4"/>
      <c r="B15" s="21">
        <f t="shared" si="2"/>
        <v>3</v>
      </c>
      <c r="C15" s="6" t="s">
        <v>1818</v>
      </c>
      <c r="D15" s="6" t="s">
        <v>207</v>
      </c>
      <c r="E15" s="8" t="s">
        <v>127</v>
      </c>
      <c r="F15" s="7" t="s">
        <v>1819</v>
      </c>
      <c r="G15" s="7" t="str">
        <f t="shared" si="3"/>
        <v>text</v>
      </c>
      <c r="H15" s="26"/>
      <c r="I15" s="10" t="s">
        <v>127</v>
      </c>
      <c r="J15" s="11" t="s">
        <v>1822</v>
      </c>
      <c r="M15" s="4"/>
      <c r="N15" s="76"/>
      <c r="O15" s="76"/>
      <c r="P15" s="76" t="str">
        <f t="shared" si="4"/>
        <v>,data_type</v>
      </c>
      <c r="Q15" s="76" t="str">
        <f t="shared" si="0"/>
        <v>TEXT</v>
      </c>
      <c r="R15" s="76" t="str">
        <f t="shared" si="1"/>
        <v/>
      </c>
      <c r="S15" s="76" t="str">
        <f t="shared" si="5"/>
        <v>NOT NULL</v>
      </c>
      <c r="T15" s="76" t="str">
        <f t="shared" si="6"/>
        <v>-- データ種別</v>
      </c>
      <c r="U15" s="4"/>
      <c r="AA15" s="4"/>
      <c r="AB15" s="4"/>
      <c r="AC15" s="4"/>
      <c r="AD15" s="4"/>
      <c r="AE15" s="4"/>
      <c r="AF15" s="4"/>
      <c r="AG15" s="4"/>
      <c r="AH15" s="4"/>
      <c r="AI15" s="4"/>
      <c r="AJ15" s="76" t="str">
        <f>IF(E15="○",IF(COUNTA(E$13:E15)=1,"",",")&amp;D15,"")</f>
        <v>,data_type</v>
      </c>
      <c r="AK15" s="4"/>
      <c r="AL15" s="4"/>
      <c r="AM15" s="4"/>
      <c r="AN15" s="4"/>
      <c r="AO15" s="4"/>
      <c r="AP15" s="4"/>
      <c r="AQ15" s="4"/>
      <c r="AR15" s="4"/>
      <c r="AS15" s="76" t="str">
        <f>"COMMENT ON COLUMN "&amp;エンティティ一覧!$O$2&amp;"."&amp;D$8&amp;"."&amp;D15&amp;" IS '"&amp;C15&amp;"';"</f>
        <v>COMMENT ON COLUMN milscm_2023_010.azn_202310_backup_mart_2riyo_patient_himoduke.data_type IS 'データ種別';</v>
      </c>
    </row>
    <row r="16" spans="1:45" s="25" customFormat="1" ht="19.5" thickBot="1">
      <c r="A16" s="4"/>
      <c r="B16" s="27">
        <f>ROW()-12</f>
        <v>4</v>
      </c>
      <c r="C16" s="57" t="s">
        <v>1820</v>
      </c>
      <c r="D16" s="57" t="s">
        <v>1821</v>
      </c>
      <c r="E16" s="56" t="s">
        <v>127</v>
      </c>
      <c r="F16" s="56" t="s">
        <v>1735</v>
      </c>
      <c r="G16" s="56" t="str">
        <f t="shared" si="3"/>
        <v>text</v>
      </c>
      <c r="H16" s="59"/>
      <c r="I16" s="60" t="s">
        <v>127</v>
      </c>
      <c r="J16" s="63"/>
      <c r="N16" s="76"/>
      <c r="O16" s="76"/>
      <c r="P16" s="76" t="str">
        <f t="shared" si="4"/>
        <v>,patient_id</v>
      </c>
      <c r="Q16" s="76" t="str">
        <f t="shared" si="0"/>
        <v>TEXT</v>
      </c>
      <c r="R16" s="76" t="str">
        <f t="shared" si="1"/>
        <v/>
      </c>
      <c r="S16" s="76" t="str">
        <f t="shared" ref="S16" si="7">IF(I16="○","NOT NULL","")</f>
        <v>NOT NULL</v>
      </c>
      <c r="T16" s="76" t="str">
        <f t="shared" ref="T16" si="8">"-- "&amp;C16</f>
        <v>-- 患者ID</v>
      </c>
      <c r="U16" s="4"/>
      <c r="AA16" s="4"/>
      <c r="AB16" s="4"/>
      <c r="AC16" s="4"/>
      <c r="AD16" s="4"/>
      <c r="AE16" s="4"/>
      <c r="AF16" s="4"/>
      <c r="AG16" s="4"/>
      <c r="AH16" s="4"/>
      <c r="AI16" s="4"/>
      <c r="AJ16" s="76" t="str">
        <f>IF(E16="○",IF(COUNTA(E$13:E16)=1,"",",")&amp;D16,"")</f>
        <v>,patient_id</v>
      </c>
      <c r="AK16" s="4"/>
      <c r="AL16" s="4"/>
      <c r="AM16" s="4"/>
      <c r="AN16" s="4"/>
      <c r="AO16" s="4"/>
      <c r="AP16" s="4"/>
      <c r="AQ16" s="4"/>
      <c r="AR16" s="4"/>
      <c r="AS16" s="76" t="str">
        <f>"COMMENT ON COLUMN "&amp;エンティティ一覧!$O$2&amp;"."&amp;D$8&amp;"."&amp;D16&amp;" IS '"&amp;C16&amp;"';"</f>
        <v>COMMENT ON COLUMN milscm_2023_010.azn_202310_backup_mart_2riyo_patient_himoduke.patient_id IS '患者ID';</v>
      </c>
    </row>
    <row r="17" spans="12:52">
      <c r="L17" s="25"/>
      <c r="M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ENT_01_A1-13</v>
      </c>
      <c r="E6" s="272"/>
      <c r="F6" s="272"/>
      <c r="G6" s="272"/>
      <c r="H6" s="272"/>
      <c r="I6" s="272"/>
      <c r="J6" s="273"/>
    </row>
    <row r="7" spans="1:45">
      <c r="B7" s="261" t="s">
        <v>115</v>
      </c>
      <c r="C7" s="262"/>
      <c r="D7" s="263" t="s">
        <v>1846</v>
      </c>
      <c r="E7" s="264"/>
      <c r="F7" s="264"/>
      <c r="G7" s="264"/>
      <c r="H7" s="264"/>
      <c r="I7" s="264"/>
      <c r="J7" s="265"/>
    </row>
    <row r="8" spans="1:45">
      <c r="B8" s="261" t="s">
        <v>116</v>
      </c>
      <c r="C8" s="262"/>
      <c r="D8" s="263" t="str">
        <f>エンティティ一覧!AE2&amp;"_"&amp;D5&amp;"_mart_error_patient"</f>
        <v>azn_202310_backup_mart_error_patient</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エラー患者データテーブルから組入れ条件の第一条件で絞り込んだ結果を格納するテーブル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milscm_2023_010.azn_202310_backup_mart_error_patient;</v>
      </c>
      <c r="O10" s="76"/>
      <c r="P10" s="76"/>
      <c r="Q10" s="76"/>
      <c r="R10" s="76"/>
      <c r="S10" s="76"/>
      <c r="T10" s="76"/>
      <c r="AJ10" s="76" t="str">
        <f>"ALTER TABLE ONLY "&amp;エンティティ一覧!$O$2&amp;"."&amp;D$8</f>
        <v>ALTER TABLE ONLY milscm_2023_010.azn_202310_backup_mart_error_patient</v>
      </c>
      <c r="AS10" s="76" t="str">
        <f>"ALTER TABLE "&amp;エンティティ一覧!$O$2&amp;"."&amp;D$8&amp;" OWNER TO pgmisgrp1;"</f>
        <v>ALTER TABLE milscm_2023_010.azn_202310_backup_mart_error_patient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milscm_2023_010.azn_202310_backup_mart_error_patient</v>
      </c>
      <c r="O11" s="76"/>
      <c r="P11" s="76"/>
      <c r="Q11" s="76"/>
      <c r="R11" s="76"/>
      <c r="S11" s="76"/>
      <c r="T11" s="76"/>
      <c r="AJ11" s="76" t="str">
        <f>"ADD CONSTRAINT "&amp;D$8&amp;"_pkey PRIMARY KEY"</f>
        <v>ADD CONSTRAINT azn_202310_backup_mart_error_patient_pkey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milscm_2023_010.azn_202310_backup_mart_error_patient IS 'バックアップ_エラー患者データ';</v>
      </c>
    </row>
    <row r="13" spans="1:45" s="25" customFormat="1">
      <c r="A13" s="4"/>
      <c r="B13" s="21">
        <f>ROW()-12</f>
        <v>1</v>
      </c>
      <c r="C13" s="6" t="s">
        <v>1841</v>
      </c>
      <c r="D13" s="6" t="s">
        <v>128</v>
      </c>
      <c r="E13" s="8" t="s">
        <v>127</v>
      </c>
      <c r="F13" s="8" t="s">
        <v>1826</v>
      </c>
      <c r="G13" s="7" t="str">
        <f>IF(F13="フラグ","boolean",IF(F13="文字列","text",IF(F13="整数","integer",IF(F13="実数","numeric",""))))</f>
        <v>text</v>
      </c>
      <c r="H13" s="9"/>
      <c r="I13" s="10" t="s">
        <v>127</v>
      </c>
      <c r="J13" s="11"/>
      <c r="M13" s="4"/>
      <c r="N13" s="76"/>
      <c r="O13" s="76"/>
      <c r="P13" s="76" t="str">
        <f>IF(B13&lt;&gt;1,","&amp;D13,D13)</f>
        <v>facility_id</v>
      </c>
      <c r="Q13" s="76" t="str">
        <f t="shared" ref="Q13:Q16" si="0">UPPER(G13)</f>
        <v>TEXT</v>
      </c>
      <c r="R13" s="76" t="str">
        <f t="shared" ref="R13:R16"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milscm_2023_010.azn_202310_backup_mart_error_patient.facility_id IS '施設ID';</v>
      </c>
    </row>
    <row r="14" spans="1:45" s="25" customFormat="1">
      <c r="A14" s="4"/>
      <c r="B14" s="21">
        <f t="shared" ref="B14:B15" si="2">ROW()-12</f>
        <v>2</v>
      </c>
      <c r="C14" s="6" t="s">
        <v>1842</v>
      </c>
      <c r="D14" s="6" t="s">
        <v>1843</v>
      </c>
      <c r="E14" s="8" t="s">
        <v>127</v>
      </c>
      <c r="F14" s="7" t="s">
        <v>1826</v>
      </c>
      <c r="G14" s="7" t="str">
        <f t="shared" ref="G14:G16" si="3">IF(F14="フラグ","boolean",IF(F14="文字列","text",IF(F14="整数","integer",IF(F14="実数","numeric",""))))</f>
        <v>text</v>
      </c>
      <c r="H14" s="26"/>
      <c r="I14" s="10" t="s">
        <v>127</v>
      </c>
      <c r="J14" s="11" t="s">
        <v>1844</v>
      </c>
      <c r="M14" s="4"/>
      <c r="N14" s="76"/>
      <c r="O14" s="76"/>
      <c r="P14" s="76" t="str">
        <f t="shared" ref="P14:P16" si="4">IF(B14&lt;&gt;1,","&amp;D14,D14)</f>
        <v>,himoduke_id</v>
      </c>
      <c r="Q14" s="76" t="str">
        <f t="shared" si="0"/>
        <v>TEXT</v>
      </c>
      <c r="R14" s="76" t="str">
        <f t="shared" si="1"/>
        <v/>
      </c>
      <c r="S14" s="76" t="str">
        <f t="shared" ref="S14:S16" si="5">IF(I14="○","NOT NULL","")</f>
        <v>NOT NULL</v>
      </c>
      <c r="T14" s="76" t="str">
        <f t="shared" ref="T14:T16" si="6">"-- "&amp;C14</f>
        <v>-- 紐付けID</v>
      </c>
      <c r="U14" s="4"/>
      <c r="AA14" s="4"/>
      <c r="AB14" s="4"/>
      <c r="AC14" s="4"/>
      <c r="AD14" s="4"/>
      <c r="AE14" s="4"/>
      <c r="AF14" s="4"/>
      <c r="AG14" s="4"/>
      <c r="AH14" s="4"/>
      <c r="AI14" s="4"/>
      <c r="AJ14" s="76" t="str">
        <f>IF(E14="○",IF(COUNTA(E$13:E14)=1,"",",")&amp;D14,"")</f>
        <v>,himoduke_id</v>
      </c>
      <c r="AK14" s="4"/>
      <c r="AL14" s="4"/>
      <c r="AM14" s="4"/>
      <c r="AN14" s="4"/>
      <c r="AO14" s="4"/>
      <c r="AP14" s="4"/>
      <c r="AQ14" s="4"/>
      <c r="AR14" s="4"/>
      <c r="AS14" s="76" t="str">
        <f>"COMMENT ON COLUMN "&amp;エンティティ一覧!$O$2&amp;"."&amp;D$8&amp;"."&amp;D14&amp;" IS '"&amp;C14&amp;"';"</f>
        <v>COMMENT ON COLUMN milscm_2023_010.azn_202310_backup_mart_error_patient.himoduke_id IS '紐付けID';</v>
      </c>
    </row>
    <row r="15" spans="1:45" s="25" customFormat="1">
      <c r="A15" s="4"/>
      <c r="B15" s="21">
        <f t="shared" si="2"/>
        <v>3</v>
      </c>
      <c r="C15" s="6" t="s">
        <v>1818</v>
      </c>
      <c r="D15" s="6" t="s">
        <v>207</v>
      </c>
      <c r="E15" s="8" t="s">
        <v>127</v>
      </c>
      <c r="F15" s="7" t="s">
        <v>1819</v>
      </c>
      <c r="G15" s="7" t="str">
        <f t="shared" si="3"/>
        <v>text</v>
      </c>
      <c r="H15" s="26"/>
      <c r="I15" s="10" t="s">
        <v>127</v>
      </c>
      <c r="J15" s="11" t="s">
        <v>1822</v>
      </c>
      <c r="M15" s="4"/>
      <c r="N15" s="76"/>
      <c r="O15" s="76"/>
      <c r="P15" s="76" t="str">
        <f t="shared" si="4"/>
        <v>,data_type</v>
      </c>
      <c r="Q15" s="76" t="str">
        <f t="shared" si="0"/>
        <v>TEXT</v>
      </c>
      <c r="R15" s="76" t="str">
        <f t="shared" si="1"/>
        <v/>
      </c>
      <c r="S15" s="76" t="str">
        <f t="shared" si="5"/>
        <v>NOT NULL</v>
      </c>
      <c r="T15" s="76" t="str">
        <f t="shared" si="6"/>
        <v>-- データ種別</v>
      </c>
      <c r="U15" s="4"/>
      <c r="AA15" s="4"/>
      <c r="AB15" s="4"/>
      <c r="AC15" s="4"/>
      <c r="AD15" s="4"/>
      <c r="AE15" s="4"/>
      <c r="AF15" s="4"/>
      <c r="AG15" s="4"/>
      <c r="AH15" s="4"/>
      <c r="AI15" s="4"/>
      <c r="AJ15" s="76" t="str">
        <f>IF(E15="○",IF(COUNTA(E$13:E15)=1,"",",")&amp;D15,"")</f>
        <v>,data_type</v>
      </c>
      <c r="AK15" s="4"/>
      <c r="AL15" s="4"/>
      <c r="AM15" s="4"/>
      <c r="AN15" s="4"/>
      <c r="AO15" s="4"/>
      <c r="AP15" s="4"/>
      <c r="AQ15" s="4"/>
      <c r="AR15" s="4"/>
      <c r="AS15" s="76" t="str">
        <f>"COMMENT ON COLUMN "&amp;エンティティ一覧!$O$2&amp;"."&amp;D$8&amp;"."&amp;D15&amp;" IS '"&amp;C15&amp;"';"</f>
        <v>COMMENT ON COLUMN milscm_2023_010.azn_202310_backup_mart_error_patient.data_type IS 'データ種別';</v>
      </c>
    </row>
    <row r="16" spans="1:45" s="25" customFormat="1" ht="19.5" thickBot="1">
      <c r="A16" s="4"/>
      <c r="B16" s="27">
        <f>ROW()-12</f>
        <v>4</v>
      </c>
      <c r="C16" s="57" t="s">
        <v>1820</v>
      </c>
      <c r="D16" s="57" t="s">
        <v>1821</v>
      </c>
      <c r="E16" s="56" t="s">
        <v>127</v>
      </c>
      <c r="F16" s="56" t="s">
        <v>1735</v>
      </c>
      <c r="G16" s="56" t="str">
        <f t="shared" si="3"/>
        <v>text</v>
      </c>
      <c r="H16" s="59"/>
      <c r="I16" s="60" t="s">
        <v>127</v>
      </c>
      <c r="J16" s="63"/>
      <c r="N16" s="76"/>
      <c r="O16" s="76"/>
      <c r="P16" s="76" t="str">
        <f t="shared" si="4"/>
        <v>,patient_id</v>
      </c>
      <c r="Q16" s="76" t="str">
        <f t="shared" si="0"/>
        <v>TEXT</v>
      </c>
      <c r="R16" s="76" t="str">
        <f t="shared" si="1"/>
        <v/>
      </c>
      <c r="S16" s="76" t="str">
        <f t="shared" si="5"/>
        <v>NOT NULL</v>
      </c>
      <c r="T16" s="76" t="str">
        <f t="shared" si="6"/>
        <v>-- 患者ID</v>
      </c>
      <c r="U16" s="4"/>
      <c r="AA16" s="4"/>
      <c r="AB16" s="4"/>
      <c r="AC16" s="4"/>
      <c r="AD16" s="4"/>
      <c r="AE16" s="4"/>
      <c r="AF16" s="4"/>
      <c r="AG16" s="4"/>
      <c r="AH16" s="4"/>
      <c r="AI16" s="4"/>
      <c r="AJ16" s="76" t="str">
        <f>IF(E16="○",IF(COUNTA(E$13:E16)=1,"",",")&amp;D16,"")</f>
        <v>,patient_id</v>
      </c>
      <c r="AK16" s="4"/>
      <c r="AL16" s="4"/>
      <c r="AM16" s="4"/>
      <c r="AN16" s="4"/>
      <c r="AO16" s="4"/>
      <c r="AP16" s="4"/>
      <c r="AQ16" s="4"/>
      <c r="AR16" s="4"/>
      <c r="AS16" s="76" t="str">
        <f>"COMMENT ON COLUMN "&amp;エンティティ一覧!$O$2&amp;"."&amp;D$8&amp;"."&amp;D16&amp;" IS '"&amp;C16&amp;"';"</f>
        <v>COMMENT ON COLUMN milscm_2023_010.azn_202310_backup_mart_error_patient.patient_id IS '患者ID';</v>
      </c>
    </row>
    <row r="17" spans="12:52">
      <c r="L17" s="25"/>
      <c r="M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ENT_01_A1-14</v>
      </c>
      <c r="E6" s="272"/>
      <c r="F6" s="272"/>
      <c r="G6" s="272"/>
      <c r="H6" s="272"/>
      <c r="I6" s="272"/>
      <c r="J6" s="273"/>
    </row>
    <row r="7" spans="1:45">
      <c r="B7" s="261" t="s">
        <v>115</v>
      </c>
      <c r="C7" s="262"/>
      <c r="D7" s="263" t="s">
        <v>1847</v>
      </c>
      <c r="E7" s="264"/>
      <c r="F7" s="264"/>
      <c r="G7" s="264"/>
      <c r="H7" s="264"/>
      <c r="I7" s="264"/>
      <c r="J7" s="265"/>
    </row>
    <row r="8" spans="1:45">
      <c r="B8" s="261" t="s">
        <v>116</v>
      </c>
      <c r="C8" s="262"/>
      <c r="D8" s="263" t="str">
        <f>エンティティ一覧!AE2&amp;"_"&amp;D5&amp;"_mart_patient_basic"</f>
        <v>azn_202310_backup_mart_patient_basic</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患者基本データテーブルから組入れ条件の第一条件で絞り込んだ結果を格納するテーブル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milscm_2023_010.azn_202310_backup_mart_patient_basic;</v>
      </c>
      <c r="O10" s="76"/>
      <c r="P10" s="76"/>
      <c r="Q10" s="76"/>
      <c r="R10" s="76"/>
      <c r="S10" s="76"/>
      <c r="T10" s="76"/>
      <c r="AJ10" s="76" t="str">
        <f>"ALTER TABLE ONLY "&amp;エンティティ一覧!$O$2&amp;"."&amp;D$8</f>
        <v>ALTER TABLE ONLY milscm_2023_010.azn_202310_backup_mart_patient_basic</v>
      </c>
      <c r="AS10" s="76" t="str">
        <f>"ALTER TABLE "&amp;エンティティ一覧!$O$2&amp;"."&amp;D$8&amp;" OWNER TO pgmisgrp1;"</f>
        <v>ALTER TABLE milscm_2023_010.azn_202310_backup_mart_patient_basic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milscm_2023_010.azn_202310_backup_mart_patient_basic</v>
      </c>
      <c r="O11" s="76"/>
      <c r="P11" s="76"/>
      <c r="Q11" s="76"/>
      <c r="R11" s="76"/>
      <c r="S11" s="76"/>
      <c r="T11" s="76"/>
      <c r="AJ11" s="76" t="str">
        <f>"ADD CONSTRAINT "&amp;D$8&amp;"_pkey PRIMARY KEY"</f>
        <v>ADD CONSTRAINT azn_202310_backup_mart_patient_basic_pkey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milscm_2023_010.azn_202310_backup_mart_patient_basic IS 'バックアップ_患者基本データ';</v>
      </c>
    </row>
    <row r="13" spans="1:45" s="25" customFormat="1">
      <c r="A13" s="4"/>
      <c r="B13" s="21">
        <f>ROW()-12</f>
        <v>1</v>
      </c>
      <c r="C13" s="6" t="s">
        <v>1841</v>
      </c>
      <c r="D13" s="6" t="s">
        <v>128</v>
      </c>
      <c r="E13" s="8" t="s">
        <v>127</v>
      </c>
      <c r="F13" s="8" t="s">
        <v>1826</v>
      </c>
      <c r="G13" s="7" t="str">
        <f>IF(F13="フラグ","boolean",IF(F13="文字列","text",IF(F13="整数","integer",IF(F13="実数","numeric",""))))</f>
        <v>text</v>
      </c>
      <c r="H13" s="9"/>
      <c r="I13" s="10" t="s">
        <v>127</v>
      </c>
      <c r="J13" s="11"/>
      <c r="M13" s="4"/>
      <c r="N13" s="76"/>
      <c r="O13" s="76"/>
      <c r="P13" s="76" t="str">
        <f>IF(B13&lt;&gt;1,","&amp;D13,D13)</f>
        <v>facility_id</v>
      </c>
      <c r="Q13" s="76" t="str">
        <f t="shared" ref="Q13:Q21" si="0">UPPER(G13)</f>
        <v>TEXT</v>
      </c>
      <c r="R13" s="76" t="str">
        <f t="shared" ref="R13:R21"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milscm_2023_010.azn_202310_backup_mart_patient_basic.facility_id IS '施設ID';</v>
      </c>
    </row>
    <row r="14" spans="1:45" s="25" customFormat="1">
      <c r="A14" s="4"/>
      <c r="B14" s="21">
        <f t="shared" ref="B14:B20" si="2">ROW()-12</f>
        <v>2</v>
      </c>
      <c r="C14" s="6" t="s">
        <v>1842</v>
      </c>
      <c r="D14" s="6" t="s">
        <v>1843</v>
      </c>
      <c r="E14" s="8" t="s">
        <v>127</v>
      </c>
      <c r="F14" s="7" t="s">
        <v>1826</v>
      </c>
      <c r="G14" s="7" t="str">
        <f t="shared" ref="G14:G21" si="3">IF(F14="フラグ","boolean",IF(F14="文字列","text",IF(F14="整数","integer",IF(F14="実数","numeric",""))))</f>
        <v>text</v>
      </c>
      <c r="H14" s="26"/>
      <c r="I14" s="10" t="s">
        <v>127</v>
      </c>
      <c r="J14" s="11" t="s">
        <v>1844</v>
      </c>
      <c r="M14" s="4"/>
      <c r="N14" s="76"/>
      <c r="O14" s="76"/>
      <c r="P14" s="76" t="str">
        <f t="shared" ref="P14:P21" si="4">IF(B14&lt;&gt;1,","&amp;D14,D14)</f>
        <v>,himoduke_id</v>
      </c>
      <c r="Q14" s="76" t="str">
        <f t="shared" si="0"/>
        <v>TEXT</v>
      </c>
      <c r="R14" s="76" t="str">
        <f t="shared" si="1"/>
        <v/>
      </c>
      <c r="S14" s="76" t="str">
        <f t="shared" ref="S14:S21" si="5">IF(I14="○","NOT NULL","")</f>
        <v>NOT NULL</v>
      </c>
      <c r="T14" s="76" t="str">
        <f t="shared" ref="T14:T21" si="6">"-- "&amp;C14</f>
        <v>-- 紐付けID</v>
      </c>
      <c r="U14" s="4"/>
      <c r="AA14" s="4"/>
      <c r="AB14" s="4"/>
      <c r="AC14" s="4"/>
      <c r="AD14" s="4"/>
      <c r="AE14" s="4"/>
      <c r="AF14" s="4"/>
      <c r="AG14" s="4"/>
      <c r="AH14" s="4"/>
      <c r="AI14" s="4"/>
      <c r="AJ14" s="76" t="str">
        <f>IF(E14="○",IF(COUNTA(E$13:E14)=1,"",",")&amp;D14,"")</f>
        <v>,himoduke_id</v>
      </c>
      <c r="AK14" s="4"/>
      <c r="AL14" s="4"/>
      <c r="AM14" s="4"/>
      <c r="AN14" s="4"/>
      <c r="AO14" s="4"/>
      <c r="AP14" s="4"/>
      <c r="AQ14" s="4"/>
      <c r="AR14" s="4"/>
      <c r="AS14" s="76" t="str">
        <f>"COMMENT ON COLUMN "&amp;エンティティ一覧!$O$2&amp;"."&amp;D$8&amp;"."&amp;D14&amp;" IS '"&amp;C14&amp;"';"</f>
        <v>COMMENT ON COLUMN milscm_2023_010.azn_202310_backup_mart_patient_basic.himoduke_id IS '紐付けID';</v>
      </c>
    </row>
    <row r="15" spans="1:45" s="25" customFormat="1">
      <c r="A15" s="4"/>
      <c r="B15" s="21">
        <f t="shared" si="2"/>
        <v>3</v>
      </c>
      <c r="C15" s="6" t="s">
        <v>1818</v>
      </c>
      <c r="D15" s="6" t="s">
        <v>207</v>
      </c>
      <c r="E15" s="8" t="s">
        <v>127</v>
      </c>
      <c r="F15" s="7" t="s">
        <v>1819</v>
      </c>
      <c r="G15" s="7" t="str">
        <f t="shared" ref="G15:G19" si="7">IF(F15="フラグ","boolean",IF(F15="文字列","text",IF(F15="整数","integer",IF(F15="実数","numeric",""))))</f>
        <v>text</v>
      </c>
      <c r="H15" s="26"/>
      <c r="I15" s="10" t="s">
        <v>127</v>
      </c>
      <c r="J15" s="11" t="s">
        <v>1822</v>
      </c>
      <c r="M15" s="4"/>
      <c r="N15" s="76"/>
      <c r="O15" s="76"/>
      <c r="P15" s="76" t="str">
        <f t="shared" ref="P15:P19" si="8">IF(B15&lt;&gt;1,","&amp;D15,D15)</f>
        <v>,data_type</v>
      </c>
      <c r="Q15" s="76" t="str">
        <f t="shared" ref="Q15:Q19" si="9">UPPER(G15)</f>
        <v>TEXT</v>
      </c>
      <c r="R15" s="76" t="str">
        <f t="shared" ref="R15:R19" si="10">IF(H15&lt;&gt;"","default "&amp;IF(G15="text","'"&amp;H15&amp;"'",H15),"")</f>
        <v/>
      </c>
      <c r="S15" s="76" t="str">
        <f t="shared" ref="S15:S19" si="11">IF(I15="○","NOT NULL","")</f>
        <v>NOT NULL</v>
      </c>
      <c r="T15" s="76" t="str">
        <f t="shared" ref="T15:T19" si="12">"-- "&amp;C15</f>
        <v>-- データ種別</v>
      </c>
      <c r="U15" s="4"/>
      <c r="AA15" s="4"/>
      <c r="AB15" s="4"/>
      <c r="AC15" s="4"/>
      <c r="AD15" s="4"/>
      <c r="AE15" s="4"/>
      <c r="AF15" s="4"/>
      <c r="AG15" s="4"/>
      <c r="AH15" s="4"/>
      <c r="AI15" s="4"/>
      <c r="AJ15" s="76" t="str">
        <f>IF(E15="○",IF(COUNTA(E$13:E15)=1,"",",")&amp;D15,"")</f>
        <v>,data_type</v>
      </c>
      <c r="AK15" s="4"/>
      <c r="AL15" s="4"/>
      <c r="AM15" s="4"/>
      <c r="AN15" s="4"/>
      <c r="AO15" s="4"/>
      <c r="AP15" s="4"/>
      <c r="AQ15" s="4"/>
      <c r="AR15" s="4"/>
      <c r="AS15" s="76" t="str">
        <f>"COMMENT ON COLUMN "&amp;エンティティ一覧!$O$2&amp;"."&amp;D$8&amp;"."&amp;D15&amp;" IS '"&amp;C15&amp;"';"</f>
        <v>COMMENT ON COLUMN milscm_2023_010.azn_202310_backup_mart_patient_basic.data_type IS 'データ種別';</v>
      </c>
    </row>
    <row r="16" spans="1:45" s="25" customFormat="1">
      <c r="A16" s="4"/>
      <c r="B16" s="21">
        <f t="shared" si="2"/>
        <v>4</v>
      </c>
      <c r="C16" s="6" t="s">
        <v>1824</v>
      </c>
      <c r="D16" s="6" t="s">
        <v>1825</v>
      </c>
      <c r="E16" s="8"/>
      <c r="F16" s="7" t="s">
        <v>1826</v>
      </c>
      <c r="G16" s="7" t="str">
        <f t="shared" si="7"/>
        <v>text</v>
      </c>
      <c r="H16" s="26"/>
      <c r="I16" s="10"/>
      <c r="J16" s="11" t="s">
        <v>1848</v>
      </c>
      <c r="M16" s="4"/>
      <c r="N16" s="76"/>
      <c r="O16" s="76"/>
      <c r="P16" s="76" t="str">
        <f t="shared" si="8"/>
        <v>,shinryo_ym_min</v>
      </c>
      <c r="Q16" s="76" t="str">
        <f t="shared" si="9"/>
        <v>TEXT</v>
      </c>
      <c r="R16" s="76" t="str">
        <f t="shared" si="10"/>
        <v/>
      </c>
      <c r="S16" s="76" t="str">
        <f t="shared" si="11"/>
        <v/>
      </c>
      <c r="T16" s="76" t="str">
        <f t="shared" si="12"/>
        <v>-- 診療年月_最小</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milscm_2023_010.azn_202310_backup_mart_patient_basic.shinryo_ym_min IS '診療年月_最小';</v>
      </c>
    </row>
    <row r="17" spans="1:52" s="25" customFormat="1">
      <c r="A17" s="4"/>
      <c r="B17" s="21">
        <f t="shared" si="2"/>
        <v>5</v>
      </c>
      <c r="C17" s="6" t="s">
        <v>1827</v>
      </c>
      <c r="D17" s="6" t="s">
        <v>1828</v>
      </c>
      <c r="E17" s="8"/>
      <c r="F17" s="7" t="s">
        <v>1819</v>
      </c>
      <c r="G17" s="7" t="str">
        <f t="shared" si="7"/>
        <v>text</v>
      </c>
      <c r="H17" s="26"/>
      <c r="I17" s="10"/>
      <c r="J17" s="11" t="s">
        <v>1848</v>
      </c>
      <c r="M17" s="4"/>
      <c r="N17" s="76"/>
      <c r="O17" s="76"/>
      <c r="P17" s="76" t="str">
        <f t="shared" si="8"/>
        <v>,shinryo_ym_max</v>
      </c>
      <c r="Q17" s="76" t="str">
        <f t="shared" si="9"/>
        <v>TEXT</v>
      </c>
      <c r="R17" s="76" t="str">
        <f t="shared" si="10"/>
        <v/>
      </c>
      <c r="S17" s="76" t="str">
        <f t="shared" si="11"/>
        <v/>
      </c>
      <c r="T17" s="76" t="str">
        <f t="shared" si="12"/>
        <v>-- 診療年月_最大</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milscm_2023_010.azn_202310_backup_mart_patient_basic.shinryo_ym_max IS '診療年月_最大';</v>
      </c>
    </row>
    <row r="18" spans="1:52" s="25" customFormat="1">
      <c r="A18" s="4"/>
      <c r="B18" s="21">
        <f t="shared" si="2"/>
        <v>6</v>
      </c>
      <c r="C18" s="6" t="s">
        <v>1829</v>
      </c>
      <c r="D18" s="6" t="s">
        <v>943</v>
      </c>
      <c r="E18" s="8"/>
      <c r="F18" s="7" t="s">
        <v>1735</v>
      </c>
      <c r="G18" s="7" t="str">
        <f t="shared" si="7"/>
        <v>text</v>
      </c>
      <c r="H18" s="26"/>
      <c r="I18" s="10" t="s">
        <v>127</v>
      </c>
      <c r="J18" s="11" t="s">
        <v>1849</v>
      </c>
      <c r="M18" s="4"/>
      <c r="N18" s="76"/>
      <c r="O18" s="76"/>
      <c r="P18" s="76" t="str">
        <f t="shared" si="8"/>
        <v>,sex_kubun</v>
      </c>
      <c r="Q18" s="76" t="str">
        <f t="shared" si="9"/>
        <v>TEXT</v>
      </c>
      <c r="R18" s="76" t="str">
        <f t="shared" si="10"/>
        <v/>
      </c>
      <c r="S18" s="76" t="str">
        <f t="shared" si="11"/>
        <v>NOT NULL</v>
      </c>
      <c r="T18" s="76" t="str">
        <f t="shared" si="12"/>
        <v>-- 男女区分</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milscm_2023_010.azn_202310_backup_mart_patient_basic.sex_kubun IS '男女区分';</v>
      </c>
    </row>
    <row r="19" spans="1:52" s="25" customFormat="1" ht="56.25">
      <c r="A19" s="4"/>
      <c r="B19" s="21">
        <f t="shared" si="2"/>
        <v>7</v>
      </c>
      <c r="C19" s="6" t="s">
        <v>1830</v>
      </c>
      <c r="D19" s="6" t="s">
        <v>321</v>
      </c>
      <c r="E19" s="8"/>
      <c r="F19" s="7" t="s">
        <v>1735</v>
      </c>
      <c r="G19" s="7" t="str">
        <f t="shared" si="7"/>
        <v>text</v>
      </c>
      <c r="H19" s="26"/>
      <c r="I19" s="10" t="s">
        <v>127</v>
      </c>
      <c r="J19" s="11" t="s">
        <v>1850</v>
      </c>
      <c r="M19" s="4"/>
      <c r="N19" s="76"/>
      <c r="O19" s="76"/>
      <c r="P19" s="76" t="str">
        <f t="shared" si="8"/>
        <v>,birthday</v>
      </c>
      <c r="Q19" s="76" t="str">
        <f t="shared" si="9"/>
        <v>TEXT</v>
      </c>
      <c r="R19" s="76" t="str">
        <f t="shared" si="10"/>
        <v/>
      </c>
      <c r="S19" s="76" t="str">
        <f t="shared" si="11"/>
        <v>NOT NULL</v>
      </c>
      <c r="T19" s="76" t="str">
        <f t="shared" si="12"/>
        <v>-- 生年月日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milscm_2023_010.azn_202310_backup_mart_patient_basic.birthday IS '生年月日';</v>
      </c>
    </row>
    <row r="20" spans="1:52" s="25" customFormat="1" ht="75">
      <c r="A20" s="4"/>
      <c r="B20" s="21">
        <f t="shared" si="2"/>
        <v>8</v>
      </c>
      <c r="C20" s="6" t="s">
        <v>1276</v>
      </c>
      <c r="D20" s="6" t="s">
        <v>1277</v>
      </c>
      <c r="E20" s="8"/>
      <c r="F20" s="7" t="s">
        <v>316</v>
      </c>
      <c r="G20" s="7" t="str">
        <f t="shared" si="3"/>
        <v>text</v>
      </c>
      <c r="H20" s="26"/>
      <c r="I20" s="10"/>
      <c r="J20" s="11" t="s">
        <v>1851</v>
      </c>
      <c r="M20" s="4"/>
      <c r="N20" s="76"/>
      <c r="O20" s="76"/>
      <c r="P20" s="76" t="str">
        <f t="shared" si="4"/>
        <v>,death_flag</v>
      </c>
      <c r="Q20" s="76" t="str">
        <f t="shared" si="0"/>
        <v>TEXT</v>
      </c>
      <c r="R20" s="76" t="str">
        <f t="shared" si="1"/>
        <v/>
      </c>
      <c r="S20" s="76" t="str">
        <f t="shared" si="5"/>
        <v/>
      </c>
      <c r="T20" s="76" t="str">
        <f t="shared" si="6"/>
        <v>-- 死亡フラグ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milscm_2023_010.azn_202310_backup_mart_patient_basic.death_flag IS '死亡フラグ';</v>
      </c>
    </row>
    <row r="21" spans="1:52" s="25" customFormat="1" ht="75.75" thickBot="1">
      <c r="A21" s="4"/>
      <c r="B21" s="27">
        <f>ROW()-12</f>
        <v>9</v>
      </c>
      <c r="C21" s="57" t="s">
        <v>1278</v>
      </c>
      <c r="D21" s="57" t="s">
        <v>1279</v>
      </c>
      <c r="E21" s="56"/>
      <c r="F21" s="56" t="s">
        <v>316</v>
      </c>
      <c r="G21" s="56" t="str">
        <f t="shared" si="3"/>
        <v>text</v>
      </c>
      <c r="H21" s="59"/>
      <c r="I21" s="60"/>
      <c r="J21" s="63" t="s">
        <v>1852</v>
      </c>
      <c r="N21" s="76"/>
      <c r="O21" s="76"/>
      <c r="P21" s="76" t="str">
        <f t="shared" si="4"/>
        <v>,death_date</v>
      </c>
      <c r="Q21" s="76" t="str">
        <f t="shared" si="0"/>
        <v>TEXT</v>
      </c>
      <c r="R21" s="76" t="str">
        <f t="shared" si="1"/>
        <v/>
      </c>
      <c r="S21" s="76" t="str">
        <f t="shared" si="5"/>
        <v/>
      </c>
      <c r="T21" s="76" t="str">
        <f t="shared" si="6"/>
        <v>-- 死亡日時</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milscm_2023_010.azn_202310_backup_mart_patient_basic.death_date IS '死亡日時';</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ENT_01_A3-02</v>
      </c>
      <c r="E6" s="272"/>
      <c r="F6" s="272"/>
      <c r="G6" s="272"/>
      <c r="H6" s="272"/>
      <c r="I6" s="272"/>
      <c r="J6" s="273"/>
    </row>
    <row r="7" spans="1:45">
      <c r="B7" s="261" t="s">
        <v>115</v>
      </c>
      <c r="C7" s="262"/>
      <c r="D7" s="263" t="s">
        <v>1853</v>
      </c>
      <c r="E7" s="264"/>
      <c r="F7" s="264"/>
      <c r="G7" s="264"/>
      <c r="H7" s="264"/>
      <c r="I7" s="264"/>
      <c r="J7" s="265"/>
    </row>
    <row r="8" spans="1:45">
      <c r="B8" s="261" t="s">
        <v>116</v>
      </c>
      <c r="C8" s="262"/>
      <c r="D8" s="263" t="str">
        <f>エンティティ一覧!AE2&amp;"_"&amp;D5&amp;"_mt_shisetsu_zokusei"</f>
        <v>azn_202310_backup_mt_shisetsu_zokusei</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施設属性マスタ取込用テーブルから組入れ条件の第一条件で絞り込んだ結果を格納するテーブル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milscm_2023_010.azn_202310_backup_mt_shisetsu_zokusei;</v>
      </c>
      <c r="O10" s="76"/>
      <c r="P10" s="76"/>
      <c r="Q10" s="76"/>
      <c r="R10" s="76"/>
      <c r="S10" s="76"/>
      <c r="T10" s="76"/>
      <c r="AJ10" s="76" t="str">
        <f>"ALTER TABLE ONLY "&amp;エンティティ一覧!$O$2&amp;"."&amp;D$8</f>
        <v>ALTER TABLE ONLY milscm_2023_010.azn_202310_backup_mt_shisetsu_zokusei</v>
      </c>
      <c r="AS10" s="76" t="str">
        <f>"ALTER TABLE "&amp;エンティティ一覧!$O$2&amp;"."&amp;D$8&amp;" OWNER TO pgmisgrp1;"</f>
        <v>ALTER TABLE milscm_2023_010.azn_202310_backup_mt_shisetsu_zokusei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milscm_2023_010.azn_202310_backup_mt_shisetsu_zokusei</v>
      </c>
      <c r="O11" s="76"/>
      <c r="P11" s="76"/>
      <c r="Q11" s="76"/>
      <c r="R11" s="76"/>
      <c r="S11" s="76"/>
      <c r="T11" s="76"/>
      <c r="AJ11" s="76" t="str">
        <f>"ADD CONSTRAINT "&amp;D$8&amp;"_pkey PRIMARY KEY"</f>
        <v>ADD CONSTRAINT azn_202310_backup_mt_shisetsu_zokusei_pkey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milscm_2023_010.azn_202310_backup_mt_shisetsu_zokusei IS 'バックアップ_施設属性マスタ取込用';</v>
      </c>
    </row>
    <row r="13" spans="1:45" s="25" customFormat="1">
      <c r="A13" s="4"/>
      <c r="B13" s="21">
        <f>ROW()-12</f>
        <v>1</v>
      </c>
      <c r="C13" s="6" t="s">
        <v>137</v>
      </c>
      <c r="D13" s="6" t="s">
        <v>128</v>
      </c>
      <c r="E13" s="8" t="s">
        <v>127</v>
      </c>
      <c r="F13" s="8" t="s">
        <v>735</v>
      </c>
      <c r="G13" s="7" t="str">
        <f>IF(F13="フラグ","boolean",IF(F13="文字列","text",IF(F13="整数","integer",IF(F13="実数","numeric",""))))</f>
        <v>text</v>
      </c>
      <c r="H13" s="9"/>
      <c r="I13" s="10" t="s">
        <v>127</v>
      </c>
      <c r="J13" s="11" t="s">
        <v>1880</v>
      </c>
      <c r="M13" s="4"/>
      <c r="N13" s="76"/>
      <c r="O13" s="76"/>
      <c r="P13" s="76" t="str">
        <f>IF(B13&lt;&gt;1,","&amp;D13,D13)</f>
        <v>facility_id</v>
      </c>
      <c r="Q13" s="76" t="str">
        <f t="shared" ref="Q13:Q26" si="0">UPPER(G13)</f>
        <v>TEXT</v>
      </c>
      <c r="R13" s="76" t="str">
        <f t="shared" ref="R13:R26"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milscm_2023_010.azn_202310_backup_mt_shisetsu_zokusei.facility_id IS '施設ID';</v>
      </c>
    </row>
    <row r="14" spans="1:45" s="25" customFormat="1">
      <c r="A14" s="4"/>
      <c r="B14" s="21">
        <f t="shared" ref="B14:B25" si="2">ROW()-12</f>
        <v>2</v>
      </c>
      <c r="C14" s="6" t="s">
        <v>1854</v>
      </c>
      <c r="D14" s="6" t="s">
        <v>1855</v>
      </c>
      <c r="E14" s="8"/>
      <c r="F14" s="7" t="s">
        <v>203</v>
      </c>
      <c r="G14" s="7" t="str">
        <f t="shared" ref="G14:G26" si="3">IF(F14="フラグ","boolean",IF(F14="文字列","text",IF(F14="整数","integer",IF(F14="実数","numeric",""))))</f>
        <v>integer</v>
      </c>
      <c r="H14" s="26">
        <v>0</v>
      </c>
      <c r="I14" s="10" t="s">
        <v>127</v>
      </c>
      <c r="J14" s="11" t="s">
        <v>1881</v>
      </c>
      <c r="M14" s="4"/>
      <c r="N14" s="76"/>
      <c r="O14" s="76"/>
      <c r="P14" s="76" t="str">
        <f t="shared" ref="P14:P26" si="4">IF(B14&lt;&gt;1,","&amp;D14,D14)</f>
        <v>,ippan_bed</v>
      </c>
      <c r="Q14" s="76" t="str">
        <f t="shared" si="0"/>
        <v>INTEGER</v>
      </c>
      <c r="R14" s="76" t="str">
        <f t="shared" si="1"/>
        <v>default 0</v>
      </c>
      <c r="S14" s="76" t="str">
        <f t="shared" ref="S14:S26" si="5">IF(I14="○","NOT NULL","")</f>
        <v>NOT NULL</v>
      </c>
      <c r="T14" s="76" t="str">
        <f t="shared" ref="T14:T26" si="6">"-- "&amp;C14</f>
        <v>-- 一般病床</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milscm_2023_010.azn_202310_backup_mt_shisetsu_zokusei.ippan_bed IS '一般病床';</v>
      </c>
    </row>
    <row r="15" spans="1:45" s="25" customFormat="1">
      <c r="A15" s="4"/>
      <c r="B15" s="21">
        <f t="shared" si="2"/>
        <v>3</v>
      </c>
      <c r="C15" s="6" t="s">
        <v>1856</v>
      </c>
      <c r="D15" s="6" t="s">
        <v>1857</v>
      </c>
      <c r="E15" s="8"/>
      <c r="F15" s="7" t="s">
        <v>203</v>
      </c>
      <c r="G15" s="7" t="str">
        <f t="shared" si="3"/>
        <v>integer</v>
      </c>
      <c r="H15" s="26">
        <v>0</v>
      </c>
      <c r="I15" s="10" t="s">
        <v>127</v>
      </c>
      <c r="J15" s="11" t="s">
        <v>1881</v>
      </c>
      <c r="M15" s="4"/>
      <c r="N15" s="76"/>
      <c r="O15" s="76"/>
      <c r="P15" s="76" t="str">
        <f t="shared" si="4"/>
        <v>,seishin_bed</v>
      </c>
      <c r="Q15" s="76" t="str">
        <f t="shared" si="0"/>
        <v>INTEGER</v>
      </c>
      <c r="R15" s="76" t="str">
        <f t="shared" si="1"/>
        <v>default 0</v>
      </c>
      <c r="S15" s="76" t="str">
        <f t="shared" si="5"/>
        <v>NOT NULL</v>
      </c>
      <c r="T15" s="76" t="str">
        <f t="shared" si="6"/>
        <v>-- 精神病床</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milscm_2023_010.azn_202310_backup_mt_shisetsu_zokusei.seishin_bed IS '精神病床';</v>
      </c>
    </row>
    <row r="16" spans="1:45" s="25" customFormat="1">
      <c r="A16" s="4"/>
      <c r="B16" s="21">
        <f t="shared" si="2"/>
        <v>4</v>
      </c>
      <c r="C16" s="6" t="s">
        <v>1858</v>
      </c>
      <c r="D16" s="6" t="s">
        <v>1859</v>
      </c>
      <c r="E16" s="8"/>
      <c r="F16" s="7" t="s">
        <v>203</v>
      </c>
      <c r="G16" s="7" t="str">
        <f t="shared" si="3"/>
        <v>integer</v>
      </c>
      <c r="H16" s="26">
        <v>0</v>
      </c>
      <c r="I16" s="10" t="s">
        <v>127</v>
      </c>
      <c r="J16" s="11" t="s">
        <v>1881</v>
      </c>
      <c r="M16" s="4"/>
      <c r="N16" s="76"/>
      <c r="O16" s="76"/>
      <c r="P16" s="76" t="str">
        <f t="shared" si="4"/>
        <v>,kansen_bed</v>
      </c>
      <c r="Q16" s="76" t="str">
        <f t="shared" si="0"/>
        <v>INTEGER</v>
      </c>
      <c r="R16" s="76" t="str">
        <f t="shared" si="1"/>
        <v>default 0</v>
      </c>
      <c r="S16" s="76" t="str">
        <f t="shared" si="5"/>
        <v>NOT NULL</v>
      </c>
      <c r="T16" s="76" t="str">
        <f t="shared" si="6"/>
        <v>-- 感染症病床</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milscm_2023_010.azn_202310_backup_mt_shisetsu_zokusei.kansen_bed IS '感染症病床';</v>
      </c>
    </row>
    <row r="17" spans="1:52" s="25" customFormat="1">
      <c r="A17" s="4"/>
      <c r="B17" s="21">
        <f t="shared" si="2"/>
        <v>5</v>
      </c>
      <c r="C17" s="6" t="s">
        <v>1860</v>
      </c>
      <c r="D17" s="6" t="s">
        <v>1861</v>
      </c>
      <c r="E17" s="8"/>
      <c r="F17" s="7" t="s">
        <v>203</v>
      </c>
      <c r="G17" s="7" t="str">
        <f t="shared" si="3"/>
        <v>integer</v>
      </c>
      <c r="H17" s="26">
        <v>0</v>
      </c>
      <c r="I17" s="10" t="s">
        <v>127</v>
      </c>
      <c r="J17" s="11" t="s">
        <v>1881</v>
      </c>
      <c r="M17" s="4"/>
      <c r="N17" s="76"/>
      <c r="O17" s="76"/>
      <c r="P17" s="76" t="str">
        <f t="shared" si="4"/>
        <v>,kekkaku_bed</v>
      </c>
      <c r="Q17" s="76" t="str">
        <f t="shared" si="0"/>
        <v>INTEGER</v>
      </c>
      <c r="R17" s="76" t="str">
        <f t="shared" si="1"/>
        <v>default 0</v>
      </c>
      <c r="S17" s="76" t="str">
        <f t="shared" si="5"/>
        <v>NOT NULL</v>
      </c>
      <c r="T17" s="76" t="str">
        <f t="shared" si="6"/>
        <v>-- 結核病床</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milscm_2023_010.azn_202310_backup_mt_shisetsu_zokusei.kekkaku_bed IS '結核病床';</v>
      </c>
    </row>
    <row r="18" spans="1:52" s="25" customFormat="1">
      <c r="A18" s="4"/>
      <c r="B18" s="21">
        <f t="shared" si="2"/>
        <v>6</v>
      </c>
      <c r="C18" s="6" t="s">
        <v>1862</v>
      </c>
      <c r="D18" s="6" t="s">
        <v>1863</v>
      </c>
      <c r="E18" s="8"/>
      <c r="F18" s="7" t="s">
        <v>203</v>
      </c>
      <c r="G18" s="7" t="str">
        <f t="shared" si="3"/>
        <v>integer</v>
      </c>
      <c r="H18" s="26">
        <v>0</v>
      </c>
      <c r="I18" s="10" t="s">
        <v>127</v>
      </c>
      <c r="J18" s="11" t="s">
        <v>1881</v>
      </c>
      <c r="M18" s="4"/>
      <c r="N18" s="76"/>
      <c r="O18" s="76"/>
      <c r="P18" s="76" t="str">
        <f t="shared" si="4"/>
        <v>,ryouyou_bed</v>
      </c>
      <c r="Q18" s="76" t="str">
        <f t="shared" si="0"/>
        <v>INTEGER</v>
      </c>
      <c r="R18" s="76" t="str">
        <f t="shared" si="1"/>
        <v>default 0</v>
      </c>
      <c r="S18" s="76" t="str">
        <f t="shared" si="5"/>
        <v>NOT NULL</v>
      </c>
      <c r="T18" s="76" t="str">
        <f t="shared" si="6"/>
        <v>-- 療養病床</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milscm_2023_010.azn_202310_backup_mt_shisetsu_zokusei.ryouyou_bed IS '療養病床';</v>
      </c>
    </row>
    <row r="19" spans="1:52" s="25" customFormat="1" ht="37.5">
      <c r="A19" s="4"/>
      <c r="B19" s="21">
        <f t="shared" si="2"/>
        <v>7</v>
      </c>
      <c r="C19" s="6" t="s">
        <v>1864</v>
      </c>
      <c r="D19" s="6" t="s">
        <v>1865</v>
      </c>
      <c r="E19" s="8"/>
      <c r="F19" s="7" t="s">
        <v>735</v>
      </c>
      <c r="G19" s="7" t="str">
        <f t="shared" si="3"/>
        <v>text</v>
      </c>
      <c r="H19" s="26">
        <v>0</v>
      </c>
      <c r="I19" s="10" t="s">
        <v>127</v>
      </c>
      <c r="J19" s="11" t="s">
        <v>1882</v>
      </c>
      <c r="M19" s="4"/>
      <c r="N19" s="76"/>
      <c r="O19" s="76"/>
      <c r="P19" s="76" t="str">
        <f t="shared" si="4"/>
        <v>,univ_hp_f</v>
      </c>
      <c r="Q19" s="76" t="str">
        <f t="shared" si="0"/>
        <v>TEXT</v>
      </c>
      <c r="R19" s="76" t="str">
        <f t="shared" si="1"/>
        <v>default '0'</v>
      </c>
      <c r="S19" s="76" t="str">
        <f t="shared" si="5"/>
        <v>NOT NULL</v>
      </c>
      <c r="T19" s="76" t="str">
        <f t="shared" si="6"/>
        <v>-- 大学病院F</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milscm_2023_010.azn_202310_backup_mt_shisetsu_zokusei.univ_hp_f IS '大学病院F';</v>
      </c>
    </row>
    <row r="20" spans="1:52" s="25" customFormat="1" ht="56.25">
      <c r="A20" s="4"/>
      <c r="B20" s="21">
        <f t="shared" si="2"/>
        <v>8</v>
      </c>
      <c r="C20" s="6" t="s">
        <v>1866</v>
      </c>
      <c r="D20" s="6" t="s">
        <v>1867</v>
      </c>
      <c r="E20" s="8"/>
      <c r="F20" s="7" t="s">
        <v>735</v>
      </c>
      <c r="G20" s="7" t="str">
        <f t="shared" ref="G20:G24" si="7">IF(F20="フラグ","boolean",IF(F20="文字列","text",IF(F20="整数","integer",IF(F20="実数","numeric",""))))</f>
        <v>text</v>
      </c>
      <c r="H20" s="26">
        <v>0</v>
      </c>
      <c r="I20" s="10" t="s">
        <v>127</v>
      </c>
      <c r="J20" s="11" t="s">
        <v>1883</v>
      </c>
      <c r="M20" s="4"/>
      <c r="N20" s="76"/>
      <c r="O20" s="76"/>
      <c r="P20" s="76" t="str">
        <f t="shared" ref="P20:P24" si="8">IF(B20&lt;&gt;1,","&amp;D20,D20)</f>
        <v>,tokutei_hp_f</v>
      </c>
      <c r="Q20" s="76" t="str">
        <f t="shared" ref="Q20:Q24" si="9">UPPER(G20)</f>
        <v>TEXT</v>
      </c>
      <c r="R20" s="76" t="str">
        <f t="shared" ref="R20:R24" si="10">IF(H20&lt;&gt;"","default "&amp;IF(G20="text","'"&amp;H20&amp;"'",H20),"")</f>
        <v>default '0'</v>
      </c>
      <c r="S20" s="76" t="str">
        <f t="shared" ref="S20:S24" si="11">IF(I20="○","NOT NULL","")</f>
        <v>NOT NULL</v>
      </c>
      <c r="T20" s="76" t="str">
        <f t="shared" ref="T20:T24" si="12">"-- "&amp;C20</f>
        <v>-- 特定機能病院F</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milscm_2023_010.azn_202310_backup_mt_shisetsu_zokusei.tokutei_hp_f IS '特定機能病院F';</v>
      </c>
    </row>
    <row r="21" spans="1:52" s="25" customFormat="1" ht="112.5">
      <c r="A21" s="4"/>
      <c r="B21" s="21">
        <f t="shared" si="2"/>
        <v>9</v>
      </c>
      <c r="C21" s="6" t="s">
        <v>1868</v>
      </c>
      <c r="D21" s="6" t="s">
        <v>1869</v>
      </c>
      <c r="E21" s="8"/>
      <c r="F21" s="7" t="s">
        <v>203</v>
      </c>
      <c r="G21" s="7" t="str">
        <f t="shared" si="7"/>
        <v>integer</v>
      </c>
      <c r="H21" s="26">
        <v>0</v>
      </c>
      <c r="I21" s="10" t="s">
        <v>127</v>
      </c>
      <c r="J21" s="11" t="s">
        <v>1884</v>
      </c>
      <c r="M21" s="4"/>
      <c r="N21" s="76"/>
      <c r="O21" s="76"/>
      <c r="P21" s="76" t="str">
        <f t="shared" si="8"/>
        <v>,cancer_hp_f</v>
      </c>
      <c r="Q21" s="76" t="str">
        <f t="shared" si="9"/>
        <v>INTEGER</v>
      </c>
      <c r="R21" s="76" t="str">
        <f t="shared" si="10"/>
        <v>default 0</v>
      </c>
      <c r="S21" s="76" t="str">
        <f t="shared" si="11"/>
        <v>NOT NULL</v>
      </c>
      <c r="T21" s="76" t="str">
        <f t="shared" si="12"/>
        <v>-- がん拠点病院F</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milscm_2023_010.azn_202310_backup_mt_shisetsu_zokusei.cancer_hp_f IS 'がん拠点病院F';</v>
      </c>
    </row>
    <row r="22" spans="1:52" s="25" customFormat="1" ht="37.5">
      <c r="A22" s="4"/>
      <c r="B22" s="21">
        <f t="shared" si="2"/>
        <v>10</v>
      </c>
      <c r="C22" s="6" t="s">
        <v>1870</v>
      </c>
      <c r="D22" s="6" t="s">
        <v>1871</v>
      </c>
      <c r="E22" s="8"/>
      <c r="F22" s="7" t="s">
        <v>735</v>
      </c>
      <c r="G22" s="7" t="str">
        <f t="shared" si="7"/>
        <v>text</v>
      </c>
      <c r="H22" s="26">
        <v>0</v>
      </c>
      <c r="I22" s="10" t="s">
        <v>127</v>
      </c>
      <c r="J22" s="11" t="s">
        <v>1885</v>
      </c>
      <c r="M22" s="4"/>
      <c r="N22" s="76"/>
      <c r="O22" s="76"/>
      <c r="P22" s="76" t="str">
        <f t="shared" si="8"/>
        <v>,high_acute_care_hp_f</v>
      </c>
      <c r="Q22" s="76" t="str">
        <f t="shared" si="9"/>
        <v>TEXT</v>
      </c>
      <c r="R22" s="76" t="str">
        <f t="shared" si="10"/>
        <v>default '0'</v>
      </c>
      <c r="S22" s="76" t="str">
        <f t="shared" si="11"/>
        <v>NOT NULL</v>
      </c>
      <c r="T22" s="76" t="str">
        <f t="shared" si="12"/>
        <v>-- 高度急性期病院F</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milscm_2023_010.azn_202310_backup_mt_shisetsu_zokusei.high_acute_care_hp_f IS '高度急性期病院F';</v>
      </c>
    </row>
    <row r="23" spans="1:52" s="25" customFormat="1" ht="37.5">
      <c r="A23" s="4"/>
      <c r="B23" s="21">
        <f t="shared" si="2"/>
        <v>11</v>
      </c>
      <c r="C23" s="6" t="s">
        <v>1872</v>
      </c>
      <c r="D23" s="6" t="s">
        <v>1873</v>
      </c>
      <c r="E23" s="8"/>
      <c r="F23" s="7" t="s">
        <v>735</v>
      </c>
      <c r="G23" s="7" t="str">
        <f t="shared" si="7"/>
        <v>text</v>
      </c>
      <c r="H23" s="26">
        <v>0</v>
      </c>
      <c r="I23" s="10" t="s">
        <v>127</v>
      </c>
      <c r="J23" s="11" t="s">
        <v>1886</v>
      </c>
      <c r="M23" s="4"/>
      <c r="N23" s="76"/>
      <c r="O23" s="76"/>
      <c r="P23" s="76" t="str">
        <f t="shared" si="8"/>
        <v>,acute_care_hp_f</v>
      </c>
      <c r="Q23" s="76" t="str">
        <f t="shared" si="9"/>
        <v>TEXT</v>
      </c>
      <c r="R23" s="76" t="str">
        <f t="shared" si="10"/>
        <v>default '0'</v>
      </c>
      <c r="S23" s="76" t="str">
        <f t="shared" si="11"/>
        <v>NOT NULL</v>
      </c>
      <c r="T23" s="76" t="str">
        <f t="shared" si="12"/>
        <v>-- 急性期病院F</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milscm_2023_010.azn_202310_backup_mt_shisetsu_zokusei.acute_care_hp_f IS '急性期病院F';</v>
      </c>
    </row>
    <row r="24" spans="1:52" s="25" customFormat="1">
      <c r="A24" s="4"/>
      <c r="B24" s="21">
        <f t="shared" si="2"/>
        <v>12</v>
      </c>
      <c r="C24" s="6" t="s">
        <v>1874</v>
      </c>
      <c r="D24" s="6" t="s">
        <v>1875</v>
      </c>
      <c r="E24" s="8"/>
      <c r="F24" s="7" t="s">
        <v>735</v>
      </c>
      <c r="G24" s="7" t="str">
        <f t="shared" si="7"/>
        <v>text</v>
      </c>
      <c r="H24" s="26">
        <v>0</v>
      </c>
      <c r="I24" s="10" t="s">
        <v>127</v>
      </c>
      <c r="J24" s="11" t="s">
        <v>1887</v>
      </c>
      <c r="M24" s="4"/>
      <c r="N24" s="76"/>
      <c r="O24" s="76"/>
      <c r="P24" s="76" t="str">
        <f t="shared" si="8"/>
        <v>,mil_exit_f</v>
      </c>
      <c r="Q24" s="76" t="str">
        <f t="shared" si="9"/>
        <v>TEXT</v>
      </c>
      <c r="R24" s="76" t="str">
        <f t="shared" si="10"/>
        <v>default '0'</v>
      </c>
      <c r="S24" s="76" t="str">
        <f t="shared" si="11"/>
        <v>NOT NULL</v>
      </c>
      <c r="T24" s="76" t="str">
        <f t="shared" si="12"/>
        <v>-- 千年カルテ離脱施設フラグ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milscm_2023_010.azn_202310_backup_mt_shisetsu_zokusei.mil_exit_f IS '千年カルテ離脱施設フラグ';</v>
      </c>
    </row>
    <row r="25" spans="1:52" s="25" customFormat="1" ht="56.25">
      <c r="A25" s="4"/>
      <c r="B25" s="21">
        <f t="shared" si="2"/>
        <v>13</v>
      </c>
      <c r="C25" s="6" t="s">
        <v>1876</v>
      </c>
      <c r="D25" s="6" t="s">
        <v>1877</v>
      </c>
      <c r="E25" s="8" t="s">
        <v>127</v>
      </c>
      <c r="F25" s="7" t="s">
        <v>735</v>
      </c>
      <c r="G25" s="7" t="str">
        <f t="shared" si="3"/>
        <v>text</v>
      </c>
      <c r="H25" s="26">
        <v>999999</v>
      </c>
      <c r="I25" s="10" t="s">
        <v>127</v>
      </c>
      <c r="J25" s="11" t="s">
        <v>1888</v>
      </c>
      <c r="M25" s="4"/>
      <c r="N25" s="76"/>
      <c r="O25" s="76"/>
      <c r="P25" s="76" t="str">
        <f t="shared" si="4"/>
        <v>,torikomi_kijun_ym</v>
      </c>
      <c r="Q25" s="76" t="str">
        <f t="shared" si="0"/>
        <v>TEXT</v>
      </c>
      <c r="R25" s="76" t="str">
        <f t="shared" si="1"/>
        <v>default '999999'</v>
      </c>
      <c r="S25" s="76" t="str">
        <f t="shared" si="5"/>
        <v>NOT NULL</v>
      </c>
      <c r="T25" s="76" t="str">
        <f t="shared" si="6"/>
        <v>-- 取込基準年月</v>
      </c>
      <c r="U25" s="4"/>
      <c r="AA25" s="4"/>
      <c r="AB25" s="4"/>
      <c r="AC25" s="4"/>
      <c r="AD25" s="4"/>
      <c r="AE25" s="4"/>
      <c r="AF25" s="4"/>
      <c r="AG25" s="4"/>
      <c r="AH25" s="4"/>
      <c r="AI25" s="4"/>
      <c r="AJ25" s="76" t="str">
        <f>IF(E25="○",IF(COUNTA(E$13:E25)=1,"",",")&amp;D25,"")</f>
        <v>,torikomi_kijun_ym</v>
      </c>
      <c r="AK25" s="4"/>
      <c r="AL25" s="4"/>
      <c r="AM25" s="4"/>
      <c r="AN25" s="4"/>
      <c r="AO25" s="4"/>
      <c r="AP25" s="4"/>
      <c r="AQ25" s="4"/>
      <c r="AR25" s="4"/>
      <c r="AS25" s="76" t="str">
        <f>"COMMENT ON COLUMN "&amp;エンティティ一覧!$O$2&amp;"."&amp;D$8&amp;"."&amp;D25&amp;" IS '"&amp;C25&amp;"';"</f>
        <v>COMMENT ON COLUMN milscm_2023_010.azn_202310_backup_mt_shisetsu_zokusei.torikomi_kijun_ym IS '取込基準年月';</v>
      </c>
    </row>
    <row r="26" spans="1:52" s="25" customFormat="1" ht="19.5" thickBot="1">
      <c r="A26" s="4"/>
      <c r="B26" s="27">
        <f>ROW()-12</f>
        <v>14</v>
      </c>
      <c r="C26" s="57" t="s">
        <v>1878</v>
      </c>
      <c r="D26" s="57" t="s">
        <v>1879</v>
      </c>
      <c r="E26" s="56"/>
      <c r="F26" s="56" t="s">
        <v>735</v>
      </c>
      <c r="G26" s="56" t="str">
        <f t="shared" si="3"/>
        <v>text</v>
      </c>
      <c r="H26" s="59">
        <v>99999999</v>
      </c>
      <c r="I26" s="60" t="s">
        <v>127</v>
      </c>
      <c r="J26" s="63" t="s">
        <v>1792</v>
      </c>
      <c r="N26" s="76"/>
      <c r="O26" s="76"/>
      <c r="P26" s="76" t="str">
        <f t="shared" si="4"/>
        <v>,update_ymd</v>
      </c>
      <c r="Q26" s="76" t="str">
        <f t="shared" si="0"/>
        <v>TEXT</v>
      </c>
      <c r="R26" s="76" t="str">
        <f t="shared" si="1"/>
        <v>default '99999999'</v>
      </c>
      <c r="S26" s="76" t="str">
        <f t="shared" si="5"/>
        <v>NOT NULL</v>
      </c>
      <c r="T26" s="76" t="str">
        <f t="shared" si="6"/>
        <v>-- データ登録年月日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milscm_2023_010.azn_202310_backup_mt_shisetsu_zokusei.update_ymd IS 'データ登録年月日';</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ENT_01_A3-03</v>
      </c>
      <c r="E6" s="272"/>
      <c r="F6" s="272"/>
      <c r="G6" s="272"/>
      <c r="H6" s="272"/>
      <c r="I6" s="272"/>
      <c r="J6" s="273"/>
    </row>
    <row r="7" spans="1:45">
      <c r="B7" s="261" t="s">
        <v>115</v>
      </c>
      <c r="C7" s="262"/>
      <c r="D7" s="263" t="s">
        <v>1889</v>
      </c>
      <c r="E7" s="264"/>
      <c r="F7" s="264"/>
      <c r="G7" s="264"/>
      <c r="H7" s="264"/>
      <c r="I7" s="264"/>
      <c r="J7" s="265"/>
    </row>
    <row r="8" spans="1:45">
      <c r="B8" s="261" t="s">
        <v>116</v>
      </c>
      <c r="C8" s="262"/>
      <c r="D8" s="263" t="str">
        <f>エンティティ一覧!AE2&amp;"_"&amp;D5&amp;"_mt_iryouken2"</f>
        <v>azn_202310_backup_mt_iryouken2</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二次医療圏マスタ取込用テーブルから組入れ条件の第一条件で絞り込んだ結果を格納するテーブル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milscm_2023_010.azn_202310_backup_mt_iryouken2;</v>
      </c>
      <c r="O10" s="76"/>
      <c r="P10" s="76"/>
      <c r="Q10" s="76"/>
      <c r="R10" s="76"/>
      <c r="S10" s="76"/>
      <c r="T10" s="76"/>
      <c r="AJ10" s="76" t="str">
        <f>"ALTER TABLE ONLY "&amp;エンティティ一覧!$O$2&amp;"."&amp;D$8</f>
        <v>ALTER TABLE ONLY milscm_2023_010.azn_202310_backup_mt_iryouken2</v>
      </c>
      <c r="AS10" s="76" t="str">
        <f>"ALTER TABLE "&amp;エンティティ一覧!$O$2&amp;"."&amp;D$8&amp;" OWNER TO pgmisgrp1;"</f>
        <v>ALTER TABLE milscm_2023_010.azn_202310_backup_mt_iryouken2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milscm_2023_010.azn_202310_backup_mt_iryouken2</v>
      </c>
      <c r="O11" s="76"/>
      <c r="P11" s="76"/>
      <c r="Q11" s="76"/>
      <c r="R11" s="76"/>
      <c r="S11" s="76"/>
      <c r="T11" s="76"/>
      <c r="AJ11" s="76" t="str">
        <f>"ADD CONSTRAINT "&amp;D$8&amp;"_pkey PRIMARY KEY"</f>
        <v>ADD CONSTRAINT azn_202310_backup_mt_iryouken2_pkey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milscm_2023_010.azn_202310_backup_mt_iryouken2 IS 'バックアップ_二次医療圏マスタ取込用';</v>
      </c>
    </row>
    <row r="13" spans="1:45" s="25" customFormat="1" ht="37.5">
      <c r="A13" s="4"/>
      <c r="B13" s="21">
        <f>ROW()-12</f>
        <v>1</v>
      </c>
      <c r="C13" s="6" t="s">
        <v>1890</v>
      </c>
      <c r="D13" s="6" t="s">
        <v>1891</v>
      </c>
      <c r="E13" s="8"/>
      <c r="F13" s="8" t="s">
        <v>735</v>
      </c>
      <c r="G13" s="7" t="str">
        <f>IF(F13="フラグ","boolean",IF(F13="文字列","text",IF(F13="整数","integer",IF(F13="実数","numeric",""))))</f>
        <v>text</v>
      </c>
      <c r="H13" s="9"/>
      <c r="I13" s="10" t="s">
        <v>127</v>
      </c>
      <c r="J13" s="11" t="s">
        <v>1907</v>
      </c>
      <c r="M13" s="4"/>
      <c r="N13" s="76"/>
      <c r="O13" s="76"/>
      <c r="P13" s="76" t="str">
        <f>IF(B13&lt;&gt;1,","&amp;D13,D13)</f>
        <v>iryouken2_cd</v>
      </c>
      <c r="Q13" s="76" t="str">
        <f t="shared" ref="Q13:Q22" si="0">UPPER(G13)</f>
        <v>TEXT</v>
      </c>
      <c r="R13" s="76" t="str">
        <f t="shared" ref="R13:R22" si="1">IF(H13&lt;&gt;"","default "&amp;IF(G13="text","'"&amp;H13&amp;"'",H13),"")</f>
        <v/>
      </c>
      <c r="S13" s="76" t="str">
        <f>IF(I13="○","NOT NULL","")</f>
        <v>NOT NULL</v>
      </c>
      <c r="T13" s="76" t="str">
        <f>"-- "&amp;C13</f>
        <v>-- 二次医療圏コード</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milscm_2023_010.azn_202310_backup_mt_iryouken2.iryouken2_cd IS '二次医療圏コード';</v>
      </c>
    </row>
    <row r="14" spans="1:45" s="25" customFormat="1" ht="37.5">
      <c r="A14" s="4"/>
      <c r="B14" s="21">
        <f t="shared" ref="B14:B21" si="2">ROW()-12</f>
        <v>2</v>
      </c>
      <c r="C14" s="6" t="s">
        <v>1892</v>
      </c>
      <c r="D14" s="6" t="s">
        <v>1893</v>
      </c>
      <c r="E14" s="8"/>
      <c r="F14" s="7" t="s">
        <v>735</v>
      </c>
      <c r="G14" s="7" t="str">
        <f t="shared" ref="G14:G22" si="3">IF(F14="フラグ","boolean",IF(F14="文字列","text",IF(F14="整数","integer",IF(F14="実数","numeric",""))))</f>
        <v>text</v>
      </c>
      <c r="H14" s="26"/>
      <c r="I14" s="10"/>
      <c r="J14" s="11" t="s">
        <v>1907</v>
      </c>
      <c r="M14" s="4"/>
      <c r="N14" s="76"/>
      <c r="O14" s="76"/>
      <c r="P14" s="76" t="str">
        <f t="shared" ref="P14:P22" si="4">IF(B14&lt;&gt;1,","&amp;D14,D14)</f>
        <v>,iryouken2</v>
      </c>
      <c r="Q14" s="76" t="str">
        <f t="shared" si="0"/>
        <v>TEXT</v>
      </c>
      <c r="R14" s="76" t="str">
        <f t="shared" si="1"/>
        <v/>
      </c>
      <c r="S14" s="76" t="str">
        <f t="shared" ref="S14:S22" si="5">IF(I14="○","NOT NULL","")</f>
        <v/>
      </c>
      <c r="T14" s="76" t="str">
        <f t="shared" ref="T14:T22" si="6">"-- "&amp;C14</f>
        <v>-- 二次医療圏</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milscm_2023_010.azn_202310_backup_mt_iryouken2.iryouken2 IS '二次医療圏';</v>
      </c>
    </row>
    <row r="15" spans="1:45" s="25" customFormat="1" ht="37.5">
      <c r="A15" s="4"/>
      <c r="B15" s="21">
        <f t="shared" si="2"/>
        <v>3</v>
      </c>
      <c r="C15" s="6" t="s">
        <v>1894</v>
      </c>
      <c r="D15" s="6" t="s">
        <v>1895</v>
      </c>
      <c r="E15" s="8"/>
      <c r="F15" s="7" t="s">
        <v>735</v>
      </c>
      <c r="G15" s="7" t="str">
        <f t="shared" si="3"/>
        <v>text</v>
      </c>
      <c r="H15" s="26"/>
      <c r="I15" s="10" t="s">
        <v>127</v>
      </c>
      <c r="J15" s="11" t="s">
        <v>1907</v>
      </c>
      <c r="M15" s="4"/>
      <c r="N15" s="76"/>
      <c r="O15" s="76"/>
      <c r="P15" s="76" t="str">
        <f t="shared" si="4"/>
        <v>,prefecture_cd</v>
      </c>
      <c r="Q15" s="76" t="str">
        <f t="shared" si="0"/>
        <v>TEXT</v>
      </c>
      <c r="R15" s="76" t="str">
        <f t="shared" si="1"/>
        <v/>
      </c>
      <c r="S15" s="76" t="str">
        <f t="shared" si="5"/>
        <v>NOT NULL</v>
      </c>
      <c r="T15" s="76" t="str">
        <f t="shared" si="6"/>
        <v>-- 都道府県コード</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milscm_2023_010.azn_202310_backup_mt_iryouken2.prefecture_cd IS '都道府県コード';</v>
      </c>
    </row>
    <row r="16" spans="1:45" s="25" customFormat="1" ht="37.5">
      <c r="A16" s="4"/>
      <c r="B16" s="21">
        <f t="shared" si="2"/>
        <v>4</v>
      </c>
      <c r="C16" s="6" t="s">
        <v>1896</v>
      </c>
      <c r="D16" s="6" t="s">
        <v>915</v>
      </c>
      <c r="E16" s="8"/>
      <c r="F16" s="7" t="s">
        <v>735</v>
      </c>
      <c r="G16" s="7" t="str">
        <f t="shared" si="3"/>
        <v>text</v>
      </c>
      <c r="H16" s="26"/>
      <c r="I16" s="10" t="s">
        <v>127</v>
      </c>
      <c r="J16" s="11" t="s">
        <v>1907</v>
      </c>
      <c r="M16" s="4"/>
      <c r="N16" s="76"/>
      <c r="O16" s="76"/>
      <c r="P16" s="76" t="str">
        <f t="shared" si="4"/>
        <v>,prefecture</v>
      </c>
      <c r="Q16" s="76" t="str">
        <f t="shared" si="0"/>
        <v>TEXT</v>
      </c>
      <c r="R16" s="76" t="str">
        <f t="shared" si="1"/>
        <v/>
      </c>
      <c r="S16" s="76" t="str">
        <f t="shared" si="5"/>
        <v>NOT NULL</v>
      </c>
      <c r="T16" s="76" t="str">
        <f t="shared" si="6"/>
        <v>-- 都道府県名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milscm_2023_010.azn_202310_backup_mt_iryouken2.prefecture IS '都道府県名';</v>
      </c>
    </row>
    <row r="17" spans="1:52" s="25" customFormat="1" ht="37.5">
      <c r="A17" s="4"/>
      <c r="B17" s="21">
        <f t="shared" si="2"/>
        <v>5</v>
      </c>
      <c r="C17" s="6" t="s">
        <v>1897</v>
      </c>
      <c r="D17" s="6" t="s">
        <v>1898</v>
      </c>
      <c r="E17" s="8" t="s">
        <v>127</v>
      </c>
      <c r="F17" s="7" t="s">
        <v>735</v>
      </c>
      <c r="G17" s="7" t="str">
        <f t="shared" si="3"/>
        <v>text</v>
      </c>
      <c r="H17" s="26"/>
      <c r="I17" s="10" t="s">
        <v>127</v>
      </c>
      <c r="J17" s="11" t="s">
        <v>1907</v>
      </c>
      <c r="M17" s="4"/>
      <c r="N17" s="76"/>
      <c r="O17" s="76"/>
      <c r="P17" s="76" t="str">
        <f t="shared" si="4"/>
        <v>,city_code</v>
      </c>
      <c r="Q17" s="76" t="str">
        <f t="shared" si="0"/>
        <v>TEXT</v>
      </c>
      <c r="R17" s="76" t="str">
        <f t="shared" si="1"/>
        <v/>
      </c>
      <c r="S17" s="76" t="str">
        <f t="shared" si="5"/>
        <v>NOT NULL</v>
      </c>
      <c r="T17" s="76" t="str">
        <f t="shared" si="6"/>
        <v>-- 市区町村コード</v>
      </c>
      <c r="U17" s="4"/>
      <c r="AA17" s="4"/>
      <c r="AB17" s="4"/>
      <c r="AC17" s="4"/>
      <c r="AD17" s="4"/>
      <c r="AE17" s="4"/>
      <c r="AF17" s="4"/>
      <c r="AG17" s="4"/>
      <c r="AH17" s="4"/>
      <c r="AI17" s="4"/>
      <c r="AJ17" s="76" t="str">
        <f>IF(E17="○",IF(COUNTA(E$13:E17)=1,"",",")&amp;D17,"")</f>
        <v>city_code</v>
      </c>
      <c r="AK17" s="4"/>
      <c r="AL17" s="4"/>
      <c r="AM17" s="4"/>
      <c r="AN17" s="4"/>
      <c r="AO17" s="4"/>
      <c r="AP17" s="4"/>
      <c r="AQ17" s="4"/>
      <c r="AR17" s="4"/>
      <c r="AS17" s="76" t="str">
        <f>"COMMENT ON COLUMN "&amp;エンティティ一覧!$O$2&amp;"."&amp;D$8&amp;"."&amp;D17&amp;" IS '"&amp;C17&amp;"';"</f>
        <v>COMMENT ON COLUMN milscm_2023_010.azn_202310_backup_mt_iryouken2.city_code IS '市区町村コード';</v>
      </c>
    </row>
    <row r="18" spans="1:52" s="25" customFormat="1" ht="37.5">
      <c r="A18" s="4"/>
      <c r="B18" s="21">
        <f t="shared" si="2"/>
        <v>6</v>
      </c>
      <c r="C18" s="6" t="s">
        <v>1899</v>
      </c>
      <c r="D18" s="6" t="s">
        <v>1900</v>
      </c>
      <c r="E18" s="8"/>
      <c r="F18" s="7" t="s">
        <v>735</v>
      </c>
      <c r="G18" s="7" t="str">
        <f t="shared" si="3"/>
        <v>text</v>
      </c>
      <c r="H18" s="26"/>
      <c r="I18" s="10" t="s">
        <v>127</v>
      </c>
      <c r="J18" s="11" t="s">
        <v>1907</v>
      </c>
      <c r="M18" s="4"/>
      <c r="N18" s="76"/>
      <c r="O18" s="76"/>
      <c r="P18" s="76" t="str">
        <f t="shared" si="4"/>
        <v>,city</v>
      </c>
      <c r="Q18" s="76" t="str">
        <f t="shared" si="0"/>
        <v>TEXT</v>
      </c>
      <c r="R18" s="76" t="str">
        <f t="shared" si="1"/>
        <v/>
      </c>
      <c r="S18" s="76" t="str">
        <f t="shared" si="5"/>
        <v>NOT NULL</v>
      </c>
      <c r="T18" s="76" t="str">
        <f t="shared" si="6"/>
        <v>-- 市区町村</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milscm_2023_010.azn_202310_backup_mt_iryouken2.city IS '市区町村';</v>
      </c>
    </row>
    <row r="19" spans="1:52" s="25" customFormat="1" ht="37.5">
      <c r="A19" s="4"/>
      <c r="B19" s="21">
        <f t="shared" si="2"/>
        <v>7</v>
      </c>
      <c r="C19" s="6" t="s">
        <v>1901</v>
      </c>
      <c r="D19" s="6" t="s">
        <v>1902</v>
      </c>
      <c r="E19" s="8"/>
      <c r="F19" s="7" t="s">
        <v>735</v>
      </c>
      <c r="G19" s="7" t="str">
        <f t="shared" si="3"/>
        <v>text</v>
      </c>
      <c r="H19" s="26">
        <v>0</v>
      </c>
      <c r="I19" s="10" t="s">
        <v>127</v>
      </c>
      <c r="J19" s="11" t="s">
        <v>1907</v>
      </c>
      <c r="M19" s="4"/>
      <c r="N19" s="76"/>
      <c r="O19" s="76"/>
      <c r="P19" s="76" t="str">
        <f t="shared" si="4"/>
        <v>,del_f</v>
      </c>
      <c r="Q19" s="76" t="str">
        <f t="shared" si="0"/>
        <v>TEXT</v>
      </c>
      <c r="R19" s="76" t="str">
        <f t="shared" si="1"/>
        <v>default '0'</v>
      </c>
      <c r="S19" s="76" t="str">
        <f t="shared" si="5"/>
        <v>NOT NULL</v>
      </c>
      <c r="T19" s="76" t="str">
        <f t="shared" si="6"/>
        <v>-- 削除フラグ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milscm_2023_010.azn_202310_backup_mt_iryouken2.del_f IS '削除フラグ';</v>
      </c>
    </row>
    <row r="20" spans="1:52" s="25" customFormat="1" ht="56.25">
      <c r="A20" s="4"/>
      <c r="B20" s="21">
        <f t="shared" si="2"/>
        <v>8</v>
      </c>
      <c r="C20" s="6" t="s">
        <v>1878</v>
      </c>
      <c r="D20" s="6" t="s">
        <v>1879</v>
      </c>
      <c r="E20" s="8" t="s">
        <v>127</v>
      </c>
      <c r="F20" s="7" t="s">
        <v>735</v>
      </c>
      <c r="G20" s="7" t="str">
        <f t="shared" si="3"/>
        <v>text</v>
      </c>
      <c r="H20" s="26">
        <v>99999999</v>
      </c>
      <c r="I20" s="10" t="s">
        <v>127</v>
      </c>
      <c r="J20" s="11" t="s">
        <v>1908</v>
      </c>
      <c r="M20" s="4"/>
      <c r="N20" s="76"/>
      <c r="O20" s="76"/>
      <c r="P20" s="76" t="str">
        <f t="shared" si="4"/>
        <v>,update_ymd</v>
      </c>
      <c r="Q20" s="76" t="str">
        <f t="shared" si="0"/>
        <v>TEXT</v>
      </c>
      <c r="R20" s="76" t="str">
        <f t="shared" si="1"/>
        <v>default '99999999'</v>
      </c>
      <c r="S20" s="76" t="str">
        <f t="shared" si="5"/>
        <v>NOT NULL</v>
      </c>
      <c r="T20" s="76" t="str">
        <f t="shared" si="6"/>
        <v>-- データ登録年月日</v>
      </c>
      <c r="U20" s="4"/>
      <c r="AA20" s="4"/>
      <c r="AB20" s="4"/>
      <c r="AC20" s="4"/>
      <c r="AD20" s="4"/>
      <c r="AE20" s="4"/>
      <c r="AF20" s="4"/>
      <c r="AG20" s="4"/>
      <c r="AH20" s="4"/>
      <c r="AI20" s="4"/>
      <c r="AJ20" s="76" t="str">
        <f>IF(E20="○",IF(COUNTA(E$13:E20)=1,"",",")&amp;D20,"")</f>
        <v>,update_ymd</v>
      </c>
      <c r="AK20" s="4"/>
      <c r="AL20" s="4"/>
      <c r="AM20" s="4"/>
      <c r="AN20" s="4"/>
      <c r="AO20" s="4"/>
      <c r="AP20" s="4"/>
      <c r="AQ20" s="4"/>
      <c r="AR20" s="4"/>
      <c r="AS20" s="76" t="str">
        <f>"COMMENT ON COLUMN "&amp;エンティティ一覧!$O$2&amp;"."&amp;D$8&amp;"."&amp;D20&amp;" IS '"&amp;C20&amp;"';"</f>
        <v>COMMENT ON COLUMN milscm_2023_010.azn_202310_backup_mt_iryouken2.update_ymd IS 'データ登録年月日';</v>
      </c>
    </row>
    <row r="21" spans="1:52" s="25" customFormat="1" ht="56.25">
      <c r="A21" s="4"/>
      <c r="B21" s="21">
        <f t="shared" si="2"/>
        <v>9</v>
      </c>
      <c r="C21" s="6" t="s">
        <v>1903</v>
      </c>
      <c r="D21" s="6" t="s">
        <v>1904</v>
      </c>
      <c r="E21" s="8"/>
      <c r="F21" s="7" t="s">
        <v>735</v>
      </c>
      <c r="G21" s="7" t="str">
        <f t="shared" si="3"/>
        <v>text</v>
      </c>
      <c r="H21" s="26">
        <v>99999999</v>
      </c>
      <c r="I21" s="10" t="s">
        <v>127</v>
      </c>
      <c r="J21" s="11" t="s">
        <v>1908</v>
      </c>
      <c r="M21" s="4"/>
      <c r="N21" s="76"/>
      <c r="O21" s="76"/>
      <c r="P21" s="76" t="str">
        <f t="shared" si="4"/>
        <v>,henkou_ymd</v>
      </c>
      <c r="Q21" s="76" t="str">
        <f t="shared" si="0"/>
        <v>TEXT</v>
      </c>
      <c r="R21" s="76" t="str">
        <f t="shared" si="1"/>
        <v>default '99999999'</v>
      </c>
      <c r="S21" s="76" t="str">
        <f t="shared" si="5"/>
        <v>NOT NULL</v>
      </c>
      <c r="T21" s="76" t="str">
        <f t="shared" si="6"/>
        <v>-- 変更年月日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milscm_2023_010.azn_202310_backup_mt_iryouken2.henkou_ymd IS '変更年月日';</v>
      </c>
    </row>
    <row r="22" spans="1:52" s="25" customFormat="1" ht="57" thickBot="1">
      <c r="A22" s="4"/>
      <c r="B22" s="27">
        <f>ROW()-12</f>
        <v>10</v>
      </c>
      <c r="C22" s="57" t="s">
        <v>1905</v>
      </c>
      <c r="D22" s="57" t="s">
        <v>1906</v>
      </c>
      <c r="E22" s="56"/>
      <c r="F22" s="56" t="s">
        <v>735</v>
      </c>
      <c r="G22" s="56" t="str">
        <f t="shared" si="3"/>
        <v>text</v>
      </c>
      <c r="H22" s="59">
        <v>99999999</v>
      </c>
      <c r="I22" s="60" t="s">
        <v>127</v>
      </c>
      <c r="J22" s="63" t="s">
        <v>1908</v>
      </c>
      <c r="N22" s="76"/>
      <c r="O22" s="76"/>
      <c r="P22" s="76" t="str">
        <f t="shared" si="4"/>
        <v>,del_ymd</v>
      </c>
      <c r="Q22" s="76" t="str">
        <f t="shared" si="0"/>
        <v>TEXT</v>
      </c>
      <c r="R22" s="76" t="str">
        <f t="shared" si="1"/>
        <v>default '99999999'</v>
      </c>
      <c r="S22" s="76" t="str">
        <f t="shared" si="5"/>
        <v>NOT NULL</v>
      </c>
      <c r="T22" s="76" t="str">
        <f t="shared" si="6"/>
        <v>-- 廃止年月日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milscm_2023_010.azn_202310_backup_mt_iryouken2.del_ymd IS '廃止年月日';</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ENT_01_A3-04</v>
      </c>
      <c r="E6" s="272"/>
      <c r="F6" s="272"/>
      <c r="G6" s="272"/>
      <c r="H6" s="272"/>
      <c r="I6" s="272"/>
      <c r="J6" s="273"/>
    </row>
    <row r="7" spans="1:45">
      <c r="B7" s="261" t="s">
        <v>115</v>
      </c>
      <c r="C7" s="262"/>
      <c r="D7" s="263" t="s">
        <v>1909</v>
      </c>
      <c r="E7" s="264"/>
      <c r="F7" s="264"/>
      <c r="G7" s="264"/>
      <c r="H7" s="264"/>
      <c r="I7" s="264"/>
      <c r="J7" s="265"/>
    </row>
    <row r="8" spans="1:45">
      <c r="B8" s="261" t="s">
        <v>116</v>
      </c>
      <c r="C8" s="262"/>
      <c r="D8" s="263" t="str">
        <f>エンティティ一覧!AE2&amp;"_"&amp;D5&amp;"_mt_old_new_iyakuhin"</f>
        <v>azn_202310_backup_mt_old_new_iyakuhin</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新旧医薬品コードマスタ取込用テーブルから組入れ条件の第一条件で絞り込んだ結果を格納するテーブル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milscm_2023_010.azn_202310_backup_mt_old_new_iyakuhin;</v>
      </c>
      <c r="O10" s="76"/>
      <c r="P10" s="76"/>
      <c r="Q10" s="76"/>
      <c r="R10" s="76"/>
      <c r="S10" s="76"/>
      <c r="T10" s="76"/>
      <c r="AJ10" s="76" t="str">
        <f>"ALTER TABLE ONLY "&amp;エンティティ一覧!$O$2&amp;"."&amp;D$8</f>
        <v>ALTER TABLE ONLY milscm_2023_010.azn_202310_backup_mt_old_new_iyakuhin</v>
      </c>
      <c r="AS10" s="76" t="str">
        <f>"ALTER TABLE "&amp;エンティティ一覧!$O$2&amp;"."&amp;D$8&amp;" OWNER TO pgmisgrp1;"</f>
        <v>ALTER TABLE milscm_2023_010.azn_202310_backup_mt_old_new_iyakuhin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milscm_2023_010.azn_202310_backup_mt_old_new_iyakuhin</v>
      </c>
      <c r="O11" s="76"/>
      <c r="P11" s="76"/>
      <c r="Q11" s="76"/>
      <c r="R11" s="76"/>
      <c r="S11" s="76"/>
      <c r="T11" s="76"/>
      <c r="AJ11" s="76" t="str">
        <f>"ADD CONSTRAINT "&amp;D$8&amp;"_pkey PRIMARY KEY"</f>
        <v>ADD CONSTRAINT azn_202310_backup_mt_old_new_iyakuhin_pkey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milscm_2023_010.azn_202310_backup_mt_old_new_iyakuhin IS 'バックアップ_新旧医薬品コードマスタ取込用';</v>
      </c>
    </row>
    <row r="13" spans="1:45" s="25" customFormat="1" ht="37.5">
      <c r="A13" s="4"/>
      <c r="B13" s="21">
        <f>ROW()-12</f>
        <v>1</v>
      </c>
      <c r="C13" s="6" t="s">
        <v>1911</v>
      </c>
      <c r="D13" s="6" t="s">
        <v>1912</v>
      </c>
      <c r="E13" s="8" t="s">
        <v>127</v>
      </c>
      <c r="F13" s="8" t="s">
        <v>735</v>
      </c>
      <c r="G13" s="7" t="str">
        <f>IF(F13="フラグ","boolean",IF(F13="文字列","text",IF(F13="整数","integer",IF(F13="実数","numeric",""))))</f>
        <v>text</v>
      </c>
      <c r="H13" s="9" t="s">
        <v>1918</v>
      </c>
      <c r="I13" s="10" t="s">
        <v>127</v>
      </c>
      <c r="J13" s="11" t="s">
        <v>1919</v>
      </c>
      <c r="M13" s="4"/>
      <c r="N13" s="76"/>
      <c r="O13" s="76"/>
      <c r="P13" s="76" t="str">
        <f>IF(B13&lt;&gt;1,","&amp;D13,D13)</f>
        <v>siko_ymd</v>
      </c>
      <c r="Q13" s="76" t="str">
        <f t="shared" ref="Q13:Q16" si="0">UPPER(G13)</f>
        <v>TEXT</v>
      </c>
      <c r="R13" s="76" t="str">
        <f t="shared" ref="R13:R16" si="1">IF(H13&lt;&gt;"","default "&amp;IF(G13="text","'"&amp;H13&amp;"'",H13),"")</f>
        <v>default '99999999'</v>
      </c>
      <c r="S13" s="76" t="str">
        <f>IF(I13="○","NOT NULL","")</f>
        <v>NOT NULL</v>
      </c>
      <c r="T13" s="76" t="str">
        <f>"-- "&amp;C13</f>
        <v>-- 施行年月日</v>
      </c>
      <c r="U13" s="4"/>
      <c r="AA13" s="4"/>
      <c r="AB13" s="4"/>
      <c r="AC13" s="4"/>
      <c r="AD13" s="4"/>
      <c r="AE13" s="4"/>
      <c r="AF13" s="4"/>
      <c r="AG13" s="4"/>
      <c r="AH13" s="4"/>
      <c r="AI13" s="4"/>
      <c r="AJ13" s="76" t="str">
        <f>IF(E13="○",IF(COUNTA(E$13:E13)=1,"",",")&amp;D13,"")</f>
        <v>siko_ymd</v>
      </c>
      <c r="AK13" s="4"/>
      <c r="AL13" s="4"/>
      <c r="AM13" s="4"/>
      <c r="AN13" s="4"/>
      <c r="AO13" s="4"/>
      <c r="AP13" s="4"/>
      <c r="AQ13" s="4"/>
      <c r="AR13" s="4"/>
      <c r="AS13" s="76" t="str">
        <f>"COMMENT ON COLUMN "&amp;エンティティ一覧!$O$2&amp;"."&amp;D$8&amp;"."&amp;D13&amp;" IS '"&amp;C13&amp;"';"</f>
        <v>COMMENT ON COLUMN milscm_2023_010.azn_202310_backup_mt_old_new_iyakuhin.siko_ymd IS '施行年月日';</v>
      </c>
    </row>
    <row r="14" spans="1:45" s="25" customFormat="1" ht="37.5">
      <c r="A14" s="4"/>
      <c r="B14" s="21">
        <f t="shared" ref="B14:B15" si="2">ROW()-12</f>
        <v>2</v>
      </c>
      <c r="C14" s="6" t="s">
        <v>1913</v>
      </c>
      <c r="D14" s="6" t="s">
        <v>1914</v>
      </c>
      <c r="E14" s="8" t="s">
        <v>127</v>
      </c>
      <c r="F14" s="7" t="s">
        <v>735</v>
      </c>
      <c r="G14" s="7" t="str">
        <f t="shared" ref="G14:G16" si="3">IF(F14="フラグ","boolean",IF(F14="文字列","text",IF(F14="整数","integer",IF(F14="実数","numeric",""))))</f>
        <v>text</v>
      </c>
      <c r="H14" s="26"/>
      <c r="I14" s="10" t="s">
        <v>127</v>
      </c>
      <c r="J14" s="11" t="s">
        <v>1920</v>
      </c>
      <c r="M14" s="4"/>
      <c r="N14" s="76"/>
      <c r="O14" s="76"/>
      <c r="P14" s="76" t="str">
        <f t="shared" ref="P14:P16" si="4">IF(B14&lt;&gt;1,","&amp;D14,D14)</f>
        <v>,old_iyakuhin_cd</v>
      </c>
      <c r="Q14" s="76" t="str">
        <f t="shared" si="0"/>
        <v>TEXT</v>
      </c>
      <c r="R14" s="76" t="str">
        <f t="shared" si="1"/>
        <v/>
      </c>
      <c r="S14" s="76" t="str">
        <f t="shared" ref="S14:S16" si="5">IF(I14="○","NOT NULL","")</f>
        <v>NOT NULL</v>
      </c>
      <c r="T14" s="76" t="str">
        <f t="shared" ref="T14:T16" si="6">"-- "&amp;C14</f>
        <v>-- 旧医薬品コード</v>
      </c>
      <c r="U14" s="4"/>
      <c r="AA14" s="4"/>
      <c r="AB14" s="4"/>
      <c r="AC14" s="4"/>
      <c r="AD14" s="4"/>
      <c r="AE14" s="4"/>
      <c r="AF14" s="4"/>
      <c r="AG14" s="4"/>
      <c r="AH14" s="4"/>
      <c r="AI14" s="4"/>
      <c r="AJ14" s="76" t="str">
        <f>IF(E14="○",IF(COUNTA(E$13:E14)=1,"",",")&amp;D14,"")</f>
        <v>,old_iyakuhin_cd</v>
      </c>
      <c r="AK14" s="4"/>
      <c r="AL14" s="4"/>
      <c r="AM14" s="4"/>
      <c r="AN14" s="4"/>
      <c r="AO14" s="4"/>
      <c r="AP14" s="4"/>
      <c r="AQ14" s="4"/>
      <c r="AR14" s="4"/>
      <c r="AS14" s="76" t="str">
        <f>"COMMENT ON COLUMN "&amp;エンティティ一覧!$O$2&amp;"."&amp;D$8&amp;"."&amp;D14&amp;" IS '"&amp;C14&amp;"';"</f>
        <v>COMMENT ON COLUMN milscm_2023_010.azn_202310_backup_mt_old_new_iyakuhin.old_iyakuhin_cd IS '旧医薬品コード';</v>
      </c>
    </row>
    <row r="15" spans="1:45" s="25" customFormat="1" ht="37.5">
      <c r="A15" s="4"/>
      <c r="B15" s="21">
        <f t="shared" si="2"/>
        <v>3</v>
      </c>
      <c r="C15" s="6" t="s">
        <v>1915</v>
      </c>
      <c r="D15" s="6" t="s">
        <v>1916</v>
      </c>
      <c r="E15" s="8" t="s">
        <v>127</v>
      </c>
      <c r="F15" s="7" t="s">
        <v>735</v>
      </c>
      <c r="G15" s="7" t="str">
        <f t="shared" si="3"/>
        <v>text</v>
      </c>
      <c r="H15" s="26"/>
      <c r="I15" s="10" t="s">
        <v>127</v>
      </c>
      <c r="J15" s="11" t="s">
        <v>1921</v>
      </c>
      <c r="M15" s="4"/>
      <c r="N15" s="76"/>
      <c r="O15" s="76"/>
      <c r="P15" s="76" t="str">
        <f t="shared" si="4"/>
        <v>,new_iyakuhin_cd</v>
      </c>
      <c r="Q15" s="76" t="str">
        <f t="shared" si="0"/>
        <v>TEXT</v>
      </c>
      <c r="R15" s="76" t="str">
        <f t="shared" si="1"/>
        <v/>
      </c>
      <c r="S15" s="76" t="str">
        <f t="shared" si="5"/>
        <v>NOT NULL</v>
      </c>
      <c r="T15" s="76" t="str">
        <f t="shared" si="6"/>
        <v>-- 新医薬品コード</v>
      </c>
      <c r="U15" s="4"/>
      <c r="AA15" s="4"/>
      <c r="AB15" s="4"/>
      <c r="AC15" s="4"/>
      <c r="AD15" s="4"/>
      <c r="AE15" s="4"/>
      <c r="AF15" s="4"/>
      <c r="AG15" s="4"/>
      <c r="AH15" s="4"/>
      <c r="AI15" s="4"/>
      <c r="AJ15" s="76" t="str">
        <f>IF(E15="○",IF(COUNTA(E$13:E15)=1,"",",")&amp;D15,"")</f>
        <v>,new_iyakuhin_cd</v>
      </c>
      <c r="AK15" s="4"/>
      <c r="AL15" s="4"/>
      <c r="AM15" s="4"/>
      <c r="AN15" s="4"/>
      <c r="AO15" s="4"/>
      <c r="AP15" s="4"/>
      <c r="AQ15" s="4"/>
      <c r="AR15" s="4"/>
      <c r="AS15" s="76" t="str">
        <f>"COMMENT ON COLUMN "&amp;エンティティ一覧!$O$2&amp;"."&amp;D$8&amp;"."&amp;D15&amp;" IS '"&amp;C15&amp;"';"</f>
        <v>COMMENT ON COLUMN milscm_2023_010.azn_202310_backup_mt_old_new_iyakuhin.new_iyakuhin_cd IS '新医薬品コード';</v>
      </c>
    </row>
    <row r="16" spans="1:45" s="25" customFormat="1" ht="38.25" thickBot="1">
      <c r="A16" s="4"/>
      <c r="B16" s="27">
        <f>ROW()-12</f>
        <v>4</v>
      </c>
      <c r="C16" s="57" t="s">
        <v>1917</v>
      </c>
      <c r="D16" s="57" t="s">
        <v>1879</v>
      </c>
      <c r="E16" s="56"/>
      <c r="F16" s="56" t="s">
        <v>735</v>
      </c>
      <c r="G16" s="56" t="str">
        <f t="shared" si="3"/>
        <v>text</v>
      </c>
      <c r="H16" s="59">
        <v>99999999</v>
      </c>
      <c r="I16" s="60" t="s">
        <v>127</v>
      </c>
      <c r="J16" s="63" t="s">
        <v>1922</v>
      </c>
      <c r="N16" s="76"/>
      <c r="O16" s="76"/>
      <c r="P16" s="76" t="str">
        <f t="shared" si="4"/>
        <v>,update_ymd</v>
      </c>
      <c r="Q16" s="76" t="str">
        <f t="shared" si="0"/>
        <v>TEXT</v>
      </c>
      <c r="R16" s="76" t="str">
        <f t="shared" si="1"/>
        <v>default '99999999'</v>
      </c>
      <c r="S16" s="76" t="str">
        <f t="shared" si="5"/>
        <v>NOT NULL</v>
      </c>
      <c r="T16" s="76" t="str">
        <f t="shared" si="6"/>
        <v>-- データ登録年月日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milscm_2023_010.azn_202310_backup_mt_old_new_iyakuhin.update_ymd IS 'データ登録年月日';</v>
      </c>
    </row>
    <row r="17" spans="12:52">
      <c r="L17" s="25"/>
      <c r="M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ENT_01_A3-05</v>
      </c>
      <c r="E6" s="272"/>
      <c r="F6" s="272"/>
      <c r="G6" s="272"/>
      <c r="H6" s="272"/>
      <c r="I6" s="272"/>
      <c r="J6" s="273"/>
    </row>
    <row r="7" spans="1:45">
      <c r="B7" s="261" t="s">
        <v>115</v>
      </c>
      <c r="C7" s="262"/>
      <c r="D7" s="263" t="s">
        <v>1923</v>
      </c>
      <c r="E7" s="264"/>
      <c r="F7" s="264"/>
      <c r="G7" s="264"/>
      <c r="H7" s="264"/>
      <c r="I7" s="264"/>
      <c r="J7" s="265"/>
    </row>
    <row r="8" spans="1:45">
      <c r="B8" s="261" t="s">
        <v>116</v>
      </c>
      <c r="C8" s="262"/>
      <c r="D8" s="263" t="str">
        <f>エンティティ一覧!AE2&amp;"_"&amp;D5&amp;"_mt_dpc6_icd"</f>
        <v>azn_202310_backup_mt_dpc6_icd</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DPC6ICD10対応表マスタ取込用テーブルから組入れ条件の第一条件で絞り込んだ結果を格納するテーブル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milscm_2023_010.azn_202310_backup_mt_dpc6_icd;</v>
      </c>
      <c r="O10" s="76"/>
      <c r="P10" s="76"/>
      <c r="Q10" s="76"/>
      <c r="R10" s="76"/>
      <c r="S10" s="76"/>
      <c r="T10" s="76"/>
      <c r="AJ10" s="76" t="str">
        <f>"ALTER TABLE ONLY "&amp;エンティティ一覧!$O$2&amp;"."&amp;D$8</f>
        <v>ALTER TABLE ONLY milscm_2023_010.azn_202310_backup_mt_dpc6_icd</v>
      </c>
      <c r="AS10" s="76" t="str">
        <f>"ALTER TABLE "&amp;エンティティ一覧!$O$2&amp;"."&amp;D$8&amp;" OWNER TO pgmisgrp1;"</f>
        <v>ALTER TABLE milscm_2023_010.azn_202310_backup_mt_dpc6_icd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milscm_2023_010.azn_202310_backup_mt_dpc6_icd</v>
      </c>
      <c r="O11" s="76"/>
      <c r="P11" s="76"/>
      <c r="Q11" s="76"/>
      <c r="R11" s="76"/>
      <c r="S11" s="76"/>
      <c r="T11" s="76"/>
      <c r="AJ11" s="76" t="str">
        <f>"ADD CONSTRAINT "&amp;D$8&amp;"_pkey PRIMARY KEY"</f>
        <v>ADD CONSTRAINT azn_202310_backup_mt_dpc6_icd_pkey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milscm_2023_010.azn_202310_backup_mt_dpc6_icd IS 'バックアップ_DPC6ICD10対応表マスタ取込用';</v>
      </c>
    </row>
    <row r="13" spans="1:45" s="25" customFormat="1" ht="56.25">
      <c r="A13" s="4"/>
      <c r="B13" s="21">
        <f>ROW()-12</f>
        <v>1</v>
      </c>
      <c r="C13" s="6" t="s">
        <v>1911</v>
      </c>
      <c r="D13" s="6" t="s">
        <v>1912</v>
      </c>
      <c r="E13" s="8" t="s">
        <v>127</v>
      </c>
      <c r="F13" s="8" t="s">
        <v>735</v>
      </c>
      <c r="G13" s="7" t="str">
        <f>IF(F13="フラグ","boolean",IF(F13="文字列","text",IF(F13="整数","integer",IF(F13="実数","numeric",""))))</f>
        <v>text</v>
      </c>
      <c r="H13" s="9">
        <v>99999999</v>
      </c>
      <c r="I13" s="10" t="s">
        <v>127</v>
      </c>
      <c r="J13" s="11" t="s">
        <v>1937</v>
      </c>
      <c r="M13" s="4"/>
      <c r="N13" s="76"/>
      <c r="O13" s="76"/>
      <c r="P13" s="76" t="str">
        <f>IF(B13&lt;&gt;1,","&amp;D13,D13)</f>
        <v>siko_ymd</v>
      </c>
      <c r="Q13" s="76" t="str">
        <f t="shared" ref="Q13:Q21" si="0">UPPER(G13)</f>
        <v>TEXT</v>
      </c>
      <c r="R13" s="76" t="str">
        <f t="shared" ref="R13:R21" si="1">IF(H13&lt;&gt;"","default "&amp;IF(G13="text","'"&amp;H13&amp;"'",H13),"")</f>
        <v>default '99999999'</v>
      </c>
      <c r="S13" s="76" t="str">
        <f>IF(I13="○","NOT NULL","")</f>
        <v>NOT NULL</v>
      </c>
      <c r="T13" s="76" t="str">
        <f>"-- "&amp;C13</f>
        <v>-- 施行年月日</v>
      </c>
      <c r="U13" s="4"/>
      <c r="AA13" s="4"/>
      <c r="AB13" s="4"/>
      <c r="AC13" s="4"/>
      <c r="AD13" s="4"/>
      <c r="AE13" s="4"/>
      <c r="AF13" s="4"/>
      <c r="AG13" s="4"/>
      <c r="AH13" s="4"/>
      <c r="AI13" s="4"/>
      <c r="AJ13" s="76" t="str">
        <f>IF(E13="○",IF(COUNTA(E$13:E13)=1,"",",")&amp;D13,"")</f>
        <v>siko_ymd</v>
      </c>
      <c r="AK13" s="4"/>
      <c r="AL13" s="4"/>
      <c r="AM13" s="4"/>
      <c r="AN13" s="4"/>
      <c r="AO13" s="4"/>
      <c r="AP13" s="4"/>
      <c r="AQ13" s="4"/>
      <c r="AR13" s="4"/>
      <c r="AS13" s="76" t="str">
        <f>"COMMENT ON COLUMN "&amp;エンティティ一覧!$O$2&amp;"."&amp;D$8&amp;"."&amp;D13&amp;" IS '"&amp;C13&amp;"';"</f>
        <v>COMMENT ON COLUMN milscm_2023_010.azn_202310_backup_mt_dpc6_icd.siko_ymd IS '施行年月日';</v>
      </c>
    </row>
    <row r="14" spans="1:45" s="25" customFormat="1" ht="150">
      <c r="A14" s="4"/>
      <c r="B14" s="21">
        <f t="shared" ref="B14:B20" si="2">ROW()-12</f>
        <v>2</v>
      </c>
      <c r="C14" s="6" t="s">
        <v>1924</v>
      </c>
      <c r="D14" s="6" t="s">
        <v>1925</v>
      </c>
      <c r="E14" s="8" t="s">
        <v>127</v>
      </c>
      <c r="F14" s="7" t="s">
        <v>1735</v>
      </c>
      <c r="G14" s="7" t="str">
        <f t="shared" ref="G14:G21" si="3">IF(F14="フラグ","boolean",IF(F14="文字列","text",IF(F14="整数","integer",IF(F14="実数","numeric",""))))</f>
        <v>text</v>
      </c>
      <c r="H14" s="26"/>
      <c r="I14" s="10" t="s">
        <v>127</v>
      </c>
      <c r="J14" s="11" t="s">
        <v>1938</v>
      </c>
      <c r="M14" s="4"/>
      <c r="N14" s="76"/>
      <c r="O14" s="76"/>
      <c r="P14" s="76" t="str">
        <f t="shared" ref="P14:P21" si="4">IF(B14&lt;&gt;1,","&amp;D14,D14)</f>
        <v>,henkou_kubun</v>
      </c>
      <c r="Q14" s="76" t="str">
        <f t="shared" si="0"/>
        <v>TEXT</v>
      </c>
      <c r="R14" s="76" t="str">
        <f t="shared" si="1"/>
        <v/>
      </c>
      <c r="S14" s="76" t="str">
        <f t="shared" ref="S14:S21" si="5">IF(I14="○","NOT NULL","")</f>
        <v>NOT NULL</v>
      </c>
      <c r="T14" s="76" t="str">
        <f t="shared" ref="T14:T21" si="6">"-- "&amp;C14</f>
        <v>-- 変更区分</v>
      </c>
      <c r="U14" s="4"/>
      <c r="AA14" s="4"/>
      <c r="AB14" s="4"/>
      <c r="AC14" s="4"/>
      <c r="AD14" s="4"/>
      <c r="AE14" s="4"/>
      <c r="AF14" s="4"/>
      <c r="AG14" s="4"/>
      <c r="AH14" s="4"/>
      <c r="AI14" s="4"/>
      <c r="AJ14" s="76" t="str">
        <f>IF(E14="○",IF(COUNTA(E$13:E14)=1,"",",")&amp;D14,"")</f>
        <v>,henkou_kubun</v>
      </c>
      <c r="AK14" s="4"/>
      <c r="AL14" s="4"/>
      <c r="AM14" s="4"/>
      <c r="AN14" s="4"/>
      <c r="AO14" s="4"/>
      <c r="AP14" s="4"/>
      <c r="AQ14" s="4"/>
      <c r="AR14" s="4"/>
      <c r="AS14" s="76" t="str">
        <f>"COMMENT ON COLUMN "&amp;エンティティ一覧!$O$2&amp;"."&amp;D$8&amp;"."&amp;D14&amp;" IS '"&amp;C14&amp;"';"</f>
        <v>COMMENT ON COLUMN milscm_2023_010.azn_202310_backup_mt_dpc6_icd.henkou_kubun IS '変更区分';</v>
      </c>
    </row>
    <row r="15" spans="1:45" s="25" customFormat="1" ht="37.5">
      <c r="A15" s="4"/>
      <c r="B15" s="21">
        <f t="shared" si="2"/>
        <v>3</v>
      </c>
      <c r="C15" s="6" t="s">
        <v>1926</v>
      </c>
      <c r="D15" s="6" t="s">
        <v>1927</v>
      </c>
      <c r="E15" s="8"/>
      <c r="F15" s="7" t="s">
        <v>735</v>
      </c>
      <c r="G15" s="7" t="str">
        <f t="shared" si="3"/>
        <v>text</v>
      </c>
      <c r="H15" s="26"/>
      <c r="I15" s="10" t="s">
        <v>127</v>
      </c>
      <c r="J15" s="11" t="s">
        <v>1939</v>
      </c>
      <c r="M15" s="4"/>
      <c r="N15" s="76"/>
      <c r="O15" s="76"/>
      <c r="P15" s="76" t="str">
        <f t="shared" si="4"/>
        <v>,dpc2_cd</v>
      </c>
      <c r="Q15" s="76" t="str">
        <f t="shared" si="0"/>
        <v>TEXT</v>
      </c>
      <c r="R15" s="76" t="str">
        <f t="shared" si="1"/>
        <v/>
      </c>
      <c r="S15" s="76" t="str">
        <f t="shared" si="5"/>
        <v>NOT NULL</v>
      </c>
      <c r="T15" s="76" t="str">
        <f t="shared" si="6"/>
        <v>-- DPCコード2桁</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milscm_2023_010.azn_202310_backup_mt_dpc6_icd.dpc2_cd IS 'DPCコード2桁';</v>
      </c>
    </row>
    <row r="16" spans="1:45" s="25" customFormat="1" ht="37.5">
      <c r="A16" s="4"/>
      <c r="B16" s="21">
        <f t="shared" si="2"/>
        <v>4</v>
      </c>
      <c r="C16" s="6" t="s">
        <v>1928</v>
      </c>
      <c r="D16" s="6" t="s">
        <v>1929</v>
      </c>
      <c r="E16" s="8"/>
      <c r="F16" s="7" t="s">
        <v>735</v>
      </c>
      <c r="G16" s="7" t="str">
        <f t="shared" si="3"/>
        <v>text</v>
      </c>
      <c r="H16" s="26"/>
      <c r="I16" s="10" t="s">
        <v>127</v>
      </c>
      <c r="J16" s="11" t="s">
        <v>1939</v>
      </c>
      <c r="M16" s="4"/>
      <c r="N16" s="76"/>
      <c r="O16" s="76"/>
      <c r="P16" s="76" t="str">
        <f t="shared" si="4"/>
        <v>,dpc6_cd</v>
      </c>
      <c r="Q16" s="76" t="str">
        <f t="shared" si="0"/>
        <v>TEXT</v>
      </c>
      <c r="R16" s="76" t="str">
        <f t="shared" si="1"/>
        <v/>
      </c>
      <c r="S16" s="76" t="str">
        <f t="shared" si="5"/>
        <v>NOT NULL</v>
      </c>
      <c r="T16" s="76" t="str">
        <f t="shared" si="6"/>
        <v>-- DPCコード6桁</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milscm_2023_010.azn_202310_backup_mt_dpc6_icd.dpc6_cd IS 'DPCコード6桁';</v>
      </c>
    </row>
    <row r="17" spans="1:52" s="25" customFormat="1" ht="37.5">
      <c r="A17" s="4"/>
      <c r="B17" s="21">
        <f t="shared" si="2"/>
        <v>5</v>
      </c>
      <c r="C17" s="6" t="s">
        <v>661</v>
      </c>
      <c r="D17" s="6" t="s">
        <v>1930</v>
      </c>
      <c r="E17" s="8" t="s">
        <v>127</v>
      </c>
      <c r="F17" s="7" t="s">
        <v>735</v>
      </c>
      <c r="G17" s="7" t="str">
        <f t="shared" si="3"/>
        <v>text</v>
      </c>
      <c r="H17" s="26"/>
      <c r="I17" s="10" t="s">
        <v>127</v>
      </c>
      <c r="J17" s="11" t="s">
        <v>1939</v>
      </c>
      <c r="M17" s="4"/>
      <c r="N17" s="76"/>
      <c r="O17" s="76"/>
      <c r="P17" s="76" t="str">
        <f t="shared" si="4"/>
        <v>,icd10_cd</v>
      </c>
      <c r="Q17" s="76" t="str">
        <f t="shared" si="0"/>
        <v>TEXT</v>
      </c>
      <c r="R17" s="76" t="str">
        <f t="shared" si="1"/>
        <v/>
      </c>
      <c r="S17" s="76" t="str">
        <f t="shared" si="5"/>
        <v>NOT NULL</v>
      </c>
      <c r="T17" s="76" t="str">
        <f t="shared" si="6"/>
        <v>-- ICD10コード</v>
      </c>
      <c r="U17" s="4"/>
      <c r="AA17" s="4"/>
      <c r="AB17" s="4"/>
      <c r="AC17" s="4"/>
      <c r="AD17" s="4"/>
      <c r="AE17" s="4"/>
      <c r="AF17" s="4"/>
      <c r="AG17" s="4"/>
      <c r="AH17" s="4"/>
      <c r="AI17" s="4"/>
      <c r="AJ17" s="76" t="str">
        <f>IF(E17="○",IF(COUNTA(E$13:E17)=1,"",",")&amp;D17,"")</f>
        <v>,icd10_cd</v>
      </c>
      <c r="AK17" s="4"/>
      <c r="AL17" s="4"/>
      <c r="AM17" s="4"/>
      <c r="AN17" s="4"/>
      <c r="AO17" s="4"/>
      <c r="AP17" s="4"/>
      <c r="AQ17" s="4"/>
      <c r="AR17" s="4"/>
      <c r="AS17" s="76" t="str">
        <f>"COMMENT ON COLUMN "&amp;エンティティ一覧!$O$2&amp;"."&amp;D$8&amp;"."&amp;D17&amp;" IS '"&amp;C17&amp;"';"</f>
        <v>COMMENT ON COLUMN milscm_2023_010.azn_202310_backup_mt_dpc6_icd.icd10_cd IS 'ICD10コード';</v>
      </c>
    </row>
    <row r="18" spans="1:52" s="25" customFormat="1" ht="37.5">
      <c r="A18" s="4"/>
      <c r="B18" s="21">
        <f t="shared" si="2"/>
        <v>6</v>
      </c>
      <c r="C18" s="6" t="s">
        <v>1931</v>
      </c>
      <c r="D18" s="6" t="s">
        <v>1932</v>
      </c>
      <c r="E18" s="8"/>
      <c r="F18" s="7" t="s">
        <v>735</v>
      </c>
      <c r="G18" s="7" t="str">
        <f t="shared" si="3"/>
        <v>text</v>
      </c>
      <c r="H18" s="26"/>
      <c r="I18" s="10" t="s">
        <v>127</v>
      </c>
      <c r="J18" s="11" t="s">
        <v>1939</v>
      </c>
      <c r="M18" s="4"/>
      <c r="N18" s="76"/>
      <c r="O18" s="76"/>
      <c r="P18" s="76" t="str">
        <f t="shared" si="4"/>
        <v>,icd10_name</v>
      </c>
      <c r="Q18" s="76" t="str">
        <f t="shared" si="0"/>
        <v>TEXT</v>
      </c>
      <c r="R18" s="76" t="str">
        <f t="shared" si="1"/>
        <v/>
      </c>
      <c r="S18" s="76" t="str">
        <f t="shared" si="5"/>
        <v>NOT NULL</v>
      </c>
      <c r="T18" s="76" t="str">
        <f t="shared" si="6"/>
        <v>-- ICD名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milscm_2023_010.azn_202310_backup_mt_dpc6_icd.icd10_name IS 'ICD名';</v>
      </c>
    </row>
    <row r="19" spans="1:52" s="25" customFormat="1" ht="56.25">
      <c r="A19" s="4"/>
      <c r="B19" s="21">
        <f t="shared" si="2"/>
        <v>7</v>
      </c>
      <c r="C19" s="6" t="s">
        <v>1933</v>
      </c>
      <c r="D19" s="6" t="s">
        <v>1934</v>
      </c>
      <c r="E19" s="8"/>
      <c r="F19" s="7" t="s">
        <v>735</v>
      </c>
      <c r="G19" s="7" t="str">
        <f t="shared" si="3"/>
        <v>text</v>
      </c>
      <c r="H19" s="26" t="s">
        <v>1940</v>
      </c>
      <c r="I19" s="10" t="s">
        <v>127</v>
      </c>
      <c r="J19" s="11" t="s">
        <v>1937</v>
      </c>
      <c r="M19" s="4"/>
      <c r="N19" s="76"/>
      <c r="O19" s="76"/>
      <c r="P19" s="76" t="str">
        <f t="shared" si="4"/>
        <v>,start_ymd</v>
      </c>
      <c r="Q19" s="76" t="str">
        <f t="shared" si="0"/>
        <v>TEXT</v>
      </c>
      <c r="R19" s="76" t="str">
        <f t="shared" si="1"/>
        <v>default '00000000'</v>
      </c>
      <c r="S19" s="76" t="str">
        <f t="shared" si="5"/>
        <v>NOT NULL</v>
      </c>
      <c r="T19" s="76" t="str">
        <f t="shared" si="6"/>
        <v>-- 有効期間_開始年月日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milscm_2023_010.azn_202310_backup_mt_dpc6_icd.start_ymd IS '有効期間_開始年月日';</v>
      </c>
    </row>
    <row r="20" spans="1:52" s="25" customFormat="1" ht="56.25">
      <c r="A20" s="4"/>
      <c r="B20" s="21">
        <f t="shared" si="2"/>
        <v>8</v>
      </c>
      <c r="C20" s="6" t="s">
        <v>1935</v>
      </c>
      <c r="D20" s="6" t="s">
        <v>1936</v>
      </c>
      <c r="E20" s="8"/>
      <c r="F20" s="7" t="s">
        <v>735</v>
      </c>
      <c r="G20" s="7" t="str">
        <f t="shared" si="3"/>
        <v>text</v>
      </c>
      <c r="H20" s="26">
        <v>99999999</v>
      </c>
      <c r="I20" s="10" t="s">
        <v>127</v>
      </c>
      <c r="J20" s="11" t="s">
        <v>1937</v>
      </c>
      <c r="M20" s="4"/>
      <c r="N20" s="76"/>
      <c r="O20" s="76"/>
      <c r="P20" s="76" t="str">
        <f t="shared" si="4"/>
        <v>,end_ymd</v>
      </c>
      <c r="Q20" s="76" t="str">
        <f t="shared" si="0"/>
        <v>TEXT</v>
      </c>
      <c r="R20" s="76" t="str">
        <f t="shared" si="1"/>
        <v>default '99999999'</v>
      </c>
      <c r="S20" s="76" t="str">
        <f t="shared" si="5"/>
        <v>NOT NULL</v>
      </c>
      <c r="T20" s="76" t="str">
        <f t="shared" si="6"/>
        <v>-- 有効期間_終了年月日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milscm_2023_010.azn_202310_backup_mt_dpc6_icd.end_ymd IS '有効期間_終了年月日';</v>
      </c>
    </row>
    <row r="21" spans="1:52" s="25" customFormat="1" ht="57" thickBot="1">
      <c r="A21" s="4"/>
      <c r="B21" s="27">
        <f>ROW()-12</f>
        <v>9</v>
      </c>
      <c r="C21" s="57" t="s">
        <v>1917</v>
      </c>
      <c r="D21" s="57" t="s">
        <v>1879</v>
      </c>
      <c r="E21" s="56"/>
      <c r="F21" s="56" t="s">
        <v>735</v>
      </c>
      <c r="G21" s="56" t="str">
        <f t="shared" si="3"/>
        <v>text</v>
      </c>
      <c r="H21" s="59">
        <v>99999999</v>
      </c>
      <c r="I21" s="60" t="s">
        <v>127</v>
      </c>
      <c r="J21" s="63" t="s">
        <v>1937</v>
      </c>
      <c r="N21" s="76"/>
      <c r="O21" s="76"/>
      <c r="P21" s="76" t="str">
        <f t="shared" si="4"/>
        <v>,update_ymd</v>
      </c>
      <c r="Q21" s="76" t="str">
        <f t="shared" si="0"/>
        <v>TEXT</v>
      </c>
      <c r="R21" s="76" t="str">
        <f t="shared" si="1"/>
        <v>default '99999999'</v>
      </c>
      <c r="S21" s="76" t="str">
        <f t="shared" si="5"/>
        <v>NOT NULL</v>
      </c>
      <c r="T21" s="76" t="str">
        <f t="shared" si="6"/>
        <v>-- データ登録年月日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milscm_2023_010.azn_202310_backup_mt_dpc6_icd.update_ymd IS 'データ登録年月日';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ENT_01_A3-06</v>
      </c>
      <c r="E6" s="272"/>
      <c r="F6" s="272"/>
      <c r="G6" s="272"/>
      <c r="H6" s="272"/>
      <c r="I6" s="272"/>
      <c r="J6" s="273"/>
    </row>
    <row r="7" spans="1:45">
      <c r="B7" s="261" t="s">
        <v>115</v>
      </c>
      <c r="C7" s="262"/>
      <c r="D7" s="263" t="s">
        <v>1941</v>
      </c>
      <c r="E7" s="264"/>
      <c r="F7" s="264"/>
      <c r="G7" s="264"/>
      <c r="H7" s="264"/>
      <c r="I7" s="264"/>
      <c r="J7" s="265"/>
    </row>
    <row r="8" spans="1:45">
      <c r="B8" s="261" t="s">
        <v>116</v>
      </c>
      <c r="C8" s="262"/>
      <c r="D8" s="263" t="str">
        <f>エンティティ一覧!AE2&amp;"_"&amp;D5&amp;"_mt_syusyokugo"</f>
        <v>azn_202310_backup_mt_syusyokugo</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修飾語マスタ取込用テーブルから組入れ条件の第一条件で絞り込んだ結果を格納するテーブル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milscm_2023_010.azn_202310_backup_mt_syusyokugo;</v>
      </c>
      <c r="O10" s="76"/>
      <c r="P10" s="76"/>
      <c r="Q10" s="76"/>
      <c r="R10" s="76"/>
      <c r="S10" s="76"/>
      <c r="T10" s="76"/>
      <c r="AJ10" s="76" t="str">
        <f>"ALTER TABLE ONLY "&amp;エンティティ一覧!$O$2&amp;"."&amp;D$8</f>
        <v>ALTER TABLE ONLY milscm_2023_010.azn_202310_backup_mt_syusyokugo</v>
      </c>
      <c r="AS10" s="76" t="str">
        <f>"ALTER TABLE "&amp;エンティティ一覧!$O$2&amp;"."&amp;D$8&amp;" OWNER TO pgmisgrp1;"</f>
        <v>ALTER TABLE milscm_2023_010.azn_202310_backup_mt_syusyokugo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milscm_2023_010.azn_202310_backup_mt_syusyokugo</v>
      </c>
      <c r="O11" s="76"/>
      <c r="P11" s="76"/>
      <c r="Q11" s="76"/>
      <c r="R11" s="76"/>
      <c r="S11" s="76"/>
      <c r="T11" s="76"/>
      <c r="AJ11" s="76" t="str">
        <f>"ADD CONSTRAINT "&amp;D$8&amp;"_pkey PRIMARY KEY"</f>
        <v>ADD CONSTRAINT azn_202310_backup_mt_syusyokugo_pkey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milscm_2023_010.azn_202310_backup_mt_syusyokugo IS 'バックアップ_修飾語マスタ取込用';</v>
      </c>
    </row>
    <row r="13" spans="1:45" s="25" customFormat="1" ht="75">
      <c r="A13" s="4"/>
      <c r="B13" s="21">
        <f>ROW()-12</f>
        <v>1</v>
      </c>
      <c r="C13" s="6" t="s">
        <v>1924</v>
      </c>
      <c r="D13" s="6" t="s">
        <v>1925</v>
      </c>
      <c r="E13" s="8" t="s">
        <v>127</v>
      </c>
      <c r="F13" s="8" t="s">
        <v>1735</v>
      </c>
      <c r="G13" s="7" t="str">
        <f>IF(F13="フラグ","boolean",IF(F13="文字列","text",IF(F13="整数","integer",IF(F13="実数","numeric",""))))</f>
        <v>text</v>
      </c>
      <c r="H13" s="9"/>
      <c r="I13" s="10" t="s">
        <v>127</v>
      </c>
      <c r="J13" s="11" t="s">
        <v>1975</v>
      </c>
      <c r="M13" s="4"/>
      <c r="N13" s="76"/>
      <c r="O13" s="76"/>
      <c r="P13" s="76" t="str">
        <f>IF(B13&lt;&gt;1,","&amp;D13,D13)</f>
        <v>henkou_kubun</v>
      </c>
      <c r="Q13" s="76" t="str">
        <f t="shared" ref="Q13:Q32" si="0">UPPER(G13)</f>
        <v>TEXT</v>
      </c>
      <c r="R13" s="76" t="str">
        <f t="shared" ref="R13:R32" si="1">IF(H13&lt;&gt;"","default "&amp;IF(G13="text","'"&amp;H13&amp;"'",H13),"")</f>
        <v/>
      </c>
      <c r="S13" s="76" t="str">
        <f>IF(I13="○","NOT NULL","")</f>
        <v>NOT NULL</v>
      </c>
      <c r="T13" s="76" t="str">
        <f>"-- "&amp;C13</f>
        <v>-- 変更区分</v>
      </c>
      <c r="U13" s="4"/>
      <c r="AA13" s="4"/>
      <c r="AB13" s="4"/>
      <c r="AC13" s="4"/>
      <c r="AD13" s="4"/>
      <c r="AE13" s="4"/>
      <c r="AF13" s="4"/>
      <c r="AG13" s="4"/>
      <c r="AH13" s="4"/>
      <c r="AI13" s="4"/>
      <c r="AJ13" s="76" t="str">
        <f>IF(E13="○",IF(COUNTA(E$13:E13)=1,"",",")&amp;D13,"")</f>
        <v>henkou_kubun</v>
      </c>
      <c r="AK13" s="4"/>
      <c r="AL13" s="4"/>
      <c r="AM13" s="4"/>
      <c r="AN13" s="4"/>
      <c r="AO13" s="4"/>
      <c r="AP13" s="4"/>
      <c r="AQ13" s="4"/>
      <c r="AR13" s="4"/>
      <c r="AS13" s="76" t="str">
        <f>"COMMENT ON COLUMN "&amp;エンティティ一覧!$O$2&amp;"."&amp;D$8&amp;"."&amp;D13&amp;" IS '"&amp;C13&amp;"';"</f>
        <v>COMMENT ON COLUMN milscm_2023_010.azn_202310_backup_mt_syusyokugo.henkou_kubun IS '変更区分';</v>
      </c>
    </row>
    <row r="14" spans="1:45" s="25" customFormat="1">
      <c r="A14" s="4"/>
      <c r="B14" s="21">
        <f t="shared" ref="B14:B25" si="2">ROW()-12</f>
        <v>2</v>
      </c>
      <c r="C14" s="6" t="s">
        <v>1942</v>
      </c>
      <c r="D14" s="6" t="s">
        <v>1943</v>
      </c>
      <c r="E14" s="8"/>
      <c r="F14" s="7" t="s">
        <v>735</v>
      </c>
      <c r="G14" s="7" t="str">
        <f t="shared" ref="G14:G25" si="3">IF(F14="フラグ","boolean",IF(F14="文字列","text",IF(F14="整数","integer",IF(F14="実数","numeric",""))))</f>
        <v>text</v>
      </c>
      <c r="H14" s="26"/>
      <c r="I14" s="10"/>
      <c r="J14" s="11" t="s">
        <v>1976</v>
      </c>
      <c r="M14" s="4"/>
      <c r="N14" s="76"/>
      <c r="O14" s="76"/>
      <c r="P14" s="76" t="str">
        <f t="shared" ref="P14:P25" si="4">IF(B14&lt;&gt;1,","&amp;D14,D14)</f>
        <v>,master_type</v>
      </c>
      <c r="Q14" s="76" t="str">
        <f t="shared" ref="Q14:Q25" si="5">UPPER(G14)</f>
        <v>TEXT</v>
      </c>
      <c r="R14" s="76" t="str">
        <f t="shared" ref="R14:R25" si="6">IF(H14&lt;&gt;"","default "&amp;IF(G14="text","'"&amp;H14&amp;"'",H14),"")</f>
        <v/>
      </c>
      <c r="S14" s="76" t="str">
        <f t="shared" ref="S14:S25" si="7">IF(I14="○","NOT NULL","")</f>
        <v/>
      </c>
      <c r="T14" s="76" t="str">
        <f t="shared" ref="T14:T25" si="8">"-- "&amp;C14</f>
        <v>-- マスター種別</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milscm_2023_010.azn_202310_backup_mt_syusyokugo.master_type IS 'マスター種別';</v>
      </c>
    </row>
    <row r="15" spans="1:45" s="25" customFormat="1">
      <c r="A15" s="4"/>
      <c r="B15" s="21">
        <f t="shared" si="2"/>
        <v>3</v>
      </c>
      <c r="C15" s="6" t="s">
        <v>1944</v>
      </c>
      <c r="D15" s="6" t="s">
        <v>1945</v>
      </c>
      <c r="E15" s="8" t="s">
        <v>127</v>
      </c>
      <c r="F15" s="7" t="s">
        <v>735</v>
      </c>
      <c r="G15" s="7" t="str">
        <f t="shared" si="3"/>
        <v>text</v>
      </c>
      <c r="H15" s="26"/>
      <c r="I15" s="10" t="s">
        <v>127</v>
      </c>
      <c r="J15" s="11"/>
      <c r="M15" s="4"/>
      <c r="N15" s="76"/>
      <c r="O15" s="76"/>
      <c r="P15" s="76" t="str">
        <f t="shared" si="4"/>
        <v>,syusyokugo_cd</v>
      </c>
      <c r="Q15" s="76" t="str">
        <f t="shared" si="5"/>
        <v>TEXT</v>
      </c>
      <c r="R15" s="76" t="str">
        <f t="shared" si="6"/>
        <v/>
      </c>
      <c r="S15" s="76" t="str">
        <f t="shared" si="7"/>
        <v>NOT NULL</v>
      </c>
      <c r="T15" s="76" t="str">
        <f t="shared" si="8"/>
        <v>-- 修飾語コード</v>
      </c>
      <c r="U15" s="4"/>
      <c r="AA15" s="4"/>
      <c r="AB15" s="4"/>
      <c r="AC15" s="4"/>
      <c r="AD15" s="4"/>
      <c r="AE15" s="4"/>
      <c r="AF15" s="4"/>
      <c r="AG15" s="4"/>
      <c r="AH15" s="4"/>
      <c r="AI15" s="4"/>
      <c r="AJ15" s="76" t="str">
        <f>IF(E15="○",IF(COUNTA(E$13:E15)=1,"",",")&amp;D15,"")</f>
        <v>,syusyokugo_cd</v>
      </c>
      <c r="AK15" s="4"/>
      <c r="AL15" s="4"/>
      <c r="AM15" s="4"/>
      <c r="AN15" s="4"/>
      <c r="AO15" s="4"/>
      <c r="AP15" s="4"/>
      <c r="AQ15" s="4"/>
      <c r="AR15" s="4"/>
      <c r="AS15" s="76" t="str">
        <f>"COMMENT ON COLUMN "&amp;エンティティ一覧!$O$2&amp;"."&amp;D$8&amp;"."&amp;D15&amp;" IS '"&amp;C15&amp;"';"</f>
        <v>COMMENT ON COLUMN milscm_2023_010.azn_202310_backup_mt_syusyokugo.syusyokugo_cd IS '修飾語コード';</v>
      </c>
    </row>
    <row r="16" spans="1:45" s="25" customFormat="1">
      <c r="A16" s="4"/>
      <c r="B16" s="21">
        <f t="shared" si="2"/>
        <v>4</v>
      </c>
      <c r="C16" s="6" t="s">
        <v>1946</v>
      </c>
      <c r="D16" s="6" t="s">
        <v>921</v>
      </c>
      <c r="E16" s="8"/>
      <c r="F16" s="7" t="s">
        <v>735</v>
      </c>
      <c r="G16" s="7" t="str">
        <f t="shared" si="3"/>
        <v>text</v>
      </c>
      <c r="H16" s="26"/>
      <c r="I16" s="10"/>
      <c r="J16" s="11" t="s">
        <v>1977</v>
      </c>
      <c r="M16" s="4"/>
      <c r="N16" s="76"/>
      <c r="O16" s="76"/>
      <c r="P16" s="76" t="str">
        <f t="shared" si="4"/>
        <v>,reserve1</v>
      </c>
      <c r="Q16" s="76" t="str">
        <f t="shared" si="5"/>
        <v>TEXT</v>
      </c>
      <c r="R16" s="76" t="str">
        <f t="shared" si="6"/>
        <v/>
      </c>
      <c r="S16" s="76" t="str">
        <f t="shared" si="7"/>
        <v/>
      </c>
      <c r="T16" s="76" t="str">
        <f t="shared" si="8"/>
        <v>-- 予備1</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milscm_2023_010.azn_202310_backup_mt_syusyokugo.reserve1 IS '予備1';</v>
      </c>
    </row>
    <row r="17" spans="1:45" s="25" customFormat="1">
      <c r="A17" s="4"/>
      <c r="B17" s="21">
        <f t="shared" si="2"/>
        <v>5</v>
      </c>
      <c r="C17" s="6" t="s">
        <v>1947</v>
      </c>
      <c r="D17" s="6" t="s">
        <v>972</v>
      </c>
      <c r="E17" s="8"/>
      <c r="F17" s="7" t="s">
        <v>735</v>
      </c>
      <c r="G17" s="7" t="str">
        <f t="shared" si="3"/>
        <v>text</v>
      </c>
      <c r="H17" s="26"/>
      <c r="I17" s="10"/>
      <c r="J17" s="11" t="s">
        <v>1977</v>
      </c>
      <c r="M17" s="4"/>
      <c r="N17" s="76"/>
      <c r="O17" s="76"/>
      <c r="P17" s="76" t="str">
        <f t="shared" si="4"/>
        <v>,reserve2</v>
      </c>
      <c r="Q17" s="76" t="str">
        <f t="shared" si="5"/>
        <v>TEXT</v>
      </c>
      <c r="R17" s="76" t="str">
        <f t="shared" si="6"/>
        <v/>
      </c>
      <c r="S17" s="76" t="str">
        <f t="shared" si="7"/>
        <v/>
      </c>
      <c r="T17" s="76" t="str">
        <f t="shared" si="8"/>
        <v>-- 予備2</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milscm_2023_010.azn_202310_backup_mt_syusyokugo.reserve2 IS '予備2';</v>
      </c>
    </row>
    <row r="18" spans="1:45" s="25" customFormat="1">
      <c r="A18" s="4"/>
      <c r="B18" s="21">
        <f t="shared" si="2"/>
        <v>6</v>
      </c>
      <c r="C18" s="6" t="s">
        <v>1948</v>
      </c>
      <c r="D18" s="6" t="s">
        <v>1949</v>
      </c>
      <c r="E18" s="8"/>
      <c r="F18" s="7" t="s">
        <v>1950</v>
      </c>
      <c r="G18" s="7" t="str">
        <f t="shared" si="3"/>
        <v>integer</v>
      </c>
      <c r="H18" s="26"/>
      <c r="I18" s="10"/>
      <c r="J18" s="11"/>
      <c r="M18" s="4"/>
      <c r="N18" s="76"/>
      <c r="O18" s="76"/>
      <c r="P18" s="76" t="str">
        <f t="shared" si="4"/>
        <v>,syusyokugo_name_ketasu</v>
      </c>
      <c r="Q18" s="76" t="str">
        <f t="shared" si="5"/>
        <v>INTEGER</v>
      </c>
      <c r="R18" s="76" t="str">
        <f t="shared" si="6"/>
        <v/>
      </c>
      <c r="S18" s="76" t="str">
        <f t="shared" si="7"/>
        <v/>
      </c>
      <c r="T18" s="76" t="str">
        <f t="shared" si="8"/>
        <v>-- 修飾語名称桁数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milscm_2023_010.azn_202310_backup_mt_syusyokugo.syusyokugo_name_ketasu IS '修飾語名称桁数';</v>
      </c>
    </row>
    <row r="19" spans="1:45" s="25" customFormat="1">
      <c r="A19" s="4"/>
      <c r="B19" s="21">
        <f t="shared" si="2"/>
        <v>7</v>
      </c>
      <c r="C19" s="6" t="s">
        <v>1951</v>
      </c>
      <c r="D19" s="6" t="s">
        <v>1952</v>
      </c>
      <c r="E19" s="8"/>
      <c r="F19" s="7" t="s">
        <v>735</v>
      </c>
      <c r="G19" s="7" t="str">
        <f t="shared" si="3"/>
        <v>text</v>
      </c>
      <c r="H19" s="26"/>
      <c r="I19" s="10"/>
      <c r="J19" s="11"/>
      <c r="M19" s="4"/>
      <c r="N19" s="76"/>
      <c r="O19" s="76"/>
      <c r="P19" s="76" t="str">
        <f t="shared" si="4"/>
        <v>,syusyokugo_name</v>
      </c>
      <c r="Q19" s="76" t="str">
        <f t="shared" si="5"/>
        <v>TEXT</v>
      </c>
      <c r="R19" s="76" t="str">
        <f t="shared" si="6"/>
        <v/>
      </c>
      <c r="S19" s="76" t="str">
        <f t="shared" si="7"/>
        <v/>
      </c>
      <c r="T19" s="76" t="str">
        <f t="shared" si="8"/>
        <v>-- 修飾語名称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milscm_2023_010.azn_202310_backup_mt_syusyokugo.syusyokugo_name IS '修飾語名称';</v>
      </c>
    </row>
    <row r="20" spans="1:45" s="25" customFormat="1">
      <c r="A20" s="4"/>
      <c r="B20" s="21">
        <f t="shared" si="2"/>
        <v>8</v>
      </c>
      <c r="C20" s="6" t="s">
        <v>1953</v>
      </c>
      <c r="D20" s="6" t="s">
        <v>974</v>
      </c>
      <c r="E20" s="8"/>
      <c r="F20" s="7" t="s">
        <v>735</v>
      </c>
      <c r="G20" s="7" t="str">
        <f t="shared" si="3"/>
        <v>text</v>
      </c>
      <c r="H20" s="26"/>
      <c r="I20" s="10"/>
      <c r="J20" s="11" t="s">
        <v>1977</v>
      </c>
      <c r="M20" s="4"/>
      <c r="N20" s="76"/>
      <c r="O20" s="76"/>
      <c r="P20" s="76" t="str">
        <f t="shared" si="4"/>
        <v>,reserve3</v>
      </c>
      <c r="Q20" s="76" t="str">
        <f t="shared" si="5"/>
        <v>TEXT</v>
      </c>
      <c r="R20" s="76" t="str">
        <f t="shared" si="6"/>
        <v/>
      </c>
      <c r="S20" s="76" t="str">
        <f t="shared" si="7"/>
        <v/>
      </c>
      <c r="T20" s="76" t="str">
        <f t="shared" si="8"/>
        <v>-- 予備3</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milscm_2023_010.azn_202310_backup_mt_syusyokugo.reserve3 IS '予備3';</v>
      </c>
    </row>
    <row r="21" spans="1:45" s="25" customFormat="1" ht="31.5">
      <c r="A21" s="4"/>
      <c r="B21" s="21">
        <f t="shared" si="2"/>
        <v>9</v>
      </c>
      <c r="C21" s="6" t="s">
        <v>1954</v>
      </c>
      <c r="D21" s="6" t="s">
        <v>1955</v>
      </c>
      <c r="E21" s="8"/>
      <c r="F21" s="7" t="s">
        <v>1950</v>
      </c>
      <c r="G21" s="7" t="str">
        <f t="shared" si="3"/>
        <v>integer</v>
      </c>
      <c r="H21" s="26"/>
      <c r="I21" s="10"/>
      <c r="J21" s="11"/>
      <c r="M21" s="4"/>
      <c r="N21" s="76"/>
      <c r="O21" s="76"/>
      <c r="P21" s="76" t="str">
        <f t="shared" si="4"/>
        <v>,syusyokugo_kana_name_ketasu</v>
      </c>
      <c r="Q21" s="76" t="str">
        <f t="shared" si="5"/>
        <v>INTEGER</v>
      </c>
      <c r="R21" s="76" t="str">
        <f t="shared" si="6"/>
        <v/>
      </c>
      <c r="S21" s="76" t="str">
        <f t="shared" si="7"/>
        <v/>
      </c>
      <c r="T21" s="76" t="str">
        <f t="shared" si="8"/>
        <v>-- 修飾語カナ名称桁数</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milscm_2023_010.azn_202310_backup_mt_syusyokugo.syusyokugo_kana_name_ketasu IS '修飾語カナ名称桁数';</v>
      </c>
    </row>
    <row r="22" spans="1:45" s="25" customFormat="1">
      <c r="A22" s="4"/>
      <c r="B22" s="21">
        <f t="shared" si="2"/>
        <v>10</v>
      </c>
      <c r="C22" s="6" t="s">
        <v>1956</v>
      </c>
      <c r="D22" s="6" t="s">
        <v>1957</v>
      </c>
      <c r="E22" s="8"/>
      <c r="F22" s="7" t="s">
        <v>735</v>
      </c>
      <c r="G22" s="7" t="str">
        <f t="shared" si="3"/>
        <v>text</v>
      </c>
      <c r="H22" s="26"/>
      <c r="I22" s="10"/>
      <c r="J22" s="11"/>
      <c r="M22" s="4"/>
      <c r="N22" s="76"/>
      <c r="O22" s="76"/>
      <c r="P22" s="76" t="str">
        <f t="shared" si="4"/>
        <v>,syusyokugo_kana_name</v>
      </c>
      <c r="Q22" s="76" t="str">
        <f t="shared" si="5"/>
        <v>TEXT</v>
      </c>
      <c r="R22" s="76" t="str">
        <f t="shared" si="6"/>
        <v/>
      </c>
      <c r="S22" s="76" t="str">
        <f t="shared" si="7"/>
        <v/>
      </c>
      <c r="T22" s="76" t="str">
        <f t="shared" si="8"/>
        <v>-- 修飾語カナ名称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milscm_2023_010.azn_202310_backup_mt_syusyokugo.syusyokugo_kana_name IS '修飾語カナ名称';</v>
      </c>
    </row>
    <row r="23" spans="1:45" s="25" customFormat="1">
      <c r="A23" s="4"/>
      <c r="B23" s="21">
        <f t="shared" si="2"/>
        <v>11</v>
      </c>
      <c r="C23" s="6" t="s">
        <v>1958</v>
      </c>
      <c r="D23" s="6" t="s">
        <v>1181</v>
      </c>
      <c r="E23" s="8"/>
      <c r="F23" s="7" t="s">
        <v>735</v>
      </c>
      <c r="G23" s="7" t="str">
        <f t="shared" si="3"/>
        <v>text</v>
      </c>
      <c r="H23" s="26"/>
      <c r="I23" s="10"/>
      <c r="J23" s="11" t="s">
        <v>1977</v>
      </c>
      <c r="M23" s="4"/>
      <c r="N23" s="76"/>
      <c r="O23" s="76"/>
      <c r="P23" s="76" t="str">
        <f t="shared" si="4"/>
        <v>,reserve4</v>
      </c>
      <c r="Q23" s="76" t="str">
        <f t="shared" si="5"/>
        <v>TEXT</v>
      </c>
      <c r="R23" s="76" t="str">
        <f t="shared" si="6"/>
        <v/>
      </c>
      <c r="S23" s="76" t="str">
        <f t="shared" si="7"/>
        <v/>
      </c>
      <c r="T23" s="76" t="str">
        <f t="shared" si="8"/>
        <v>-- 予備4</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milscm_2023_010.azn_202310_backup_mt_syusyokugo.reserve4 IS '予備4';</v>
      </c>
    </row>
    <row r="24" spans="1:45" s="25" customFormat="1">
      <c r="A24" s="4"/>
      <c r="B24" s="21">
        <f t="shared" si="2"/>
        <v>12</v>
      </c>
      <c r="C24" s="6" t="s">
        <v>1959</v>
      </c>
      <c r="D24" s="6" t="s">
        <v>1960</v>
      </c>
      <c r="E24" s="8"/>
      <c r="F24" s="7" t="s">
        <v>735</v>
      </c>
      <c r="G24" s="7" t="str">
        <f t="shared" si="3"/>
        <v>text</v>
      </c>
      <c r="H24" s="26"/>
      <c r="I24" s="10"/>
      <c r="J24" s="11"/>
      <c r="M24" s="4"/>
      <c r="N24" s="76"/>
      <c r="O24" s="76"/>
      <c r="P24" s="76" t="str">
        <f t="shared" si="4"/>
        <v>,syusyokugo_name_henkou</v>
      </c>
      <c r="Q24" s="76" t="str">
        <f t="shared" si="5"/>
        <v>TEXT</v>
      </c>
      <c r="R24" s="76" t="str">
        <f t="shared" si="6"/>
        <v/>
      </c>
      <c r="S24" s="76" t="str">
        <f t="shared" si="7"/>
        <v/>
      </c>
      <c r="T24" s="76" t="str">
        <f t="shared" si="8"/>
        <v>-- 修飾語名称（変更情報）</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milscm_2023_010.azn_202310_backup_mt_syusyokugo.syusyokugo_name_henkou IS '修飾語名称（変更情報）';</v>
      </c>
    </row>
    <row r="25" spans="1:45" s="25" customFormat="1" ht="31.5">
      <c r="A25" s="4"/>
      <c r="B25" s="21">
        <f t="shared" si="2"/>
        <v>13</v>
      </c>
      <c r="C25" s="6" t="s">
        <v>1961</v>
      </c>
      <c r="D25" s="6" t="s">
        <v>1962</v>
      </c>
      <c r="E25" s="8"/>
      <c r="F25" s="7" t="s">
        <v>735</v>
      </c>
      <c r="G25" s="7" t="str">
        <f t="shared" si="3"/>
        <v>text</v>
      </c>
      <c r="H25" s="26"/>
      <c r="I25" s="10"/>
      <c r="J25" s="11"/>
      <c r="M25" s="4"/>
      <c r="N25" s="76"/>
      <c r="O25" s="76"/>
      <c r="P25" s="76" t="str">
        <f t="shared" si="4"/>
        <v>,syusyokugo_kana_name_henkou</v>
      </c>
      <c r="Q25" s="76" t="str">
        <f t="shared" si="5"/>
        <v>TEXT</v>
      </c>
      <c r="R25" s="76" t="str">
        <f t="shared" si="6"/>
        <v/>
      </c>
      <c r="S25" s="76" t="str">
        <f t="shared" si="7"/>
        <v/>
      </c>
      <c r="T25" s="76" t="str">
        <f t="shared" si="8"/>
        <v>-- 修飾語カナ名称（変更情報）</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milscm_2023_010.azn_202310_backup_mt_syusyokugo.syusyokugo_kana_name_henkou IS '修飾語カナ名称（変更情報）';</v>
      </c>
    </row>
    <row r="26" spans="1:45" s="25" customFormat="1">
      <c r="A26" s="4"/>
      <c r="B26" s="21">
        <f t="shared" ref="B26:B31" si="9">ROW()-12</f>
        <v>14</v>
      </c>
      <c r="C26" s="6" t="s">
        <v>1963</v>
      </c>
      <c r="D26" s="6" t="s">
        <v>1964</v>
      </c>
      <c r="E26" s="8"/>
      <c r="F26" s="7" t="s">
        <v>735</v>
      </c>
      <c r="G26" s="7" t="str">
        <f t="shared" ref="G26:G32" si="10">IF(F26="フラグ","boolean",IF(F26="文字列","text",IF(F26="整数","integer",IF(F26="実数","numeric",""))))</f>
        <v>text</v>
      </c>
      <c r="H26" s="26"/>
      <c r="I26" s="10"/>
      <c r="J26" s="11" t="s">
        <v>1792</v>
      </c>
      <c r="M26" s="4"/>
      <c r="N26" s="76"/>
      <c r="O26" s="76"/>
      <c r="P26" s="76" t="str">
        <f t="shared" ref="P26:P32" si="11">IF(B26&lt;&gt;1,","&amp;D26,D26)</f>
        <v>,syusai_ymd</v>
      </c>
      <c r="Q26" s="76" t="str">
        <f t="shared" si="0"/>
        <v>TEXT</v>
      </c>
      <c r="R26" s="76" t="str">
        <f t="shared" si="1"/>
        <v/>
      </c>
      <c r="S26" s="76" t="str">
        <f t="shared" ref="S26:S32" si="12">IF(I26="○","NOT NULL","")</f>
        <v/>
      </c>
      <c r="T26" s="76" t="str">
        <f t="shared" ref="T26:T32" si="13">"-- "&amp;C26</f>
        <v>-- 収載年月日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milscm_2023_010.azn_202310_backup_mt_syusyokugo.syusai_ymd IS '収載年月日';</v>
      </c>
    </row>
    <row r="27" spans="1:45" s="25" customFormat="1">
      <c r="A27" s="4"/>
      <c r="B27" s="21">
        <f t="shared" si="9"/>
        <v>15</v>
      </c>
      <c r="C27" s="6" t="s">
        <v>1965</v>
      </c>
      <c r="D27" s="6" t="s">
        <v>1966</v>
      </c>
      <c r="E27" s="8"/>
      <c r="F27" s="7" t="s">
        <v>735</v>
      </c>
      <c r="G27" s="7" t="str">
        <f t="shared" si="10"/>
        <v>text</v>
      </c>
      <c r="H27" s="26"/>
      <c r="I27" s="10"/>
      <c r="J27" s="11" t="s">
        <v>1792</v>
      </c>
      <c r="M27" s="4"/>
      <c r="N27" s="76"/>
      <c r="O27" s="76"/>
      <c r="P27" s="76" t="str">
        <f t="shared" si="11"/>
        <v>,henko_ymd</v>
      </c>
      <c r="Q27" s="76" t="str">
        <f t="shared" si="0"/>
        <v>TEXT</v>
      </c>
      <c r="R27" s="76" t="str">
        <f t="shared" si="1"/>
        <v/>
      </c>
      <c r="S27" s="76" t="str">
        <f t="shared" si="12"/>
        <v/>
      </c>
      <c r="T27" s="76" t="str">
        <f t="shared" si="13"/>
        <v>-- 変更年月日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milscm_2023_010.azn_202310_backup_mt_syusyokugo.henko_ymd IS '変更年月日';</v>
      </c>
    </row>
    <row r="28" spans="1:45" s="25" customFormat="1">
      <c r="A28" s="4"/>
      <c r="B28" s="21">
        <f t="shared" si="9"/>
        <v>16</v>
      </c>
      <c r="C28" s="6" t="s">
        <v>1905</v>
      </c>
      <c r="D28" s="6" t="s">
        <v>1967</v>
      </c>
      <c r="E28" s="8"/>
      <c r="F28" s="7" t="s">
        <v>735</v>
      </c>
      <c r="G28" s="7" t="str">
        <f t="shared" si="10"/>
        <v>text</v>
      </c>
      <c r="H28" s="26"/>
      <c r="I28" s="10"/>
      <c r="J28" s="11" t="s">
        <v>1792</v>
      </c>
      <c r="M28" s="4"/>
      <c r="N28" s="76"/>
      <c r="O28" s="76"/>
      <c r="P28" s="76" t="str">
        <f t="shared" si="11"/>
        <v>,haishi_ymd</v>
      </c>
      <c r="Q28" s="76" t="str">
        <f t="shared" si="0"/>
        <v>TEXT</v>
      </c>
      <c r="R28" s="76" t="str">
        <f t="shared" si="1"/>
        <v/>
      </c>
      <c r="S28" s="76" t="str">
        <f t="shared" si="12"/>
        <v/>
      </c>
      <c r="T28" s="76" t="str">
        <f t="shared" si="13"/>
        <v>-- 廃止年月日</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milscm_2023_010.azn_202310_backup_mt_syusyokugo.haishi_ymd IS '廃止年月日';</v>
      </c>
    </row>
    <row r="29" spans="1:45" s="25" customFormat="1">
      <c r="A29" s="4"/>
      <c r="B29" s="21">
        <f t="shared" si="9"/>
        <v>17</v>
      </c>
      <c r="C29" s="6" t="s">
        <v>1968</v>
      </c>
      <c r="D29" s="6" t="s">
        <v>1969</v>
      </c>
      <c r="E29" s="8"/>
      <c r="F29" s="7" t="s">
        <v>1950</v>
      </c>
      <c r="G29" s="7" t="str">
        <f t="shared" si="10"/>
        <v>integer</v>
      </c>
      <c r="H29" s="26"/>
      <c r="I29" s="10"/>
      <c r="J29" s="11"/>
      <c r="M29" s="4"/>
      <c r="N29" s="76"/>
      <c r="O29" s="76"/>
      <c r="P29" s="76" t="str">
        <f t="shared" si="11"/>
        <v>,syusyokugo_kanri_no</v>
      </c>
      <c r="Q29" s="76" t="str">
        <f t="shared" si="0"/>
        <v>INTEGER</v>
      </c>
      <c r="R29" s="76" t="str">
        <f t="shared" si="1"/>
        <v/>
      </c>
      <c r="S29" s="76" t="str">
        <f t="shared" si="12"/>
        <v/>
      </c>
      <c r="T29" s="76" t="str">
        <f t="shared" si="13"/>
        <v>-- 修飾語管理番号</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milscm_2023_010.azn_202310_backup_mt_syusyokugo.syusyokugo_kanri_no IS '修飾語管理番号';</v>
      </c>
    </row>
    <row r="30" spans="1:45" s="25" customFormat="1">
      <c r="A30" s="4"/>
      <c r="B30" s="21">
        <f t="shared" si="9"/>
        <v>18</v>
      </c>
      <c r="C30" s="6" t="s">
        <v>1970</v>
      </c>
      <c r="D30" s="6" t="s">
        <v>1971</v>
      </c>
      <c r="E30" s="8"/>
      <c r="F30" s="7" t="s">
        <v>735</v>
      </c>
      <c r="G30" s="7" t="str">
        <f t="shared" si="10"/>
        <v>text</v>
      </c>
      <c r="H30" s="26"/>
      <c r="I30" s="10"/>
      <c r="J30" s="11"/>
      <c r="M30" s="4"/>
      <c r="N30" s="76"/>
      <c r="O30" s="76"/>
      <c r="P30" s="76" t="str">
        <f t="shared" si="11"/>
        <v>,syusyokugo_koukan_cd</v>
      </c>
      <c r="Q30" s="76" t="str">
        <f t="shared" si="0"/>
        <v>TEXT</v>
      </c>
      <c r="R30" s="76" t="str">
        <f t="shared" si="1"/>
        <v/>
      </c>
      <c r="S30" s="76" t="str">
        <f t="shared" si="12"/>
        <v/>
      </c>
      <c r="T30" s="76" t="str">
        <f t="shared" si="13"/>
        <v>-- 修飾語交換用コード</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milscm_2023_010.azn_202310_backup_mt_syusyokugo.syusyokugo_koukan_cd IS '修飾語交換用コード';</v>
      </c>
    </row>
    <row r="31" spans="1:45" s="25" customFormat="1">
      <c r="A31" s="4"/>
      <c r="B31" s="21">
        <f t="shared" si="9"/>
        <v>19</v>
      </c>
      <c r="C31" s="6" t="s">
        <v>1972</v>
      </c>
      <c r="D31" s="6" t="s">
        <v>1973</v>
      </c>
      <c r="E31" s="8"/>
      <c r="F31" s="7" t="s">
        <v>735</v>
      </c>
      <c r="G31" s="7" t="str">
        <f t="shared" si="10"/>
        <v>text</v>
      </c>
      <c r="H31" s="26"/>
      <c r="I31" s="10"/>
      <c r="J31" s="11"/>
      <c r="M31" s="4"/>
      <c r="N31" s="76"/>
      <c r="O31" s="76"/>
      <c r="P31" s="76" t="str">
        <f t="shared" si="11"/>
        <v>,syusyokugo_kubun</v>
      </c>
      <c r="Q31" s="76" t="str">
        <f t="shared" si="0"/>
        <v>TEXT</v>
      </c>
      <c r="R31" s="76" t="str">
        <f t="shared" si="1"/>
        <v/>
      </c>
      <c r="S31" s="76" t="str">
        <f t="shared" si="12"/>
        <v/>
      </c>
      <c r="T31" s="76" t="str">
        <f t="shared" si="13"/>
        <v>-- 修飾語区分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milscm_2023_010.azn_202310_backup_mt_syusyokugo.syusyokugo_kubun IS '修飾語区分';</v>
      </c>
    </row>
    <row r="32" spans="1:45" s="25" customFormat="1" ht="19.5" thickBot="1">
      <c r="A32" s="4"/>
      <c r="B32" s="27">
        <f>ROW()-12</f>
        <v>20</v>
      </c>
      <c r="C32" s="57" t="s">
        <v>1974</v>
      </c>
      <c r="D32" s="57" t="s">
        <v>1879</v>
      </c>
      <c r="E32" s="56" t="s">
        <v>127</v>
      </c>
      <c r="F32" s="56" t="s">
        <v>735</v>
      </c>
      <c r="G32" s="56" t="str">
        <f t="shared" si="10"/>
        <v>text</v>
      </c>
      <c r="H32" s="59"/>
      <c r="I32" s="60" t="s">
        <v>127</v>
      </c>
      <c r="J32" s="63" t="s">
        <v>1792</v>
      </c>
      <c r="N32" s="76"/>
      <c r="O32" s="76"/>
      <c r="P32" s="76" t="str">
        <f t="shared" si="11"/>
        <v>,update_ymd</v>
      </c>
      <c r="Q32" s="76" t="str">
        <f t="shared" si="0"/>
        <v>TEXT</v>
      </c>
      <c r="R32" s="76" t="str">
        <f t="shared" si="1"/>
        <v/>
      </c>
      <c r="S32" s="76" t="str">
        <f t="shared" si="12"/>
        <v>NOT NULL</v>
      </c>
      <c r="T32" s="76" t="str">
        <f t="shared" si="13"/>
        <v>-- データ登録日</v>
      </c>
      <c r="U32" s="4"/>
      <c r="AA32" s="4"/>
      <c r="AB32" s="4"/>
      <c r="AC32" s="4"/>
      <c r="AD32" s="4"/>
      <c r="AE32" s="4"/>
      <c r="AF32" s="4"/>
      <c r="AG32" s="4"/>
      <c r="AH32" s="4"/>
      <c r="AI32" s="4"/>
      <c r="AJ32" s="76" t="str">
        <f>IF(E32="○",IF(COUNTA(E$13:E32)=1,"",",")&amp;D32,"")</f>
        <v>,update_ymd</v>
      </c>
      <c r="AK32" s="4"/>
      <c r="AL32" s="4"/>
      <c r="AM32" s="4"/>
      <c r="AN32" s="4"/>
      <c r="AO32" s="4"/>
      <c r="AP32" s="4"/>
      <c r="AQ32" s="4"/>
      <c r="AR32" s="4"/>
      <c r="AS32" s="76" t="str">
        <f>"COMMENT ON COLUMN "&amp;エンティティ一覧!$O$2&amp;"."&amp;D$8&amp;"."&amp;D32&amp;" IS '"&amp;C32&amp;"';"</f>
        <v>COMMENT ON COLUMN milscm_2023_010.azn_202310_backup_mt_syusyokugo.update_ymd IS 'データ登録日';</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ENT_01_A3-07</v>
      </c>
      <c r="E6" s="272"/>
      <c r="F6" s="272"/>
      <c r="G6" s="272"/>
      <c r="H6" s="272"/>
      <c r="I6" s="272"/>
      <c r="J6" s="273"/>
    </row>
    <row r="7" spans="1:45">
      <c r="B7" s="261" t="s">
        <v>115</v>
      </c>
      <c r="C7" s="262"/>
      <c r="D7" s="263" t="s">
        <v>1978</v>
      </c>
      <c r="E7" s="264"/>
      <c r="F7" s="264"/>
      <c r="G7" s="264"/>
      <c r="H7" s="264"/>
      <c r="I7" s="264"/>
      <c r="J7" s="265"/>
    </row>
    <row r="8" spans="1:45">
      <c r="B8" s="261" t="s">
        <v>116</v>
      </c>
      <c r="C8" s="262"/>
      <c r="D8" s="263" t="str">
        <f>エンティティ一覧!AE2&amp;"_"&amp;D5&amp;"_mt_comment"</f>
        <v>azn_202310_backup_mt_comment</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コメントマスタ取込用テーブルから組入れ条件の第一条件で絞り込んだ結果を格納するテーブル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milscm_2023_010.azn_202310_backup_mt_comment;</v>
      </c>
      <c r="O10" s="76"/>
      <c r="P10" s="76"/>
      <c r="Q10" s="76"/>
      <c r="R10" s="76"/>
      <c r="S10" s="76"/>
      <c r="T10" s="76"/>
      <c r="AJ10" s="76" t="str">
        <f>"ALTER TABLE ONLY "&amp;エンティティ一覧!$O$2&amp;"."&amp;D$8</f>
        <v>ALTER TABLE ONLY milscm_2023_010.azn_202310_backup_mt_comment</v>
      </c>
      <c r="AS10" s="76" t="str">
        <f>"ALTER TABLE "&amp;エンティティ一覧!$O$2&amp;"."&amp;D$8&amp;" OWNER TO pgmisgrp1;"</f>
        <v>ALTER TABLE milscm_2023_010.azn_202310_backup_mt_comment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milscm_2023_010.azn_202310_backup_mt_comment</v>
      </c>
      <c r="O11" s="76"/>
      <c r="P11" s="76"/>
      <c r="Q11" s="76"/>
      <c r="R11" s="76"/>
      <c r="S11" s="76"/>
      <c r="T11" s="76"/>
      <c r="AJ11" s="76" t="str">
        <f>"ADD CONSTRAINT "&amp;D$8&amp;"_pkey PRIMARY KEY"</f>
        <v>ADD CONSTRAINT azn_202310_backup_mt_comment_pkey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milscm_2023_010.azn_202310_backup_mt_comment IS 'バックアップ_コメントマスタ取込用';</v>
      </c>
    </row>
    <row r="13" spans="1:45" s="25" customFormat="1" ht="75">
      <c r="A13" s="4"/>
      <c r="B13" s="21">
        <f>ROW()-12</f>
        <v>1</v>
      </c>
      <c r="C13" s="6" t="s">
        <v>1924</v>
      </c>
      <c r="D13" s="6" t="s">
        <v>1925</v>
      </c>
      <c r="E13" s="8" t="s">
        <v>127</v>
      </c>
      <c r="F13" s="8" t="s">
        <v>1735</v>
      </c>
      <c r="G13" s="7" t="str">
        <f>IF(F13="フラグ","boolean",IF(F13="文字列","text",IF(F13="整数","integer",IF(F13="実数","numeric",""))))</f>
        <v>text</v>
      </c>
      <c r="H13" s="9"/>
      <c r="I13" s="10" t="s">
        <v>127</v>
      </c>
      <c r="J13" s="11" t="s">
        <v>1975</v>
      </c>
      <c r="M13" s="4"/>
      <c r="N13" s="76"/>
      <c r="O13" s="76"/>
      <c r="P13" s="76" t="str">
        <f>IF(B13&lt;&gt;1,","&amp;D13,D13)</f>
        <v>henkou_kubun</v>
      </c>
      <c r="Q13" s="76" t="str">
        <f t="shared" ref="Q13:Q43" si="0">UPPER(G13)</f>
        <v>TEXT</v>
      </c>
      <c r="R13" s="76" t="str">
        <f t="shared" ref="R13:R43" si="1">IF(H13&lt;&gt;"","default "&amp;IF(G13="text","'"&amp;H13&amp;"'",H13),"")</f>
        <v/>
      </c>
      <c r="S13" s="76" t="str">
        <f>IF(I13="○","NOT NULL","")</f>
        <v>NOT NULL</v>
      </c>
      <c r="T13" s="76" t="str">
        <f>"-- "&amp;C13</f>
        <v>-- 変更区分</v>
      </c>
      <c r="U13" s="4"/>
      <c r="AA13" s="4"/>
      <c r="AB13" s="4"/>
      <c r="AC13" s="4"/>
      <c r="AD13" s="4"/>
      <c r="AE13" s="4"/>
      <c r="AF13" s="4"/>
      <c r="AG13" s="4"/>
      <c r="AH13" s="4"/>
      <c r="AI13" s="4"/>
      <c r="AJ13" s="76" t="str">
        <f>IF(E13="○",IF(COUNTA(E$13:E13)=1,"",",")&amp;D13,"")</f>
        <v>henkou_kubun</v>
      </c>
      <c r="AK13" s="4"/>
      <c r="AL13" s="4"/>
      <c r="AM13" s="4"/>
      <c r="AN13" s="4"/>
      <c r="AO13" s="4"/>
      <c r="AP13" s="4"/>
      <c r="AQ13" s="4"/>
      <c r="AR13" s="4"/>
      <c r="AS13" s="76" t="str">
        <f>"COMMENT ON COLUMN "&amp;エンティティ一覧!$O$2&amp;"."&amp;D$8&amp;"."&amp;D13&amp;" IS '"&amp;C13&amp;"';"</f>
        <v>COMMENT ON COLUMN milscm_2023_010.azn_202310_backup_mt_comment.henkou_kubun IS '変更区分';</v>
      </c>
    </row>
    <row r="14" spans="1:45" s="25" customFormat="1">
      <c r="A14" s="4"/>
      <c r="B14" s="21">
        <f t="shared" ref="B14:B23" si="2">ROW()-12</f>
        <v>2</v>
      </c>
      <c r="C14" s="6" t="s">
        <v>1942</v>
      </c>
      <c r="D14" s="6" t="s">
        <v>1943</v>
      </c>
      <c r="E14" s="8"/>
      <c r="F14" s="7" t="s">
        <v>735</v>
      </c>
      <c r="G14" s="7" t="str">
        <f t="shared" ref="G14:G23" si="3">IF(F14="フラグ","boolean",IF(F14="文字列","text",IF(F14="整数","integer",IF(F14="実数","numeric",""))))</f>
        <v>text</v>
      </c>
      <c r="H14" s="26"/>
      <c r="I14" s="10" t="s">
        <v>127</v>
      </c>
      <c r="J14" s="11" t="s">
        <v>2022</v>
      </c>
      <c r="M14" s="4"/>
      <c r="N14" s="76"/>
      <c r="O14" s="76"/>
      <c r="P14" s="76" t="str">
        <f t="shared" ref="P14:P23" si="4">IF(B14&lt;&gt;1,","&amp;D14,D14)</f>
        <v>,master_type</v>
      </c>
      <c r="Q14" s="76" t="str">
        <f t="shared" ref="Q14:Q23" si="5">UPPER(G14)</f>
        <v>TEXT</v>
      </c>
      <c r="R14" s="76" t="str">
        <f t="shared" ref="R14:R23" si="6">IF(H14&lt;&gt;"","default "&amp;IF(G14="text","'"&amp;H14&amp;"'",H14),"")</f>
        <v/>
      </c>
      <c r="S14" s="76" t="str">
        <f t="shared" ref="S14:S23" si="7">IF(I14="○","NOT NULL","")</f>
        <v>NOT NULL</v>
      </c>
      <c r="T14" s="76" t="str">
        <f t="shared" ref="T14:T23" si="8">"-- "&amp;C14</f>
        <v>-- マスター種別</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milscm_2023_010.azn_202310_backup_mt_comment.master_type IS 'マスター種別';</v>
      </c>
    </row>
    <row r="15" spans="1:45" s="25" customFormat="1">
      <c r="A15" s="4"/>
      <c r="B15" s="21">
        <f t="shared" si="2"/>
        <v>3</v>
      </c>
      <c r="C15" s="6" t="s">
        <v>1979</v>
      </c>
      <c r="D15" s="6" t="s">
        <v>1980</v>
      </c>
      <c r="E15" s="8" t="s">
        <v>127</v>
      </c>
      <c r="F15" s="7" t="s">
        <v>735</v>
      </c>
      <c r="G15" s="7" t="str">
        <f t="shared" si="3"/>
        <v>text</v>
      </c>
      <c r="H15" s="26"/>
      <c r="I15" s="10" t="s">
        <v>127</v>
      </c>
      <c r="J15" s="11" t="s">
        <v>2023</v>
      </c>
      <c r="M15" s="4"/>
      <c r="N15" s="76"/>
      <c r="O15" s="76"/>
      <c r="P15" s="76" t="str">
        <f t="shared" si="4"/>
        <v>,comment_cd</v>
      </c>
      <c r="Q15" s="76" t="str">
        <f t="shared" si="5"/>
        <v>TEXT</v>
      </c>
      <c r="R15" s="76" t="str">
        <f t="shared" si="6"/>
        <v/>
      </c>
      <c r="S15" s="76" t="str">
        <f t="shared" si="7"/>
        <v>NOT NULL</v>
      </c>
      <c r="T15" s="76" t="str">
        <f t="shared" si="8"/>
        <v>-- コメントコード区分</v>
      </c>
      <c r="U15" s="4"/>
      <c r="AA15" s="4"/>
      <c r="AB15" s="4"/>
      <c r="AC15" s="4"/>
      <c r="AD15" s="4"/>
      <c r="AE15" s="4"/>
      <c r="AF15" s="4"/>
      <c r="AG15" s="4"/>
      <c r="AH15" s="4"/>
      <c r="AI15" s="4"/>
      <c r="AJ15" s="76" t="str">
        <f>IF(E15="○",IF(COUNTA(E$13:E15)=1,"",",")&amp;D15,"")</f>
        <v>,comment_cd</v>
      </c>
      <c r="AK15" s="4"/>
      <c r="AL15" s="4"/>
      <c r="AM15" s="4"/>
      <c r="AN15" s="4"/>
      <c r="AO15" s="4"/>
      <c r="AP15" s="4"/>
      <c r="AQ15" s="4"/>
      <c r="AR15" s="4"/>
      <c r="AS15" s="76" t="str">
        <f>"COMMENT ON COLUMN "&amp;エンティティ一覧!$O$2&amp;"."&amp;D$8&amp;"."&amp;D15&amp;" IS '"&amp;C15&amp;"';"</f>
        <v>COMMENT ON COLUMN milscm_2023_010.azn_202310_backup_mt_comment.comment_cd IS 'コメントコード区分';</v>
      </c>
    </row>
    <row r="16" spans="1:45" s="25" customFormat="1">
      <c r="A16" s="4"/>
      <c r="B16" s="21">
        <f t="shared" si="2"/>
        <v>4</v>
      </c>
      <c r="C16" s="6" t="s">
        <v>1981</v>
      </c>
      <c r="D16" s="6" t="s">
        <v>1982</v>
      </c>
      <c r="E16" s="8" t="s">
        <v>127</v>
      </c>
      <c r="F16" s="7" t="s">
        <v>735</v>
      </c>
      <c r="G16" s="7" t="str">
        <f t="shared" si="3"/>
        <v>text</v>
      </c>
      <c r="H16" s="26"/>
      <c r="I16" s="10" t="s">
        <v>127</v>
      </c>
      <c r="J16" s="11"/>
      <c r="M16" s="4"/>
      <c r="N16" s="76"/>
      <c r="O16" s="76"/>
      <c r="P16" s="76" t="str">
        <f t="shared" si="4"/>
        <v>,comment_cd_pattern</v>
      </c>
      <c r="Q16" s="76" t="str">
        <f t="shared" si="5"/>
        <v>TEXT</v>
      </c>
      <c r="R16" s="76" t="str">
        <f t="shared" si="6"/>
        <v/>
      </c>
      <c r="S16" s="76" t="str">
        <f t="shared" si="7"/>
        <v>NOT NULL</v>
      </c>
      <c r="T16" s="76" t="str">
        <f t="shared" si="8"/>
        <v>-- コメントコードパターン</v>
      </c>
      <c r="U16" s="4"/>
      <c r="AA16" s="4"/>
      <c r="AB16" s="4"/>
      <c r="AC16" s="4"/>
      <c r="AD16" s="4"/>
      <c r="AE16" s="4"/>
      <c r="AF16" s="4"/>
      <c r="AG16" s="4"/>
      <c r="AH16" s="4"/>
      <c r="AI16" s="4"/>
      <c r="AJ16" s="76" t="str">
        <f>IF(E16="○",IF(COUNTA(E$13:E16)=1,"",",")&amp;D16,"")</f>
        <v>,comment_cd_pattern</v>
      </c>
      <c r="AK16" s="4"/>
      <c r="AL16" s="4"/>
      <c r="AM16" s="4"/>
      <c r="AN16" s="4"/>
      <c r="AO16" s="4"/>
      <c r="AP16" s="4"/>
      <c r="AQ16" s="4"/>
      <c r="AR16" s="4"/>
      <c r="AS16" s="76" t="str">
        <f>"COMMENT ON COLUMN "&amp;エンティティ一覧!$O$2&amp;"."&amp;D$8&amp;"."&amp;D16&amp;" IS '"&amp;C16&amp;"';"</f>
        <v>COMMENT ON COLUMN milscm_2023_010.azn_202310_backup_mt_comment.comment_cd_pattern IS 'コメントコードパターン';</v>
      </c>
    </row>
    <row r="17" spans="1:45" s="25" customFormat="1">
      <c r="A17" s="4"/>
      <c r="B17" s="21">
        <f t="shared" si="2"/>
        <v>5</v>
      </c>
      <c r="C17" s="6" t="s">
        <v>1983</v>
      </c>
      <c r="D17" s="6" t="s">
        <v>1984</v>
      </c>
      <c r="E17" s="8" t="s">
        <v>127</v>
      </c>
      <c r="F17" s="7" t="s">
        <v>1985</v>
      </c>
      <c r="G17" s="7" t="str">
        <f t="shared" si="3"/>
        <v>text</v>
      </c>
      <c r="H17" s="26"/>
      <c r="I17" s="10" t="s">
        <v>127</v>
      </c>
      <c r="J17" s="11"/>
      <c r="M17" s="4"/>
      <c r="N17" s="76"/>
      <c r="O17" s="76"/>
      <c r="P17" s="76" t="str">
        <f t="shared" si="4"/>
        <v>,comment_cd_seq</v>
      </c>
      <c r="Q17" s="76" t="str">
        <f t="shared" si="5"/>
        <v>TEXT</v>
      </c>
      <c r="R17" s="76" t="str">
        <f t="shared" si="6"/>
        <v/>
      </c>
      <c r="S17" s="76" t="str">
        <f t="shared" si="7"/>
        <v>NOT NULL</v>
      </c>
      <c r="T17" s="76" t="str">
        <f t="shared" si="8"/>
        <v>-- コメントコード一連番号</v>
      </c>
      <c r="U17" s="4"/>
      <c r="AA17" s="4"/>
      <c r="AB17" s="4"/>
      <c r="AC17" s="4"/>
      <c r="AD17" s="4"/>
      <c r="AE17" s="4"/>
      <c r="AF17" s="4"/>
      <c r="AG17" s="4"/>
      <c r="AH17" s="4"/>
      <c r="AI17" s="4"/>
      <c r="AJ17" s="76" t="str">
        <f>IF(E17="○",IF(COUNTA(E$13:E17)=1,"",",")&amp;D17,"")</f>
        <v>,comment_cd_seq</v>
      </c>
      <c r="AK17" s="4"/>
      <c r="AL17" s="4"/>
      <c r="AM17" s="4"/>
      <c r="AN17" s="4"/>
      <c r="AO17" s="4"/>
      <c r="AP17" s="4"/>
      <c r="AQ17" s="4"/>
      <c r="AR17" s="4"/>
      <c r="AS17" s="76" t="str">
        <f>"COMMENT ON COLUMN "&amp;エンティティ一覧!$O$2&amp;"."&amp;D$8&amp;"."&amp;D17&amp;" IS '"&amp;C17&amp;"';"</f>
        <v>COMMENT ON COLUMN milscm_2023_010.azn_202310_backup_mt_comment.comment_cd_seq IS 'コメントコード一連番号';</v>
      </c>
    </row>
    <row r="18" spans="1:45" s="25" customFormat="1" ht="31.5">
      <c r="A18" s="4"/>
      <c r="B18" s="21">
        <f t="shared" si="2"/>
        <v>6</v>
      </c>
      <c r="C18" s="6" t="s">
        <v>1986</v>
      </c>
      <c r="D18" s="6" t="s">
        <v>1987</v>
      </c>
      <c r="E18" s="8"/>
      <c r="F18" s="7" t="s">
        <v>1988</v>
      </c>
      <c r="G18" s="7" t="str">
        <f t="shared" si="3"/>
        <v>integer</v>
      </c>
      <c r="H18" s="26"/>
      <c r="I18" s="10"/>
      <c r="J18" s="11"/>
      <c r="M18" s="4"/>
      <c r="N18" s="76"/>
      <c r="O18" s="76"/>
      <c r="P18" s="76" t="str">
        <f t="shared" si="4"/>
        <v>,comment_sentence_kanji_ketasu</v>
      </c>
      <c r="Q18" s="76" t="str">
        <f t="shared" si="5"/>
        <v>INTEGER</v>
      </c>
      <c r="R18" s="76" t="str">
        <f t="shared" si="6"/>
        <v/>
      </c>
      <c r="S18" s="76" t="str">
        <f t="shared" si="7"/>
        <v/>
      </c>
      <c r="T18" s="76" t="str">
        <f t="shared" si="8"/>
        <v>-- コメント文漢字有効桁数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milscm_2023_010.azn_202310_backup_mt_comment.comment_sentence_kanji_ketasu IS 'コメント文漢字有効桁数';</v>
      </c>
    </row>
    <row r="19" spans="1:45" s="25" customFormat="1" ht="31.5">
      <c r="A19" s="4"/>
      <c r="B19" s="21">
        <f t="shared" si="2"/>
        <v>7</v>
      </c>
      <c r="C19" s="6" t="s">
        <v>1989</v>
      </c>
      <c r="D19" s="6" t="s">
        <v>1990</v>
      </c>
      <c r="E19" s="8"/>
      <c r="F19" s="7" t="s">
        <v>1985</v>
      </c>
      <c r="G19" s="7" t="str">
        <f t="shared" si="3"/>
        <v>text</v>
      </c>
      <c r="H19" s="26"/>
      <c r="I19" s="10"/>
      <c r="J19" s="11"/>
      <c r="M19" s="4"/>
      <c r="N19" s="76"/>
      <c r="O19" s="76"/>
      <c r="P19" s="76" t="str">
        <f t="shared" si="4"/>
        <v>,comment_sentence_kanji_name</v>
      </c>
      <c r="Q19" s="76" t="str">
        <f t="shared" si="5"/>
        <v>TEXT</v>
      </c>
      <c r="R19" s="76" t="str">
        <f t="shared" si="6"/>
        <v/>
      </c>
      <c r="S19" s="76" t="str">
        <f t="shared" si="7"/>
        <v/>
      </c>
      <c r="T19" s="76" t="str">
        <f t="shared" si="8"/>
        <v>-- コメント文漢字名称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milscm_2023_010.azn_202310_backup_mt_comment.comment_sentence_kanji_name IS 'コメント文漢字名称';</v>
      </c>
    </row>
    <row r="20" spans="1:45" s="25" customFormat="1" ht="31.5">
      <c r="A20" s="4"/>
      <c r="B20" s="21">
        <f t="shared" si="2"/>
        <v>8</v>
      </c>
      <c r="C20" s="6" t="s">
        <v>1991</v>
      </c>
      <c r="D20" s="6" t="s">
        <v>1992</v>
      </c>
      <c r="E20" s="8"/>
      <c r="F20" s="7" t="s">
        <v>1988</v>
      </c>
      <c r="G20" s="7" t="str">
        <f t="shared" si="3"/>
        <v>integer</v>
      </c>
      <c r="H20" s="26"/>
      <c r="I20" s="10"/>
      <c r="J20" s="11"/>
      <c r="M20" s="4"/>
      <c r="N20" s="76"/>
      <c r="O20" s="76"/>
      <c r="P20" s="76" t="str">
        <f t="shared" si="4"/>
        <v>,comment_sentence_kana_ketasu</v>
      </c>
      <c r="Q20" s="76" t="str">
        <f t="shared" si="5"/>
        <v>INTEGER</v>
      </c>
      <c r="R20" s="76" t="str">
        <f t="shared" si="6"/>
        <v/>
      </c>
      <c r="S20" s="76" t="str">
        <f t="shared" si="7"/>
        <v/>
      </c>
      <c r="T20" s="76" t="str">
        <f t="shared" si="8"/>
        <v>-- コメント文カナ有効桁数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milscm_2023_010.azn_202310_backup_mt_comment.comment_sentence_kana_ketasu IS 'コメント文カナ有効桁数';</v>
      </c>
    </row>
    <row r="21" spans="1:45" s="25" customFormat="1" ht="31.5">
      <c r="A21" s="4"/>
      <c r="B21" s="21">
        <f t="shared" si="2"/>
        <v>9</v>
      </c>
      <c r="C21" s="6" t="s">
        <v>1993</v>
      </c>
      <c r="D21" s="6" t="s">
        <v>1994</v>
      </c>
      <c r="E21" s="8"/>
      <c r="F21" s="7" t="s">
        <v>735</v>
      </c>
      <c r="G21" s="7" t="str">
        <f t="shared" si="3"/>
        <v>text</v>
      </c>
      <c r="H21" s="26"/>
      <c r="I21" s="10"/>
      <c r="J21" s="11"/>
      <c r="M21" s="4"/>
      <c r="N21" s="76"/>
      <c r="O21" s="76"/>
      <c r="P21" s="76" t="str">
        <f t="shared" si="4"/>
        <v>,comment_sentence_kana_name</v>
      </c>
      <c r="Q21" s="76" t="str">
        <f t="shared" si="5"/>
        <v>TEXT</v>
      </c>
      <c r="R21" s="76" t="str">
        <f t="shared" si="6"/>
        <v/>
      </c>
      <c r="S21" s="76" t="str">
        <f t="shared" si="7"/>
        <v/>
      </c>
      <c r="T21" s="76" t="str">
        <f t="shared" si="8"/>
        <v>-- コメント文カナ名称</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milscm_2023_010.azn_202310_backup_mt_comment.comment_sentence_kana_name IS 'コメント文カナ名称';</v>
      </c>
    </row>
    <row r="22" spans="1:45" s="25" customFormat="1" ht="31.5">
      <c r="A22" s="4"/>
      <c r="B22" s="21">
        <f t="shared" si="2"/>
        <v>10</v>
      </c>
      <c r="C22" s="6" t="s">
        <v>1995</v>
      </c>
      <c r="D22" s="6" t="s">
        <v>1996</v>
      </c>
      <c r="E22" s="8"/>
      <c r="F22" s="7" t="s">
        <v>1988</v>
      </c>
      <c r="G22" s="7" t="str">
        <f t="shared" si="3"/>
        <v>integer</v>
      </c>
      <c r="H22" s="26"/>
      <c r="I22" s="10"/>
      <c r="J22" s="11"/>
      <c r="M22" s="4"/>
      <c r="N22" s="76"/>
      <c r="O22" s="76"/>
      <c r="P22" s="76" t="str">
        <f t="shared" si="4"/>
        <v>,recept_hensyu_info1_column_position</v>
      </c>
      <c r="Q22" s="76" t="str">
        <f t="shared" si="5"/>
        <v>INTEGER</v>
      </c>
      <c r="R22" s="76" t="str">
        <f t="shared" si="6"/>
        <v/>
      </c>
      <c r="S22" s="76" t="str">
        <f t="shared" si="7"/>
        <v/>
      </c>
      <c r="T22" s="76" t="str">
        <f t="shared" si="8"/>
        <v>-- レセプト編集情報1カラム位置</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milscm_2023_010.azn_202310_backup_mt_comment.recept_hensyu_info1_column_position IS 'レセプト編集情報1カラム位置';</v>
      </c>
    </row>
    <row r="23" spans="1:45" s="25" customFormat="1" ht="31.5">
      <c r="A23" s="4"/>
      <c r="B23" s="21">
        <f t="shared" si="2"/>
        <v>11</v>
      </c>
      <c r="C23" s="6" t="s">
        <v>1997</v>
      </c>
      <c r="D23" s="6" t="s">
        <v>1998</v>
      </c>
      <c r="E23" s="8"/>
      <c r="F23" s="7" t="s">
        <v>1988</v>
      </c>
      <c r="G23" s="7" t="str">
        <f t="shared" si="3"/>
        <v>integer</v>
      </c>
      <c r="H23" s="26"/>
      <c r="I23" s="10"/>
      <c r="J23" s="11"/>
      <c r="M23" s="4"/>
      <c r="N23" s="76"/>
      <c r="O23" s="76"/>
      <c r="P23" s="76" t="str">
        <f t="shared" si="4"/>
        <v>,recept_hensyu_info1_ketasu</v>
      </c>
      <c r="Q23" s="76" t="str">
        <f t="shared" si="5"/>
        <v>INTEGER</v>
      </c>
      <c r="R23" s="76" t="str">
        <f t="shared" si="6"/>
        <v/>
      </c>
      <c r="S23" s="76" t="str">
        <f t="shared" si="7"/>
        <v/>
      </c>
      <c r="T23" s="76" t="str">
        <f t="shared" si="8"/>
        <v>-- レセプト編集情報1桁数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milscm_2023_010.azn_202310_backup_mt_comment.recept_hensyu_info1_ketasu IS 'レセプト編集情報1桁数';</v>
      </c>
    </row>
    <row r="24" spans="1:45" s="25" customFormat="1" ht="31.5">
      <c r="A24" s="4"/>
      <c r="B24" s="21">
        <f t="shared" ref="B24:B42" si="9">ROW()-12</f>
        <v>12</v>
      </c>
      <c r="C24" s="6" t="s">
        <v>1999</v>
      </c>
      <c r="D24" s="6" t="s">
        <v>2000</v>
      </c>
      <c r="E24" s="8"/>
      <c r="F24" s="7" t="s">
        <v>1988</v>
      </c>
      <c r="G24" s="7" t="str">
        <f t="shared" ref="G24:G43" si="10">IF(F24="フラグ","boolean",IF(F24="文字列","text",IF(F24="整数","integer",IF(F24="実数","numeric",""))))</f>
        <v>integer</v>
      </c>
      <c r="H24" s="26"/>
      <c r="I24" s="10"/>
      <c r="J24" s="11"/>
      <c r="M24" s="4"/>
      <c r="N24" s="76"/>
      <c r="O24" s="76"/>
      <c r="P24" s="76" t="str">
        <f t="shared" ref="P24:P43" si="11">IF(B24&lt;&gt;1,","&amp;D24,D24)</f>
        <v>,recept_hensyu_info2_column_position</v>
      </c>
      <c r="Q24" s="76" t="str">
        <f t="shared" si="0"/>
        <v>INTEGER</v>
      </c>
      <c r="R24" s="76" t="str">
        <f t="shared" si="1"/>
        <v/>
      </c>
      <c r="S24" s="76" t="str">
        <f t="shared" ref="S24:S43" si="12">IF(I24="○","NOT NULL","")</f>
        <v/>
      </c>
      <c r="T24" s="76" t="str">
        <f t="shared" ref="T24:T43" si="13">"-- "&amp;C24</f>
        <v>-- レセプト編集情報2カラム位置</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milscm_2023_010.azn_202310_backup_mt_comment.recept_hensyu_info2_column_position IS 'レセプト編集情報2カラム位置';</v>
      </c>
    </row>
    <row r="25" spans="1:45" s="25" customFormat="1" ht="31.5">
      <c r="A25" s="4"/>
      <c r="B25" s="21">
        <f t="shared" si="9"/>
        <v>13</v>
      </c>
      <c r="C25" s="6" t="s">
        <v>2001</v>
      </c>
      <c r="D25" s="6" t="s">
        <v>2002</v>
      </c>
      <c r="E25" s="8"/>
      <c r="F25" s="7" t="s">
        <v>1988</v>
      </c>
      <c r="G25" s="7" t="str">
        <f t="shared" si="10"/>
        <v>integer</v>
      </c>
      <c r="H25" s="26"/>
      <c r="I25" s="10"/>
      <c r="J25" s="11"/>
      <c r="M25" s="4"/>
      <c r="N25" s="76"/>
      <c r="O25" s="76"/>
      <c r="P25" s="76" t="str">
        <f t="shared" si="11"/>
        <v>,recept_hensyu_info2_ketasu</v>
      </c>
      <c r="Q25" s="76" t="str">
        <f t="shared" si="0"/>
        <v>INTEGER</v>
      </c>
      <c r="R25" s="76" t="str">
        <f t="shared" si="1"/>
        <v/>
      </c>
      <c r="S25" s="76" t="str">
        <f t="shared" si="12"/>
        <v/>
      </c>
      <c r="T25" s="76" t="str">
        <f t="shared" si="13"/>
        <v>-- レセプト編集情報2桁数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milscm_2023_010.azn_202310_backup_mt_comment.recept_hensyu_info2_ketasu IS 'レセプト編集情報2桁数';</v>
      </c>
    </row>
    <row r="26" spans="1:45" s="25" customFormat="1" ht="31.5">
      <c r="A26" s="4"/>
      <c r="B26" s="21">
        <f t="shared" si="9"/>
        <v>14</v>
      </c>
      <c r="C26" s="6" t="s">
        <v>2003</v>
      </c>
      <c r="D26" s="6" t="s">
        <v>2004</v>
      </c>
      <c r="E26" s="8"/>
      <c r="F26" s="7" t="s">
        <v>1988</v>
      </c>
      <c r="G26" s="7" t="str">
        <f t="shared" si="10"/>
        <v>integer</v>
      </c>
      <c r="H26" s="26"/>
      <c r="I26" s="10"/>
      <c r="J26" s="11"/>
      <c r="M26" s="4"/>
      <c r="N26" s="76"/>
      <c r="O26" s="76"/>
      <c r="P26" s="76" t="str">
        <f t="shared" si="11"/>
        <v>,recept_hensyu_info3_column_position</v>
      </c>
      <c r="Q26" s="76" t="str">
        <f t="shared" si="0"/>
        <v>INTEGER</v>
      </c>
      <c r="R26" s="76" t="str">
        <f t="shared" si="1"/>
        <v/>
      </c>
      <c r="S26" s="76" t="str">
        <f t="shared" si="12"/>
        <v/>
      </c>
      <c r="T26" s="76" t="str">
        <f t="shared" si="13"/>
        <v>-- レセプト編集情報3カラム位置</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milscm_2023_010.azn_202310_backup_mt_comment.recept_hensyu_info3_column_position IS 'レセプト編集情報3カラム位置';</v>
      </c>
    </row>
    <row r="27" spans="1:45" s="25" customFormat="1" ht="31.5">
      <c r="A27" s="4"/>
      <c r="B27" s="21">
        <f t="shared" si="9"/>
        <v>15</v>
      </c>
      <c r="C27" s="6" t="s">
        <v>2005</v>
      </c>
      <c r="D27" s="6" t="s">
        <v>2006</v>
      </c>
      <c r="E27" s="8"/>
      <c r="F27" s="7" t="s">
        <v>1988</v>
      </c>
      <c r="G27" s="7" t="str">
        <f t="shared" si="10"/>
        <v>integer</v>
      </c>
      <c r="H27" s="26"/>
      <c r="I27" s="10"/>
      <c r="J27" s="11"/>
      <c r="M27" s="4"/>
      <c r="N27" s="76"/>
      <c r="O27" s="76"/>
      <c r="P27" s="76" t="str">
        <f t="shared" si="11"/>
        <v>,recept_hensyu_info3_ketasu</v>
      </c>
      <c r="Q27" s="76" t="str">
        <f t="shared" si="0"/>
        <v>INTEGER</v>
      </c>
      <c r="R27" s="76" t="str">
        <f t="shared" si="1"/>
        <v/>
      </c>
      <c r="S27" s="76" t="str">
        <f t="shared" si="12"/>
        <v/>
      </c>
      <c r="T27" s="76" t="str">
        <f t="shared" si="13"/>
        <v>-- レセプト編集情報3桁数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milscm_2023_010.azn_202310_backup_mt_comment.recept_hensyu_info3_ketasu IS 'レセプト編集情報3桁数';</v>
      </c>
    </row>
    <row r="28" spans="1:45" s="25" customFormat="1" ht="31.5">
      <c r="A28" s="4"/>
      <c r="B28" s="21">
        <f t="shared" si="9"/>
        <v>16</v>
      </c>
      <c r="C28" s="6" t="s">
        <v>2007</v>
      </c>
      <c r="D28" s="6" t="s">
        <v>2008</v>
      </c>
      <c r="E28" s="8"/>
      <c r="F28" s="7" t="s">
        <v>1988</v>
      </c>
      <c r="G28" s="7" t="str">
        <f t="shared" si="10"/>
        <v>integer</v>
      </c>
      <c r="H28" s="26"/>
      <c r="I28" s="10"/>
      <c r="J28" s="11"/>
      <c r="M28" s="4"/>
      <c r="N28" s="76"/>
      <c r="O28" s="76"/>
      <c r="P28" s="76" t="str">
        <f t="shared" si="11"/>
        <v>,recept_hensyu_info4_column_position</v>
      </c>
      <c r="Q28" s="76" t="str">
        <f t="shared" si="0"/>
        <v>INTEGER</v>
      </c>
      <c r="R28" s="76" t="str">
        <f t="shared" si="1"/>
        <v/>
      </c>
      <c r="S28" s="76" t="str">
        <f t="shared" si="12"/>
        <v/>
      </c>
      <c r="T28" s="76" t="str">
        <f t="shared" si="13"/>
        <v>-- レセプト編集情報4カラム位置</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milscm_2023_010.azn_202310_backup_mt_comment.recept_hensyu_info4_column_position IS 'レセプト編集情報4カラム位置';</v>
      </c>
    </row>
    <row r="29" spans="1:45" s="25" customFormat="1" ht="31.5">
      <c r="A29" s="4"/>
      <c r="B29" s="21">
        <f t="shared" si="9"/>
        <v>17</v>
      </c>
      <c r="C29" s="6" t="s">
        <v>2009</v>
      </c>
      <c r="D29" s="6" t="s">
        <v>2010</v>
      </c>
      <c r="E29" s="8"/>
      <c r="F29" s="7" t="s">
        <v>1988</v>
      </c>
      <c r="G29" s="7" t="str">
        <f t="shared" si="10"/>
        <v>integer</v>
      </c>
      <c r="H29" s="26"/>
      <c r="I29" s="10"/>
      <c r="J29" s="11"/>
      <c r="M29" s="4"/>
      <c r="N29" s="76"/>
      <c r="O29" s="76"/>
      <c r="P29" s="76" t="str">
        <f t="shared" si="11"/>
        <v>,recept_hensyu_info4_ketasu</v>
      </c>
      <c r="Q29" s="76" t="str">
        <f t="shared" si="0"/>
        <v>INTEGER</v>
      </c>
      <c r="R29" s="76" t="str">
        <f t="shared" si="1"/>
        <v/>
      </c>
      <c r="S29" s="76" t="str">
        <f t="shared" si="12"/>
        <v/>
      </c>
      <c r="T29" s="76" t="str">
        <f t="shared" si="13"/>
        <v>-- レセプト編集情報4桁数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milscm_2023_010.azn_202310_backup_mt_comment.recept_hensyu_info4_ketasu IS 'レセプト編集情報4桁数';</v>
      </c>
    </row>
    <row r="30" spans="1:45" s="25" customFormat="1">
      <c r="A30" s="4"/>
      <c r="B30" s="21">
        <f t="shared" si="9"/>
        <v>18</v>
      </c>
      <c r="C30" s="6" t="s">
        <v>1946</v>
      </c>
      <c r="D30" s="6" t="s">
        <v>921</v>
      </c>
      <c r="E30" s="8"/>
      <c r="F30" s="7" t="s">
        <v>735</v>
      </c>
      <c r="G30" s="7" t="str">
        <f t="shared" si="10"/>
        <v>text</v>
      </c>
      <c r="H30" s="26"/>
      <c r="I30" s="10"/>
      <c r="J30" s="11" t="s">
        <v>1977</v>
      </c>
      <c r="M30" s="4"/>
      <c r="N30" s="76"/>
      <c r="O30" s="76"/>
      <c r="P30" s="76" t="str">
        <f t="shared" si="11"/>
        <v>,reserve1</v>
      </c>
      <c r="Q30" s="76" t="str">
        <f t="shared" si="0"/>
        <v>TEXT</v>
      </c>
      <c r="R30" s="76" t="str">
        <f t="shared" si="1"/>
        <v/>
      </c>
      <c r="S30" s="76" t="str">
        <f t="shared" si="12"/>
        <v/>
      </c>
      <c r="T30" s="76" t="str">
        <f t="shared" si="13"/>
        <v>-- 予備1</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milscm_2023_010.azn_202310_backup_mt_comment.reserve1 IS '予備1';</v>
      </c>
    </row>
    <row r="31" spans="1:45" s="25" customFormat="1">
      <c r="A31" s="4"/>
      <c r="B31" s="21">
        <f t="shared" si="9"/>
        <v>19</v>
      </c>
      <c r="C31" s="6" t="s">
        <v>1947</v>
      </c>
      <c r="D31" s="6" t="s">
        <v>972</v>
      </c>
      <c r="E31" s="8"/>
      <c r="F31" s="7" t="s">
        <v>1985</v>
      </c>
      <c r="G31" s="7" t="str">
        <f t="shared" si="10"/>
        <v>text</v>
      </c>
      <c r="H31" s="26"/>
      <c r="I31" s="10"/>
      <c r="J31" s="11" t="s">
        <v>1977</v>
      </c>
      <c r="M31" s="4"/>
      <c r="N31" s="76"/>
      <c r="O31" s="76"/>
      <c r="P31" s="76" t="str">
        <f t="shared" si="11"/>
        <v>,reserve2</v>
      </c>
      <c r="Q31" s="76" t="str">
        <f t="shared" si="0"/>
        <v>TEXT</v>
      </c>
      <c r="R31" s="76" t="str">
        <f t="shared" si="1"/>
        <v/>
      </c>
      <c r="S31" s="76" t="str">
        <f t="shared" si="12"/>
        <v/>
      </c>
      <c r="T31" s="76" t="str">
        <f t="shared" si="13"/>
        <v>-- 予備2</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milscm_2023_010.azn_202310_backup_mt_comment.reserve2 IS '予備2';</v>
      </c>
    </row>
    <row r="32" spans="1:45" s="25" customFormat="1" ht="31.5">
      <c r="A32" s="4"/>
      <c r="B32" s="21">
        <f t="shared" si="9"/>
        <v>20</v>
      </c>
      <c r="C32" s="6" t="s">
        <v>2011</v>
      </c>
      <c r="D32" s="6" t="s">
        <v>2012</v>
      </c>
      <c r="E32" s="8"/>
      <c r="F32" s="7" t="s">
        <v>1988</v>
      </c>
      <c r="G32" s="7" t="str">
        <f t="shared" si="10"/>
        <v>integer</v>
      </c>
      <c r="H32" s="26"/>
      <c r="I32" s="10"/>
      <c r="J32" s="11"/>
      <c r="M32" s="4"/>
      <c r="N32" s="76"/>
      <c r="O32" s="76"/>
      <c r="P32" s="76" t="str">
        <f t="shared" si="11"/>
        <v>,selective_comment_identification</v>
      </c>
      <c r="Q32" s="76" t="str">
        <f t="shared" si="0"/>
        <v>INTEGER</v>
      </c>
      <c r="R32" s="76" t="str">
        <f t="shared" si="1"/>
        <v/>
      </c>
      <c r="S32" s="76" t="str">
        <f t="shared" si="12"/>
        <v/>
      </c>
      <c r="T32" s="76" t="str">
        <f t="shared" si="13"/>
        <v>-- 選択式コメント識別</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milscm_2023_010.azn_202310_backup_mt_comment.selective_comment_identification IS '選択式コメント識別';</v>
      </c>
    </row>
    <row r="33" spans="1:52" s="25" customFormat="1">
      <c r="A33" s="4"/>
      <c r="B33" s="21">
        <f t="shared" si="9"/>
        <v>21</v>
      </c>
      <c r="C33" s="6" t="s">
        <v>1965</v>
      </c>
      <c r="D33" s="6" t="s">
        <v>1966</v>
      </c>
      <c r="E33" s="8"/>
      <c r="F33" s="7" t="s">
        <v>735</v>
      </c>
      <c r="G33" s="7" t="str">
        <f t="shared" si="10"/>
        <v>text</v>
      </c>
      <c r="H33" s="26"/>
      <c r="I33" s="10"/>
      <c r="J33" s="11" t="s">
        <v>1792</v>
      </c>
      <c r="M33" s="4"/>
      <c r="N33" s="76"/>
      <c r="O33" s="76"/>
      <c r="P33" s="76" t="str">
        <f t="shared" si="11"/>
        <v>,henko_ymd</v>
      </c>
      <c r="Q33" s="76" t="str">
        <f t="shared" si="0"/>
        <v>TEXT</v>
      </c>
      <c r="R33" s="76" t="str">
        <f t="shared" si="1"/>
        <v/>
      </c>
      <c r="S33" s="76" t="str">
        <f t="shared" si="12"/>
        <v/>
      </c>
      <c r="T33" s="76" t="str">
        <f t="shared" si="13"/>
        <v>-- 変更年月日</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milscm_2023_010.azn_202310_backup_mt_comment.henko_ymd IS '変更年月日';</v>
      </c>
    </row>
    <row r="34" spans="1:52" s="25" customFormat="1">
      <c r="A34" s="4"/>
      <c r="B34" s="21">
        <f t="shared" si="9"/>
        <v>22</v>
      </c>
      <c r="C34" s="6" t="s">
        <v>1905</v>
      </c>
      <c r="D34" s="6" t="s">
        <v>1967</v>
      </c>
      <c r="E34" s="8"/>
      <c r="F34" s="7" t="s">
        <v>735</v>
      </c>
      <c r="G34" s="7" t="str">
        <f t="shared" si="10"/>
        <v>text</v>
      </c>
      <c r="H34" s="26"/>
      <c r="I34" s="10"/>
      <c r="J34" s="11" t="s">
        <v>1792</v>
      </c>
      <c r="M34" s="4"/>
      <c r="N34" s="76"/>
      <c r="O34" s="76"/>
      <c r="P34" s="76" t="str">
        <f t="shared" si="11"/>
        <v>,haishi_ymd</v>
      </c>
      <c r="Q34" s="76" t="str">
        <f t="shared" si="0"/>
        <v>TEXT</v>
      </c>
      <c r="R34" s="76" t="str">
        <f t="shared" si="1"/>
        <v/>
      </c>
      <c r="S34" s="76" t="str">
        <f t="shared" si="12"/>
        <v/>
      </c>
      <c r="T34" s="76" t="str">
        <f t="shared" si="13"/>
        <v>-- 廃止年月日</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milscm_2023_010.azn_202310_backup_mt_comment.haishi_ymd IS '廃止年月日';</v>
      </c>
    </row>
    <row r="35" spans="1:52" s="25" customFormat="1" ht="56.25">
      <c r="A35" s="4"/>
      <c r="B35" s="21">
        <f t="shared" si="9"/>
        <v>23</v>
      </c>
      <c r="C35" s="6" t="s">
        <v>2013</v>
      </c>
      <c r="D35" s="6" t="s">
        <v>2014</v>
      </c>
      <c r="E35" s="8"/>
      <c r="F35" s="7" t="s">
        <v>1985</v>
      </c>
      <c r="G35" s="7" t="str">
        <f t="shared" si="10"/>
        <v>text</v>
      </c>
      <c r="H35" s="26"/>
      <c r="I35" s="10"/>
      <c r="J35" s="11" t="s">
        <v>2024</v>
      </c>
      <c r="M35" s="4"/>
      <c r="N35" s="76"/>
      <c r="O35" s="76"/>
      <c r="P35" s="76" t="str">
        <f t="shared" si="11"/>
        <v>,comment_code</v>
      </c>
      <c r="Q35" s="76" t="str">
        <f t="shared" si="0"/>
        <v>TEXT</v>
      </c>
      <c r="R35" s="76" t="str">
        <f t="shared" si="1"/>
        <v/>
      </c>
      <c r="S35" s="76" t="str">
        <f t="shared" si="12"/>
        <v/>
      </c>
      <c r="T35" s="76" t="str">
        <f t="shared" si="13"/>
        <v>-- コメントコード</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milscm_2023_010.azn_202310_backup_mt_comment.comment_code IS 'コメントコード';</v>
      </c>
    </row>
    <row r="36" spans="1:52" s="25" customFormat="1">
      <c r="A36" s="4"/>
      <c r="B36" s="21">
        <f t="shared" si="9"/>
        <v>24</v>
      </c>
      <c r="C36" s="6" t="s">
        <v>2015</v>
      </c>
      <c r="D36" s="6" t="s">
        <v>2016</v>
      </c>
      <c r="E36" s="8"/>
      <c r="F36" s="7" t="s">
        <v>1985</v>
      </c>
      <c r="G36" s="7" t="str">
        <f t="shared" si="10"/>
        <v>text</v>
      </c>
      <c r="H36" s="26"/>
      <c r="I36" s="10"/>
      <c r="J36" s="11"/>
      <c r="M36" s="4"/>
      <c r="N36" s="76"/>
      <c r="O36" s="76"/>
      <c r="P36" s="76" t="str">
        <f t="shared" si="11"/>
        <v>,kouhyoujunjo_no</v>
      </c>
      <c r="Q36" s="76" t="str">
        <f t="shared" si="0"/>
        <v>TEXT</v>
      </c>
      <c r="R36" s="76" t="str">
        <f t="shared" si="1"/>
        <v/>
      </c>
      <c r="S36" s="76" t="str">
        <f t="shared" si="12"/>
        <v/>
      </c>
      <c r="T36" s="76" t="str">
        <f t="shared" si="13"/>
        <v>-- 公表順序番号</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milscm_2023_010.azn_202310_backup_mt_comment.kouhyoujunjo_no IS '公表順序番号';</v>
      </c>
    </row>
    <row r="37" spans="1:52" s="25" customFormat="1">
      <c r="A37" s="4"/>
      <c r="B37" s="21">
        <f t="shared" si="9"/>
        <v>25</v>
      </c>
      <c r="C37" s="6" t="s">
        <v>1953</v>
      </c>
      <c r="D37" s="6" t="s">
        <v>974</v>
      </c>
      <c r="E37" s="8"/>
      <c r="F37" s="7" t="s">
        <v>1985</v>
      </c>
      <c r="G37" s="7" t="str">
        <f t="shared" si="10"/>
        <v>text</v>
      </c>
      <c r="H37" s="26"/>
      <c r="I37" s="10"/>
      <c r="J37" s="11" t="s">
        <v>1977</v>
      </c>
      <c r="M37" s="4"/>
      <c r="N37" s="76"/>
      <c r="O37" s="76"/>
      <c r="P37" s="76" t="str">
        <f t="shared" si="11"/>
        <v>,reserve3</v>
      </c>
      <c r="Q37" s="76" t="str">
        <f t="shared" si="0"/>
        <v>TEXT</v>
      </c>
      <c r="R37" s="76" t="str">
        <f t="shared" si="1"/>
        <v/>
      </c>
      <c r="S37" s="76" t="str">
        <f t="shared" si="12"/>
        <v/>
      </c>
      <c r="T37" s="76" t="str">
        <f t="shared" si="13"/>
        <v>-- 予備3</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milscm_2023_010.azn_202310_backup_mt_comment.reserve3 IS '予備3';</v>
      </c>
    </row>
    <row r="38" spans="1:52" s="25" customFormat="1">
      <c r="A38" s="4"/>
      <c r="B38" s="21">
        <f t="shared" si="9"/>
        <v>26</v>
      </c>
      <c r="C38" s="6" t="s">
        <v>1958</v>
      </c>
      <c r="D38" s="6" t="s">
        <v>1181</v>
      </c>
      <c r="E38" s="8"/>
      <c r="F38" s="7" t="s">
        <v>735</v>
      </c>
      <c r="G38" s="7" t="str">
        <f t="shared" si="10"/>
        <v>text</v>
      </c>
      <c r="H38" s="26"/>
      <c r="I38" s="10"/>
      <c r="J38" s="11" t="s">
        <v>1977</v>
      </c>
      <c r="M38" s="4"/>
      <c r="N38" s="76"/>
      <c r="O38" s="76"/>
      <c r="P38" s="76" t="str">
        <f t="shared" si="11"/>
        <v>,reserve4</v>
      </c>
      <c r="Q38" s="76" t="str">
        <f t="shared" si="0"/>
        <v>TEXT</v>
      </c>
      <c r="R38" s="76" t="str">
        <f t="shared" si="1"/>
        <v/>
      </c>
      <c r="S38" s="76" t="str">
        <f t="shared" si="12"/>
        <v/>
      </c>
      <c r="T38" s="76" t="str">
        <f t="shared" si="13"/>
        <v>-- 予備4</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milscm_2023_010.azn_202310_backup_mt_comment.reserve4 IS '予備4';</v>
      </c>
    </row>
    <row r="39" spans="1:52" s="25" customFormat="1">
      <c r="A39" s="4"/>
      <c r="B39" s="21">
        <f t="shared" si="9"/>
        <v>27</v>
      </c>
      <c r="C39" s="6" t="s">
        <v>2017</v>
      </c>
      <c r="D39" s="6" t="s">
        <v>1186</v>
      </c>
      <c r="E39" s="8"/>
      <c r="F39" s="7" t="s">
        <v>735</v>
      </c>
      <c r="G39" s="7" t="str">
        <f t="shared" si="10"/>
        <v>text</v>
      </c>
      <c r="H39" s="26"/>
      <c r="I39" s="10"/>
      <c r="J39" s="11" t="s">
        <v>1977</v>
      </c>
      <c r="M39" s="4"/>
      <c r="N39" s="76"/>
      <c r="O39" s="76"/>
      <c r="P39" s="76" t="str">
        <f t="shared" si="11"/>
        <v>,reserve5</v>
      </c>
      <c r="Q39" s="76" t="str">
        <f t="shared" si="0"/>
        <v>TEXT</v>
      </c>
      <c r="R39" s="76" t="str">
        <f t="shared" si="1"/>
        <v/>
      </c>
      <c r="S39" s="76" t="str">
        <f t="shared" si="12"/>
        <v/>
      </c>
      <c r="T39" s="76" t="str">
        <f t="shared" si="13"/>
        <v>-- 予備5</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milscm_2023_010.azn_202310_backup_mt_comment.reserve5 IS '予備5';</v>
      </c>
    </row>
    <row r="40" spans="1:52" s="25" customFormat="1">
      <c r="A40" s="4"/>
      <c r="B40" s="21">
        <f t="shared" si="9"/>
        <v>28</v>
      </c>
      <c r="C40" s="6" t="s">
        <v>2018</v>
      </c>
      <c r="D40" s="6" t="s">
        <v>1188</v>
      </c>
      <c r="E40" s="8"/>
      <c r="F40" s="7" t="s">
        <v>735</v>
      </c>
      <c r="G40" s="7" t="str">
        <f t="shared" si="10"/>
        <v>text</v>
      </c>
      <c r="H40" s="26"/>
      <c r="I40" s="10"/>
      <c r="J40" s="11" t="s">
        <v>1977</v>
      </c>
      <c r="M40" s="4"/>
      <c r="N40" s="76"/>
      <c r="O40" s="76"/>
      <c r="P40" s="76" t="str">
        <f t="shared" si="11"/>
        <v>,reserve6</v>
      </c>
      <c r="Q40" s="76" t="str">
        <f t="shared" si="0"/>
        <v>TEXT</v>
      </c>
      <c r="R40" s="76" t="str">
        <f t="shared" si="1"/>
        <v/>
      </c>
      <c r="S40" s="76" t="str">
        <f t="shared" si="12"/>
        <v/>
      </c>
      <c r="T40" s="76" t="str">
        <f t="shared" si="13"/>
        <v>-- 予備6</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milscm_2023_010.azn_202310_backup_mt_comment.reserve6 IS '予備6';</v>
      </c>
    </row>
    <row r="41" spans="1:52" s="25" customFormat="1">
      <c r="A41" s="4"/>
      <c r="B41" s="21">
        <f t="shared" si="9"/>
        <v>29</v>
      </c>
      <c r="C41" s="6" t="s">
        <v>2019</v>
      </c>
      <c r="D41" s="6" t="s">
        <v>1190</v>
      </c>
      <c r="E41" s="8"/>
      <c r="F41" s="7" t="s">
        <v>1985</v>
      </c>
      <c r="G41" s="7" t="str">
        <f t="shared" ref="G41" si="14">IF(F41="フラグ","boolean",IF(F41="文字列","text",IF(F41="整数","integer",IF(F41="実数","numeric",""))))</f>
        <v>text</v>
      </c>
      <c r="H41" s="26"/>
      <c r="I41" s="10"/>
      <c r="J41" s="11" t="s">
        <v>1977</v>
      </c>
      <c r="M41" s="4"/>
      <c r="N41" s="76"/>
      <c r="O41" s="76"/>
      <c r="P41" s="76" t="str">
        <f t="shared" ref="P41" si="15">IF(B41&lt;&gt;1,","&amp;D41,D41)</f>
        <v>,reserve7</v>
      </c>
      <c r="Q41" s="76" t="str">
        <f t="shared" ref="Q41" si="16">UPPER(G41)</f>
        <v>TEXT</v>
      </c>
      <c r="R41" s="76" t="str">
        <f t="shared" ref="R41" si="17">IF(H41&lt;&gt;"","default "&amp;IF(G41="text","'"&amp;H41&amp;"'",H41),"")</f>
        <v/>
      </c>
      <c r="S41" s="76" t="str">
        <f t="shared" ref="S41" si="18">IF(I41="○","NOT NULL","")</f>
        <v/>
      </c>
      <c r="T41" s="76" t="str">
        <f t="shared" ref="T41" si="19">"-- "&amp;C41</f>
        <v>-- 予備7</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milscm_2023_010.azn_202310_backup_mt_comment.reserve7 IS '予備7';</v>
      </c>
    </row>
    <row r="42" spans="1:52" s="25" customFormat="1">
      <c r="A42" s="4"/>
      <c r="B42" s="21">
        <f t="shared" si="9"/>
        <v>30</v>
      </c>
      <c r="C42" s="6" t="s">
        <v>2020</v>
      </c>
      <c r="D42" s="6" t="s">
        <v>2021</v>
      </c>
      <c r="E42" s="8"/>
      <c r="F42" s="7" t="s">
        <v>735</v>
      </c>
      <c r="G42" s="7" t="str">
        <f t="shared" si="10"/>
        <v>text</v>
      </c>
      <c r="H42" s="26"/>
      <c r="I42" s="10"/>
      <c r="J42" s="11" t="s">
        <v>1977</v>
      </c>
      <c r="M42" s="4"/>
      <c r="N42" s="76"/>
      <c r="O42" s="76"/>
      <c r="P42" s="76" t="str">
        <f t="shared" si="11"/>
        <v>,reserve8</v>
      </c>
      <c r="Q42" s="76" t="str">
        <f t="shared" si="0"/>
        <v>TEXT</v>
      </c>
      <c r="R42" s="76" t="str">
        <f t="shared" si="1"/>
        <v/>
      </c>
      <c r="S42" s="76" t="str">
        <f t="shared" si="12"/>
        <v/>
      </c>
      <c r="T42" s="76" t="str">
        <f t="shared" si="13"/>
        <v>-- 予備8</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milscm_2023_010.azn_202310_backup_mt_comment.reserve8 IS '予備8';</v>
      </c>
    </row>
    <row r="43" spans="1:52" s="25" customFormat="1" ht="19.5" thickBot="1">
      <c r="A43" s="4"/>
      <c r="B43" s="27">
        <f>ROW()-12</f>
        <v>31</v>
      </c>
      <c r="C43" s="57" t="s">
        <v>1974</v>
      </c>
      <c r="D43" s="57" t="s">
        <v>1879</v>
      </c>
      <c r="E43" s="56" t="s">
        <v>127</v>
      </c>
      <c r="F43" s="56" t="s">
        <v>735</v>
      </c>
      <c r="G43" s="56" t="str">
        <f t="shared" si="10"/>
        <v>text</v>
      </c>
      <c r="H43" s="59"/>
      <c r="I43" s="60" t="s">
        <v>127</v>
      </c>
      <c r="J43" s="63" t="s">
        <v>1792</v>
      </c>
      <c r="N43" s="76"/>
      <c r="O43" s="76"/>
      <c r="P43" s="76" t="str">
        <f t="shared" si="11"/>
        <v>,update_ymd</v>
      </c>
      <c r="Q43" s="76" t="str">
        <f t="shared" si="0"/>
        <v>TEXT</v>
      </c>
      <c r="R43" s="76" t="str">
        <f t="shared" si="1"/>
        <v/>
      </c>
      <c r="S43" s="76" t="str">
        <f t="shared" si="12"/>
        <v>NOT NULL</v>
      </c>
      <c r="T43" s="76" t="str">
        <f t="shared" si="13"/>
        <v>-- データ登録日</v>
      </c>
      <c r="U43" s="4"/>
      <c r="AA43" s="4"/>
      <c r="AB43" s="4"/>
      <c r="AC43" s="4"/>
      <c r="AD43" s="4"/>
      <c r="AE43" s="4"/>
      <c r="AF43" s="4"/>
      <c r="AG43" s="4"/>
      <c r="AH43" s="4"/>
      <c r="AI43" s="4"/>
      <c r="AJ43" s="76" t="str">
        <f>IF(E43="○",IF(COUNTA(E$13:E43)=1,"",",")&amp;D43,"")</f>
        <v>,update_ymd</v>
      </c>
      <c r="AK43" s="4"/>
      <c r="AL43" s="4"/>
      <c r="AM43" s="4"/>
      <c r="AN43" s="4"/>
      <c r="AO43" s="4"/>
      <c r="AP43" s="4"/>
      <c r="AQ43" s="4"/>
      <c r="AR43" s="4"/>
      <c r="AS43" s="76" t="str">
        <f>"COMMENT ON COLUMN "&amp;エンティティ一覧!$O$2&amp;"."&amp;D$8&amp;"."&amp;D43&amp;" IS '"&amp;C43&amp;"';"</f>
        <v>COMMENT ON COLUMN milscm_2023_010.azn_202310_backup_mt_comment.update_ymd IS 'データ登録日';</v>
      </c>
    </row>
    <row r="44" spans="1:52">
      <c r="L44" s="25"/>
      <c r="M44" s="25"/>
      <c r="N44" s="76" t="s">
        <v>142</v>
      </c>
      <c r="O44" s="76"/>
      <c r="P44" s="76"/>
      <c r="Q44" s="76"/>
      <c r="R44" s="76"/>
      <c r="S44" s="76"/>
      <c r="T44" s="76"/>
      <c r="V44" s="25"/>
      <c r="W44" s="25"/>
      <c r="X44" s="25"/>
      <c r="Y44" s="25"/>
      <c r="Z44" s="25"/>
      <c r="AJ44" s="76" t="s">
        <v>142</v>
      </c>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V47" s="25"/>
      <c r="W47" s="25"/>
      <c r="X47" s="25"/>
      <c r="Y47" s="25"/>
      <c r="Z47" s="25"/>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V59" s="25"/>
      <c r="AW59" s="25"/>
      <c r="AX59" s="25"/>
      <c r="AY59" s="25"/>
      <c r="AZ59" s="25"/>
    </row>
    <row r="60" spans="12:52">
      <c r="M60" s="25"/>
    </row>
    <row r="61" spans="12:52">
      <c r="M61" s="25"/>
    </row>
    <row r="62" spans="12:52">
      <c r="M62" s="25"/>
    </row>
    <row r="63" spans="12:52">
      <c r="M63" s="25"/>
    </row>
    <row r="64" spans="12:52">
      <c r="M64" s="25"/>
    </row>
    <row r="65" spans="13:13">
      <c r="M6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ENT_01_A3-08</v>
      </c>
      <c r="E6" s="272"/>
      <c r="F6" s="272"/>
      <c r="G6" s="272"/>
      <c r="H6" s="272"/>
      <c r="I6" s="272"/>
      <c r="J6" s="273"/>
    </row>
    <row r="7" spans="1:45">
      <c r="B7" s="261" t="s">
        <v>115</v>
      </c>
      <c r="C7" s="262"/>
      <c r="D7" s="263" t="s">
        <v>2025</v>
      </c>
      <c r="E7" s="264"/>
      <c r="F7" s="264"/>
      <c r="G7" s="264"/>
      <c r="H7" s="264"/>
      <c r="I7" s="264"/>
      <c r="J7" s="265"/>
    </row>
    <row r="8" spans="1:45">
      <c r="B8" s="261" t="s">
        <v>116</v>
      </c>
      <c r="C8" s="262"/>
      <c r="D8" s="263" t="str">
        <f>エンティティ一覧!AE2&amp;"_"&amp;D5&amp;"_mt_seibunryo"</f>
        <v>azn_202310_backup_mt_seibunryo</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成分量マスタ取込用テーブルから組入れ条件の第一条件で絞り込んだ結果を格納するテーブル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milscm_2023_010.azn_202310_backup_mt_seibunryo;</v>
      </c>
      <c r="O10" s="76"/>
      <c r="P10" s="76"/>
      <c r="Q10" s="76"/>
      <c r="R10" s="76"/>
      <c r="S10" s="76"/>
      <c r="T10" s="76"/>
      <c r="AJ10" s="76" t="str">
        <f>"ALTER TABLE ONLY "&amp;エンティティ一覧!$O$2&amp;"."&amp;D$8</f>
        <v>ALTER TABLE ONLY milscm_2023_010.azn_202310_backup_mt_seibunryo</v>
      </c>
      <c r="AS10" s="76" t="str">
        <f>"ALTER TABLE "&amp;エンティティ一覧!$O$2&amp;"."&amp;D$8&amp;" OWNER TO pgmisgrp1;"</f>
        <v>ALTER TABLE milscm_2023_010.azn_202310_backup_mt_seibunryo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milscm_2023_010.azn_202310_backup_mt_seibunryo</v>
      </c>
      <c r="O11" s="76"/>
      <c r="P11" s="76"/>
      <c r="Q11" s="76"/>
      <c r="R11" s="76"/>
      <c r="S11" s="76"/>
      <c r="T11" s="76"/>
      <c r="AJ11" s="76" t="str">
        <f>"ADD CONSTRAINT "&amp;D$8&amp;"_pkey PRIMARY KEY"</f>
        <v>ADD CONSTRAINT azn_202310_backup_mt_seibunryo_pkey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milscm_2023_010.azn_202310_backup_mt_seibunryo IS 'バックアップ_成分量マスタ取込用';</v>
      </c>
    </row>
    <row r="13" spans="1:45" s="25" customFormat="1">
      <c r="A13" s="4"/>
      <c r="B13" s="21">
        <f>ROW()-12</f>
        <v>1</v>
      </c>
      <c r="C13" s="6" t="s">
        <v>2026</v>
      </c>
      <c r="D13" s="6" t="s">
        <v>2027</v>
      </c>
      <c r="E13" s="8" t="s">
        <v>127</v>
      </c>
      <c r="F13" s="8" t="s">
        <v>1735</v>
      </c>
      <c r="G13" s="7" t="str">
        <f>IF(F13="フラグ","boolean",IF(F13="文字列","text",IF(F13="整数","integer",IF(F13="実数","numeric",""))))</f>
        <v>text</v>
      </c>
      <c r="H13" s="9"/>
      <c r="I13" s="10" t="s">
        <v>127</v>
      </c>
      <c r="J13" s="11"/>
      <c r="M13" s="4"/>
      <c r="N13" s="76"/>
      <c r="O13" s="76"/>
      <c r="P13" s="76" t="str">
        <f>IF(B13&lt;&gt;1,","&amp;D13,D13)</f>
        <v>yj_code</v>
      </c>
      <c r="Q13" s="76" t="str">
        <f t="shared" ref="Q13:Q23" si="0">UPPER(G13)</f>
        <v>TEXT</v>
      </c>
      <c r="R13" s="76" t="str">
        <f t="shared" ref="R13:R23" si="1">IF(H13&lt;&gt;"","default "&amp;IF(G13="text","'"&amp;H13&amp;"'",H13),"")</f>
        <v/>
      </c>
      <c r="S13" s="76" t="str">
        <f>IF(I13="○","NOT NULL","")</f>
        <v>NOT NULL</v>
      </c>
      <c r="T13" s="76" t="str">
        <f>"-- "&amp;C13</f>
        <v>-- ＹＪコード</v>
      </c>
      <c r="U13" s="4"/>
      <c r="AA13" s="4"/>
      <c r="AB13" s="4"/>
      <c r="AC13" s="4"/>
      <c r="AD13" s="4"/>
      <c r="AE13" s="4"/>
      <c r="AF13" s="4"/>
      <c r="AG13" s="4"/>
      <c r="AH13" s="4"/>
      <c r="AI13" s="4"/>
      <c r="AJ13" s="76" t="str">
        <f>IF(E13="○",IF(COUNTA(E$13:E13)=1,"",",")&amp;D13,"")</f>
        <v>yj_code</v>
      </c>
      <c r="AK13" s="4"/>
      <c r="AL13" s="4"/>
      <c r="AM13" s="4"/>
      <c r="AN13" s="4"/>
      <c r="AO13" s="4"/>
      <c r="AP13" s="4"/>
      <c r="AQ13" s="4"/>
      <c r="AR13" s="4"/>
      <c r="AS13" s="76" t="str">
        <f>"COMMENT ON COLUMN "&amp;エンティティ一覧!$O$2&amp;"."&amp;D$8&amp;"."&amp;D13&amp;" IS '"&amp;C13&amp;"';"</f>
        <v>COMMENT ON COLUMN milscm_2023_010.azn_202310_backup_mt_seibunryo.yj_code IS 'ＹＪコード';</v>
      </c>
    </row>
    <row r="14" spans="1:45" s="25" customFormat="1" ht="37.5">
      <c r="A14" s="4"/>
      <c r="B14" s="21">
        <f t="shared" ref="B14:B22" si="2">ROW()-12</f>
        <v>2</v>
      </c>
      <c r="C14" s="6" t="s">
        <v>2028</v>
      </c>
      <c r="D14" s="6" t="s">
        <v>2029</v>
      </c>
      <c r="E14" s="8"/>
      <c r="F14" s="7" t="s">
        <v>1735</v>
      </c>
      <c r="G14" s="7" t="str">
        <f t="shared" ref="G14:G23" si="3">IF(F14="フラグ","boolean",IF(F14="文字列","text",IF(F14="整数","integer",IF(F14="実数","numeric",""))))</f>
        <v>text</v>
      </c>
      <c r="H14" s="26"/>
      <c r="I14" s="10" t="s">
        <v>127</v>
      </c>
      <c r="J14" s="11" t="s">
        <v>2047</v>
      </c>
      <c r="M14" s="4"/>
      <c r="N14" s="76"/>
      <c r="O14" s="76"/>
      <c r="P14" s="76" t="str">
        <f t="shared" ref="P14:P23" si="4">IF(B14&lt;&gt;1,","&amp;D14,D14)</f>
        <v>,haigozai_f</v>
      </c>
      <c r="Q14" s="76" t="str">
        <f t="shared" si="0"/>
        <v>TEXT</v>
      </c>
      <c r="R14" s="76" t="str">
        <f t="shared" si="1"/>
        <v/>
      </c>
      <c r="S14" s="76" t="str">
        <f t="shared" ref="S14:S23" si="5">IF(I14="○","NOT NULL","")</f>
        <v>NOT NULL</v>
      </c>
      <c r="T14" s="76" t="str">
        <f t="shared" ref="T14:T23" si="6">"-- "&amp;C14</f>
        <v>-- 配合剤フラグ</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milscm_2023_010.azn_202310_backup_mt_seibunryo.haigozai_f IS '配合剤フラグ';</v>
      </c>
    </row>
    <row r="15" spans="1:45" s="25" customFormat="1">
      <c r="A15" s="4"/>
      <c r="B15" s="21">
        <f t="shared" si="2"/>
        <v>3</v>
      </c>
      <c r="C15" s="6" t="s">
        <v>2030</v>
      </c>
      <c r="D15" s="6" t="s">
        <v>2031</v>
      </c>
      <c r="E15" s="8"/>
      <c r="F15" s="7" t="s">
        <v>1735</v>
      </c>
      <c r="G15" s="7" t="str">
        <f t="shared" si="3"/>
        <v>text</v>
      </c>
      <c r="H15" s="26"/>
      <c r="I15" s="10" t="s">
        <v>127</v>
      </c>
      <c r="J15" s="11"/>
      <c r="M15" s="4"/>
      <c r="N15" s="76"/>
      <c r="O15" s="76"/>
      <c r="P15" s="76" t="str">
        <f t="shared" si="4"/>
        <v>,seibun_group_code</v>
      </c>
      <c r="Q15" s="76" t="str">
        <f t="shared" si="0"/>
        <v>TEXT</v>
      </c>
      <c r="R15" s="76" t="str">
        <f t="shared" si="1"/>
        <v/>
      </c>
      <c r="S15" s="76" t="str">
        <f t="shared" si="5"/>
        <v>NOT NULL</v>
      </c>
      <c r="T15" s="76" t="str">
        <f t="shared" si="6"/>
        <v>-- 成分グループコード</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milscm_2023_010.azn_202310_backup_mt_seibunryo.seibun_group_code IS '成分グループコード';</v>
      </c>
    </row>
    <row r="16" spans="1:45" s="25" customFormat="1">
      <c r="A16" s="4"/>
      <c r="B16" s="21">
        <f t="shared" si="2"/>
        <v>4</v>
      </c>
      <c r="C16" s="6" t="s">
        <v>2032</v>
      </c>
      <c r="D16" s="6" t="s">
        <v>2033</v>
      </c>
      <c r="E16" s="8" t="s">
        <v>127</v>
      </c>
      <c r="F16" s="7" t="s">
        <v>1735</v>
      </c>
      <c r="G16" s="7" t="str">
        <f t="shared" si="3"/>
        <v>text</v>
      </c>
      <c r="H16" s="26"/>
      <c r="I16" s="10" t="s">
        <v>127</v>
      </c>
      <c r="J16" s="11"/>
      <c r="M16" s="4"/>
      <c r="N16" s="76"/>
      <c r="O16" s="76"/>
      <c r="P16" s="76" t="str">
        <f t="shared" si="4"/>
        <v>,seibun_code</v>
      </c>
      <c r="Q16" s="76" t="str">
        <f t="shared" si="0"/>
        <v>TEXT</v>
      </c>
      <c r="R16" s="76" t="str">
        <f t="shared" si="1"/>
        <v/>
      </c>
      <c r="S16" s="76" t="str">
        <f t="shared" si="5"/>
        <v>NOT NULL</v>
      </c>
      <c r="T16" s="76" t="str">
        <f t="shared" si="6"/>
        <v>-- 成分コード</v>
      </c>
      <c r="U16" s="4"/>
      <c r="AA16" s="4"/>
      <c r="AB16" s="4"/>
      <c r="AC16" s="4"/>
      <c r="AD16" s="4"/>
      <c r="AE16" s="4"/>
      <c r="AF16" s="4"/>
      <c r="AG16" s="4"/>
      <c r="AH16" s="4"/>
      <c r="AI16" s="4"/>
      <c r="AJ16" s="76" t="str">
        <f>IF(E16="○",IF(COUNTA(E$13:E16)=1,"",",")&amp;D16,"")</f>
        <v>,seibun_code</v>
      </c>
      <c r="AK16" s="4"/>
      <c r="AL16" s="4"/>
      <c r="AM16" s="4"/>
      <c r="AN16" s="4"/>
      <c r="AO16" s="4"/>
      <c r="AP16" s="4"/>
      <c r="AQ16" s="4"/>
      <c r="AR16" s="4"/>
      <c r="AS16" s="76" t="str">
        <f>"COMMENT ON COLUMN "&amp;エンティティ一覧!$O$2&amp;"."&amp;D$8&amp;"."&amp;D16&amp;" IS '"&amp;C16&amp;"';"</f>
        <v>COMMENT ON COLUMN milscm_2023_010.azn_202310_backup_mt_seibunryo.seibun_code IS '成分コード';</v>
      </c>
    </row>
    <row r="17" spans="1:52" s="25" customFormat="1">
      <c r="A17" s="4"/>
      <c r="B17" s="21">
        <f t="shared" si="2"/>
        <v>5</v>
      </c>
      <c r="C17" s="6" t="s">
        <v>2034</v>
      </c>
      <c r="D17" s="6" t="s">
        <v>2035</v>
      </c>
      <c r="E17" s="8"/>
      <c r="F17" s="7" t="s">
        <v>1742</v>
      </c>
      <c r="G17" s="7" t="str">
        <f t="shared" si="3"/>
        <v>numeric</v>
      </c>
      <c r="H17" s="26"/>
      <c r="I17" s="10"/>
      <c r="J17" s="11"/>
      <c r="M17" s="4"/>
      <c r="N17" s="76"/>
      <c r="O17" s="76"/>
      <c r="P17" s="76" t="str">
        <f t="shared" si="4"/>
        <v>,seibunryo</v>
      </c>
      <c r="Q17" s="76" t="str">
        <f t="shared" si="0"/>
        <v>NUMERIC</v>
      </c>
      <c r="R17" s="76" t="str">
        <f t="shared" si="1"/>
        <v/>
      </c>
      <c r="S17" s="76" t="str">
        <f t="shared" si="5"/>
        <v/>
      </c>
      <c r="T17" s="76" t="str">
        <f t="shared" si="6"/>
        <v>-- 成分量</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milscm_2023_010.azn_202310_backup_mt_seibunryo.seibunryo IS '成分量';</v>
      </c>
    </row>
    <row r="18" spans="1:52" s="25" customFormat="1">
      <c r="A18" s="4"/>
      <c r="B18" s="21">
        <f t="shared" si="2"/>
        <v>6</v>
      </c>
      <c r="C18" s="6" t="s">
        <v>2036</v>
      </c>
      <c r="D18" s="6" t="s">
        <v>2037</v>
      </c>
      <c r="E18" s="8"/>
      <c r="F18" s="7" t="s">
        <v>1735</v>
      </c>
      <c r="G18" s="7" t="str">
        <f t="shared" si="3"/>
        <v>text</v>
      </c>
      <c r="H18" s="26"/>
      <c r="I18" s="10"/>
      <c r="J18" s="11"/>
      <c r="M18" s="4"/>
      <c r="N18" s="76"/>
      <c r="O18" s="76"/>
      <c r="P18" s="76" t="str">
        <f t="shared" si="4"/>
        <v>,seibun_unit_code</v>
      </c>
      <c r="Q18" s="76" t="str">
        <f t="shared" si="0"/>
        <v>TEXT</v>
      </c>
      <c r="R18" s="76" t="str">
        <f t="shared" si="1"/>
        <v/>
      </c>
      <c r="S18" s="76" t="str">
        <f t="shared" si="5"/>
        <v/>
      </c>
      <c r="T18" s="76" t="str">
        <f t="shared" si="6"/>
        <v>-- 成分単位コード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milscm_2023_010.azn_202310_backup_mt_seibunryo.seibun_unit_code IS '成分単位コード';</v>
      </c>
    </row>
    <row r="19" spans="1:52" s="25" customFormat="1">
      <c r="A19" s="4"/>
      <c r="B19" s="21">
        <f t="shared" si="2"/>
        <v>7</v>
      </c>
      <c r="C19" s="6" t="s">
        <v>2038</v>
      </c>
      <c r="D19" s="6" t="s">
        <v>2039</v>
      </c>
      <c r="E19" s="8"/>
      <c r="F19" s="7" t="s">
        <v>1742</v>
      </c>
      <c r="G19" s="7" t="str">
        <f t="shared" si="3"/>
        <v>numeric</v>
      </c>
      <c r="H19" s="26"/>
      <c r="I19" s="10"/>
      <c r="J19" s="11"/>
      <c r="M19" s="4"/>
      <c r="N19" s="76"/>
      <c r="O19" s="76"/>
      <c r="P19" s="76" t="str">
        <f t="shared" si="4"/>
        <v>,kokuji_kikakuryo</v>
      </c>
      <c r="Q19" s="76" t="str">
        <f t="shared" si="0"/>
        <v>NUMERIC</v>
      </c>
      <c r="R19" s="76" t="str">
        <f t="shared" si="1"/>
        <v/>
      </c>
      <c r="S19" s="76" t="str">
        <f t="shared" si="5"/>
        <v/>
      </c>
      <c r="T19" s="76" t="str">
        <f t="shared" si="6"/>
        <v>-- 告示規格量</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milscm_2023_010.azn_202310_backup_mt_seibunryo.kokuji_kikakuryo IS '告示規格量';</v>
      </c>
    </row>
    <row r="20" spans="1:52" s="25" customFormat="1" ht="31.9" customHeight="1">
      <c r="A20" s="4"/>
      <c r="B20" s="21">
        <f t="shared" si="2"/>
        <v>8</v>
      </c>
      <c r="C20" s="6" t="s">
        <v>2040</v>
      </c>
      <c r="D20" s="6" t="s">
        <v>2041</v>
      </c>
      <c r="E20" s="8"/>
      <c r="F20" s="7" t="s">
        <v>1735</v>
      </c>
      <c r="G20" s="7" t="str">
        <f t="shared" si="3"/>
        <v>text</v>
      </c>
      <c r="H20" s="26"/>
      <c r="I20" s="10"/>
      <c r="J20" s="11"/>
      <c r="M20" s="4"/>
      <c r="N20" s="76"/>
      <c r="O20" s="76"/>
      <c r="P20" s="76" t="str">
        <f t="shared" si="4"/>
        <v>,kokuji_kikaku_unit_code</v>
      </c>
      <c r="Q20" s="76" t="str">
        <f t="shared" si="0"/>
        <v>TEXT</v>
      </c>
      <c r="R20" s="76" t="str">
        <f t="shared" si="1"/>
        <v/>
      </c>
      <c r="S20" s="76" t="str">
        <f t="shared" si="5"/>
        <v/>
      </c>
      <c r="T20" s="76" t="str">
        <f t="shared" si="6"/>
        <v>-- 告示規格単位コード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milscm_2023_010.azn_202310_backup_mt_seibunryo.kokuji_kikaku_unit_code IS '告示規格単位コード';</v>
      </c>
    </row>
    <row r="21" spans="1:52" s="25" customFormat="1">
      <c r="A21" s="4"/>
      <c r="B21" s="21">
        <f t="shared" si="2"/>
        <v>9</v>
      </c>
      <c r="C21" s="6" t="s">
        <v>2042</v>
      </c>
      <c r="D21" s="6" t="s">
        <v>2043</v>
      </c>
      <c r="E21" s="8"/>
      <c r="F21" s="7" t="s">
        <v>1735</v>
      </c>
      <c r="G21" s="7" t="str">
        <f t="shared" si="3"/>
        <v>text</v>
      </c>
      <c r="H21" s="26"/>
      <c r="I21" s="10"/>
      <c r="J21" s="11"/>
      <c r="M21" s="4"/>
      <c r="N21" s="76"/>
      <c r="O21" s="76"/>
      <c r="P21" s="76" t="str">
        <f t="shared" si="4"/>
        <v>,bikou</v>
      </c>
      <c r="Q21" s="76" t="str">
        <f t="shared" si="0"/>
        <v>TEXT</v>
      </c>
      <c r="R21" s="76" t="str">
        <f t="shared" si="1"/>
        <v/>
      </c>
      <c r="S21" s="76" t="str">
        <f t="shared" si="5"/>
        <v/>
      </c>
      <c r="T21" s="76" t="str">
        <f t="shared" si="6"/>
        <v>-- 備考</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milscm_2023_010.azn_202310_backup_mt_seibunryo.bikou IS '備考';</v>
      </c>
    </row>
    <row r="22" spans="1:52" s="25" customFormat="1" ht="56.25">
      <c r="A22" s="4"/>
      <c r="B22" s="21">
        <f t="shared" si="2"/>
        <v>10</v>
      </c>
      <c r="C22" s="6" t="s">
        <v>2044</v>
      </c>
      <c r="D22" s="6" t="s">
        <v>2045</v>
      </c>
      <c r="E22" s="8" t="s">
        <v>127</v>
      </c>
      <c r="F22" s="7" t="s">
        <v>1735</v>
      </c>
      <c r="G22" s="7" t="str">
        <f t="shared" si="3"/>
        <v>text</v>
      </c>
      <c r="H22" s="26"/>
      <c r="I22" s="10" t="s">
        <v>127</v>
      </c>
      <c r="J22" s="11" t="s">
        <v>2048</v>
      </c>
      <c r="M22" s="4"/>
      <c r="N22" s="76"/>
      <c r="O22" s="76"/>
      <c r="P22" s="76" t="str">
        <f t="shared" si="4"/>
        <v>,koshin_kubun</v>
      </c>
      <c r="Q22" s="76" t="str">
        <f t="shared" si="0"/>
        <v>TEXT</v>
      </c>
      <c r="R22" s="76" t="str">
        <f t="shared" si="1"/>
        <v/>
      </c>
      <c r="S22" s="76" t="str">
        <f t="shared" si="5"/>
        <v>NOT NULL</v>
      </c>
      <c r="T22" s="76" t="str">
        <f t="shared" si="6"/>
        <v>-- 更新区分</v>
      </c>
      <c r="U22" s="4"/>
      <c r="AA22" s="4"/>
      <c r="AB22" s="4"/>
      <c r="AC22" s="4"/>
      <c r="AD22" s="4"/>
      <c r="AE22" s="4"/>
      <c r="AF22" s="4"/>
      <c r="AG22" s="4"/>
      <c r="AH22" s="4"/>
      <c r="AI22" s="4"/>
      <c r="AJ22" s="76" t="str">
        <f>IF(E22="○",IF(COUNTA(E$13:E22)=1,"",",")&amp;D22,"")</f>
        <v>,koshin_kubun</v>
      </c>
      <c r="AK22" s="4"/>
      <c r="AL22" s="4"/>
      <c r="AM22" s="4"/>
      <c r="AN22" s="4"/>
      <c r="AO22" s="4"/>
      <c r="AP22" s="4"/>
      <c r="AQ22" s="4"/>
      <c r="AR22" s="4"/>
      <c r="AS22" s="76" t="str">
        <f>"COMMENT ON COLUMN "&amp;エンティティ一覧!$O$2&amp;"."&amp;D$8&amp;"."&amp;D22&amp;" IS '"&amp;C22&amp;"';"</f>
        <v>COMMENT ON COLUMN milscm_2023_010.azn_202310_backup_mt_seibunryo.koshin_kubun IS '更新区分';</v>
      </c>
    </row>
    <row r="23" spans="1:52" s="25" customFormat="1" ht="19.5" thickBot="1">
      <c r="A23" s="4"/>
      <c r="B23" s="27">
        <f>ROW()-12</f>
        <v>11</v>
      </c>
      <c r="C23" s="57" t="s">
        <v>2046</v>
      </c>
      <c r="D23" s="57" t="s">
        <v>1879</v>
      </c>
      <c r="E23" s="56" t="s">
        <v>127</v>
      </c>
      <c r="F23" s="56" t="s">
        <v>1735</v>
      </c>
      <c r="G23" s="56" t="str">
        <f t="shared" si="3"/>
        <v>text</v>
      </c>
      <c r="H23" s="59"/>
      <c r="I23" s="60" t="s">
        <v>127</v>
      </c>
      <c r="J23" s="63" t="s">
        <v>2049</v>
      </c>
      <c r="N23" s="76"/>
      <c r="O23" s="76"/>
      <c r="P23" s="76" t="str">
        <f t="shared" si="4"/>
        <v>,update_ymd</v>
      </c>
      <c r="Q23" s="76" t="str">
        <f t="shared" si="0"/>
        <v>TEXT</v>
      </c>
      <c r="R23" s="76" t="str">
        <f t="shared" si="1"/>
        <v/>
      </c>
      <c r="S23" s="76" t="str">
        <f t="shared" si="5"/>
        <v>NOT NULL</v>
      </c>
      <c r="T23" s="76" t="str">
        <f t="shared" si="6"/>
        <v>-- データ登録日</v>
      </c>
      <c r="U23" s="4"/>
      <c r="AA23" s="4"/>
      <c r="AB23" s="4"/>
      <c r="AC23" s="4"/>
      <c r="AD23" s="4"/>
      <c r="AE23" s="4"/>
      <c r="AF23" s="4"/>
      <c r="AG23" s="4"/>
      <c r="AH23" s="4"/>
      <c r="AI23" s="4"/>
      <c r="AJ23" s="76" t="str">
        <f>IF(E23="○",IF(COUNTA(E$13:E23)=1,"",",")&amp;D23,"")</f>
        <v>,update_ymd</v>
      </c>
      <c r="AK23" s="4"/>
      <c r="AL23" s="4"/>
      <c r="AM23" s="4"/>
      <c r="AN23" s="4"/>
      <c r="AO23" s="4"/>
      <c r="AP23" s="4"/>
      <c r="AQ23" s="4"/>
      <c r="AR23" s="4"/>
      <c r="AS23" s="76" t="str">
        <f>"COMMENT ON COLUMN "&amp;エンティティ一覧!$O$2&amp;"."&amp;D$8&amp;"."&amp;D23&amp;" IS '"&amp;C23&amp;"';"</f>
        <v>COMMENT ON COLUMN milscm_2023_010.azn_202310_backup_mt_seibunryo.update_ymd IS 'データ登録日';</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ENT_01_A3-09</v>
      </c>
      <c r="E6" s="272"/>
      <c r="F6" s="272"/>
      <c r="G6" s="272"/>
      <c r="H6" s="272"/>
      <c r="I6" s="272"/>
      <c r="J6" s="273"/>
    </row>
    <row r="7" spans="1:45">
      <c r="B7" s="261" t="s">
        <v>115</v>
      </c>
      <c r="C7" s="262"/>
      <c r="D7" s="263" t="s">
        <v>2050</v>
      </c>
      <c r="E7" s="264"/>
      <c r="F7" s="264"/>
      <c r="G7" s="264"/>
      <c r="H7" s="264"/>
      <c r="I7" s="264"/>
      <c r="J7" s="265"/>
    </row>
    <row r="8" spans="1:45">
      <c r="B8" s="261" t="s">
        <v>116</v>
      </c>
      <c r="C8" s="262"/>
      <c r="D8" s="263" t="str">
        <f>エンティティ一覧!AE2&amp;"_"&amp;D5&amp;"_mt_seibun_name"</f>
        <v>azn_202310_backup_mt_seibun_name</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成分名マスタ取込用テーブルから組入れ条件の第一条件で絞り込んだ結果を格納するテーブル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milscm_2023_010.azn_202310_backup_mt_seibun_name;</v>
      </c>
      <c r="O10" s="76"/>
      <c r="P10" s="76"/>
      <c r="Q10" s="76"/>
      <c r="R10" s="76"/>
      <c r="S10" s="76"/>
      <c r="T10" s="76"/>
      <c r="AJ10" s="76" t="str">
        <f>"ALTER TABLE ONLY "&amp;エンティティ一覧!$O$2&amp;"."&amp;D$8</f>
        <v>ALTER TABLE ONLY milscm_2023_010.azn_202310_backup_mt_seibun_name</v>
      </c>
      <c r="AS10" s="76" t="str">
        <f>"ALTER TABLE "&amp;エンティティ一覧!$O$2&amp;"."&amp;D$8&amp;" OWNER TO pgmisgrp1;"</f>
        <v>ALTER TABLE milscm_2023_010.azn_202310_backup_mt_seibun_name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milscm_2023_010.azn_202310_backup_mt_seibun_name</v>
      </c>
      <c r="O11" s="76"/>
      <c r="P11" s="76"/>
      <c r="Q11" s="76"/>
      <c r="R11" s="76"/>
      <c r="S11" s="76"/>
      <c r="T11" s="76"/>
      <c r="AJ11" s="76" t="str">
        <f>"ADD CONSTRAINT "&amp;D$8&amp;"_pkey PRIMARY KEY"</f>
        <v>ADD CONSTRAINT azn_202310_backup_mt_seibun_name_pkey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milscm_2023_010.azn_202310_backup_mt_seibun_name IS 'バックアップ_成分名マスタ取込用';</v>
      </c>
    </row>
    <row r="13" spans="1:45" s="25" customFormat="1">
      <c r="A13" s="4"/>
      <c r="B13" s="21">
        <f>ROW()-12</f>
        <v>1</v>
      </c>
      <c r="C13" s="6" t="s">
        <v>2051</v>
      </c>
      <c r="D13" s="6" t="s">
        <v>2052</v>
      </c>
      <c r="E13" s="8"/>
      <c r="F13" s="8" t="s">
        <v>1735</v>
      </c>
      <c r="G13" s="7" t="str">
        <f>IF(F13="フラグ","boolean",IF(F13="文字列","text",IF(F13="整数","integer",IF(F13="実数","numeric",""))))</f>
        <v>text</v>
      </c>
      <c r="H13" s="9"/>
      <c r="I13" s="10" t="s">
        <v>127</v>
      </c>
      <c r="J13" s="11"/>
      <c r="M13" s="4"/>
      <c r="N13" s="76"/>
      <c r="O13" s="76"/>
      <c r="P13" s="76" t="str">
        <f>IF(B13&lt;&gt;1,","&amp;D13,D13)</f>
        <v>management_id</v>
      </c>
      <c r="Q13" s="76" t="str">
        <f t="shared" ref="Q13:Q22" si="0">UPPER(G13)</f>
        <v>TEXT</v>
      </c>
      <c r="R13" s="76" t="str">
        <f t="shared" ref="R13:R22" si="1">IF(H13&lt;&gt;"","default "&amp;IF(G13="text","'"&amp;H13&amp;"'",H13),"")</f>
        <v/>
      </c>
      <c r="S13" s="76" t="str">
        <f>IF(I13="○","NOT NULL","")</f>
        <v>NOT NULL</v>
      </c>
      <c r="T13" s="76" t="str">
        <f>"-- "&amp;C13</f>
        <v>-- 管理ID</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milscm_2023_010.azn_202310_backup_mt_seibun_name.management_id IS '管理ID';</v>
      </c>
    </row>
    <row r="14" spans="1:45" s="25" customFormat="1">
      <c r="A14" s="4"/>
      <c r="B14" s="21">
        <f t="shared" ref="B14:B21" si="2">ROW()-12</f>
        <v>2</v>
      </c>
      <c r="C14" s="6" t="s">
        <v>2053</v>
      </c>
      <c r="D14" s="6" t="s">
        <v>2054</v>
      </c>
      <c r="E14" s="8"/>
      <c r="F14" s="7" t="s">
        <v>1735</v>
      </c>
      <c r="G14" s="7" t="str">
        <f t="shared" ref="G14:G22" si="3">IF(F14="フラグ","boolean",IF(F14="文字列","text",IF(F14="整数","integer",IF(F14="実数","numeric",""))))</f>
        <v>text</v>
      </c>
      <c r="H14" s="26"/>
      <c r="I14" s="10"/>
      <c r="J14" s="11" t="s">
        <v>2065</v>
      </c>
      <c r="M14" s="4"/>
      <c r="N14" s="76"/>
      <c r="O14" s="76"/>
      <c r="P14" s="76" t="str">
        <f t="shared" ref="P14:P22" si="4">IF(B14&lt;&gt;1,","&amp;D14,D14)</f>
        <v>,seibun_oya_level</v>
      </c>
      <c r="Q14" s="76" t="str">
        <f t="shared" si="0"/>
        <v>TEXT</v>
      </c>
      <c r="R14" s="76" t="str">
        <f t="shared" si="1"/>
        <v/>
      </c>
      <c r="S14" s="76" t="str">
        <f t="shared" ref="S14:S22" si="5">IF(I14="○","NOT NULL","")</f>
        <v/>
      </c>
      <c r="T14" s="76" t="str">
        <f t="shared" ref="T14:T22" si="6">"-- "&amp;C14</f>
        <v>-- 成分親レベル</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milscm_2023_010.azn_202310_backup_mt_seibun_name.seibun_oya_level IS '成分親レベル';</v>
      </c>
    </row>
    <row r="15" spans="1:45" s="25" customFormat="1">
      <c r="A15" s="4"/>
      <c r="B15" s="21">
        <f t="shared" si="2"/>
        <v>3</v>
      </c>
      <c r="C15" s="6" t="s">
        <v>2055</v>
      </c>
      <c r="D15" s="6" t="s">
        <v>2056</v>
      </c>
      <c r="E15" s="8" t="s">
        <v>127</v>
      </c>
      <c r="F15" s="7" t="s">
        <v>1735</v>
      </c>
      <c r="G15" s="7" t="str">
        <f t="shared" si="3"/>
        <v>text</v>
      </c>
      <c r="H15" s="26"/>
      <c r="I15" s="10" t="s">
        <v>127</v>
      </c>
      <c r="J15" s="11" t="s">
        <v>2066</v>
      </c>
      <c r="M15" s="4"/>
      <c r="N15" s="76"/>
      <c r="O15" s="76"/>
      <c r="P15" s="76" t="str">
        <f t="shared" si="4"/>
        <v>,seibun_oya_code</v>
      </c>
      <c r="Q15" s="76" t="str">
        <f t="shared" si="0"/>
        <v>TEXT</v>
      </c>
      <c r="R15" s="76" t="str">
        <f t="shared" si="1"/>
        <v/>
      </c>
      <c r="S15" s="76" t="str">
        <f t="shared" si="5"/>
        <v>NOT NULL</v>
      </c>
      <c r="T15" s="76" t="str">
        <f t="shared" si="6"/>
        <v>-- 成分親コード</v>
      </c>
      <c r="U15" s="4"/>
      <c r="AA15" s="4"/>
      <c r="AB15" s="4"/>
      <c r="AC15" s="4"/>
      <c r="AD15" s="4"/>
      <c r="AE15" s="4"/>
      <c r="AF15" s="4"/>
      <c r="AG15" s="4"/>
      <c r="AH15" s="4"/>
      <c r="AI15" s="4"/>
      <c r="AJ15" s="76" t="str">
        <f>IF(E15="○",IF(COUNTA(E$13:E15)=1,"",",")&amp;D15,"")</f>
        <v>seibun_oya_code</v>
      </c>
      <c r="AK15" s="4"/>
      <c r="AL15" s="4"/>
      <c r="AM15" s="4"/>
      <c r="AN15" s="4"/>
      <c r="AO15" s="4"/>
      <c r="AP15" s="4"/>
      <c r="AQ15" s="4"/>
      <c r="AR15" s="4"/>
      <c r="AS15" s="76" t="str">
        <f>"COMMENT ON COLUMN "&amp;エンティティ一覧!$O$2&amp;"."&amp;D$8&amp;"."&amp;D15&amp;" IS '"&amp;C15&amp;"';"</f>
        <v>COMMENT ON COLUMN milscm_2023_010.azn_202310_backup_mt_seibun_name.seibun_oya_code IS '成分親コード';</v>
      </c>
    </row>
    <row r="16" spans="1:45" s="25" customFormat="1">
      <c r="A16" s="4"/>
      <c r="B16" s="21">
        <f t="shared" si="2"/>
        <v>4</v>
      </c>
      <c r="C16" s="6" t="s">
        <v>2032</v>
      </c>
      <c r="D16" s="6" t="s">
        <v>2033</v>
      </c>
      <c r="E16" s="8" t="s">
        <v>127</v>
      </c>
      <c r="F16" s="7" t="s">
        <v>1735</v>
      </c>
      <c r="G16" s="7" t="str">
        <f t="shared" si="3"/>
        <v>text</v>
      </c>
      <c r="H16" s="26"/>
      <c r="I16" s="10" t="s">
        <v>127</v>
      </c>
      <c r="J16" s="11"/>
      <c r="M16" s="4"/>
      <c r="N16" s="76"/>
      <c r="O16" s="76"/>
      <c r="P16" s="76" t="str">
        <f t="shared" si="4"/>
        <v>,seibun_code</v>
      </c>
      <c r="Q16" s="76" t="str">
        <f t="shared" si="0"/>
        <v>TEXT</v>
      </c>
      <c r="R16" s="76" t="str">
        <f t="shared" si="1"/>
        <v/>
      </c>
      <c r="S16" s="76" t="str">
        <f t="shared" si="5"/>
        <v>NOT NULL</v>
      </c>
      <c r="T16" s="76" t="str">
        <f t="shared" si="6"/>
        <v>-- 成分コード</v>
      </c>
      <c r="U16" s="4"/>
      <c r="AA16" s="4"/>
      <c r="AB16" s="4"/>
      <c r="AC16" s="4"/>
      <c r="AD16" s="4"/>
      <c r="AE16" s="4"/>
      <c r="AF16" s="4"/>
      <c r="AG16" s="4"/>
      <c r="AH16" s="4"/>
      <c r="AI16" s="4"/>
      <c r="AJ16" s="76" t="str">
        <f>IF(E16="○",IF(COUNTA(E$13:E16)=1,"",",")&amp;D16,"")</f>
        <v>,seibun_code</v>
      </c>
      <c r="AK16" s="4"/>
      <c r="AL16" s="4"/>
      <c r="AM16" s="4"/>
      <c r="AN16" s="4"/>
      <c r="AO16" s="4"/>
      <c r="AP16" s="4"/>
      <c r="AQ16" s="4"/>
      <c r="AR16" s="4"/>
      <c r="AS16" s="76" t="str">
        <f>"COMMENT ON COLUMN "&amp;エンティティ一覧!$O$2&amp;"."&amp;D$8&amp;"."&amp;D16&amp;" IS '"&amp;C16&amp;"';"</f>
        <v>COMMENT ON COLUMN milscm_2023_010.azn_202310_backup_mt_seibun_name.seibun_code IS '成分コード';</v>
      </c>
    </row>
    <row r="17" spans="1:52" s="25" customFormat="1">
      <c r="A17" s="4"/>
      <c r="B17" s="21">
        <f t="shared" si="2"/>
        <v>5</v>
      </c>
      <c r="C17" s="6" t="s">
        <v>2057</v>
      </c>
      <c r="D17" s="6" t="s">
        <v>2058</v>
      </c>
      <c r="E17" s="8"/>
      <c r="F17" s="7" t="s">
        <v>1735</v>
      </c>
      <c r="G17" s="7" t="str">
        <f t="shared" si="3"/>
        <v>text</v>
      </c>
      <c r="H17" s="26"/>
      <c r="I17" s="10" t="s">
        <v>127</v>
      </c>
      <c r="J17" s="11" t="s">
        <v>2057</v>
      </c>
      <c r="M17" s="4"/>
      <c r="N17" s="76"/>
      <c r="O17" s="76"/>
      <c r="P17" s="76" t="str">
        <f t="shared" si="4"/>
        <v>,seibun_name</v>
      </c>
      <c r="Q17" s="76" t="str">
        <f t="shared" si="0"/>
        <v>TEXT</v>
      </c>
      <c r="R17" s="76" t="str">
        <f t="shared" si="1"/>
        <v/>
      </c>
      <c r="S17" s="76" t="str">
        <f t="shared" si="5"/>
        <v>NOT NULL</v>
      </c>
      <c r="T17" s="76" t="str">
        <f t="shared" si="6"/>
        <v>-- 成分名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milscm_2023_010.azn_202310_backup_mt_seibun_name.seibun_name IS '成分名';</v>
      </c>
    </row>
    <row r="18" spans="1:52" s="25" customFormat="1" ht="37.5">
      <c r="A18" s="4"/>
      <c r="B18" s="21">
        <f t="shared" si="2"/>
        <v>6</v>
      </c>
      <c r="C18" s="6" t="s">
        <v>2059</v>
      </c>
      <c r="D18" s="6" t="s">
        <v>2060</v>
      </c>
      <c r="E18" s="8"/>
      <c r="F18" s="7" t="s">
        <v>1735</v>
      </c>
      <c r="G18" s="7" t="str">
        <f t="shared" si="3"/>
        <v>text</v>
      </c>
      <c r="H18" s="26"/>
      <c r="I18" s="10"/>
      <c r="J18" s="11" t="s">
        <v>2067</v>
      </c>
      <c r="M18" s="4"/>
      <c r="N18" s="76"/>
      <c r="O18" s="76"/>
      <c r="P18" s="76" t="str">
        <f t="shared" si="4"/>
        <v>,tanmi_f</v>
      </c>
      <c r="Q18" s="76" t="str">
        <f t="shared" si="0"/>
        <v>TEXT</v>
      </c>
      <c r="R18" s="76" t="str">
        <f t="shared" si="1"/>
        <v/>
      </c>
      <c r="S18" s="76" t="str">
        <f t="shared" si="5"/>
        <v/>
      </c>
      <c r="T18" s="76" t="str">
        <f t="shared" si="6"/>
        <v>-- 単味フラグ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milscm_2023_010.azn_202310_backup_mt_seibun_name.tanmi_f IS '単味フラグ';</v>
      </c>
    </row>
    <row r="19" spans="1:52" s="25" customFormat="1" ht="37.5">
      <c r="A19" s="4"/>
      <c r="B19" s="21">
        <f t="shared" si="2"/>
        <v>7</v>
      </c>
      <c r="C19" s="6" t="s">
        <v>2061</v>
      </c>
      <c r="D19" s="6" t="s">
        <v>2062</v>
      </c>
      <c r="E19" s="8"/>
      <c r="F19" s="7" t="s">
        <v>1735</v>
      </c>
      <c r="G19" s="7" t="str">
        <f t="shared" si="3"/>
        <v>text</v>
      </c>
      <c r="H19" s="26"/>
      <c r="I19" s="10"/>
      <c r="J19" s="11" t="s">
        <v>2068</v>
      </c>
      <c r="M19" s="4"/>
      <c r="N19" s="76"/>
      <c r="O19" s="76"/>
      <c r="P19" s="76" t="str">
        <f t="shared" si="4"/>
        <v>,haigo_f</v>
      </c>
      <c r="Q19" s="76" t="str">
        <f t="shared" si="0"/>
        <v>TEXT</v>
      </c>
      <c r="R19" s="76" t="str">
        <f t="shared" si="1"/>
        <v/>
      </c>
      <c r="S19" s="76" t="str">
        <f t="shared" si="5"/>
        <v/>
      </c>
      <c r="T19" s="76" t="str">
        <f t="shared" si="6"/>
        <v>-- 配合フラグ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milscm_2023_010.azn_202310_backup_mt_seibun_name.haigo_f IS '配合フラグ';</v>
      </c>
    </row>
    <row r="20" spans="1:52" s="25" customFormat="1" ht="31.9" customHeight="1">
      <c r="A20" s="4"/>
      <c r="B20" s="21">
        <f t="shared" si="2"/>
        <v>8</v>
      </c>
      <c r="C20" s="6" t="s">
        <v>2063</v>
      </c>
      <c r="D20" s="6" t="s">
        <v>2064</v>
      </c>
      <c r="E20" s="8"/>
      <c r="F20" s="7" t="s">
        <v>1735</v>
      </c>
      <c r="G20" s="7" t="str">
        <f t="shared" si="3"/>
        <v>text</v>
      </c>
      <c r="H20" s="26"/>
      <c r="I20" s="10"/>
      <c r="J20" s="11" t="s">
        <v>2069</v>
      </c>
      <c r="M20" s="4"/>
      <c r="N20" s="76"/>
      <c r="O20" s="76"/>
      <c r="P20" s="76" t="str">
        <f t="shared" si="4"/>
        <v>,time_stamp</v>
      </c>
      <c r="Q20" s="76" t="str">
        <f t="shared" si="0"/>
        <v>TEXT</v>
      </c>
      <c r="R20" s="76" t="str">
        <f t="shared" si="1"/>
        <v/>
      </c>
      <c r="S20" s="76" t="str">
        <f t="shared" si="5"/>
        <v/>
      </c>
      <c r="T20" s="76" t="str">
        <f t="shared" si="6"/>
        <v>-- タイムスタンプ</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milscm_2023_010.azn_202310_backup_mt_seibun_name.time_stamp IS 'タイムスタンプ';</v>
      </c>
    </row>
    <row r="21" spans="1:52" s="25" customFormat="1" ht="56.25">
      <c r="A21" s="4"/>
      <c r="B21" s="21">
        <f t="shared" si="2"/>
        <v>9</v>
      </c>
      <c r="C21" s="6" t="s">
        <v>2044</v>
      </c>
      <c r="D21" s="6" t="s">
        <v>2045</v>
      </c>
      <c r="E21" s="8" t="s">
        <v>127</v>
      </c>
      <c r="F21" s="7" t="s">
        <v>1735</v>
      </c>
      <c r="G21" s="7" t="str">
        <f t="shared" si="3"/>
        <v>text</v>
      </c>
      <c r="H21" s="26"/>
      <c r="I21" s="10" t="s">
        <v>127</v>
      </c>
      <c r="J21" s="11" t="s">
        <v>2048</v>
      </c>
      <c r="M21" s="4"/>
      <c r="N21" s="76"/>
      <c r="O21" s="76"/>
      <c r="P21" s="76" t="str">
        <f t="shared" si="4"/>
        <v>,koshin_kubun</v>
      </c>
      <c r="Q21" s="76" t="str">
        <f t="shared" si="0"/>
        <v>TEXT</v>
      </c>
      <c r="R21" s="76" t="str">
        <f t="shared" si="1"/>
        <v/>
      </c>
      <c r="S21" s="76" t="str">
        <f t="shared" si="5"/>
        <v>NOT NULL</v>
      </c>
      <c r="T21" s="76" t="str">
        <f t="shared" si="6"/>
        <v>-- 更新区分</v>
      </c>
      <c r="U21" s="4"/>
      <c r="AA21" s="4"/>
      <c r="AB21" s="4"/>
      <c r="AC21" s="4"/>
      <c r="AD21" s="4"/>
      <c r="AE21" s="4"/>
      <c r="AF21" s="4"/>
      <c r="AG21" s="4"/>
      <c r="AH21" s="4"/>
      <c r="AI21" s="4"/>
      <c r="AJ21" s="76" t="str">
        <f>IF(E21="○",IF(COUNTA(E$13:E21)=1,"",",")&amp;D21,"")</f>
        <v>,koshin_kubun</v>
      </c>
      <c r="AK21" s="4"/>
      <c r="AL21" s="4"/>
      <c r="AM21" s="4"/>
      <c r="AN21" s="4"/>
      <c r="AO21" s="4"/>
      <c r="AP21" s="4"/>
      <c r="AQ21" s="4"/>
      <c r="AR21" s="4"/>
      <c r="AS21" s="76" t="str">
        <f>"COMMENT ON COLUMN "&amp;エンティティ一覧!$O$2&amp;"."&amp;D$8&amp;"."&amp;D21&amp;" IS '"&amp;C21&amp;"';"</f>
        <v>COMMENT ON COLUMN milscm_2023_010.azn_202310_backup_mt_seibun_name.koshin_kubun IS '更新区分';</v>
      </c>
    </row>
    <row r="22" spans="1:52" s="25" customFormat="1" ht="19.5" thickBot="1">
      <c r="A22" s="4"/>
      <c r="B22" s="27">
        <f>ROW()-12</f>
        <v>10</v>
      </c>
      <c r="C22" s="57" t="s">
        <v>2046</v>
      </c>
      <c r="D22" s="57" t="s">
        <v>1879</v>
      </c>
      <c r="E22" s="56" t="s">
        <v>127</v>
      </c>
      <c r="F22" s="56" t="s">
        <v>1735</v>
      </c>
      <c r="G22" s="56" t="str">
        <f t="shared" si="3"/>
        <v>text</v>
      </c>
      <c r="H22" s="59"/>
      <c r="I22" s="60" t="s">
        <v>127</v>
      </c>
      <c r="J22" s="63" t="s">
        <v>2070</v>
      </c>
      <c r="N22" s="76"/>
      <c r="O22" s="76"/>
      <c r="P22" s="76" t="str">
        <f t="shared" si="4"/>
        <v>,update_ymd</v>
      </c>
      <c r="Q22" s="76" t="str">
        <f t="shared" si="0"/>
        <v>TEXT</v>
      </c>
      <c r="R22" s="76" t="str">
        <f t="shared" si="1"/>
        <v/>
      </c>
      <c r="S22" s="76" t="str">
        <f t="shared" si="5"/>
        <v>NOT NULL</v>
      </c>
      <c r="T22" s="76" t="str">
        <f t="shared" si="6"/>
        <v>-- データ登録日</v>
      </c>
      <c r="U22" s="4"/>
      <c r="AA22" s="4"/>
      <c r="AB22" s="4"/>
      <c r="AC22" s="4"/>
      <c r="AD22" s="4"/>
      <c r="AE22" s="4"/>
      <c r="AF22" s="4"/>
      <c r="AG22" s="4"/>
      <c r="AH22" s="4"/>
      <c r="AI22" s="4"/>
      <c r="AJ22" s="76" t="str">
        <f>IF(E22="○",IF(COUNTA(E$13:E22)=1,"",",")&amp;D22,"")</f>
        <v>,update_ymd</v>
      </c>
      <c r="AK22" s="4"/>
      <c r="AL22" s="4"/>
      <c r="AM22" s="4"/>
      <c r="AN22" s="4"/>
      <c r="AO22" s="4"/>
      <c r="AP22" s="4"/>
      <c r="AQ22" s="4"/>
      <c r="AR22" s="4"/>
      <c r="AS22" s="76" t="str">
        <f>"COMMENT ON COLUMN "&amp;エンティティ一覧!$O$2&amp;"."&amp;D$8&amp;"."&amp;D22&amp;" IS '"&amp;C22&amp;"';"</f>
        <v>COMMENT ON COLUMN milscm_2023_010.azn_202310_backup_mt_seibun_name.update_ymd IS 'データ登録日';</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ENT_01_A3-10</v>
      </c>
      <c r="E6" s="272"/>
      <c r="F6" s="272"/>
      <c r="G6" s="272"/>
      <c r="H6" s="272"/>
      <c r="I6" s="272"/>
      <c r="J6" s="273"/>
    </row>
    <row r="7" spans="1:45">
      <c r="B7" s="261" t="s">
        <v>115</v>
      </c>
      <c r="C7" s="262"/>
      <c r="D7" s="263" t="s">
        <v>2071</v>
      </c>
      <c r="E7" s="264"/>
      <c r="F7" s="264"/>
      <c r="G7" s="264"/>
      <c r="H7" s="264"/>
      <c r="I7" s="264"/>
      <c r="J7" s="265"/>
    </row>
    <row r="8" spans="1:45">
      <c r="B8" s="261" t="s">
        <v>116</v>
      </c>
      <c r="C8" s="262"/>
      <c r="D8" s="263" t="str">
        <f>エンティティ一覧!AE2&amp;"_"&amp;D5&amp;"_mt_unit"</f>
        <v>azn_202310_backup_mt_unit</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単位マスタ取込用テーブルから組入れ条件の第一条件で絞り込んだ結果を格納するテーブル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milscm_2023_010.azn_202310_backup_mt_unit;</v>
      </c>
      <c r="O10" s="76"/>
      <c r="P10" s="76"/>
      <c r="Q10" s="76"/>
      <c r="R10" s="76"/>
      <c r="S10" s="76"/>
      <c r="T10" s="76"/>
      <c r="AJ10" s="76" t="str">
        <f>"ALTER TABLE ONLY "&amp;エンティティ一覧!$O$2&amp;"."&amp;D$8</f>
        <v>ALTER TABLE ONLY milscm_2023_010.azn_202310_backup_mt_unit</v>
      </c>
      <c r="AS10" s="76" t="str">
        <f>"ALTER TABLE "&amp;エンティティ一覧!$O$2&amp;"."&amp;D$8&amp;" OWNER TO pgmisgrp1;"</f>
        <v>ALTER TABLE milscm_2023_010.azn_202310_backup_mt_unit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milscm_2023_010.azn_202310_backup_mt_unit</v>
      </c>
      <c r="O11" s="76"/>
      <c r="P11" s="76"/>
      <c r="Q11" s="76"/>
      <c r="R11" s="76"/>
      <c r="S11" s="76"/>
      <c r="T11" s="76"/>
      <c r="AJ11" s="76" t="str">
        <f>"ADD CONSTRAINT "&amp;D$8&amp;"_pkey PRIMARY KEY"</f>
        <v>ADD CONSTRAINT azn_202310_backup_mt_unit_pkey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milscm_2023_010.azn_202310_backup_mt_unit IS 'バックアップ_単位マスタ取込用';</v>
      </c>
    </row>
    <row r="13" spans="1:45" s="25" customFormat="1">
      <c r="A13" s="4"/>
      <c r="B13" s="21">
        <f>ROW()-12</f>
        <v>1</v>
      </c>
      <c r="C13" s="6" t="s">
        <v>1650</v>
      </c>
      <c r="D13" s="6" t="s">
        <v>1651</v>
      </c>
      <c r="E13" s="8" t="s">
        <v>127</v>
      </c>
      <c r="F13" s="8" t="s">
        <v>1735</v>
      </c>
      <c r="G13" s="7" t="str">
        <f>IF(F13="フラグ","boolean",IF(F13="文字列","text",IF(F13="整数","integer",IF(F13="実数","numeric",""))))</f>
        <v>text</v>
      </c>
      <c r="H13" s="9"/>
      <c r="I13" s="10" t="s">
        <v>127</v>
      </c>
      <c r="J13" s="11"/>
      <c r="M13" s="4"/>
      <c r="N13" s="76"/>
      <c r="O13" s="76"/>
      <c r="P13" s="76" t="str">
        <f>IF(B13&lt;&gt;1,","&amp;D13,D13)</f>
        <v>unit_code</v>
      </c>
      <c r="Q13" s="76" t="str">
        <f t="shared" ref="Q13:Q17" si="0">UPPER(G13)</f>
        <v>TEXT</v>
      </c>
      <c r="R13" s="76" t="str">
        <f t="shared" ref="R13:R17" si="1">IF(H13&lt;&gt;"","default "&amp;IF(G13="text","'"&amp;H13&amp;"'",H13),"")</f>
        <v/>
      </c>
      <c r="S13" s="76" t="str">
        <f>IF(I13="○","NOT NULL","")</f>
        <v>NOT NULL</v>
      </c>
      <c r="T13" s="76" t="str">
        <f>"-- "&amp;C13</f>
        <v>-- 単位コード</v>
      </c>
      <c r="U13" s="4"/>
      <c r="AA13" s="4"/>
      <c r="AB13" s="4"/>
      <c r="AC13" s="4"/>
      <c r="AD13" s="4"/>
      <c r="AE13" s="4"/>
      <c r="AF13" s="4"/>
      <c r="AG13" s="4"/>
      <c r="AH13" s="4"/>
      <c r="AI13" s="4"/>
      <c r="AJ13" s="76" t="str">
        <f>IF(E13="○",IF(COUNTA(E$13:E13)=1,"",",")&amp;D13,"")</f>
        <v>unit_code</v>
      </c>
      <c r="AK13" s="4"/>
      <c r="AL13" s="4"/>
      <c r="AM13" s="4"/>
      <c r="AN13" s="4"/>
      <c r="AO13" s="4"/>
      <c r="AP13" s="4"/>
      <c r="AQ13" s="4"/>
      <c r="AR13" s="4"/>
      <c r="AS13" s="76" t="str">
        <f>"COMMENT ON COLUMN "&amp;エンティティ一覧!$O$2&amp;"."&amp;D$8&amp;"."&amp;D13&amp;" IS '"&amp;C13&amp;"';"</f>
        <v>COMMENT ON COLUMN milscm_2023_010.azn_202310_backup_mt_unit.unit_code IS '単位コード';</v>
      </c>
    </row>
    <row r="14" spans="1:45" s="25" customFormat="1">
      <c r="A14" s="4"/>
      <c r="B14" s="21">
        <f t="shared" ref="B14:B16" si="2">ROW()-12</f>
        <v>2</v>
      </c>
      <c r="C14" s="6" t="s">
        <v>2072</v>
      </c>
      <c r="D14" s="6" t="s">
        <v>2073</v>
      </c>
      <c r="E14" s="8"/>
      <c r="F14" s="7" t="s">
        <v>1735</v>
      </c>
      <c r="G14" s="7" t="str">
        <f t="shared" ref="G14:G17" si="3">IF(F14="フラグ","boolean",IF(F14="文字列","text",IF(F14="整数","integer",IF(F14="実数","numeric",""))))</f>
        <v>text</v>
      </c>
      <c r="H14" s="26"/>
      <c r="I14" s="10"/>
      <c r="J14" s="11" t="s">
        <v>2076</v>
      </c>
      <c r="M14" s="4"/>
      <c r="N14" s="76"/>
      <c r="O14" s="76"/>
      <c r="P14" s="76" t="str">
        <f t="shared" ref="P14:P17" si="4">IF(B14&lt;&gt;1,","&amp;D14,D14)</f>
        <v>,unit_name</v>
      </c>
      <c r="Q14" s="76" t="str">
        <f t="shared" si="0"/>
        <v>TEXT</v>
      </c>
      <c r="R14" s="76" t="str">
        <f t="shared" si="1"/>
        <v/>
      </c>
      <c r="S14" s="76" t="str">
        <f t="shared" ref="S14:S17" si="5">IF(I14="○","NOT NULL","")</f>
        <v/>
      </c>
      <c r="T14" s="76" t="str">
        <f t="shared" ref="T14:T17" si="6">"-- "&amp;C14</f>
        <v>-- 単位名称</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milscm_2023_010.azn_202310_backup_mt_unit.unit_name IS '単位名称';</v>
      </c>
    </row>
    <row r="15" spans="1:45" s="25" customFormat="1">
      <c r="A15" s="4"/>
      <c r="B15" s="21">
        <f t="shared" si="2"/>
        <v>3</v>
      </c>
      <c r="C15" s="6" t="s">
        <v>2074</v>
      </c>
      <c r="D15" s="6" t="s">
        <v>2075</v>
      </c>
      <c r="E15" s="8"/>
      <c r="F15" s="7" t="s">
        <v>1735</v>
      </c>
      <c r="G15" s="7" t="str">
        <f t="shared" si="3"/>
        <v>text</v>
      </c>
      <c r="H15" s="26"/>
      <c r="I15" s="10"/>
      <c r="J15" s="11" t="s">
        <v>2077</v>
      </c>
      <c r="M15" s="4"/>
      <c r="N15" s="76"/>
      <c r="O15" s="76"/>
      <c r="P15" s="76" t="str">
        <f t="shared" si="4"/>
        <v>,unit_kansan_keisu</v>
      </c>
      <c r="Q15" s="76" t="str">
        <f t="shared" si="0"/>
        <v>TEXT</v>
      </c>
      <c r="R15" s="76" t="str">
        <f t="shared" si="1"/>
        <v/>
      </c>
      <c r="S15" s="76" t="str">
        <f t="shared" si="5"/>
        <v/>
      </c>
      <c r="T15" s="76" t="str">
        <f t="shared" si="6"/>
        <v>-- 単位換算係数</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milscm_2023_010.azn_202310_backup_mt_unit.unit_kansan_keisu IS '単位換算係数';</v>
      </c>
    </row>
    <row r="16" spans="1:45" s="25" customFormat="1" ht="56.25">
      <c r="A16" s="4"/>
      <c r="B16" s="21">
        <f t="shared" si="2"/>
        <v>4</v>
      </c>
      <c r="C16" s="6" t="s">
        <v>2044</v>
      </c>
      <c r="D16" s="6" t="s">
        <v>2045</v>
      </c>
      <c r="E16" s="8" t="s">
        <v>127</v>
      </c>
      <c r="F16" s="7" t="s">
        <v>1735</v>
      </c>
      <c r="G16" s="7" t="str">
        <f t="shared" si="3"/>
        <v>text</v>
      </c>
      <c r="H16" s="26"/>
      <c r="I16" s="10" t="s">
        <v>127</v>
      </c>
      <c r="J16" s="11" t="s">
        <v>2048</v>
      </c>
      <c r="M16" s="4"/>
      <c r="N16" s="76"/>
      <c r="O16" s="76"/>
      <c r="P16" s="76" t="str">
        <f t="shared" si="4"/>
        <v>,koshin_kubun</v>
      </c>
      <c r="Q16" s="76" t="str">
        <f t="shared" si="0"/>
        <v>TEXT</v>
      </c>
      <c r="R16" s="76" t="str">
        <f t="shared" si="1"/>
        <v/>
      </c>
      <c r="S16" s="76" t="str">
        <f t="shared" si="5"/>
        <v>NOT NULL</v>
      </c>
      <c r="T16" s="76" t="str">
        <f t="shared" si="6"/>
        <v>-- 更新区分</v>
      </c>
      <c r="U16" s="4"/>
      <c r="AA16" s="4"/>
      <c r="AB16" s="4"/>
      <c r="AC16" s="4"/>
      <c r="AD16" s="4"/>
      <c r="AE16" s="4"/>
      <c r="AF16" s="4"/>
      <c r="AG16" s="4"/>
      <c r="AH16" s="4"/>
      <c r="AI16" s="4"/>
      <c r="AJ16" s="76" t="str">
        <f>IF(E16="○",IF(COUNTA(E$13:E16)=1,"",",")&amp;D16,"")</f>
        <v>,koshin_kubun</v>
      </c>
      <c r="AK16" s="4"/>
      <c r="AL16" s="4"/>
      <c r="AM16" s="4"/>
      <c r="AN16" s="4"/>
      <c r="AO16" s="4"/>
      <c r="AP16" s="4"/>
      <c r="AQ16" s="4"/>
      <c r="AR16" s="4"/>
      <c r="AS16" s="76" t="str">
        <f>"COMMENT ON COLUMN "&amp;エンティティ一覧!$O$2&amp;"."&amp;D$8&amp;"."&amp;D16&amp;" IS '"&amp;C16&amp;"';"</f>
        <v>COMMENT ON COLUMN milscm_2023_010.azn_202310_backup_mt_unit.koshin_kubun IS '更新区分';</v>
      </c>
    </row>
    <row r="17" spans="1:52" s="25" customFormat="1" ht="19.5" thickBot="1">
      <c r="A17" s="4"/>
      <c r="B17" s="27">
        <f>ROW()-12</f>
        <v>5</v>
      </c>
      <c r="C17" s="57" t="s">
        <v>2046</v>
      </c>
      <c r="D17" s="57" t="s">
        <v>1879</v>
      </c>
      <c r="E17" s="56" t="s">
        <v>127</v>
      </c>
      <c r="F17" s="56" t="s">
        <v>1735</v>
      </c>
      <c r="G17" s="56" t="str">
        <f t="shared" si="3"/>
        <v>text</v>
      </c>
      <c r="H17" s="59"/>
      <c r="I17" s="60" t="s">
        <v>127</v>
      </c>
      <c r="J17" s="63" t="s">
        <v>2070</v>
      </c>
      <c r="N17" s="76"/>
      <c r="O17" s="76"/>
      <c r="P17" s="76" t="str">
        <f t="shared" si="4"/>
        <v>,update_ymd</v>
      </c>
      <c r="Q17" s="76" t="str">
        <f t="shared" si="0"/>
        <v>TEXT</v>
      </c>
      <c r="R17" s="76" t="str">
        <f t="shared" si="1"/>
        <v/>
      </c>
      <c r="S17" s="76" t="str">
        <f t="shared" si="5"/>
        <v>NOT NULL</v>
      </c>
      <c r="T17" s="76" t="str">
        <f t="shared" si="6"/>
        <v>-- データ登録日</v>
      </c>
      <c r="U17" s="4"/>
      <c r="AA17" s="4"/>
      <c r="AB17" s="4"/>
      <c r="AC17" s="4"/>
      <c r="AD17" s="4"/>
      <c r="AE17" s="4"/>
      <c r="AF17" s="4"/>
      <c r="AG17" s="4"/>
      <c r="AH17" s="4"/>
      <c r="AI17" s="4"/>
      <c r="AJ17" s="76" t="str">
        <f>IF(E17="○",IF(COUNTA(E$13:E17)=1,"",",")&amp;D17,"")</f>
        <v>,update_ymd</v>
      </c>
      <c r="AK17" s="4"/>
      <c r="AL17" s="4"/>
      <c r="AM17" s="4"/>
      <c r="AN17" s="4"/>
      <c r="AO17" s="4"/>
      <c r="AP17" s="4"/>
      <c r="AQ17" s="4"/>
      <c r="AR17" s="4"/>
      <c r="AS17" s="76" t="str">
        <f>"COMMENT ON COLUMN "&amp;エンティティ一覧!$O$2&amp;"."&amp;D$8&amp;"."&amp;D17&amp;" IS '"&amp;C17&amp;"';"</f>
        <v>COMMENT ON COLUMN milscm_2023_010.azn_202310_backup_mt_unit.update_ymd IS 'データ登録日';</v>
      </c>
    </row>
    <row r="18" spans="1:52">
      <c r="L18" s="25"/>
      <c r="M18" s="25"/>
      <c r="N18" s="76" t="s">
        <v>142</v>
      </c>
      <c r="O18" s="76"/>
      <c r="P18" s="76"/>
      <c r="Q18" s="76"/>
      <c r="R18" s="76"/>
      <c r="S18" s="76"/>
      <c r="T18" s="76"/>
      <c r="V18" s="25"/>
      <c r="W18" s="25"/>
      <c r="X18" s="25"/>
      <c r="Y18" s="25"/>
      <c r="Z18" s="25"/>
      <c r="AJ18" s="76"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ENT_01_A3-11</v>
      </c>
      <c r="E6" s="272"/>
      <c r="F6" s="272"/>
      <c r="G6" s="272"/>
      <c r="H6" s="272"/>
      <c r="I6" s="272"/>
      <c r="J6" s="273"/>
    </row>
    <row r="7" spans="1:45">
      <c r="B7" s="261" t="s">
        <v>115</v>
      </c>
      <c r="C7" s="262"/>
      <c r="D7" s="263" t="s">
        <v>2078</v>
      </c>
      <c r="E7" s="264"/>
      <c r="F7" s="264"/>
      <c r="G7" s="264"/>
      <c r="H7" s="264"/>
      <c r="I7" s="264"/>
      <c r="J7" s="265"/>
    </row>
    <row r="8" spans="1:45">
      <c r="B8" s="261" t="s">
        <v>116</v>
      </c>
      <c r="C8" s="262"/>
      <c r="D8" s="263" t="str">
        <f>エンティティ一覧!AE2&amp;"_"&amp;D5&amp;"_mt_tekiyou_recept_combi_link"</f>
        <v>azn_202310_backup_mt_tekiyou_recept_combi_link</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適応病名レセ病名組み合わせ関係リンクマスタ取込用テーブルから組入れ条件の第一条件で絞り込んだ結果を格納するテーブル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milscm_2023_010.azn_202310_backup_mt_tekiyou_recept_combi_link;</v>
      </c>
      <c r="O10" s="76"/>
      <c r="P10" s="76"/>
      <c r="Q10" s="76"/>
      <c r="R10" s="76"/>
      <c r="S10" s="76"/>
      <c r="T10" s="76"/>
      <c r="AJ10" s="76" t="str">
        <f>"ALTER TABLE ONLY "&amp;エンティティ一覧!$O$2&amp;"."&amp;D$8</f>
        <v>ALTER TABLE ONLY milscm_2023_010.azn_202310_backup_mt_tekiyou_recept_combi_link</v>
      </c>
      <c r="AS10" s="76" t="str">
        <f>"ALTER TABLE "&amp;エンティティ一覧!$O$2&amp;"."&amp;D$8&amp;" OWNER TO pgmisgrp1;"</f>
        <v>ALTER TABLE milscm_2023_010.azn_202310_backup_mt_tekiyou_recept_combi_link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milscm_2023_010.azn_202310_backup_mt_tekiyou_recept_combi_link</v>
      </c>
      <c r="O11" s="76"/>
      <c r="P11" s="76"/>
      <c r="Q11" s="76"/>
      <c r="R11" s="76"/>
      <c r="S11" s="76"/>
      <c r="T11" s="76"/>
      <c r="AJ11" s="76" t="str">
        <f>"ADD CONSTRAINT "&amp;D$8&amp;"_pkey PRIMARY KEY"</f>
        <v>ADD CONSTRAINT azn_202310_backup_mt_tekiyou_recept_combi_link_pkey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milscm_2023_010.azn_202310_backup_mt_tekiyou_recept_combi_link IS 'バックアップ_適応病名レセ病名組み合わせ関係リンクマスタ取込用';</v>
      </c>
    </row>
    <row r="13" spans="1:45" s="25" customFormat="1" ht="31.5">
      <c r="A13" s="4"/>
      <c r="B13" s="21">
        <f>ROW()-12</f>
        <v>1</v>
      </c>
      <c r="C13" s="6" t="s">
        <v>2079</v>
      </c>
      <c r="D13" s="6" t="s">
        <v>2080</v>
      </c>
      <c r="E13" s="8" t="s">
        <v>127</v>
      </c>
      <c r="F13" s="8" t="s">
        <v>1735</v>
      </c>
      <c r="G13" s="7" t="str">
        <f>IF(F13="フラグ","boolean",IF(F13="文字列","text",IF(F13="整数","integer",IF(F13="実数","numeric",""))))</f>
        <v>text</v>
      </c>
      <c r="H13" s="9"/>
      <c r="I13" s="10" t="s">
        <v>127</v>
      </c>
      <c r="J13" s="11"/>
      <c r="M13" s="4"/>
      <c r="N13" s="76"/>
      <c r="O13" s="76"/>
      <c r="P13" s="76" t="str">
        <f>IF(B13&lt;&gt;1,","&amp;D13,D13)</f>
        <v>tekiyou_byoumei_link_code</v>
      </c>
      <c r="Q13" s="76" t="str">
        <f t="shared" ref="Q13:Q23" si="0">UPPER(G13)</f>
        <v>TEXT</v>
      </c>
      <c r="R13" s="76" t="str">
        <f t="shared" ref="R13:R23" si="1">IF(H13&lt;&gt;"","default "&amp;IF(G13="text","'"&amp;H13&amp;"'",H13),"")</f>
        <v/>
      </c>
      <c r="S13" s="76" t="str">
        <f>IF(I13="○","NOT NULL","")</f>
        <v>NOT NULL</v>
      </c>
      <c r="T13" s="76" t="str">
        <f>"-- "&amp;C13</f>
        <v>-- 適用病名組み合わせコード</v>
      </c>
      <c r="U13" s="4"/>
      <c r="AA13" s="4"/>
      <c r="AB13" s="4"/>
      <c r="AC13" s="4"/>
      <c r="AD13" s="4"/>
      <c r="AE13" s="4"/>
      <c r="AF13" s="4"/>
      <c r="AG13" s="4"/>
      <c r="AH13" s="4"/>
      <c r="AI13" s="4"/>
      <c r="AJ13" s="76" t="str">
        <f>IF(E13="○",IF(COUNTA(E$13:E13)=1,"",",")&amp;D13,"")</f>
        <v>tekiyou_byoumei_link_code</v>
      </c>
      <c r="AK13" s="4"/>
      <c r="AL13" s="4"/>
      <c r="AM13" s="4"/>
      <c r="AN13" s="4"/>
      <c r="AO13" s="4"/>
      <c r="AP13" s="4"/>
      <c r="AQ13" s="4"/>
      <c r="AR13" s="4"/>
      <c r="AS13" s="76" t="str">
        <f>"COMMENT ON COLUMN "&amp;エンティティ一覧!$O$2&amp;"."&amp;D$8&amp;"."&amp;D13&amp;" IS '"&amp;C13&amp;"';"</f>
        <v>COMMENT ON COLUMN milscm_2023_010.azn_202310_backup_mt_tekiyou_recept_combi_link.tekiyou_byoumei_link_code IS '適用病名組み合わせコード';</v>
      </c>
    </row>
    <row r="14" spans="1:45" s="25" customFormat="1">
      <c r="A14" s="4"/>
      <c r="B14" s="21">
        <f t="shared" ref="B14:B22" si="2">ROW()-12</f>
        <v>2</v>
      </c>
      <c r="C14" s="6" t="s">
        <v>2081</v>
      </c>
      <c r="D14" s="6" t="s">
        <v>2082</v>
      </c>
      <c r="E14" s="8" t="s">
        <v>127</v>
      </c>
      <c r="F14" s="7" t="s">
        <v>1735</v>
      </c>
      <c r="G14" s="7" t="str">
        <f t="shared" ref="G14:G23" si="3">IF(F14="フラグ","boolean",IF(F14="文字列","text",IF(F14="整数","integer",IF(F14="実数","numeric",""))))</f>
        <v>text</v>
      </c>
      <c r="H14" s="26"/>
      <c r="I14" s="10" t="s">
        <v>127</v>
      </c>
      <c r="J14" s="11"/>
      <c r="M14" s="4"/>
      <c r="N14" s="76"/>
      <c r="O14" s="76"/>
      <c r="P14" s="76" t="str">
        <f t="shared" ref="P14:P23" si="4">IF(B14&lt;&gt;1,","&amp;D14,D14)</f>
        <v>,tekiyou_byoumei_code</v>
      </c>
      <c r="Q14" s="76" t="str">
        <f t="shared" si="0"/>
        <v>TEXT</v>
      </c>
      <c r="R14" s="76" t="str">
        <f t="shared" si="1"/>
        <v/>
      </c>
      <c r="S14" s="76" t="str">
        <f t="shared" ref="S14:S23" si="5">IF(I14="○","NOT NULL","")</f>
        <v>NOT NULL</v>
      </c>
      <c r="T14" s="76" t="str">
        <f t="shared" ref="T14:T23" si="6">"-- "&amp;C14</f>
        <v>-- 適用病名コード</v>
      </c>
      <c r="U14" s="4"/>
      <c r="AA14" s="4"/>
      <c r="AB14" s="4"/>
      <c r="AC14" s="4"/>
      <c r="AD14" s="4"/>
      <c r="AE14" s="4"/>
      <c r="AF14" s="4"/>
      <c r="AG14" s="4"/>
      <c r="AH14" s="4"/>
      <c r="AI14" s="4"/>
      <c r="AJ14" s="76" t="str">
        <f>IF(E14="○",IF(COUNTA(E$13:E14)=1,"",",")&amp;D14,"")</f>
        <v>,tekiyou_byoumei_code</v>
      </c>
      <c r="AK14" s="4"/>
      <c r="AL14" s="4"/>
      <c r="AM14" s="4"/>
      <c r="AN14" s="4"/>
      <c r="AO14" s="4"/>
      <c r="AP14" s="4"/>
      <c r="AQ14" s="4"/>
      <c r="AR14" s="4"/>
      <c r="AS14" s="76" t="str">
        <f>"COMMENT ON COLUMN "&amp;エンティティ一覧!$O$2&amp;"."&amp;D$8&amp;"."&amp;D14&amp;" IS '"&amp;C14&amp;"';"</f>
        <v>COMMENT ON COLUMN milscm_2023_010.azn_202310_backup_mt_tekiyou_recept_combi_link.tekiyou_byoumei_code IS '適用病名コード';</v>
      </c>
    </row>
    <row r="15" spans="1:45" s="25" customFormat="1" ht="37.5">
      <c r="A15" s="4"/>
      <c r="B15" s="21">
        <f t="shared" si="2"/>
        <v>3</v>
      </c>
      <c r="C15" s="6" t="s">
        <v>2083</v>
      </c>
      <c r="D15" s="6" t="s">
        <v>2084</v>
      </c>
      <c r="E15" s="8" t="s">
        <v>127</v>
      </c>
      <c r="F15" s="7" t="s">
        <v>1735</v>
      </c>
      <c r="G15" s="7" t="str">
        <f t="shared" si="3"/>
        <v>text</v>
      </c>
      <c r="H15" s="26"/>
      <c r="I15" s="10" t="s">
        <v>127</v>
      </c>
      <c r="J15" s="11" t="s">
        <v>2094</v>
      </c>
      <c r="M15" s="4"/>
      <c r="N15" s="76"/>
      <c r="O15" s="76"/>
      <c r="P15" s="76" t="str">
        <f t="shared" si="4"/>
        <v>,shikkan_code</v>
      </c>
      <c r="Q15" s="76" t="str">
        <f t="shared" si="0"/>
        <v>TEXT</v>
      </c>
      <c r="R15" s="76" t="str">
        <f t="shared" si="1"/>
        <v/>
      </c>
      <c r="S15" s="76" t="str">
        <f t="shared" si="5"/>
        <v>NOT NULL</v>
      </c>
      <c r="T15" s="76" t="str">
        <f t="shared" si="6"/>
        <v>-- 疾患コード</v>
      </c>
      <c r="U15" s="4"/>
      <c r="AA15" s="4"/>
      <c r="AB15" s="4"/>
      <c r="AC15" s="4"/>
      <c r="AD15" s="4"/>
      <c r="AE15" s="4"/>
      <c r="AF15" s="4"/>
      <c r="AG15" s="4"/>
      <c r="AH15" s="4"/>
      <c r="AI15" s="4"/>
      <c r="AJ15" s="76" t="str">
        <f>IF(E15="○",IF(COUNTA(E$13:E15)=1,"",",")&amp;D15,"")</f>
        <v>,shikkan_code</v>
      </c>
      <c r="AK15" s="4"/>
      <c r="AL15" s="4"/>
      <c r="AM15" s="4"/>
      <c r="AN15" s="4"/>
      <c r="AO15" s="4"/>
      <c r="AP15" s="4"/>
      <c r="AQ15" s="4"/>
      <c r="AR15" s="4"/>
      <c r="AS15" s="76" t="str">
        <f>"COMMENT ON COLUMN "&amp;エンティティ一覧!$O$2&amp;"."&amp;D$8&amp;"."&amp;D15&amp;" IS '"&amp;C15&amp;"';"</f>
        <v>COMMENT ON COLUMN milscm_2023_010.azn_202310_backup_mt_tekiyou_recept_combi_link.shikkan_code IS '疾患コード';</v>
      </c>
    </row>
    <row r="16" spans="1:45" s="25" customFormat="1">
      <c r="A16" s="4"/>
      <c r="B16" s="21">
        <f t="shared" si="2"/>
        <v>4</v>
      </c>
      <c r="C16" s="6" t="s">
        <v>2085</v>
      </c>
      <c r="D16" s="6" t="s">
        <v>2086</v>
      </c>
      <c r="E16" s="8"/>
      <c r="F16" s="7" t="s">
        <v>1735</v>
      </c>
      <c r="G16" s="7" t="str">
        <f t="shared" ref="G16:G21" si="7">IF(F16="フラグ","boolean",IF(F16="文字列","text",IF(F16="整数","integer",IF(F16="実数","numeric",""))))</f>
        <v>text</v>
      </c>
      <c r="H16" s="26"/>
      <c r="I16" s="10"/>
      <c r="J16" s="11"/>
      <c r="M16" s="4"/>
      <c r="N16" s="76"/>
      <c r="O16" s="76"/>
      <c r="P16" s="76" t="str">
        <f t="shared" ref="P16:P21" si="8">IF(B16&lt;&gt;1,","&amp;D16,D16)</f>
        <v>,shikkan_name</v>
      </c>
      <c r="Q16" s="76" t="str">
        <f t="shared" ref="Q16:Q21" si="9">UPPER(G16)</f>
        <v>TEXT</v>
      </c>
      <c r="R16" s="76" t="str">
        <f t="shared" ref="R16:R21" si="10">IF(H16&lt;&gt;"","default "&amp;IF(G16="text","'"&amp;H16&amp;"'",H16),"")</f>
        <v/>
      </c>
      <c r="S16" s="76" t="str">
        <f t="shared" ref="S16:S21" si="11">IF(I16="○","NOT NULL","")</f>
        <v/>
      </c>
      <c r="T16" s="76" t="str">
        <f t="shared" ref="T16:T21" si="12">"-- "&amp;C16</f>
        <v>-- 疾患名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milscm_2023_010.azn_202310_backup_mt_tekiyou_recept_combi_link.shikkan_name IS '疾患名';</v>
      </c>
    </row>
    <row r="17" spans="1:52" s="25" customFormat="1" ht="37.5">
      <c r="A17" s="4"/>
      <c r="B17" s="21">
        <f t="shared" si="2"/>
        <v>5</v>
      </c>
      <c r="C17" s="6" t="s">
        <v>1905</v>
      </c>
      <c r="D17" s="6" t="s">
        <v>1967</v>
      </c>
      <c r="E17" s="8"/>
      <c r="F17" s="7" t="s">
        <v>1735</v>
      </c>
      <c r="G17" s="7" t="str">
        <f t="shared" si="7"/>
        <v>text</v>
      </c>
      <c r="H17" s="26"/>
      <c r="I17" s="10"/>
      <c r="J17" s="11" t="s">
        <v>2095</v>
      </c>
      <c r="M17" s="4"/>
      <c r="N17" s="76"/>
      <c r="O17" s="76"/>
      <c r="P17" s="76" t="str">
        <f t="shared" si="8"/>
        <v>,haishi_ymd</v>
      </c>
      <c r="Q17" s="76" t="str">
        <f t="shared" si="9"/>
        <v>TEXT</v>
      </c>
      <c r="R17" s="76" t="str">
        <f t="shared" si="10"/>
        <v/>
      </c>
      <c r="S17" s="76" t="str">
        <f t="shared" si="11"/>
        <v/>
      </c>
      <c r="T17" s="76" t="str">
        <f t="shared" si="12"/>
        <v>-- 廃止年月日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milscm_2023_010.azn_202310_backup_mt_tekiyou_recept_combi_link.haishi_ymd IS '廃止年月日';</v>
      </c>
    </row>
    <row r="18" spans="1:52" s="25" customFormat="1" ht="37.5">
      <c r="A18" s="4"/>
      <c r="B18" s="21">
        <f t="shared" si="2"/>
        <v>6</v>
      </c>
      <c r="C18" s="6" t="s">
        <v>2087</v>
      </c>
      <c r="D18" s="6" t="s">
        <v>2088</v>
      </c>
      <c r="E18" s="8"/>
      <c r="F18" s="7" t="s">
        <v>1735</v>
      </c>
      <c r="G18" s="7" t="str">
        <f t="shared" si="7"/>
        <v>text</v>
      </c>
      <c r="H18" s="26"/>
      <c r="I18" s="10"/>
      <c r="J18" s="11" t="s">
        <v>2096</v>
      </c>
      <c r="M18" s="4"/>
      <c r="N18" s="76"/>
      <c r="O18" s="76"/>
      <c r="P18" s="76" t="str">
        <f t="shared" si="8"/>
        <v>,hoken_tekiyougai_f</v>
      </c>
      <c r="Q18" s="76" t="str">
        <f t="shared" si="9"/>
        <v>TEXT</v>
      </c>
      <c r="R18" s="76" t="str">
        <f t="shared" si="10"/>
        <v/>
      </c>
      <c r="S18" s="76" t="str">
        <f t="shared" si="11"/>
        <v/>
      </c>
      <c r="T18" s="76" t="str">
        <f t="shared" si="12"/>
        <v xml:space="preserve">-- 保険適用外フラグ </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milscm_2023_010.azn_202310_backup_mt_tekiyou_recept_combi_link.hoken_tekiyougai_f IS '保険適用外フラグ ';</v>
      </c>
    </row>
    <row r="19" spans="1:52" s="25" customFormat="1">
      <c r="A19" s="4"/>
      <c r="B19" s="21">
        <f t="shared" si="2"/>
        <v>7</v>
      </c>
      <c r="C19" s="6" t="s">
        <v>2089</v>
      </c>
      <c r="D19" s="6" t="s">
        <v>869</v>
      </c>
      <c r="E19" s="8"/>
      <c r="F19" s="7" t="s">
        <v>1735</v>
      </c>
      <c r="G19" s="7" t="str">
        <f t="shared" si="7"/>
        <v>text</v>
      </c>
      <c r="H19" s="26"/>
      <c r="I19" s="10"/>
      <c r="J19" s="11"/>
      <c r="M19" s="4"/>
      <c r="N19" s="76"/>
      <c r="O19" s="76"/>
      <c r="P19" s="76" t="str">
        <f t="shared" si="8"/>
        <v>,icd10_code</v>
      </c>
      <c r="Q19" s="76" t="str">
        <f t="shared" si="9"/>
        <v>TEXT</v>
      </c>
      <c r="R19" s="76" t="str">
        <f t="shared" si="10"/>
        <v/>
      </c>
      <c r="S19" s="76" t="str">
        <f t="shared" si="11"/>
        <v/>
      </c>
      <c r="T19" s="76" t="str">
        <f t="shared" si="12"/>
        <v>-- ICD10</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milscm_2023_010.azn_202310_backup_mt_tekiyou_recept_combi_link.icd10_code IS 'ICD10';</v>
      </c>
    </row>
    <row r="20" spans="1:52" s="25" customFormat="1">
      <c r="A20" s="4"/>
      <c r="B20" s="21">
        <f t="shared" si="2"/>
        <v>8</v>
      </c>
      <c r="C20" s="6" t="s">
        <v>2090</v>
      </c>
      <c r="D20" s="6" t="s">
        <v>2091</v>
      </c>
      <c r="E20" s="8"/>
      <c r="F20" s="7" t="s">
        <v>1735</v>
      </c>
      <c r="G20" s="7" t="str">
        <f t="shared" si="7"/>
        <v>text</v>
      </c>
      <c r="H20" s="26"/>
      <c r="I20" s="10"/>
      <c r="J20" s="11"/>
      <c r="M20" s="4"/>
      <c r="N20" s="76"/>
      <c r="O20" s="76"/>
      <c r="P20" s="76" t="str">
        <f t="shared" si="8"/>
        <v>,kumiawase_code</v>
      </c>
      <c r="Q20" s="76" t="str">
        <f t="shared" si="9"/>
        <v>TEXT</v>
      </c>
      <c r="R20" s="76" t="str">
        <f t="shared" si="10"/>
        <v/>
      </c>
      <c r="S20" s="76" t="str">
        <f t="shared" si="11"/>
        <v/>
      </c>
      <c r="T20" s="76" t="str">
        <f t="shared" si="12"/>
        <v>-- 組み合わせコード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milscm_2023_010.azn_202310_backup_mt_tekiyou_recept_combi_link.kumiawase_code IS '組み合わせコード';</v>
      </c>
    </row>
    <row r="21" spans="1:52" s="25" customFormat="1">
      <c r="A21" s="4"/>
      <c r="B21" s="21">
        <f t="shared" si="2"/>
        <v>9</v>
      </c>
      <c r="C21" s="6" t="s">
        <v>2092</v>
      </c>
      <c r="D21" s="6" t="s">
        <v>2093</v>
      </c>
      <c r="E21" s="8"/>
      <c r="F21" s="7" t="s">
        <v>1735</v>
      </c>
      <c r="G21" s="7" t="str">
        <f t="shared" si="7"/>
        <v>text</v>
      </c>
      <c r="H21" s="26"/>
      <c r="I21" s="10"/>
      <c r="J21" s="11"/>
      <c r="M21" s="4"/>
      <c r="N21" s="76"/>
      <c r="O21" s="76"/>
      <c r="P21" s="76" t="str">
        <f t="shared" si="8"/>
        <v>,kankeisei_code</v>
      </c>
      <c r="Q21" s="76" t="str">
        <f t="shared" si="9"/>
        <v>TEXT</v>
      </c>
      <c r="R21" s="76" t="str">
        <f t="shared" si="10"/>
        <v/>
      </c>
      <c r="S21" s="76" t="str">
        <f t="shared" si="11"/>
        <v/>
      </c>
      <c r="T21" s="76" t="str">
        <f t="shared" si="12"/>
        <v>-- 関係性レベルコード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milscm_2023_010.azn_202310_backup_mt_tekiyou_recept_combi_link.kankeisei_code IS '関係性レベルコード';</v>
      </c>
    </row>
    <row r="22" spans="1:52" s="25" customFormat="1" ht="56.25">
      <c r="A22" s="4"/>
      <c r="B22" s="21">
        <f t="shared" si="2"/>
        <v>10</v>
      </c>
      <c r="C22" s="6" t="s">
        <v>2044</v>
      </c>
      <c r="D22" s="6" t="s">
        <v>2045</v>
      </c>
      <c r="E22" s="8" t="s">
        <v>127</v>
      </c>
      <c r="F22" s="7" t="s">
        <v>1735</v>
      </c>
      <c r="G22" s="7" t="str">
        <f t="shared" si="3"/>
        <v>text</v>
      </c>
      <c r="H22" s="26"/>
      <c r="I22" s="10" t="s">
        <v>127</v>
      </c>
      <c r="J22" s="11" t="s">
        <v>2048</v>
      </c>
      <c r="M22" s="4"/>
      <c r="N22" s="76"/>
      <c r="O22" s="76"/>
      <c r="P22" s="76" t="str">
        <f t="shared" si="4"/>
        <v>,koshin_kubun</v>
      </c>
      <c r="Q22" s="76" t="str">
        <f t="shared" si="0"/>
        <v>TEXT</v>
      </c>
      <c r="R22" s="76" t="str">
        <f t="shared" si="1"/>
        <v/>
      </c>
      <c r="S22" s="76" t="str">
        <f t="shared" si="5"/>
        <v>NOT NULL</v>
      </c>
      <c r="T22" s="76" t="str">
        <f t="shared" si="6"/>
        <v>-- 更新区分</v>
      </c>
      <c r="U22" s="4"/>
      <c r="AA22" s="4"/>
      <c r="AB22" s="4"/>
      <c r="AC22" s="4"/>
      <c r="AD22" s="4"/>
      <c r="AE22" s="4"/>
      <c r="AF22" s="4"/>
      <c r="AG22" s="4"/>
      <c r="AH22" s="4"/>
      <c r="AI22" s="4"/>
      <c r="AJ22" s="76" t="str">
        <f>IF(E22="○",IF(COUNTA(E$13:E22)=1,"",",")&amp;D22,"")</f>
        <v>,koshin_kubun</v>
      </c>
      <c r="AK22" s="4"/>
      <c r="AL22" s="4"/>
      <c r="AM22" s="4"/>
      <c r="AN22" s="4"/>
      <c r="AO22" s="4"/>
      <c r="AP22" s="4"/>
      <c r="AQ22" s="4"/>
      <c r="AR22" s="4"/>
      <c r="AS22" s="76" t="str">
        <f>"COMMENT ON COLUMN "&amp;エンティティ一覧!$O$2&amp;"."&amp;D$8&amp;"."&amp;D22&amp;" IS '"&amp;C22&amp;"';"</f>
        <v>COMMENT ON COLUMN milscm_2023_010.azn_202310_backup_mt_tekiyou_recept_combi_link.koshin_kubun IS '更新区分';</v>
      </c>
    </row>
    <row r="23" spans="1:52" s="25" customFormat="1" ht="19.5" thickBot="1">
      <c r="A23" s="4"/>
      <c r="B23" s="27">
        <f>ROW()-12</f>
        <v>11</v>
      </c>
      <c r="C23" s="57" t="s">
        <v>2046</v>
      </c>
      <c r="D23" s="57" t="s">
        <v>1879</v>
      </c>
      <c r="E23" s="56" t="s">
        <v>127</v>
      </c>
      <c r="F23" s="56" t="s">
        <v>1735</v>
      </c>
      <c r="G23" s="56" t="str">
        <f t="shared" si="3"/>
        <v>text</v>
      </c>
      <c r="H23" s="59"/>
      <c r="I23" s="60" t="s">
        <v>127</v>
      </c>
      <c r="J23" s="63" t="s">
        <v>2070</v>
      </c>
      <c r="N23" s="76"/>
      <c r="O23" s="76"/>
      <c r="P23" s="76" t="str">
        <f t="shared" si="4"/>
        <v>,update_ymd</v>
      </c>
      <c r="Q23" s="76" t="str">
        <f t="shared" si="0"/>
        <v>TEXT</v>
      </c>
      <c r="R23" s="76" t="str">
        <f t="shared" si="1"/>
        <v/>
      </c>
      <c r="S23" s="76" t="str">
        <f t="shared" si="5"/>
        <v>NOT NULL</v>
      </c>
      <c r="T23" s="76" t="str">
        <f t="shared" si="6"/>
        <v>-- データ登録日</v>
      </c>
      <c r="U23" s="4"/>
      <c r="AA23" s="4"/>
      <c r="AB23" s="4"/>
      <c r="AC23" s="4"/>
      <c r="AD23" s="4"/>
      <c r="AE23" s="4"/>
      <c r="AF23" s="4"/>
      <c r="AG23" s="4"/>
      <c r="AH23" s="4"/>
      <c r="AI23" s="4"/>
      <c r="AJ23" s="76" t="str">
        <f>IF(E23="○",IF(COUNTA(E$13:E23)=1,"",",")&amp;D23,"")</f>
        <v>,update_ymd</v>
      </c>
      <c r="AK23" s="4"/>
      <c r="AL23" s="4"/>
      <c r="AM23" s="4"/>
      <c r="AN23" s="4"/>
      <c r="AO23" s="4"/>
      <c r="AP23" s="4"/>
      <c r="AQ23" s="4"/>
      <c r="AR23" s="4"/>
      <c r="AS23" s="76" t="str">
        <f>"COMMENT ON COLUMN "&amp;エンティティ一覧!$O$2&amp;"."&amp;D$8&amp;"."&amp;D23&amp;" IS '"&amp;C23&amp;"';"</f>
        <v>COMMENT ON COLUMN milscm_2023_010.azn_202310_backup_mt_tekiyou_recept_combi_link.update_ymd IS 'データ登録日';</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ENT_01_A3-12</v>
      </c>
      <c r="E6" s="272"/>
      <c r="F6" s="272"/>
      <c r="G6" s="272"/>
      <c r="H6" s="272"/>
      <c r="I6" s="272"/>
      <c r="J6" s="273"/>
    </row>
    <row r="7" spans="1:45">
      <c r="B7" s="261" t="s">
        <v>115</v>
      </c>
      <c r="C7" s="262"/>
      <c r="D7" s="263" t="s">
        <v>2097</v>
      </c>
      <c r="E7" s="264"/>
      <c r="F7" s="264"/>
      <c r="G7" s="264"/>
      <c r="H7" s="264"/>
      <c r="I7" s="264"/>
      <c r="J7" s="265"/>
    </row>
    <row r="8" spans="1:45">
      <c r="B8" s="261" t="s">
        <v>116</v>
      </c>
      <c r="C8" s="262"/>
      <c r="D8" s="263" t="str">
        <f>エンティティ一覧!AE2&amp;"_"&amp;D5&amp;"_mt_tekiyou_recept_combi_link_oyako"</f>
        <v>azn_202310_backup_mt_tekiyou_recept_combi_link_oyako</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適応病名レセ病名組み合わせ関係リンク親子マスタ取込用テーブルから組入れ条件の第一条件で絞り込んだ結果を格納するテーブル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milscm_2023_010.azn_202310_backup_mt_tekiyou_recept_combi_link_oyako;</v>
      </c>
      <c r="O10" s="76"/>
      <c r="P10" s="76"/>
      <c r="Q10" s="76"/>
      <c r="R10" s="76"/>
      <c r="S10" s="76"/>
      <c r="T10" s="76"/>
      <c r="AJ10" s="76" t="str">
        <f>"ALTER TABLE ONLY "&amp;エンティティ一覧!$O$2&amp;"."&amp;D$8</f>
        <v>ALTER TABLE ONLY milscm_2023_010.azn_202310_backup_mt_tekiyou_recept_combi_link_oyako</v>
      </c>
      <c r="AS10" s="76" t="str">
        <f>"ALTER TABLE "&amp;エンティティ一覧!$O$2&amp;"."&amp;D$8&amp;" OWNER TO pgmisgrp1;"</f>
        <v>ALTER TABLE milscm_2023_010.azn_202310_backup_mt_tekiyou_recept_combi_link_oyako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milscm_2023_010.azn_202310_backup_mt_tekiyou_recept_combi_link_oyako</v>
      </c>
      <c r="O11" s="76"/>
      <c r="P11" s="76"/>
      <c r="Q11" s="76"/>
      <c r="R11" s="76"/>
      <c r="S11" s="76"/>
      <c r="T11" s="76"/>
      <c r="AJ11" s="76" t="str">
        <f>"ADD CONSTRAINT "&amp;D$8&amp;"_pkey PRIMARY KEY"</f>
        <v>ADD CONSTRAINT azn_202310_backup_mt_tekiyou_recept_combi_link_oyako_pkey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milscm_2023_010.azn_202310_backup_mt_tekiyou_recept_combi_link_oyako IS 'バックアップ_適応病名レセ病名組み合わせ関係リンク親子マスタ取込用';</v>
      </c>
    </row>
    <row r="13" spans="1:45" s="25" customFormat="1" ht="31.5">
      <c r="A13" s="4"/>
      <c r="B13" s="21">
        <f>ROW()-12</f>
        <v>1</v>
      </c>
      <c r="C13" s="6" t="s">
        <v>2079</v>
      </c>
      <c r="D13" s="6" t="s">
        <v>2080</v>
      </c>
      <c r="E13" s="8" t="s">
        <v>127</v>
      </c>
      <c r="F13" s="8" t="s">
        <v>1735</v>
      </c>
      <c r="G13" s="7" t="str">
        <f>IF(F13="フラグ","boolean",IF(F13="文字列","text",IF(F13="整数","integer",IF(F13="実数","numeric",""))))</f>
        <v>text</v>
      </c>
      <c r="H13" s="9"/>
      <c r="I13" s="10" t="s">
        <v>127</v>
      </c>
      <c r="J13" s="11"/>
      <c r="M13" s="4"/>
      <c r="N13" s="76"/>
      <c r="O13" s="76"/>
      <c r="P13" s="76" t="str">
        <f>IF(B13&lt;&gt;1,","&amp;D13,D13)</f>
        <v>tekiyou_byoumei_link_code</v>
      </c>
      <c r="Q13" s="76" t="str">
        <f t="shared" ref="Q13:Q16" si="0">UPPER(G13)</f>
        <v>TEXT</v>
      </c>
      <c r="R13" s="76" t="str">
        <f t="shared" ref="R13:R16" si="1">IF(H13&lt;&gt;"","default "&amp;IF(G13="text","'"&amp;H13&amp;"'",H13),"")</f>
        <v/>
      </c>
      <c r="S13" s="76" t="str">
        <f>IF(I13="○","NOT NULL","")</f>
        <v>NOT NULL</v>
      </c>
      <c r="T13" s="76" t="str">
        <f>"-- "&amp;C13</f>
        <v>-- 適用病名組み合わせコード</v>
      </c>
      <c r="U13" s="4"/>
      <c r="AA13" s="4"/>
      <c r="AB13" s="4"/>
      <c r="AC13" s="4"/>
      <c r="AD13" s="4"/>
      <c r="AE13" s="4"/>
      <c r="AF13" s="4"/>
      <c r="AG13" s="4"/>
      <c r="AH13" s="4"/>
      <c r="AI13" s="4"/>
      <c r="AJ13" s="76" t="str">
        <f>IF(E13="○",IF(COUNTA(E$13:E13)=1,"",",")&amp;D13,"")</f>
        <v>tekiyou_byoumei_link_code</v>
      </c>
      <c r="AK13" s="4"/>
      <c r="AL13" s="4"/>
      <c r="AM13" s="4"/>
      <c r="AN13" s="4"/>
      <c r="AO13" s="4"/>
      <c r="AP13" s="4"/>
      <c r="AQ13" s="4"/>
      <c r="AR13" s="4"/>
      <c r="AS13" s="76" t="str">
        <f>"COMMENT ON COLUMN "&amp;エンティティ一覧!$O$2&amp;"."&amp;D$8&amp;"."&amp;D13&amp;" IS '"&amp;C13&amp;"';"</f>
        <v>COMMENT ON COLUMN milscm_2023_010.azn_202310_backup_mt_tekiyou_recept_combi_link_oyako.tekiyou_byoumei_link_code IS '適用病名組み合わせコード';</v>
      </c>
    </row>
    <row r="14" spans="1:45" s="25" customFormat="1">
      <c r="A14" s="4"/>
      <c r="B14" s="21">
        <f t="shared" ref="B14:B15" si="2">ROW()-12</f>
        <v>2</v>
      </c>
      <c r="C14" s="6" t="s">
        <v>2026</v>
      </c>
      <c r="D14" s="6" t="s">
        <v>2027</v>
      </c>
      <c r="E14" s="8" t="s">
        <v>127</v>
      </c>
      <c r="F14" s="7" t="s">
        <v>1735</v>
      </c>
      <c r="G14" s="7" t="str">
        <f t="shared" ref="G14:G16" si="3">IF(F14="フラグ","boolean",IF(F14="文字列","text",IF(F14="整数","integer",IF(F14="実数","numeric",""))))</f>
        <v>text</v>
      </c>
      <c r="H14" s="26"/>
      <c r="I14" s="10" t="s">
        <v>127</v>
      </c>
      <c r="J14" s="11"/>
      <c r="M14" s="4"/>
      <c r="N14" s="76"/>
      <c r="O14" s="76"/>
      <c r="P14" s="76" t="str">
        <f t="shared" ref="P14:P16" si="4">IF(B14&lt;&gt;1,","&amp;D14,D14)</f>
        <v>,yj_code</v>
      </c>
      <c r="Q14" s="76" t="str">
        <f t="shared" si="0"/>
        <v>TEXT</v>
      </c>
      <c r="R14" s="76" t="str">
        <f t="shared" si="1"/>
        <v/>
      </c>
      <c r="S14" s="76" t="str">
        <f t="shared" ref="S14:S16" si="5">IF(I14="○","NOT NULL","")</f>
        <v>NOT NULL</v>
      </c>
      <c r="T14" s="76" t="str">
        <f t="shared" ref="T14:T16" si="6">"-- "&amp;C14</f>
        <v>-- ＹＪコード</v>
      </c>
      <c r="U14" s="4"/>
      <c r="AA14" s="4"/>
      <c r="AB14" s="4"/>
      <c r="AC14" s="4"/>
      <c r="AD14" s="4"/>
      <c r="AE14" s="4"/>
      <c r="AF14" s="4"/>
      <c r="AG14" s="4"/>
      <c r="AH14" s="4"/>
      <c r="AI14" s="4"/>
      <c r="AJ14" s="76" t="str">
        <f>IF(E14="○",IF(COUNTA(E$13:E14)=1,"",",")&amp;D14,"")</f>
        <v>,yj_code</v>
      </c>
      <c r="AK14" s="4"/>
      <c r="AL14" s="4"/>
      <c r="AM14" s="4"/>
      <c r="AN14" s="4"/>
      <c r="AO14" s="4"/>
      <c r="AP14" s="4"/>
      <c r="AQ14" s="4"/>
      <c r="AR14" s="4"/>
      <c r="AS14" s="76" t="str">
        <f>"COMMENT ON COLUMN "&amp;エンティティ一覧!$O$2&amp;"."&amp;D$8&amp;"."&amp;D14&amp;" IS '"&amp;C14&amp;"';"</f>
        <v>COMMENT ON COLUMN milscm_2023_010.azn_202310_backup_mt_tekiyou_recept_combi_link_oyako.yj_code IS 'ＹＪコード';</v>
      </c>
    </row>
    <row r="15" spans="1:45" s="25" customFormat="1" ht="56.25">
      <c r="A15" s="4"/>
      <c r="B15" s="21">
        <f t="shared" si="2"/>
        <v>3</v>
      </c>
      <c r="C15" s="6" t="s">
        <v>2044</v>
      </c>
      <c r="D15" s="6" t="s">
        <v>2045</v>
      </c>
      <c r="E15" s="8" t="s">
        <v>127</v>
      </c>
      <c r="F15" s="7" t="s">
        <v>1735</v>
      </c>
      <c r="G15" s="7" t="str">
        <f t="shared" si="3"/>
        <v>text</v>
      </c>
      <c r="H15" s="26"/>
      <c r="I15" s="10" t="s">
        <v>127</v>
      </c>
      <c r="J15" s="11" t="s">
        <v>2048</v>
      </c>
      <c r="M15" s="4"/>
      <c r="N15" s="76"/>
      <c r="O15" s="76"/>
      <c r="P15" s="76" t="str">
        <f t="shared" si="4"/>
        <v>,koshin_kubun</v>
      </c>
      <c r="Q15" s="76" t="str">
        <f t="shared" si="0"/>
        <v>TEXT</v>
      </c>
      <c r="R15" s="76" t="str">
        <f t="shared" si="1"/>
        <v/>
      </c>
      <c r="S15" s="76" t="str">
        <f t="shared" si="5"/>
        <v>NOT NULL</v>
      </c>
      <c r="T15" s="76" t="str">
        <f t="shared" si="6"/>
        <v>-- 更新区分</v>
      </c>
      <c r="U15" s="4"/>
      <c r="AA15" s="4"/>
      <c r="AB15" s="4"/>
      <c r="AC15" s="4"/>
      <c r="AD15" s="4"/>
      <c r="AE15" s="4"/>
      <c r="AF15" s="4"/>
      <c r="AG15" s="4"/>
      <c r="AH15" s="4"/>
      <c r="AI15" s="4"/>
      <c r="AJ15" s="76" t="str">
        <f>IF(E15="○",IF(COUNTA(E$13:E15)=1,"",",")&amp;D15,"")</f>
        <v>,koshin_kubun</v>
      </c>
      <c r="AK15" s="4"/>
      <c r="AL15" s="4"/>
      <c r="AM15" s="4"/>
      <c r="AN15" s="4"/>
      <c r="AO15" s="4"/>
      <c r="AP15" s="4"/>
      <c r="AQ15" s="4"/>
      <c r="AR15" s="4"/>
      <c r="AS15" s="76" t="str">
        <f>"COMMENT ON COLUMN "&amp;エンティティ一覧!$O$2&amp;"."&amp;D$8&amp;"."&amp;D15&amp;" IS '"&amp;C15&amp;"';"</f>
        <v>COMMENT ON COLUMN milscm_2023_010.azn_202310_backup_mt_tekiyou_recept_combi_link_oyako.koshin_kubun IS '更新区分';</v>
      </c>
    </row>
    <row r="16" spans="1:45" s="25" customFormat="1" ht="19.5" thickBot="1">
      <c r="A16" s="4"/>
      <c r="B16" s="27">
        <f>ROW()-12</f>
        <v>4</v>
      </c>
      <c r="C16" s="57" t="s">
        <v>2046</v>
      </c>
      <c r="D16" s="57" t="s">
        <v>1879</v>
      </c>
      <c r="E16" s="56" t="s">
        <v>127</v>
      </c>
      <c r="F16" s="56" t="s">
        <v>1735</v>
      </c>
      <c r="G16" s="56" t="str">
        <f t="shared" si="3"/>
        <v>text</v>
      </c>
      <c r="H16" s="59"/>
      <c r="I16" s="60" t="s">
        <v>127</v>
      </c>
      <c r="J16" s="63" t="s">
        <v>2070</v>
      </c>
      <c r="N16" s="76"/>
      <c r="O16" s="76"/>
      <c r="P16" s="76" t="str">
        <f t="shared" si="4"/>
        <v>,update_ymd</v>
      </c>
      <c r="Q16" s="76" t="str">
        <f t="shared" si="0"/>
        <v>TEXT</v>
      </c>
      <c r="R16" s="76" t="str">
        <f t="shared" si="1"/>
        <v/>
      </c>
      <c r="S16" s="76" t="str">
        <f t="shared" si="5"/>
        <v>NOT NULL</v>
      </c>
      <c r="T16" s="76" t="str">
        <f t="shared" si="6"/>
        <v>-- データ登録日</v>
      </c>
      <c r="U16" s="4"/>
      <c r="AA16" s="4"/>
      <c r="AB16" s="4"/>
      <c r="AC16" s="4"/>
      <c r="AD16" s="4"/>
      <c r="AE16" s="4"/>
      <c r="AF16" s="4"/>
      <c r="AG16" s="4"/>
      <c r="AH16" s="4"/>
      <c r="AI16" s="4"/>
      <c r="AJ16" s="76" t="str">
        <f>IF(E16="○",IF(COUNTA(E$13:E16)=1,"",",")&amp;D16,"")</f>
        <v>,update_ymd</v>
      </c>
      <c r="AK16" s="4"/>
      <c r="AL16" s="4"/>
      <c r="AM16" s="4"/>
      <c r="AN16" s="4"/>
      <c r="AO16" s="4"/>
      <c r="AP16" s="4"/>
      <c r="AQ16" s="4"/>
      <c r="AR16" s="4"/>
      <c r="AS16" s="76" t="str">
        <f>"COMMENT ON COLUMN "&amp;エンティティ一覧!$O$2&amp;"."&amp;D$8&amp;"."&amp;D16&amp;" IS '"&amp;C16&amp;"';"</f>
        <v>COMMENT ON COLUMN milscm_2023_010.azn_202310_backup_mt_tekiyou_recept_combi_link_oyako.update_ymd IS 'データ登録日';</v>
      </c>
    </row>
    <row r="17" spans="12:52">
      <c r="L17" s="25"/>
      <c r="M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ENT_01_A3-13</v>
      </c>
      <c r="E6" s="272"/>
      <c r="F6" s="272"/>
      <c r="G6" s="272"/>
      <c r="H6" s="272"/>
      <c r="I6" s="272"/>
      <c r="J6" s="273"/>
    </row>
    <row r="7" spans="1:45">
      <c r="B7" s="261" t="s">
        <v>115</v>
      </c>
      <c r="C7" s="262"/>
      <c r="D7" s="263" t="s">
        <v>2098</v>
      </c>
      <c r="E7" s="264"/>
      <c r="F7" s="264"/>
      <c r="G7" s="264"/>
      <c r="H7" s="264"/>
      <c r="I7" s="264"/>
      <c r="J7" s="265"/>
    </row>
    <row r="8" spans="1:45">
      <c r="B8" s="261" t="s">
        <v>116</v>
      </c>
      <c r="C8" s="262"/>
      <c r="D8" s="263" t="str">
        <f>エンティティ一覧!AE2&amp;"_"&amp;D5&amp;"_mt_tekiyou_byoumei"</f>
        <v>azn_202310_backup_mt_tekiyou_byoumei</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適用病名マスタ取込用テーブルから組入れ条件の第一条件で絞り込んだ結果を格納するテーブル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milscm_2023_010.azn_202310_backup_mt_tekiyou_byoumei;</v>
      </c>
      <c r="O10" s="76"/>
      <c r="P10" s="76"/>
      <c r="Q10" s="76"/>
      <c r="R10" s="76"/>
      <c r="S10" s="76"/>
      <c r="T10" s="76"/>
      <c r="AJ10" s="76" t="str">
        <f>"ALTER TABLE ONLY "&amp;エンティティ一覧!$O$2&amp;"."&amp;D$8</f>
        <v>ALTER TABLE ONLY milscm_2023_010.azn_202310_backup_mt_tekiyou_byoumei</v>
      </c>
      <c r="AS10" s="76" t="str">
        <f>"ALTER TABLE "&amp;エンティティ一覧!$O$2&amp;"."&amp;D$8&amp;" OWNER TO pgmisgrp1;"</f>
        <v>ALTER TABLE milscm_2023_010.azn_202310_backup_mt_tekiyou_byoumei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milscm_2023_010.azn_202310_backup_mt_tekiyou_byoumei</v>
      </c>
      <c r="O11" s="76"/>
      <c r="P11" s="76"/>
      <c r="Q11" s="76"/>
      <c r="R11" s="76"/>
      <c r="S11" s="76"/>
      <c r="T11" s="76"/>
      <c r="AJ11" s="76" t="str">
        <f>"ADD CONSTRAINT "&amp;D$8&amp;"_pkey PRIMARY KEY"</f>
        <v>ADD CONSTRAINT azn_202310_backup_mt_tekiyou_byoumei_pkey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milscm_2023_010.azn_202310_backup_mt_tekiyou_byoumei IS 'バックアップ_適用病名マスタ取込用';</v>
      </c>
    </row>
    <row r="13" spans="1:45" s="25" customFormat="1">
      <c r="A13" s="4"/>
      <c r="B13" s="21">
        <f>ROW()-12</f>
        <v>1</v>
      </c>
      <c r="C13" s="6" t="s">
        <v>2099</v>
      </c>
      <c r="D13" s="6" t="s">
        <v>2100</v>
      </c>
      <c r="E13" s="8"/>
      <c r="F13" s="8" t="s">
        <v>1735</v>
      </c>
      <c r="G13" s="7" t="str">
        <f>IF(F13="フラグ","boolean",IF(F13="文字列","text",IF(F13="整数","integer",IF(F13="実数","numeric",""))))</f>
        <v>text</v>
      </c>
      <c r="H13" s="9"/>
      <c r="I13" s="10"/>
      <c r="J13" s="11"/>
      <c r="M13" s="4"/>
      <c r="N13" s="76"/>
      <c r="O13" s="76"/>
      <c r="P13" s="76" t="str">
        <f>IF(B13&lt;&gt;1,","&amp;D13,D13)</f>
        <v>yougo_code1</v>
      </c>
      <c r="Q13" s="76" t="str">
        <f t="shared" ref="Q13:Q19" si="0">UPPER(G13)</f>
        <v>TEXT</v>
      </c>
      <c r="R13" s="76" t="str">
        <f t="shared" ref="R13:R19" si="1">IF(H13&lt;&gt;"","default "&amp;IF(G13="text","'"&amp;H13&amp;"'",H13),"")</f>
        <v/>
      </c>
      <c r="S13" s="76" t="str">
        <f>IF(I13="○","NOT NULL","")</f>
        <v/>
      </c>
      <c r="T13" s="76" t="str">
        <f>"-- "&amp;C13</f>
        <v>-- 用語コード１</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milscm_2023_010.azn_202310_backup_mt_tekiyou_byoumei.yougo_code1 IS '用語コード１';</v>
      </c>
    </row>
    <row r="14" spans="1:45" s="25" customFormat="1">
      <c r="A14" s="4"/>
      <c r="B14" s="21">
        <f t="shared" ref="B14:B18" si="2">ROW()-12</f>
        <v>2</v>
      </c>
      <c r="C14" s="6" t="s">
        <v>2101</v>
      </c>
      <c r="D14" s="6" t="s">
        <v>2102</v>
      </c>
      <c r="E14" s="8"/>
      <c r="F14" s="7" t="s">
        <v>1735</v>
      </c>
      <c r="G14" s="7" t="str">
        <f t="shared" ref="G14:G19" si="3">IF(F14="フラグ","boolean",IF(F14="文字列","text",IF(F14="整数","integer",IF(F14="実数","numeric",""))))</f>
        <v>text</v>
      </c>
      <c r="H14" s="26"/>
      <c r="I14" s="10"/>
      <c r="J14" s="11"/>
      <c r="M14" s="4"/>
      <c r="N14" s="76"/>
      <c r="O14" s="76"/>
      <c r="P14" s="76" t="str">
        <f t="shared" ref="P14:P19" si="4">IF(B14&lt;&gt;1,","&amp;D14,D14)</f>
        <v>,yougo_code2</v>
      </c>
      <c r="Q14" s="76" t="str">
        <f t="shared" si="0"/>
        <v>TEXT</v>
      </c>
      <c r="R14" s="76" t="str">
        <f t="shared" si="1"/>
        <v/>
      </c>
      <c r="S14" s="76" t="str">
        <f t="shared" ref="S14:S19" si="5">IF(I14="○","NOT NULL","")</f>
        <v/>
      </c>
      <c r="T14" s="76" t="str">
        <f t="shared" ref="T14:T19" si="6">"-- "&amp;C14</f>
        <v>-- 用語コード２</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milscm_2023_010.azn_202310_backup_mt_tekiyou_byoumei.yougo_code2 IS '用語コード２';</v>
      </c>
    </row>
    <row r="15" spans="1:45" s="25" customFormat="1">
      <c r="A15" s="4"/>
      <c r="B15" s="21">
        <f t="shared" si="2"/>
        <v>3</v>
      </c>
      <c r="C15" s="6" t="s">
        <v>2103</v>
      </c>
      <c r="D15" s="6" t="s">
        <v>2104</v>
      </c>
      <c r="E15" s="8"/>
      <c r="F15" s="7" t="s">
        <v>1735</v>
      </c>
      <c r="G15" s="7" t="str">
        <f t="shared" ref="G15:G17" si="7">IF(F15="フラグ","boolean",IF(F15="文字列","text",IF(F15="整数","integer",IF(F15="実数","numeric",""))))</f>
        <v>text</v>
      </c>
      <c r="H15" s="26"/>
      <c r="I15" s="10"/>
      <c r="J15" s="11"/>
      <c r="M15" s="4"/>
      <c r="N15" s="76"/>
      <c r="O15" s="76"/>
      <c r="P15" s="76" t="str">
        <f t="shared" ref="P15:P17" si="8">IF(B15&lt;&gt;1,","&amp;D15,D15)</f>
        <v>,yougo_code3</v>
      </c>
      <c r="Q15" s="76" t="str">
        <f t="shared" ref="Q15:Q17" si="9">UPPER(G15)</f>
        <v>TEXT</v>
      </c>
      <c r="R15" s="76" t="str">
        <f t="shared" ref="R15:R17" si="10">IF(H15&lt;&gt;"","default "&amp;IF(G15="text","'"&amp;H15&amp;"'",H15),"")</f>
        <v/>
      </c>
      <c r="S15" s="76" t="str">
        <f t="shared" ref="S15:S17" si="11">IF(I15="○","NOT NULL","")</f>
        <v/>
      </c>
      <c r="T15" s="76" t="str">
        <f t="shared" ref="T15:T17" si="12">"-- "&amp;C15</f>
        <v>-- 用語コード３</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milscm_2023_010.azn_202310_backup_mt_tekiyou_byoumei.yougo_code3 IS '用語コード３';</v>
      </c>
    </row>
    <row r="16" spans="1:45" s="25" customFormat="1">
      <c r="A16" s="4"/>
      <c r="B16" s="21">
        <f t="shared" si="2"/>
        <v>4</v>
      </c>
      <c r="C16" s="6" t="s">
        <v>2081</v>
      </c>
      <c r="D16" s="6" t="s">
        <v>2082</v>
      </c>
      <c r="E16" s="8" t="s">
        <v>127</v>
      </c>
      <c r="F16" s="7" t="s">
        <v>1735</v>
      </c>
      <c r="G16" s="7" t="str">
        <f t="shared" si="7"/>
        <v>text</v>
      </c>
      <c r="H16" s="26"/>
      <c r="I16" s="10" t="s">
        <v>127</v>
      </c>
      <c r="J16" s="11"/>
      <c r="M16" s="4"/>
      <c r="N16" s="76"/>
      <c r="O16" s="76"/>
      <c r="P16" s="76" t="str">
        <f t="shared" si="8"/>
        <v>,tekiyou_byoumei_code</v>
      </c>
      <c r="Q16" s="76" t="str">
        <f t="shared" si="9"/>
        <v>TEXT</v>
      </c>
      <c r="R16" s="76" t="str">
        <f t="shared" si="10"/>
        <v/>
      </c>
      <c r="S16" s="76" t="str">
        <f t="shared" si="11"/>
        <v>NOT NULL</v>
      </c>
      <c r="T16" s="76" t="str">
        <f t="shared" si="12"/>
        <v>-- 適用病名コード</v>
      </c>
      <c r="U16" s="4"/>
      <c r="AA16" s="4"/>
      <c r="AB16" s="4"/>
      <c r="AC16" s="4"/>
      <c r="AD16" s="4"/>
      <c r="AE16" s="4"/>
      <c r="AF16" s="4"/>
      <c r="AG16" s="4"/>
      <c r="AH16" s="4"/>
      <c r="AI16" s="4"/>
      <c r="AJ16" s="76" t="str">
        <f>IF(E16="○",IF(COUNTA(E$13:E16)=1,"",",")&amp;D16,"")</f>
        <v>tekiyou_byoumei_code</v>
      </c>
      <c r="AK16" s="4"/>
      <c r="AL16" s="4"/>
      <c r="AM16" s="4"/>
      <c r="AN16" s="4"/>
      <c r="AO16" s="4"/>
      <c r="AP16" s="4"/>
      <c r="AQ16" s="4"/>
      <c r="AR16" s="4"/>
      <c r="AS16" s="76" t="str">
        <f>"COMMENT ON COLUMN "&amp;エンティティ一覧!$O$2&amp;"."&amp;D$8&amp;"."&amp;D16&amp;" IS '"&amp;C16&amp;"';"</f>
        <v>COMMENT ON COLUMN milscm_2023_010.azn_202310_backup_mt_tekiyou_byoumei.tekiyou_byoumei_code IS '適用病名コード';</v>
      </c>
    </row>
    <row r="17" spans="1:52" s="25" customFormat="1">
      <c r="A17" s="4"/>
      <c r="B17" s="21">
        <f t="shared" si="2"/>
        <v>5</v>
      </c>
      <c r="C17" s="6" t="s">
        <v>2105</v>
      </c>
      <c r="D17" s="6" t="s">
        <v>2106</v>
      </c>
      <c r="E17" s="8"/>
      <c r="F17" s="7" t="s">
        <v>1735</v>
      </c>
      <c r="G17" s="7" t="str">
        <f t="shared" si="7"/>
        <v>text</v>
      </c>
      <c r="H17" s="26"/>
      <c r="I17" s="10" t="s">
        <v>127</v>
      </c>
      <c r="J17" s="11"/>
      <c r="M17" s="4"/>
      <c r="N17" s="76"/>
      <c r="O17" s="76"/>
      <c r="P17" s="76" t="str">
        <f t="shared" si="8"/>
        <v>,tekiyou_byoumei_name</v>
      </c>
      <c r="Q17" s="76" t="str">
        <f t="shared" si="9"/>
        <v>TEXT</v>
      </c>
      <c r="R17" s="76" t="str">
        <f t="shared" si="10"/>
        <v/>
      </c>
      <c r="S17" s="76" t="str">
        <f t="shared" si="11"/>
        <v>NOT NULL</v>
      </c>
      <c r="T17" s="76" t="str">
        <f t="shared" si="12"/>
        <v>-- 適用病名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milscm_2023_010.azn_202310_backup_mt_tekiyou_byoumei.tekiyou_byoumei_name IS '適用病名';</v>
      </c>
    </row>
    <row r="18" spans="1:52" s="25" customFormat="1" ht="56.25">
      <c r="A18" s="4"/>
      <c r="B18" s="21">
        <f t="shared" si="2"/>
        <v>6</v>
      </c>
      <c r="C18" s="6" t="s">
        <v>2044</v>
      </c>
      <c r="D18" s="6" t="s">
        <v>2045</v>
      </c>
      <c r="E18" s="8" t="s">
        <v>127</v>
      </c>
      <c r="F18" s="7" t="s">
        <v>1735</v>
      </c>
      <c r="G18" s="7" t="str">
        <f t="shared" si="3"/>
        <v>text</v>
      </c>
      <c r="H18" s="26"/>
      <c r="I18" s="10" t="s">
        <v>127</v>
      </c>
      <c r="J18" s="11" t="s">
        <v>2048</v>
      </c>
      <c r="M18" s="4"/>
      <c r="N18" s="76"/>
      <c r="O18" s="76"/>
      <c r="P18" s="76" t="str">
        <f t="shared" si="4"/>
        <v>,koshin_kubun</v>
      </c>
      <c r="Q18" s="76" t="str">
        <f t="shared" si="0"/>
        <v>TEXT</v>
      </c>
      <c r="R18" s="76" t="str">
        <f t="shared" si="1"/>
        <v/>
      </c>
      <c r="S18" s="76" t="str">
        <f t="shared" si="5"/>
        <v>NOT NULL</v>
      </c>
      <c r="T18" s="76" t="str">
        <f t="shared" si="6"/>
        <v>-- 更新区分</v>
      </c>
      <c r="U18" s="4"/>
      <c r="AA18" s="4"/>
      <c r="AB18" s="4"/>
      <c r="AC18" s="4"/>
      <c r="AD18" s="4"/>
      <c r="AE18" s="4"/>
      <c r="AF18" s="4"/>
      <c r="AG18" s="4"/>
      <c r="AH18" s="4"/>
      <c r="AI18" s="4"/>
      <c r="AJ18" s="76" t="str">
        <f>IF(E18="○",IF(COUNTA(E$13:E18)=1,"",",")&amp;D18,"")</f>
        <v>,koshin_kubun</v>
      </c>
      <c r="AK18" s="4"/>
      <c r="AL18" s="4"/>
      <c r="AM18" s="4"/>
      <c r="AN18" s="4"/>
      <c r="AO18" s="4"/>
      <c r="AP18" s="4"/>
      <c r="AQ18" s="4"/>
      <c r="AR18" s="4"/>
      <c r="AS18" s="76" t="str">
        <f>"COMMENT ON COLUMN "&amp;エンティティ一覧!$O$2&amp;"."&amp;D$8&amp;"."&amp;D18&amp;" IS '"&amp;C18&amp;"';"</f>
        <v>COMMENT ON COLUMN milscm_2023_010.azn_202310_backup_mt_tekiyou_byoumei.koshin_kubun IS '更新区分';</v>
      </c>
    </row>
    <row r="19" spans="1:52" s="25" customFormat="1" ht="19.5" thickBot="1">
      <c r="A19" s="4"/>
      <c r="B19" s="27">
        <f>ROW()-12</f>
        <v>7</v>
      </c>
      <c r="C19" s="57" t="s">
        <v>1974</v>
      </c>
      <c r="D19" s="57" t="s">
        <v>1879</v>
      </c>
      <c r="E19" s="56" t="s">
        <v>127</v>
      </c>
      <c r="F19" s="56" t="s">
        <v>1735</v>
      </c>
      <c r="G19" s="56" t="str">
        <f t="shared" si="3"/>
        <v>text</v>
      </c>
      <c r="H19" s="59"/>
      <c r="I19" s="60" t="s">
        <v>127</v>
      </c>
      <c r="J19" s="63" t="s">
        <v>2070</v>
      </c>
      <c r="N19" s="76"/>
      <c r="O19" s="76"/>
      <c r="P19" s="76" t="str">
        <f t="shared" si="4"/>
        <v>,update_ymd</v>
      </c>
      <c r="Q19" s="76" t="str">
        <f t="shared" si="0"/>
        <v>TEXT</v>
      </c>
      <c r="R19" s="76" t="str">
        <f t="shared" si="1"/>
        <v/>
      </c>
      <c r="S19" s="76" t="str">
        <f t="shared" si="5"/>
        <v>NOT NULL</v>
      </c>
      <c r="T19" s="76" t="str">
        <f t="shared" si="6"/>
        <v>-- データ登録日</v>
      </c>
      <c r="U19" s="4"/>
      <c r="AA19" s="4"/>
      <c r="AB19" s="4"/>
      <c r="AC19" s="4"/>
      <c r="AD19" s="4"/>
      <c r="AE19" s="4"/>
      <c r="AF19" s="4"/>
      <c r="AG19" s="4"/>
      <c r="AH19" s="4"/>
      <c r="AI19" s="4"/>
      <c r="AJ19" s="76" t="str">
        <f>IF(E19="○",IF(COUNTA(E$13:E19)=1,"",",")&amp;D19,"")</f>
        <v>,update_ymd</v>
      </c>
      <c r="AK19" s="4"/>
      <c r="AL19" s="4"/>
      <c r="AM19" s="4"/>
      <c r="AN19" s="4"/>
      <c r="AO19" s="4"/>
      <c r="AP19" s="4"/>
      <c r="AQ19" s="4"/>
      <c r="AR19" s="4"/>
      <c r="AS19" s="76" t="str">
        <f>"COMMENT ON COLUMN "&amp;エンティティ一覧!$O$2&amp;"."&amp;D$8&amp;"."&amp;D19&amp;" IS '"&amp;C19&amp;"';"</f>
        <v>COMMENT ON COLUMN milscm_2023_010.azn_202310_backup_mt_tekiyou_byoumei.update_ymd IS 'データ登録日';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ENT_01_A3-14</v>
      </c>
      <c r="E6" s="272"/>
      <c r="F6" s="272"/>
      <c r="G6" s="272"/>
      <c r="H6" s="272"/>
      <c r="I6" s="272"/>
      <c r="J6" s="273"/>
    </row>
    <row r="7" spans="1:45">
      <c r="B7" s="261" t="s">
        <v>115</v>
      </c>
      <c r="C7" s="262"/>
      <c r="D7" s="263" t="s">
        <v>2107</v>
      </c>
      <c r="E7" s="264"/>
      <c r="F7" s="264"/>
      <c r="G7" s="264"/>
      <c r="H7" s="264"/>
      <c r="I7" s="264"/>
      <c r="J7" s="265"/>
    </row>
    <row r="8" spans="1:45">
      <c r="B8" s="261" t="s">
        <v>116</v>
      </c>
      <c r="C8" s="262"/>
      <c r="D8" s="263" t="str">
        <f>エンティティ一覧!AE2&amp;"_"&amp;D5&amp;"_mt_yjcode_receptdensancode_link"</f>
        <v>azn_202310_backup_mt_yjcode_receptdensancode_link</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ＹＪコード医薬品コードリンクマスタ取込用テーブルから組入れ条件の第一条件で絞り込んだ結果を格納するテーブル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milscm_2023_010.azn_202310_backup_mt_yjcode_receptdensancode_link;</v>
      </c>
      <c r="O10" s="76"/>
      <c r="P10" s="76"/>
      <c r="Q10" s="76"/>
      <c r="R10" s="76"/>
      <c r="S10" s="76"/>
      <c r="T10" s="76"/>
      <c r="AJ10" s="76" t="str">
        <f>"ALTER TABLE ONLY "&amp;エンティティ一覧!$O$2&amp;"."&amp;D$8</f>
        <v>ALTER TABLE ONLY milscm_2023_010.azn_202310_backup_mt_yjcode_receptdensancode_link</v>
      </c>
      <c r="AS10" s="76" t="str">
        <f>"ALTER TABLE "&amp;エンティティ一覧!$O$2&amp;"."&amp;D$8&amp;" OWNER TO pgmisgrp1;"</f>
        <v>ALTER TABLE milscm_2023_010.azn_202310_backup_mt_yjcode_receptdensancode_link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milscm_2023_010.azn_202310_backup_mt_yjcode_receptdensancode_link</v>
      </c>
      <c r="O11" s="76"/>
      <c r="P11" s="76"/>
      <c r="Q11" s="76"/>
      <c r="R11" s="76"/>
      <c r="S11" s="76"/>
      <c r="T11" s="76"/>
      <c r="AJ11" s="76" t="str">
        <f>"ADD CONSTRAINT "&amp;D$8&amp;"_pkey PRIMARY KEY"</f>
        <v>ADD CONSTRAINT azn_202310_backup_mt_yjcode_receptdensancode_link_pkey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milscm_2023_010.azn_202310_backup_mt_yjcode_receptdensancode_link IS 'バックアップ_ＹＪコード医薬品コードリンクマスタ取込用';</v>
      </c>
    </row>
    <row r="13" spans="1:45" s="25" customFormat="1">
      <c r="A13" s="4"/>
      <c r="B13" s="21">
        <f>ROW()-12</f>
        <v>1</v>
      </c>
      <c r="C13" s="6" t="s">
        <v>2026</v>
      </c>
      <c r="D13" s="6" t="s">
        <v>2027</v>
      </c>
      <c r="E13" s="8" t="s">
        <v>127</v>
      </c>
      <c r="F13" s="8" t="s">
        <v>1735</v>
      </c>
      <c r="G13" s="7" t="str">
        <f>IF(F13="フラグ","boolean",IF(F13="文字列","text",IF(F13="整数","integer",IF(F13="実数","numeric",""))))</f>
        <v>text</v>
      </c>
      <c r="H13" s="9"/>
      <c r="I13" s="10"/>
      <c r="J13" s="11" t="s">
        <v>2115</v>
      </c>
      <c r="M13" s="4"/>
      <c r="N13" s="76"/>
      <c r="O13" s="76"/>
      <c r="P13" s="76" t="str">
        <f>IF(B13&lt;&gt;1,","&amp;D13,D13)</f>
        <v>yj_code</v>
      </c>
      <c r="Q13" s="76" t="str">
        <f t="shared" ref="Q13:Q19" si="0">UPPER(G13)</f>
        <v>TEXT</v>
      </c>
      <c r="R13" s="76" t="str">
        <f t="shared" ref="R13:R19" si="1">IF(H13&lt;&gt;"","default "&amp;IF(G13="text","'"&amp;H13&amp;"'",H13),"")</f>
        <v/>
      </c>
      <c r="S13" s="76" t="str">
        <f>IF(I13="○","NOT NULL","")</f>
        <v/>
      </c>
      <c r="T13" s="76" t="str">
        <f>"-- "&amp;C13</f>
        <v>-- ＹＪコード</v>
      </c>
      <c r="U13" s="4"/>
      <c r="AA13" s="4"/>
      <c r="AB13" s="4"/>
      <c r="AC13" s="4"/>
      <c r="AD13" s="4"/>
      <c r="AE13" s="4"/>
      <c r="AF13" s="4"/>
      <c r="AG13" s="4"/>
      <c r="AH13" s="4"/>
      <c r="AI13" s="4"/>
      <c r="AJ13" s="76" t="str">
        <f>IF(E13="○",IF(COUNTA(E$13:E13)=1,"",",")&amp;D13,"")</f>
        <v>yj_code</v>
      </c>
      <c r="AK13" s="4"/>
      <c r="AL13" s="4"/>
      <c r="AM13" s="4"/>
      <c r="AN13" s="4"/>
      <c r="AO13" s="4"/>
      <c r="AP13" s="4"/>
      <c r="AQ13" s="4"/>
      <c r="AR13" s="4"/>
      <c r="AS13" s="76" t="str">
        <f>"COMMENT ON COLUMN "&amp;エンティティ一覧!$O$2&amp;"."&amp;D$8&amp;"."&amp;D13&amp;" IS '"&amp;C13&amp;"';"</f>
        <v>COMMENT ON COLUMN milscm_2023_010.azn_202310_backup_mt_yjcode_receptdensancode_link.yj_code IS 'ＹＪコード';</v>
      </c>
    </row>
    <row r="14" spans="1:45" s="25" customFormat="1">
      <c r="A14" s="4"/>
      <c r="B14" s="21">
        <f t="shared" ref="B14:B18" si="2">ROW()-12</f>
        <v>2</v>
      </c>
      <c r="C14" s="6" t="s">
        <v>2108</v>
      </c>
      <c r="D14" s="6" t="s">
        <v>1156</v>
      </c>
      <c r="E14" s="8"/>
      <c r="F14" s="7" t="s">
        <v>1735</v>
      </c>
      <c r="G14" s="7" t="str">
        <f t="shared" ref="G14:G19" si="3">IF(F14="フラグ","boolean",IF(F14="文字列","text",IF(F14="整数","integer",IF(F14="実数","numeric",""))))</f>
        <v>text</v>
      </c>
      <c r="H14" s="26"/>
      <c r="I14" s="10"/>
      <c r="J14" s="11" t="s">
        <v>2116</v>
      </c>
      <c r="M14" s="4"/>
      <c r="N14" s="76"/>
      <c r="O14" s="76"/>
      <c r="P14" s="76" t="str">
        <f t="shared" ref="P14:P19" si="4">IF(B14&lt;&gt;1,","&amp;D14,D14)</f>
        <v>,iyakuhin_code</v>
      </c>
      <c r="Q14" s="76" t="str">
        <f t="shared" si="0"/>
        <v>TEXT</v>
      </c>
      <c r="R14" s="76" t="str">
        <f t="shared" si="1"/>
        <v/>
      </c>
      <c r="S14" s="76" t="str">
        <f t="shared" ref="S14:S19" si="5">IF(I14="○","NOT NULL","")</f>
        <v/>
      </c>
      <c r="T14" s="76" t="str">
        <f t="shared" ref="T14:T19" si="6">"-- "&amp;C14</f>
        <v>-- 医薬品コード</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milscm_2023_010.azn_202310_backup_mt_yjcode_receptdensancode_link.iyakuhin_code IS '医薬品コード';</v>
      </c>
    </row>
    <row r="15" spans="1:45" s="25" customFormat="1">
      <c r="A15" s="4"/>
      <c r="B15" s="21">
        <f t="shared" si="2"/>
        <v>3</v>
      </c>
      <c r="C15" s="6" t="s">
        <v>2109</v>
      </c>
      <c r="D15" s="6" t="s">
        <v>2110</v>
      </c>
      <c r="E15" s="8"/>
      <c r="F15" s="7" t="s">
        <v>1735</v>
      </c>
      <c r="G15" s="7" t="str">
        <f t="shared" si="3"/>
        <v>text</v>
      </c>
      <c r="H15" s="26"/>
      <c r="I15" s="10"/>
      <c r="J15" s="11"/>
      <c r="M15" s="4"/>
      <c r="N15" s="76"/>
      <c r="O15" s="76"/>
      <c r="P15" s="76" t="str">
        <f t="shared" si="4"/>
        <v>,iyakuhin_ippan_name</v>
      </c>
      <c r="Q15" s="76" t="str">
        <f t="shared" si="0"/>
        <v>TEXT</v>
      </c>
      <c r="R15" s="76" t="str">
        <f t="shared" si="1"/>
        <v/>
      </c>
      <c r="S15" s="76" t="str">
        <f t="shared" si="5"/>
        <v/>
      </c>
      <c r="T15" s="76" t="str">
        <f t="shared" si="6"/>
        <v>-- 医薬品一般名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milscm_2023_010.azn_202310_backup_mt_yjcode_receptdensancode_link.iyakuhin_ippan_name IS '医薬品一般名';</v>
      </c>
    </row>
    <row r="16" spans="1:45" s="25" customFormat="1">
      <c r="A16" s="4"/>
      <c r="B16" s="21">
        <f t="shared" si="2"/>
        <v>4</v>
      </c>
      <c r="C16" s="6" t="s">
        <v>2111</v>
      </c>
      <c r="D16" s="6" t="s">
        <v>2112</v>
      </c>
      <c r="E16" s="8"/>
      <c r="F16" s="7" t="s">
        <v>1735</v>
      </c>
      <c r="G16" s="7" t="str">
        <f t="shared" si="3"/>
        <v>text</v>
      </c>
      <c r="H16" s="26"/>
      <c r="I16" s="10"/>
      <c r="J16" s="11"/>
      <c r="M16" s="4"/>
      <c r="N16" s="76"/>
      <c r="O16" s="76"/>
      <c r="P16" s="76" t="str">
        <f t="shared" si="4"/>
        <v>,iyakuhin_name</v>
      </c>
      <c r="Q16" s="76" t="str">
        <f t="shared" si="0"/>
        <v>TEXT</v>
      </c>
      <c r="R16" s="76" t="str">
        <f t="shared" si="1"/>
        <v/>
      </c>
      <c r="S16" s="76" t="str">
        <f t="shared" si="5"/>
        <v/>
      </c>
      <c r="T16" s="76" t="str">
        <f t="shared" si="6"/>
        <v>-- 医薬品名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milscm_2023_010.azn_202310_backup_mt_yjcode_receptdensancode_link.iyakuhin_name IS '医薬品名';</v>
      </c>
    </row>
    <row r="17" spans="1:52" s="25" customFormat="1">
      <c r="A17" s="4"/>
      <c r="B17" s="21">
        <f t="shared" si="2"/>
        <v>5</v>
      </c>
      <c r="C17" s="6" t="s">
        <v>2113</v>
      </c>
      <c r="D17" s="6" t="s">
        <v>2114</v>
      </c>
      <c r="E17" s="8"/>
      <c r="F17" s="7" t="s">
        <v>1735</v>
      </c>
      <c r="G17" s="7" t="str">
        <f t="shared" si="3"/>
        <v>text</v>
      </c>
      <c r="H17" s="26"/>
      <c r="I17" s="10"/>
      <c r="J17" s="11"/>
      <c r="M17" s="4"/>
      <c r="N17" s="76"/>
      <c r="O17" s="76"/>
      <c r="P17" s="76" t="str">
        <f t="shared" si="4"/>
        <v>,kikaku_naiyou</v>
      </c>
      <c r="Q17" s="76" t="str">
        <f t="shared" si="0"/>
        <v>TEXT</v>
      </c>
      <c r="R17" s="76" t="str">
        <f t="shared" si="1"/>
        <v/>
      </c>
      <c r="S17" s="76" t="str">
        <f t="shared" si="5"/>
        <v/>
      </c>
      <c r="T17" s="76" t="str">
        <f t="shared" si="6"/>
        <v>-- 規格内容</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milscm_2023_010.azn_202310_backup_mt_yjcode_receptdensancode_link.kikaku_naiyou IS '規格内容';</v>
      </c>
    </row>
    <row r="18" spans="1:52" s="25" customFormat="1" ht="56.25">
      <c r="A18" s="4"/>
      <c r="B18" s="21">
        <f t="shared" si="2"/>
        <v>6</v>
      </c>
      <c r="C18" s="6" t="s">
        <v>2044</v>
      </c>
      <c r="D18" s="6" t="s">
        <v>2045</v>
      </c>
      <c r="E18" s="8" t="s">
        <v>127</v>
      </c>
      <c r="F18" s="7" t="s">
        <v>1735</v>
      </c>
      <c r="G18" s="7" t="str">
        <f t="shared" si="3"/>
        <v>text</v>
      </c>
      <c r="H18" s="26"/>
      <c r="I18" s="10" t="s">
        <v>127</v>
      </c>
      <c r="J18" s="11" t="s">
        <v>2048</v>
      </c>
      <c r="M18" s="4"/>
      <c r="N18" s="76"/>
      <c r="O18" s="76"/>
      <c r="P18" s="76" t="str">
        <f t="shared" si="4"/>
        <v>,koshin_kubun</v>
      </c>
      <c r="Q18" s="76" t="str">
        <f t="shared" si="0"/>
        <v>TEXT</v>
      </c>
      <c r="R18" s="76" t="str">
        <f t="shared" si="1"/>
        <v/>
      </c>
      <c r="S18" s="76" t="str">
        <f t="shared" si="5"/>
        <v>NOT NULL</v>
      </c>
      <c r="T18" s="76" t="str">
        <f t="shared" si="6"/>
        <v>-- 更新区分</v>
      </c>
      <c r="U18" s="4"/>
      <c r="AA18" s="4"/>
      <c r="AB18" s="4"/>
      <c r="AC18" s="4"/>
      <c r="AD18" s="4"/>
      <c r="AE18" s="4"/>
      <c r="AF18" s="4"/>
      <c r="AG18" s="4"/>
      <c r="AH18" s="4"/>
      <c r="AI18" s="4"/>
      <c r="AJ18" s="76" t="str">
        <f>IF(E18="○",IF(COUNTA(E$13:E18)=1,"",",")&amp;D18,"")</f>
        <v>,koshin_kubun</v>
      </c>
      <c r="AK18" s="4"/>
      <c r="AL18" s="4"/>
      <c r="AM18" s="4"/>
      <c r="AN18" s="4"/>
      <c r="AO18" s="4"/>
      <c r="AP18" s="4"/>
      <c r="AQ18" s="4"/>
      <c r="AR18" s="4"/>
      <c r="AS18" s="76" t="str">
        <f>"COMMENT ON COLUMN "&amp;エンティティ一覧!$O$2&amp;"."&amp;D$8&amp;"."&amp;D18&amp;" IS '"&amp;C18&amp;"';"</f>
        <v>COMMENT ON COLUMN milscm_2023_010.azn_202310_backup_mt_yjcode_receptdensancode_link.koshin_kubun IS '更新区分';</v>
      </c>
    </row>
    <row r="19" spans="1:52" s="25" customFormat="1" ht="19.5" thickBot="1">
      <c r="A19" s="4"/>
      <c r="B19" s="27">
        <f>ROW()-12</f>
        <v>7</v>
      </c>
      <c r="C19" s="57" t="s">
        <v>2046</v>
      </c>
      <c r="D19" s="57" t="s">
        <v>1879</v>
      </c>
      <c r="E19" s="56" t="s">
        <v>127</v>
      </c>
      <c r="F19" s="56" t="s">
        <v>1735</v>
      </c>
      <c r="G19" s="56" t="str">
        <f t="shared" si="3"/>
        <v>text</v>
      </c>
      <c r="H19" s="59"/>
      <c r="I19" s="60" t="s">
        <v>127</v>
      </c>
      <c r="J19" s="63" t="s">
        <v>2070</v>
      </c>
      <c r="N19" s="76"/>
      <c r="O19" s="76"/>
      <c r="P19" s="76" t="str">
        <f t="shared" si="4"/>
        <v>,update_ymd</v>
      </c>
      <c r="Q19" s="76" t="str">
        <f t="shared" si="0"/>
        <v>TEXT</v>
      </c>
      <c r="R19" s="76" t="str">
        <f t="shared" si="1"/>
        <v/>
      </c>
      <c r="S19" s="76" t="str">
        <f t="shared" si="5"/>
        <v>NOT NULL</v>
      </c>
      <c r="T19" s="76" t="str">
        <f t="shared" si="6"/>
        <v>-- データ登録日</v>
      </c>
      <c r="U19" s="4"/>
      <c r="AA19" s="4"/>
      <c r="AB19" s="4"/>
      <c r="AC19" s="4"/>
      <c r="AD19" s="4"/>
      <c r="AE19" s="4"/>
      <c r="AF19" s="4"/>
      <c r="AG19" s="4"/>
      <c r="AH19" s="4"/>
      <c r="AI19" s="4"/>
      <c r="AJ19" s="76" t="str">
        <f>IF(E19="○",IF(COUNTA(E$13:E19)=1,"",",")&amp;D19,"")</f>
        <v>,update_ymd</v>
      </c>
      <c r="AK19" s="4"/>
      <c r="AL19" s="4"/>
      <c r="AM19" s="4"/>
      <c r="AN19" s="4"/>
      <c r="AO19" s="4"/>
      <c r="AP19" s="4"/>
      <c r="AQ19" s="4"/>
      <c r="AR19" s="4"/>
      <c r="AS19" s="76" t="str">
        <f>"COMMENT ON COLUMN "&amp;エンティティ一覧!$O$2&amp;"."&amp;D$8&amp;"."&amp;D19&amp;" IS '"&amp;C19&amp;"';"</f>
        <v>COMMENT ON COLUMN milscm_2023_010.azn_202310_backup_mt_yjcode_receptdensancode_link.update_ymd IS 'データ登録日';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8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ENT_01_A3-15</v>
      </c>
      <c r="E6" s="272"/>
      <c r="F6" s="272"/>
      <c r="G6" s="272"/>
      <c r="H6" s="272"/>
      <c r="I6" s="272"/>
      <c r="J6" s="273"/>
    </row>
    <row r="7" spans="1:45">
      <c r="B7" s="261" t="s">
        <v>115</v>
      </c>
      <c r="C7" s="262"/>
      <c r="D7" s="263" t="s">
        <v>2117</v>
      </c>
      <c r="E7" s="264"/>
      <c r="F7" s="264"/>
      <c r="G7" s="264"/>
      <c r="H7" s="264"/>
      <c r="I7" s="264"/>
      <c r="J7" s="265"/>
    </row>
    <row r="8" spans="1:45">
      <c r="B8" s="261" t="s">
        <v>116</v>
      </c>
      <c r="C8" s="262"/>
      <c r="D8" s="263" t="str">
        <f>エンティティ一覧!AE2&amp;"_"&amp;D5&amp;"_mt_shinryo_koi_fuka"</f>
        <v>azn_202310_backup_mt_shinryo_koi_fuka</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診療行為付加情報マスタ取込用テーブルから組入れ条件の第一条件で絞り込んだ結果を格納するテーブル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milscm_2023_010.azn_202310_backup_mt_shinryo_koi_fuka;</v>
      </c>
      <c r="O10" s="76"/>
      <c r="P10" s="76"/>
      <c r="Q10" s="76"/>
      <c r="R10" s="76"/>
      <c r="S10" s="76"/>
      <c r="T10" s="76"/>
      <c r="AJ10" s="76" t="str">
        <f>"ALTER TABLE ONLY "&amp;エンティティ一覧!$O$2&amp;"."&amp;D$8</f>
        <v>ALTER TABLE ONLY milscm_2023_010.azn_202310_backup_mt_shinryo_koi_fuka</v>
      </c>
      <c r="AS10" s="76" t="str">
        <f>"ALTER TABLE "&amp;エンティティ一覧!$O$2&amp;"."&amp;D$8&amp;" OWNER TO pgmisgrp1;"</f>
        <v>ALTER TABLE milscm_2023_010.azn_202310_backup_mt_shinryo_koi_fuka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milscm_2023_010.azn_202310_backup_mt_shinryo_koi_fuka</v>
      </c>
      <c r="O11" s="76"/>
      <c r="P11" s="76"/>
      <c r="Q11" s="76"/>
      <c r="R11" s="76"/>
      <c r="S11" s="76"/>
      <c r="T11" s="76"/>
      <c r="AJ11" s="76" t="str">
        <f>"ADD CONSTRAINT "&amp;D$8&amp;"_pkey PRIMARY KEY"</f>
        <v>ADD CONSTRAINT azn_202310_backup_mt_shinryo_koi_fuka_pkey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milscm_2023_010.azn_202310_backup_mt_shinryo_koi_fuka IS 'バックアップ_診療行為付加情報マスタ取込用';</v>
      </c>
    </row>
    <row r="13" spans="1:45" s="25" customFormat="1" ht="75">
      <c r="A13" s="4"/>
      <c r="B13" s="21">
        <f>ROW()-12</f>
        <v>1</v>
      </c>
      <c r="C13" s="6" t="s">
        <v>2118</v>
      </c>
      <c r="D13" s="6" t="s">
        <v>2045</v>
      </c>
      <c r="E13" s="8" t="s">
        <v>127</v>
      </c>
      <c r="F13" s="8" t="s">
        <v>1735</v>
      </c>
      <c r="G13" s="7" t="str">
        <f>IF(F13="フラグ","boolean",IF(F13="文字列","text",IF(F13="整数","integer",IF(F13="実数","numeric",""))))</f>
        <v>text</v>
      </c>
      <c r="H13" s="9"/>
      <c r="I13" s="10" t="s">
        <v>127</v>
      </c>
      <c r="J13" s="11" t="s">
        <v>1975</v>
      </c>
      <c r="M13" s="4"/>
      <c r="N13" s="76"/>
      <c r="O13" s="76"/>
      <c r="P13" s="76" t="str">
        <f>IF(B13&lt;&gt;1,","&amp;D13,D13)</f>
        <v>koshin_kubun</v>
      </c>
      <c r="Q13" s="76" t="str">
        <f t="shared" ref="Q13:Q163" si="0">UPPER(G13)</f>
        <v>TEXT</v>
      </c>
      <c r="R13" s="76" t="str">
        <f t="shared" ref="R13:R163" si="1">IF(H13&lt;&gt;"","default "&amp;IF(G13="text","'"&amp;H13&amp;"'",H13),"")</f>
        <v/>
      </c>
      <c r="S13" s="76" t="str">
        <f>IF(I13="○","NOT NULL","")</f>
        <v>NOT NULL</v>
      </c>
      <c r="T13" s="76" t="str">
        <f>"-- "&amp;C13</f>
        <v>-- 更新区分</v>
      </c>
      <c r="U13" s="4"/>
      <c r="AA13" s="4"/>
      <c r="AB13" s="4"/>
      <c r="AC13" s="4"/>
      <c r="AD13" s="4"/>
      <c r="AE13" s="4"/>
      <c r="AF13" s="4"/>
      <c r="AG13" s="4"/>
      <c r="AH13" s="4"/>
      <c r="AI13" s="4"/>
      <c r="AJ13" s="76" t="str">
        <f>IF(E13="○",IF(COUNTA(E$13:E13)=1,"",",")&amp;D13,"")</f>
        <v>koshin_kubun</v>
      </c>
      <c r="AK13" s="4"/>
      <c r="AL13" s="4"/>
      <c r="AM13" s="4"/>
      <c r="AN13" s="4"/>
      <c r="AO13" s="4"/>
      <c r="AP13" s="4"/>
      <c r="AQ13" s="4"/>
      <c r="AR13" s="4"/>
      <c r="AS13" s="76" t="str">
        <f>"COMMENT ON COLUMN "&amp;エンティティ一覧!$O$2&amp;"."&amp;D$8&amp;"."&amp;D13&amp;" IS '"&amp;C13&amp;"';"</f>
        <v>COMMENT ON COLUMN milscm_2023_010.azn_202310_backup_mt_shinryo_koi_fuka.koshin_kubun IS '更新区分';</v>
      </c>
    </row>
    <row r="14" spans="1:45" s="25" customFormat="1">
      <c r="A14" s="4"/>
      <c r="B14" s="21">
        <f t="shared" ref="B14:B162" si="2">ROW()-12</f>
        <v>2</v>
      </c>
      <c r="C14" s="6" t="s">
        <v>1942</v>
      </c>
      <c r="D14" s="6" t="s">
        <v>1943</v>
      </c>
      <c r="E14" s="8"/>
      <c r="F14" s="7" t="s">
        <v>1735</v>
      </c>
      <c r="G14" s="7" t="str">
        <f t="shared" ref="G14:G163" si="3">IF(F14="フラグ","boolean",IF(F14="文字列","text",IF(F14="整数","integer",IF(F14="実数","numeric",""))))</f>
        <v>text</v>
      </c>
      <c r="H14" s="26"/>
      <c r="I14" s="10" t="s">
        <v>127</v>
      </c>
      <c r="J14" s="11" t="s">
        <v>2392</v>
      </c>
      <c r="M14" s="4"/>
      <c r="N14" s="76"/>
      <c r="O14" s="76"/>
      <c r="P14" s="76" t="str">
        <f t="shared" ref="P14:P163" si="4">IF(B14&lt;&gt;1,","&amp;D14,D14)</f>
        <v>,master_type</v>
      </c>
      <c r="Q14" s="76" t="str">
        <f t="shared" si="0"/>
        <v>TEXT</v>
      </c>
      <c r="R14" s="76" t="str">
        <f t="shared" si="1"/>
        <v/>
      </c>
      <c r="S14" s="76" t="str">
        <f t="shared" ref="S14:S163" si="5">IF(I14="○","NOT NULL","")</f>
        <v>NOT NULL</v>
      </c>
      <c r="T14" s="76" t="str">
        <f t="shared" ref="T14:T163" si="6">"-- "&amp;C14</f>
        <v>-- マスター種別</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milscm_2023_010.azn_202310_backup_mt_shinryo_koi_fuka.master_type IS 'マスター種別';</v>
      </c>
    </row>
    <row r="15" spans="1:45" s="25" customFormat="1">
      <c r="A15" s="4"/>
      <c r="B15" s="21">
        <f t="shared" si="2"/>
        <v>3</v>
      </c>
      <c r="C15" s="6" t="s">
        <v>1123</v>
      </c>
      <c r="D15" s="6" t="s">
        <v>1124</v>
      </c>
      <c r="E15" s="8" t="s">
        <v>127</v>
      </c>
      <c r="F15" s="7" t="s">
        <v>1735</v>
      </c>
      <c r="G15" s="7" t="str">
        <f t="shared" si="3"/>
        <v>text</v>
      </c>
      <c r="H15" s="26"/>
      <c r="I15" s="10" t="s">
        <v>127</v>
      </c>
      <c r="J15" s="11"/>
      <c r="M15" s="4"/>
      <c r="N15" s="76"/>
      <c r="O15" s="76"/>
      <c r="P15" s="76" t="str">
        <f t="shared" si="4"/>
        <v>,shinryo_koi_code</v>
      </c>
      <c r="Q15" s="76" t="str">
        <f t="shared" si="0"/>
        <v>TEXT</v>
      </c>
      <c r="R15" s="76" t="str">
        <f t="shared" si="1"/>
        <v/>
      </c>
      <c r="S15" s="76" t="str">
        <f t="shared" si="5"/>
        <v>NOT NULL</v>
      </c>
      <c r="T15" s="76" t="str">
        <f t="shared" si="6"/>
        <v>-- 診療行為コード</v>
      </c>
      <c r="U15" s="4"/>
      <c r="AA15" s="4"/>
      <c r="AB15" s="4"/>
      <c r="AC15" s="4"/>
      <c r="AD15" s="4"/>
      <c r="AE15" s="4"/>
      <c r="AF15" s="4"/>
      <c r="AG15" s="4"/>
      <c r="AH15" s="4"/>
      <c r="AI15" s="4"/>
      <c r="AJ15" s="76" t="str">
        <f>IF(E15="○",IF(COUNTA(E$13:E15)=1,"",",")&amp;D15,"")</f>
        <v>,shinryo_koi_code</v>
      </c>
      <c r="AK15" s="4"/>
      <c r="AL15" s="4"/>
      <c r="AM15" s="4"/>
      <c r="AN15" s="4"/>
      <c r="AO15" s="4"/>
      <c r="AP15" s="4"/>
      <c r="AQ15" s="4"/>
      <c r="AR15" s="4"/>
      <c r="AS15" s="76" t="str">
        <f>"COMMENT ON COLUMN "&amp;エンティティ一覧!$O$2&amp;"."&amp;D$8&amp;"."&amp;D15&amp;" IS '"&amp;C15&amp;"';"</f>
        <v>COMMENT ON COLUMN milscm_2023_010.azn_202310_backup_mt_shinryo_koi_fuka.shinryo_koi_code IS '診療行為コード';</v>
      </c>
    </row>
    <row r="16" spans="1:45" s="25" customFormat="1" ht="31.5">
      <c r="A16" s="4"/>
      <c r="B16" s="21">
        <f t="shared" si="2"/>
        <v>4</v>
      </c>
      <c r="C16" s="6" t="s">
        <v>2119</v>
      </c>
      <c r="D16" s="6" t="s">
        <v>2120</v>
      </c>
      <c r="E16" s="8"/>
      <c r="F16" s="7" t="s">
        <v>1845</v>
      </c>
      <c r="G16" s="7" t="str">
        <f t="shared" si="3"/>
        <v>integer</v>
      </c>
      <c r="H16" s="26"/>
      <c r="I16" s="10"/>
      <c r="J16" s="11"/>
      <c r="M16" s="4"/>
      <c r="N16" s="76"/>
      <c r="O16" s="76"/>
      <c r="P16" s="76" t="str">
        <f t="shared" si="4"/>
        <v>,shinryo_koi_kanji_name_ketasu</v>
      </c>
      <c r="Q16" s="76" t="str">
        <f t="shared" si="0"/>
        <v>INTEGER</v>
      </c>
      <c r="R16" s="76" t="str">
        <f t="shared" si="1"/>
        <v/>
      </c>
      <c r="S16" s="76" t="str">
        <f t="shared" si="5"/>
        <v/>
      </c>
      <c r="T16" s="76" t="str">
        <f t="shared" si="6"/>
        <v>-- 診療行為省略漢字有効桁数</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milscm_2023_010.azn_202310_backup_mt_shinryo_koi_fuka.shinryo_koi_kanji_name_ketasu IS '診療行為省略漢字有効桁数';</v>
      </c>
    </row>
    <row r="17" spans="1:45" s="25" customFormat="1">
      <c r="A17" s="4"/>
      <c r="B17" s="21">
        <f t="shared" si="2"/>
        <v>5</v>
      </c>
      <c r="C17" s="6" t="s">
        <v>2121</v>
      </c>
      <c r="D17" s="6" t="s">
        <v>2122</v>
      </c>
      <c r="E17" s="8"/>
      <c r="F17" s="7" t="s">
        <v>1735</v>
      </c>
      <c r="G17" s="7" t="str">
        <f t="shared" si="3"/>
        <v>text</v>
      </c>
      <c r="H17" s="26"/>
      <c r="I17" s="10"/>
      <c r="J17" s="11"/>
      <c r="M17" s="4"/>
      <c r="N17" s="76"/>
      <c r="O17" s="76"/>
      <c r="P17" s="76" t="str">
        <f t="shared" si="4"/>
        <v>,shinryo_koi_kanji_name</v>
      </c>
      <c r="Q17" s="76" t="str">
        <f t="shared" si="0"/>
        <v>TEXT</v>
      </c>
      <c r="R17" s="76" t="str">
        <f t="shared" si="1"/>
        <v/>
      </c>
      <c r="S17" s="76" t="str">
        <f t="shared" si="5"/>
        <v/>
      </c>
      <c r="T17" s="76" t="str">
        <f t="shared" si="6"/>
        <v>-- 診療行為省略漢字名称</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milscm_2023_010.azn_202310_backup_mt_shinryo_koi_fuka.shinryo_koi_kanji_name IS '診療行為省略漢字名称';</v>
      </c>
    </row>
    <row r="18" spans="1:45" s="25" customFormat="1" ht="31.5">
      <c r="A18" s="4"/>
      <c r="B18" s="21">
        <f t="shared" si="2"/>
        <v>6</v>
      </c>
      <c r="C18" s="6" t="s">
        <v>2123</v>
      </c>
      <c r="D18" s="6" t="s">
        <v>2124</v>
      </c>
      <c r="E18" s="8"/>
      <c r="F18" s="7" t="s">
        <v>1845</v>
      </c>
      <c r="G18" s="7" t="str">
        <f t="shared" ref="G18:G81" si="7">IF(F18="フラグ","boolean",IF(F18="文字列","text",IF(F18="整数","integer",IF(F18="実数","numeric",""))))</f>
        <v>integer</v>
      </c>
      <c r="H18" s="26"/>
      <c r="I18" s="10"/>
      <c r="J18" s="11"/>
      <c r="M18" s="4"/>
      <c r="N18" s="76"/>
      <c r="O18" s="76"/>
      <c r="P18" s="76" t="str">
        <f t="shared" ref="P18:P81" si="8">IF(B18&lt;&gt;1,","&amp;D18,D18)</f>
        <v>,shinryo_koi_kana_name_ketasu</v>
      </c>
      <c r="Q18" s="76" t="str">
        <f t="shared" ref="Q18:Q81" si="9">UPPER(G18)</f>
        <v>INTEGER</v>
      </c>
      <c r="R18" s="76" t="str">
        <f t="shared" ref="R18:R81" si="10">IF(H18&lt;&gt;"","default "&amp;IF(G18="text","'"&amp;H18&amp;"'",H18),"")</f>
        <v/>
      </c>
      <c r="S18" s="76" t="str">
        <f t="shared" ref="S18:S81" si="11">IF(I18="○","NOT NULL","")</f>
        <v/>
      </c>
      <c r="T18" s="76" t="str">
        <f t="shared" ref="T18:T81" si="12">"-- "&amp;C18</f>
        <v>-- 診療行為省略カナ有効桁数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milscm_2023_010.azn_202310_backup_mt_shinryo_koi_fuka.shinryo_koi_kana_name_ketasu IS '診療行為省略カナ有効桁数';</v>
      </c>
    </row>
    <row r="19" spans="1:45" s="25" customFormat="1">
      <c r="A19" s="4"/>
      <c r="B19" s="21">
        <f t="shared" si="2"/>
        <v>7</v>
      </c>
      <c r="C19" s="6" t="s">
        <v>2125</v>
      </c>
      <c r="D19" s="6" t="s">
        <v>2126</v>
      </c>
      <c r="E19" s="8"/>
      <c r="F19" s="7" t="s">
        <v>1735</v>
      </c>
      <c r="G19" s="7" t="str">
        <f t="shared" si="7"/>
        <v>text</v>
      </c>
      <c r="H19" s="26"/>
      <c r="I19" s="10"/>
      <c r="J19" s="11"/>
      <c r="M19" s="4"/>
      <c r="N19" s="76"/>
      <c r="O19" s="76"/>
      <c r="P19" s="76" t="str">
        <f t="shared" si="8"/>
        <v>,shinryo_koi_kana_name</v>
      </c>
      <c r="Q19" s="76" t="str">
        <f t="shared" si="9"/>
        <v>TEXT</v>
      </c>
      <c r="R19" s="76" t="str">
        <f t="shared" si="10"/>
        <v/>
      </c>
      <c r="S19" s="76" t="str">
        <f t="shared" si="11"/>
        <v/>
      </c>
      <c r="T19" s="76" t="str">
        <f t="shared" si="12"/>
        <v>-- 診療行為省略カナ名称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milscm_2023_010.azn_202310_backup_mt_shinryo_koi_fuka.shinryo_koi_kana_name IS '診療行為省略カナ名称';</v>
      </c>
    </row>
    <row r="20" spans="1:45" s="25" customFormat="1">
      <c r="A20" s="4"/>
      <c r="B20" s="21">
        <f t="shared" si="2"/>
        <v>8</v>
      </c>
      <c r="C20" s="6" t="s">
        <v>2127</v>
      </c>
      <c r="D20" s="6" t="s">
        <v>2128</v>
      </c>
      <c r="E20" s="8"/>
      <c r="F20" s="7" t="s">
        <v>1735</v>
      </c>
      <c r="G20" s="7" t="str">
        <f t="shared" si="7"/>
        <v>text</v>
      </c>
      <c r="H20" s="26"/>
      <c r="I20" s="10"/>
      <c r="J20" s="11"/>
      <c r="M20" s="4"/>
      <c r="N20" s="76"/>
      <c r="O20" s="76"/>
      <c r="P20" s="76" t="str">
        <f t="shared" si="8"/>
        <v>,data_standard_code</v>
      </c>
      <c r="Q20" s="76" t="str">
        <f t="shared" si="9"/>
        <v>TEXT</v>
      </c>
      <c r="R20" s="76" t="str">
        <f t="shared" si="10"/>
        <v/>
      </c>
      <c r="S20" s="76" t="str">
        <f t="shared" si="11"/>
        <v/>
      </c>
      <c r="T20" s="76" t="str">
        <f t="shared" si="12"/>
        <v>-- データ規格コード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milscm_2023_010.azn_202310_backup_mt_shinryo_koi_fuka.data_standard_code IS 'データ規格コード';</v>
      </c>
    </row>
    <row r="21" spans="1:45" s="25" customFormat="1">
      <c r="A21" s="4"/>
      <c r="B21" s="21">
        <f t="shared" si="2"/>
        <v>9</v>
      </c>
      <c r="C21" s="6" t="s">
        <v>2129</v>
      </c>
      <c r="D21" s="6" t="s">
        <v>2130</v>
      </c>
      <c r="E21" s="8"/>
      <c r="F21" s="7" t="s">
        <v>1845</v>
      </c>
      <c r="G21" s="7" t="str">
        <f t="shared" si="7"/>
        <v>integer</v>
      </c>
      <c r="H21" s="26"/>
      <c r="I21" s="10"/>
      <c r="J21" s="11"/>
      <c r="M21" s="4"/>
      <c r="N21" s="76"/>
      <c r="O21" s="76"/>
      <c r="P21" s="76" t="str">
        <f t="shared" si="8"/>
        <v>,data_standard_ketasu</v>
      </c>
      <c r="Q21" s="76" t="str">
        <f t="shared" si="9"/>
        <v>INTEGER</v>
      </c>
      <c r="R21" s="76" t="str">
        <f t="shared" si="10"/>
        <v/>
      </c>
      <c r="S21" s="76" t="str">
        <f t="shared" si="11"/>
        <v/>
      </c>
      <c r="T21" s="76" t="str">
        <f t="shared" si="12"/>
        <v>-- データ規格漢字有効桁数</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milscm_2023_010.azn_202310_backup_mt_shinryo_koi_fuka.data_standard_ketasu IS 'データ規格漢字有効桁数';</v>
      </c>
    </row>
    <row r="22" spans="1:45" s="25" customFormat="1">
      <c r="A22" s="4"/>
      <c r="B22" s="21">
        <f t="shared" si="2"/>
        <v>10</v>
      </c>
      <c r="C22" s="6" t="s">
        <v>2131</v>
      </c>
      <c r="D22" s="6" t="s">
        <v>2132</v>
      </c>
      <c r="E22" s="8"/>
      <c r="F22" s="7" t="s">
        <v>1735</v>
      </c>
      <c r="G22" s="7" t="str">
        <f t="shared" si="7"/>
        <v>text</v>
      </c>
      <c r="H22" s="26"/>
      <c r="I22" s="10"/>
      <c r="J22" s="11"/>
      <c r="M22" s="4"/>
      <c r="N22" s="76"/>
      <c r="O22" s="76"/>
      <c r="P22" s="76" t="str">
        <f t="shared" si="8"/>
        <v>,data_standard_name</v>
      </c>
      <c r="Q22" s="76" t="str">
        <f t="shared" si="9"/>
        <v>TEXT</v>
      </c>
      <c r="R22" s="76" t="str">
        <f t="shared" si="10"/>
        <v/>
      </c>
      <c r="S22" s="76" t="str">
        <f t="shared" si="11"/>
        <v/>
      </c>
      <c r="T22" s="76" t="str">
        <f t="shared" si="12"/>
        <v>-- データ規格漢字名称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milscm_2023_010.azn_202310_backup_mt_shinryo_koi_fuka.data_standard_name IS 'データ規格漢字名称';</v>
      </c>
    </row>
    <row r="23" spans="1:45" s="25" customFormat="1">
      <c r="A23" s="4"/>
      <c r="B23" s="21">
        <f t="shared" si="2"/>
        <v>11</v>
      </c>
      <c r="C23" s="6" t="s">
        <v>2133</v>
      </c>
      <c r="D23" s="6" t="s">
        <v>2134</v>
      </c>
      <c r="E23" s="8"/>
      <c r="F23" s="7" t="s">
        <v>1845</v>
      </c>
      <c r="G23" s="7" t="str">
        <f t="shared" si="7"/>
        <v>integer</v>
      </c>
      <c r="H23" s="26"/>
      <c r="I23" s="10"/>
      <c r="J23" s="11"/>
      <c r="M23" s="4"/>
      <c r="N23" s="76"/>
      <c r="O23" s="76"/>
      <c r="P23" s="76" t="str">
        <f t="shared" si="8"/>
        <v>,gen_tensu_shikibetsu</v>
      </c>
      <c r="Q23" s="76" t="str">
        <f t="shared" si="9"/>
        <v>INTEGER</v>
      </c>
      <c r="R23" s="76" t="str">
        <f t="shared" si="10"/>
        <v/>
      </c>
      <c r="S23" s="76" t="str">
        <f t="shared" si="11"/>
        <v/>
      </c>
      <c r="T23" s="76" t="str">
        <f t="shared" si="12"/>
        <v>-- 新又は現点数識別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milscm_2023_010.azn_202310_backup_mt_shinryo_koi_fuka.gen_tensu_shikibetsu IS '新又は現点数識別';</v>
      </c>
    </row>
    <row r="24" spans="1:45" s="25" customFormat="1" ht="37.5">
      <c r="A24" s="4"/>
      <c r="B24" s="21">
        <f t="shared" si="2"/>
        <v>12</v>
      </c>
      <c r="C24" s="6" t="s">
        <v>2135</v>
      </c>
      <c r="D24" s="6" t="s">
        <v>2136</v>
      </c>
      <c r="E24" s="8"/>
      <c r="F24" s="7" t="s">
        <v>1742</v>
      </c>
      <c r="G24" s="7" t="str">
        <f t="shared" si="7"/>
        <v>numeric</v>
      </c>
      <c r="H24" s="26"/>
      <c r="I24" s="10"/>
      <c r="J24" s="11" t="s">
        <v>2393</v>
      </c>
      <c r="M24" s="4"/>
      <c r="N24" s="76"/>
      <c r="O24" s="76"/>
      <c r="P24" s="76" t="str">
        <f t="shared" si="8"/>
        <v>,gen_tensu</v>
      </c>
      <c r="Q24" s="76" t="str">
        <f t="shared" si="9"/>
        <v>NUMERIC</v>
      </c>
      <c r="R24" s="76" t="str">
        <f t="shared" si="10"/>
        <v/>
      </c>
      <c r="S24" s="76" t="str">
        <f t="shared" si="11"/>
        <v/>
      </c>
      <c r="T24" s="76" t="str">
        <f t="shared" si="12"/>
        <v>-- 新又は現点数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milscm_2023_010.azn_202310_backup_mt_shinryo_koi_fuka.gen_tensu IS '新又は現点数';</v>
      </c>
    </row>
    <row r="25" spans="1:45" s="25" customFormat="1">
      <c r="A25" s="4"/>
      <c r="B25" s="21">
        <f t="shared" si="2"/>
        <v>13</v>
      </c>
      <c r="C25" s="6" t="s">
        <v>2137</v>
      </c>
      <c r="D25" s="6" t="s">
        <v>2138</v>
      </c>
      <c r="E25" s="8"/>
      <c r="F25" s="7" t="s">
        <v>1735</v>
      </c>
      <c r="G25" s="7" t="str">
        <f t="shared" si="7"/>
        <v>text</v>
      </c>
      <c r="H25" s="26"/>
      <c r="I25" s="10"/>
      <c r="J25" s="11"/>
      <c r="M25" s="4"/>
      <c r="N25" s="76"/>
      <c r="O25" s="76"/>
      <c r="P25" s="76" t="str">
        <f t="shared" si="8"/>
        <v>,nyugai_tekiyo_kubun</v>
      </c>
      <c r="Q25" s="76" t="str">
        <f t="shared" si="9"/>
        <v>TEXT</v>
      </c>
      <c r="R25" s="76" t="str">
        <f t="shared" si="10"/>
        <v/>
      </c>
      <c r="S25" s="76" t="str">
        <f t="shared" si="11"/>
        <v/>
      </c>
      <c r="T25" s="76" t="str">
        <f t="shared" si="12"/>
        <v>-- 入外適用区分</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milscm_2023_010.azn_202310_backup_mt_shinryo_koi_fuka.nyugai_tekiyo_kubun IS '入外適用区分';</v>
      </c>
    </row>
    <row r="26" spans="1:45" s="25" customFormat="1">
      <c r="A26" s="4"/>
      <c r="B26" s="21">
        <f t="shared" si="2"/>
        <v>14</v>
      </c>
      <c r="C26" s="6" t="s">
        <v>2139</v>
      </c>
      <c r="D26" s="6" t="s">
        <v>2140</v>
      </c>
      <c r="E26" s="8"/>
      <c r="F26" s="7" t="s">
        <v>1735</v>
      </c>
      <c r="G26" s="7" t="str">
        <f t="shared" si="7"/>
        <v>text</v>
      </c>
      <c r="H26" s="26"/>
      <c r="I26" s="10"/>
      <c r="J26" s="11"/>
      <c r="M26" s="4"/>
      <c r="N26" s="76"/>
      <c r="O26" s="76"/>
      <c r="P26" s="76" t="str">
        <f t="shared" si="8"/>
        <v>,aged_tekiyo_kubun</v>
      </c>
      <c r="Q26" s="76" t="str">
        <f t="shared" si="9"/>
        <v>TEXT</v>
      </c>
      <c r="R26" s="76" t="str">
        <f t="shared" si="10"/>
        <v/>
      </c>
      <c r="S26" s="76" t="str">
        <f t="shared" si="11"/>
        <v/>
      </c>
      <c r="T26" s="76" t="str">
        <f t="shared" si="12"/>
        <v>-- 後期高齢者医療適用区分</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milscm_2023_010.azn_202310_backup_mt_shinryo_koi_fuka.aged_tekiyo_kubun IS '後期高齢者医療適用区分';</v>
      </c>
    </row>
    <row r="27" spans="1:45" s="25" customFormat="1" ht="31.5">
      <c r="A27" s="4"/>
      <c r="B27" s="21">
        <f t="shared" si="2"/>
        <v>15</v>
      </c>
      <c r="C27" s="6" t="s">
        <v>2141</v>
      </c>
      <c r="D27" s="6" t="s">
        <v>2142</v>
      </c>
      <c r="E27" s="8"/>
      <c r="F27" s="7" t="s">
        <v>1735</v>
      </c>
      <c r="G27" s="7" t="str">
        <f t="shared" si="7"/>
        <v>text</v>
      </c>
      <c r="H27" s="26"/>
      <c r="I27" s="10"/>
      <c r="J27" s="11"/>
      <c r="M27" s="4"/>
      <c r="N27" s="76"/>
      <c r="O27" s="76"/>
      <c r="P27" s="76" t="str">
        <f t="shared" si="8"/>
        <v>,tensuran_shikibetsu_nyuingai</v>
      </c>
      <c r="Q27" s="76" t="str">
        <f t="shared" si="9"/>
        <v>TEXT</v>
      </c>
      <c r="R27" s="76" t="str">
        <f t="shared" si="10"/>
        <v/>
      </c>
      <c r="S27" s="76" t="str">
        <f t="shared" si="11"/>
        <v/>
      </c>
      <c r="T27" s="76" t="str">
        <f t="shared" si="12"/>
        <v>-- 点数欄集計先識別（入院外）</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milscm_2023_010.azn_202310_backup_mt_shinryo_koi_fuka.tensuran_shikibetsu_nyuingai IS '点数欄集計先識別（入院外）';</v>
      </c>
    </row>
    <row r="28" spans="1:45" s="25" customFormat="1">
      <c r="A28" s="4"/>
      <c r="B28" s="21">
        <f t="shared" si="2"/>
        <v>16</v>
      </c>
      <c r="C28" s="6" t="s">
        <v>2143</v>
      </c>
      <c r="D28" s="6" t="s">
        <v>2144</v>
      </c>
      <c r="E28" s="8"/>
      <c r="F28" s="7" t="s">
        <v>1735</v>
      </c>
      <c r="G28" s="7" t="str">
        <f t="shared" si="7"/>
        <v>text</v>
      </c>
      <c r="H28" s="26"/>
      <c r="I28" s="10"/>
      <c r="J28" s="11"/>
      <c r="M28" s="4"/>
      <c r="N28" s="76"/>
      <c r="O28" s="76"/>
      <c r="P28" s="76" t="str">
        <f t="shared" si="8"/>
        <v>,hokatsu_kensa</v>
      </c>
      <c r="Q28" s="76" t="str">
        <f t="shared" si="9"/>
        <v>TEXT</v>
      </c>
      <c r="R28" s="76" t="str">
        <f t="shared" si="10"/>
        <v/>
      </c>
      <c r="S28" s="76" t="str">
        <f t="shared" si="11"/>
        <v/>
      </c>
      <c r="T28" s="76" t="str">
        <f t="shared" si="12"/>
        <v>-- 包括対象検査</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milscm_2023_010.azn_202310_backup_mt_shinryo_koi_fuka.hokatsu_kensa IS '包括対象検査';</v>
      </c>
    </row>
    <row r="29" spans="1:45" s="25" customFormat="1">
      <c r="A29" s="4"/>
      <c r="B29" s="21">
        <f t="shared" si="2"/>
        <v>17</v>
      </c>
      <c r="C29" s="6" t="s">
        <v>1946</v>
      </c>
      <c r="D29" s="6" t="s">
        <v>921</v>
      </c>
      <c r="E29" s="8"/>
      <c r="F29" s="7" t="s">
        <v>1735</v>
      </c>
      <c r="G29" s="7" t="str">
        <f t="shared" si="7"/>
        <v>text</v>
      </c>
      <c r="H29" s="26"/>
      <c r="I29" s="10"/>
      <c r="J29" s="11" t="s">
        <v>2394</v>
      </c>
      <c r="M29" s="4"/>
      <c r="N29" s="76"/>
      <c r="O29" s="76"/>
      <c r="P29" s="76" t="str">
        <f t="shared" si="8"/>
        <v>,reserve1</v>
      </c>
      <c r="Q29" s="76" t="str">
        <f t="shared" si="9"/>
        <v>TEXT</v>
      </c>
      <c r="R29" s="76" t="str">
        <f t="shared" si="10"/>
        <v/>
      </c>
      <c r="S29" s="76" t="str">
        <f t="shared" si="11"/>
        <v/>
      </c>
      <c r="T29" s="76" t="str">
        <f t="shared" si="12"/>
        <v>-- 予備1</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milscm_2023_010.azn_202310_backup_mt_shinryo_koi_fuka.reserve1 IS '予備1';</v>
      </c>
    </row>
    <row r="30" spans="1:45" s="25" customFormat="1">
      <c r="A30" s="4"/>
      <c r="B30" s="21">
        <f t="shared" si="2"/>
        <v>18</v>
      </c>
      <c r="C30" s="6" t="s">
        <v>2145</v>
      </c>
      <c r="D30" s="6" t="s">
        <v>2146</v>
      </c>
      <c r="E30" s="8"/>
      <c r="F30" s="7" t="s">
        <v>1735</v>
      </c>
      <c r="G30" s="7" t="str">
        <f t="shared" si="7"/>
        <v>text</v>
      </c>
      <c r="H30" s="26"/>
      <c r="I30" s="10"/>
      <c r="J30" s="11"/>
      <c r="M30" s="4"/>
      <c r="N30" s="76"/>
      <c r="O30" s="76"/>
      <c r="P30" s="76" t="str">
        <f t="shared" si="8"/>
        <v>,dpc_tekiyo_kubun</v>
      </c>
      <c r="Q30" s="76" t="str">
        <f t="shared" si="9"/>
        <v>TEXT</v>
      </c>
      <c r="R30" s="76" t="str">
        <f t="shared" si="10"/>
        <v/>
      </c>
      <c r="S30" s="76" t="str">
        <f t="shared" si="11"/>
        <v/>
      </c>
      <c r="T30" s="76" t="str">
        <f t="shared" si="12"/>
        <v>-- DPC適用区分</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milscm_2023_010.azn_202310_backup_mt_shinryo_koi_fuka.dpc_tekiyo_kubun IS 'DPC適用区分';</v>
      </c>
    </row>
    <row r="31" spans="1:45" s="25" customFormat="1">
      <c r="A31" s="4"/>
      <c r="B31" s="21">
        <f t="shared" si="2"/>
        <v>19</v>
      </c>
      <c r="C31" s="6" t="s">
        <v>2147</v>
      </c>
      <c r="D31" s="6" t="s">
        <v>2148</v>
      </c>
      <c r="E31" s="8"/>
      <c r="F31" s="7" t="s">
        <v>1735</v>
      </c>
      <c r="G31" s="7" t="str">
        <f t="shared" si="7"/>
        <v>text</v>
      </c>
      <c r="H31" s="26"/>
      <c r="I31" s="10"/>
      <c r="J31" s="11"/>
      <c r="M31" s="4"/>
      <c r="N31" s="76"/>
      <c r="O31" s="76"/>
      <c r="P31" s="76" t="str">
        <f t="shared" si="8"/>
        <v>,clinic_kubun</v>
      </c>
      <c r="Q31" s="76" t="str">
        <f t="shared" si="9"/>
        <v>TEXT</v>
      </c>
      <c r="R31" s="76" t="str">
        <f t="shared" si="10"/>
        <v/>
      </c>
      <c r="S31" s="76" t="str">
        <f t="shared" si="11"/>
        <v/>
      </c>
      <c r="T31" s="76" t="str">
        <f t="shared" si="12"/>
        <v>-- 病院・診療所区分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milscm_2023_010.azn_202310_backup_mt_shinryo_koi_fuka.clinic_kubun IS '病院・診療所区分';</v>
      </c>
    </row>
    <row r="32" spans="1:45" s="25" customFormat="1">
      <c r="A32" s="4"/>
      <c r="B32" s="21">
        <f t="shared" si="2"/>
        <v>20</v>
      </c>
      <c r="C32" s="6" t="s">
        <v>2149</v>
      </c>
      <c r="D32" s="6" t="s">
        <v>2150</v>
      </c>
      <c r="E32" s="8"/>
      <c r="F32" s="7" t="s">
        <v>1735</v>
      </c>
      <c r="G32" s="7" t="str">
        <f t="shared" si="7"/>
        <v>text</v>
      </c>
      <c r="H32" s="26"/>
      <c r="I32" s="10"/>
      <c r="J32" s="11"/>
      <c r="M32" s="4"/>
      <c r="N32" s="76"/>
      <c r="O32" s="76"/>
      <c r="P32" s="76" t="str">
        <f t="shared" si="8"/>
        <v>,shujutsu_kasan_kubun</v>
      </c>
      <c r="Q32" s="76" t="str">
        <f t="shared" si="9"/>
        <v>TEXT</v>
      </c>
      <c r="R32" s="76" t="str">
        <f t="shared" si="10"/>
        <v/>
      </c>
      <c r="S32" s="76" t="str">
        <f t="shared" si="11"/>
        <v/>
      </c>
      <c r="T32" s="76" t="str">
        <f t="shared" si="12"/>
        <v>-- 画像等手術支援加算区分</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milscm_2023_010.azn_202310_backup_mt_shinryo_koi_fuka.shujutsu_kasan_kubun IS '画像等手術支援加算区分';</v>
      </c>
    </row>
    <row r="33" spans="1:45" s="25" customFormat="1">
      <c r="A33" s="4"/>
      <c r="B33" s="21">
        <f t="shared" si="2"/>
        <v>21</v>
      </c>
      <c r="C33" s="6" t="s">
        <v>2151</v>
      </c>
      <c r="D33" s="6" t="s">
        <v>2152</v>
      </c>
      <c r="E33" s="8"/>
      <c r="F33" s="7" t="s">
        <v>1735</v>
      </c>
      <c r="G33" s="7" t="str">
        <f t="shared" si="7"/>
        <v>text</v>
      </c>
      <c r="H33" s="26"/>
      <c r="I33" s="10"/>
      <c r="J33" s="11"/>
      <c r="M33" s="4"/>
      <c r="N33" s="76"/>
      <c r="O33" s="76"/>
      <c r="P33" s="76" t="str">
        <f t="shared" si="8"/>
        <v>,iryo_kansatsu_kubun</v>
      </c>
      <c r="Q33" s="76" t="str">
        <f t="shared" si="9"/>
        <v>TEXT</v>
      </c>
      <c r="R33" s="76" t="str">
        <f t="shared" si="10"/>
        <v/>
      </c>
      <c r="S33" s="76" t="str">
        <f t="shared" si="11"/>
        <v/>
      </c>
      <c r="T33" s="76" t="str">
        <f t="shared" si="12"/>
        <v>-- 医療観察法対象区分</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milscm_2023_010.azn_202310_backup_mt_shinryo_koi_fuka.iryo_kansatsu_kubun IS '医療観察法対象区分';</v>
      </c>
    </row>
    <row r="34" spans="1:45" s="25" customFormat="1">
      <c r="A34" s="4"/>
      <c r="B34" s="21">
        <f t="shared" si="2"/>
        <v>22</v>
      </c>
      <c r="C34" s="6" t="s">
        <v>2153</v>
      </c>
      <c r="D34" s="6" t="s">
        <v>2154</v>
      </c>
      <c r="E34" s="8"/>
      <c r="F34" s="7" t="s">
        <v>1735</v>
      </c>
      <c r="G34" s="7" t="str">
        <f t="shared" si="7"/>
        <v>text</v>
      </c>
      <c r="H34" s="26"/>
      <c r="I34" s="10"/>
      <c r="J34" s="11"/>
      <c r="M34" s="4"/>
      <c r="N34" s="76"/>
      <c r="O34" s="76"/>
      <c r="P34" s="76" t="str">
        <f t="shared" si="8"/>
        <v>,kango_kasan</v>
      </c>
      <c r="Q34" s="76" t="str">
        <f t="shared" si="9"/>
        <v>TEXT</v>
      </c>
      <c r="R34" s="76" t="str">
        <f t="shared" si="10"/>
        <v/>
      </c>
      <c r="S34" s="76" t="str">
        <f t="shared" si="11"/>
        <v/>
      </c>
      <c r="T34" s="76" t="str">
        <f t="shared" si="12"/>
        <v>-- 看護加算</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milscm_2023_010.azn_202310_backup_mt_shinryo_koi_fuka.kango_kasan IS '看護加算';</v>
      </c>
    </row>
    <row r="35" spans="1:45" s="25" customFormat="1">
      <c r="A35" s="4"/>
      <c r="B35" s="21">
        <f t="shared" si="2"/>
        <v>23</v>
      </c>
      <c r="C35" s="6" t="s">
        <v>2155</v>
      </c>
      <c r="D35" s="6" t="s">
        <v>2156</v>
      </c>
      <c r="E35" s="8"/>
      <c r="F35" s="7" t="s">
        <v>1735</v>
      </c>
      <c r="G35" s="7" t="str">
        <f t="shared" si="7"/>
        <v>text</v>
      </c>
      <c r="H35" s="26"/>
      <c r="I35" s="10"/>
      <c r="J35" s="11"/>
      <c r="M35" s="4"/>
      <c r="N35" s="76"/>
      <c r="O35" s="76"/>
      <c r="P35" s="76" t="str">
        <f t="shared" si="8"/>
        <v>,masui_shujutsu_kubun</v>
      </c>
      <c r="Q35" s="76" t="str">
        <f t="shared" si="9"/>
        <v>TEXT</v>
      </c>
      <c r="R35" s="76" t="str">
        <f t="shared" si="10"/>
        <v/>
      </c>
      <c r="S35" s="76" t="str">
        <f t="shared" si="11"/>
        <v/>
      </c>
      <c r="T35" s="76" t="str">
        <f t="shared" si="12"/>
        <v>-- 麻酔識別区分</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milscm_2023_010.azn_202310_backup_mt_shinryo_koi_fuka.masui_shujutsu_kubun IS '麻酔識別区分';</v>
      </c>
    </row>
    <row r="36" spans="1:45" s="25" customFormat="1">
      <c r="A36" s="4"/>
      <c r="B36" s="21">
        <f t="shared" si="2"/>
        <v>24</v>
      </c>
      <c r="C36" s="6" t="s">
        <v>1947</v>
      </c>
      <c r="D36" s="6" t="s">
        <v>972</v>
      </c>
      <c r="E36" s="8"/>
      <c r="F36" s="7" t="s">
        <v>1735</v>
      </c>
      <c r="G36" s="7" t="str">
        <f t="shared" si="7"/>
        <v>text</v>
      </c>
      <c r="H36" s="26"/>
      <c r="I36" s="10"/>
      <c r="J36" s="11"/>
      <c r="M36" s="4"/>
      <c r="N36" s="76"/>
      <c r="O36" s="76"/>
      <c r="P36" s="76" t="str">
        <f t="shared" si="8"/>
        <v>,reserve2</v>
      </c>
      <c r="Q36" s="76" t="str">
        <f t="shared" si="9"/>
        <v>TEXT</v>
      </c>
      <c r="R36" s="76" t="str">
        <f t="shared" si="10"/>
        <v/>
      </c>
      <c r="S36" s="76" t="str">
        <f t="shared" si="11"/>
        <v/>
      </c>
      <c r="T36" s="76" t="str">
        <f t="shared" si="12"/>
        <v>-- 予備2</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milscm_2023_010.azn_202310_backup_mt_shinryo_koi_fuka.reserve2 IS '予備2';</v>
      </c>
    </row>
    <row r="37" spans="1:45" s="25" customFormat="1">
      <c r="A37" s="4"/>
      <c r="B37" s="21">
        <f t="shared" si="2"/>
        <v>25</v>
      </c>
      <c r="C37" s="6" t="s">
        <v>2157</v>
      </c>
      <c r="D37" s="6" t="s">
        <v>2158</v>
      </c>
      <c r="E37" s="8"/>
      <c r="F37" s="7" t="s">
        <v>1735</v>
      </c>
      <c r="G37" s="7" t="str">
        <f t="shared" si="7"/>
        <v>text</v>
      </c>
      <c r="H37" s="26"/>
      <c r="I37" s="10"/>
      <c r="J37" s="11"/>
      <c r="M37" s="4"/>
      <c r="N37" s="76"/>
      <c r="O37" s="76"/>
      <c r="P37" s="76" t="str">
        <f t="shared" si="8"/>
        <v>,shobyo_kanren_kubun</v>
      </c>
      <c r="Q37" s="76" t="str">
        <f t="shared" si="9"/>
        <v>TEXT</v>
      </c>
      <c r="R37" s="76" t="str">
        <f t="shared" si="10"/>
        <v/>
      </c>
      <c r="S37" s="76" t="str">
        <f t="shared" si="11"/>
        <v/>
      </c>
      <c r="T37" s="76" t="str">
        <f t="shared" si="12"/>
        <v>-- 傷病名関連区分</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milscm_2023_010.azn_202310_backup_mt_shinryo_koi_fuka.shobyo_kanren_kubun IS '傷病名関連区分';</v>
      </c>
    </row>
    <row r="38" spans="1:45" s="25" customFormat="1">
      <c r="A38" s="4"/>
      <c r="B38" s="21">
        <f t="shared" si="2"/>
        <v>26</v>
      </c>
      <c r="C38" s="6" t="s">
        <v>1953</v>
      </c>
      <c r="D38" s="6" t="s">
        <v>974</v>
      </c>
      <c r="E38" s="8"/>
      <c r="F38" s="7" t="s">
        <v>1735</v>
      </c>
      <c r="G38" s="7" t="str">
        <f t="shared" si="7"/>
        <v>text</v>
      </c>
      <c r="H38" s="26"/>
      <c r="I38" s="10"/>
      <c r="J38" s="11"/>
      <c r="M38" s="4"/>
      <c r="N38" s="76"/>
      <c r="O38" s="76"/>
      <c r="P38" s="76" t="str">
        <f t="shared" si="8"/>
        <v>,reserve3</v>
      </c>
      <c r="Q38" s="76" t="str">
        <f t="shared" si="9"/>
        <v>TEXT</v>
      </c>
      <c r="R38" s="76" t="str">
        <f t="shared" si="10"/>
        <v/>
      </c>
      <c r="S38" s="76" t="str">
        <f t="shared" si="11"/>
        <v/>
      </c>
      <c r="T38" s="76" t="str">
        <f t="shared" si="12"/>
        <v>-- 予備3</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milscm_2023_010.azn_202310_backup_mt_shinryo_koi_fuka.reserve3 IS '予備3';</v>
      </c>
    </row>
    <row r="39" spans="1:45" s="25" customFormat="1">
      <c r="A39" s="4"/>
      <c r="B39" s="21">
        <f t="shared" si="2"/>
        <v>27</v>
      </c>
      <c r="C39" s="6" t="s">
        <v>2159</v>
      </c>
      <c r="D39" s="6" t="s">
        <v>2160</v>
      </c>
      <c r="E39" s="8"/>
      <c r="F39" s="7" t="s">
        <v>1845</v>
      </c>
      <c r="G39" s="7" t="str">
        <f t="shared" si="7"/>
        <v>integer</v>
      </c>
      <c r="H39" s="26"/>
      <c r="I39" s="10"/>
      <c r="J39" s="11"/>
      <c r="M39" s="4"/>
      <c r="N39" s="76"/>
      <c r="O39" s="76"/>
      <c r="P39" s="76" t="str">
        <f t="shared" si="8"/>
        <v>,jitsu_days</v>
      </c>
      <c r="Q39" s="76" t="str">
        <f t="shared" si="9"/>
        <v>INTEGER</v>
      </c>
      <c r="R39" s="76" t="str">
        <f t="shared" si="10"/>
        <v/>
      </c>
      <c r="S39" s="76" t="str">
        <f t="shared" si="11"/>
        <v/>
      </c>
      <c r="T39" s="76" t="str">
        <f t="shared" si="12"/>
        <v>-- 実日数</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milscm_2023_010.azn_202310_backup_mt_shinryo_koi_fuka.jitsu_days IS '実日数';</v>
      </c>
    </row>
    <row r="40" spans="1:45" s="25" customFormat="1">
      <c r="A40" s="4"/>
      <c r="B40" s="21">
        <f t="shared" si="2"/>
        <v>28</v>
      </c>
      <c r="C40" s="6" t="s">
        <v>2161</v>
      </c>
      <c r="D40" s="6" t="s">
        <v>2162</v>
      </c>
      <c r="E40" s="8"/>
      <c r="F40" s="7" t="s">
        <v>1845</v>
      </c>
      <c r="G40" s="7" t="str">
        <f t="shared" si="7"/>
        <v>integer</v>
      </c>
      <c r="H40" s="26"/>
      <c r="I40" s="10"/>
      <c r="J40" s="11"/>
      <c r="M40" s="4"/>
      <c r="N40" s="76"/>
      <c r="O40" s="76"/>
      <c r="P40" s="76" t="str">
        <f t="shared" si="8"/>
        <v>,days_times</v>
      </c>
      <c r="Q40" s="76" t="str">
        <f t="shared" si="9"/>
        <v>INTEGER</v>
      </c>
      <c r="R40" s="76" t="str">
        <f t="shared" si="10"/>
        <v/>
      </c>
      <c r="S40" s="76" t="str">
        <f t="shared" si="11"/>
        <v/>
      </c>
      <c r="T40" s="76" t="str">
        <f t="shared" si="12"/>
        <v>-- 日数・回数</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milscm_2023_010.azn_202310_backup_mt_shinryo_koi_fuka.days_times IS '日数・回数';</v>
      </c>
    </row>
    <row r="41" spans="1:45" s="25" customFormat="1">
      <c r="A41" s="4"/>
      <c r="B41" s="21">
        <f t="shared" si="2"/>
        <v>29</v>
      </c>
      <c r="C41" s="6" t="s">
        <v>2163</v>
      </c>
      <c r="D41" s="6" t="s">
        <v>2164</v>
      </c>
      <c r="E41" s="8"/>
      <c r="F41" s="7" t="s">
        <v>1735</v>
      </c>
      <c r="G41" s="7" t="str">
        <f t="shared" si="7"/>
        <v>text</v>
      </c>
      <c r="H41" s="26"/>
      <c r="I41" s="10"/>
      <c r="J41" s="11"/>
      <c r="M41" s="4"/>
      <c r="N41" s="76"/>
      <c r="O41" s="76"/>
      <c r="P41" s="76" t="str">
        <f t="shared" si="8"/>
        <v>,iyakuhin_kanren_kubun</v>
      </c>
      <c r="Q41" s="76" t="str">
        <f t="shared" si="9"/>
        <v>TEXT</v>
      </c>
      <c r="R41" s="76" t="str">
        <f t="shared" si="10"/>
        <v/>
      </c>
      <c r="S41" s="76" t="str">
        <f t="shared" si="11"/>
        <v/>
      </c>
      <c r="T41" s="76" t="str">
        <f t="shared" si="12"/>
        <v>-- 医薬品関連区分</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milscm_2023_010.azn_202310_backup_mt_shinryo_koi_fuka.iyakuhin_kanren_kubun IS '医薬品関連区分';</v>
      </c>
    </row>
    <row r="42" spans="1:45" s="25" customFormat="1">
      <c r="A42" s="4"/>
      <c r="B42" s="21">
        <f t="shared" si="2"/>
        <v>30</v>
      </c>
      <c r="C42" s="6" t="s">
        <v>2165</v>
      </c>
      <c r="D42" s="6" t="s">
        <v>2166</v>
      </c>
      <c r="E42" s="8"/>
      <c r="F42" s="7" t="s">
        <v>1735</v>
      </c>
      <c r="G42" s="7" t="str">
        <f t="shared" si="7"/>
        <v>text</v>
      </c>
      <c r="H42" s="26"/>
      <c r="I42" s="10"/>
      <c r="J42" s="11"/>
      <c r="M42" s="4"/>
      <c r="N42" s="76"/>
      <c r="O42" s="76"/>
      <c r="P42" s="76" t="str">
        <f t="shared" si="8"/>
        <v>,kizami_keisan_shikibetsu</v>
      </c>
      <c r="Q42" s="76" t="str">
        <f t="shared" si="9"/>
        <v>TEXT</v>
      </c>
      <c r="R42" s="76" t="str">
        <f t="shared" si="10"/>
        <v/>
      </c>
      <c r="S42" s="76" t="str">
        <f t="shared" si="11"/>
        <v/>
      </c>
      <c r="T42" s="76" t="str">
        <f t="shared" si="12"/>
        <v>-- きざみ値計算識別</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milscm_2023_010.azn_202310_backup_mt_shinryo_koi_fuka.kizami_keisan_shikibetsu IS 'きざみ値計算識別';</v>
      </c>
    </row>
    <row r="43" spans="1:45" s="25" customFormat="1">
      <c r="A43" s="4"/>
      <c r="B43" s="21">
        <f t="shared" si="2"/>
        <v>31</v>
      </c>
      <c r="C43" s="6" t="s">
        <v>2167</v>
      </c>
      <c r="D43" s="6" t="s">
        <v>2168</v>
      </c>
      <c r="E43" s="8"/>
      <c r="F43" s="7" t="s">
        <v>1845</v>
      </c>
      <c r="G43" s="7" t="str">
        <f t="shared" si="7"/>
        <v>integer</v>
      </c>
      <c r="H43" s="26"/>
      <c r="I43" s="10"/>
      <c r="J43" s="11"/>
      <c r="M43" s="4"/>
      <c r="N43" s="76"/>
      <c r="O43" s="76"/>
      <c r="P43" s="76" t="str">
        <f t="shared" si="8"/>
        <v>,kizami_low</v>
      </c>
      <c r="Q43" s="76" t="str">
        <f t="shared" si="9"/>
        <v>INTEGER</v>
      </c>
      <c r="R43" s="76" t="str">
        <f t="shared" si="10"/>
        <v/>
      </c>
      <c r="S43" s="76" t="str">
        <f t="shared" si="11"/>
        <v/>
      </c>
      <c r="T43" s="76" t="str">
        <f t="shared" si="12"/>
        <v>-- きざみ値下限値</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milscm_2023_010.azn_202310_backup_mt_shinryo_koi_fuka.kizami_low IS 'きざみ値下限値';</v>
      </c>
    </row>
    <row r="44" spans="1:45" s="25" customFormat="1">
      <c r="A44" s="4"/>
      <c r="B44" s="21">
        <f t="shared" si="2"/>
        <v>32</v>
      </c>
      <c r="C44" s="6" t="s">
        <v>2169</v>
      </c>
      <c r="D44" s="6" t="s">
        <v>2170</v>
      </c>
      <c r="E44" s="8"/>
      <c r="F44" s="7" t="s">
        <v>1845</v>
      </c>
      <c r="G44" s="7" t="str">
        <f t="shared" si="7"/>
        <v>integer</v>
      </c>
      <c r="H44" s="26"/>
      <c r="I44" s="10"/>
      <c r="J44" s="11"/>
      <c r="M44" s="4"/>
      <c r="N44" s="76"/>
      <c r="O44" s="76"/>
      <c r="P44" s="76" t="str">
        <f t="shared" si="8"/>
        <v>,kizami_up</v>
      </c>
      <c r="Q44" s="76" t="str">
        <f t="shared" si="9"/>
        <v>INTEGER</v>
      </c>
      <c r="R44" s="76" t="str">
        <f t="shared" si="10"/>
        <v/>
      </c>
      <c r="S44" s="76" t="str">
        <f t="shared" si="11"/>
        <v/>
      </c>
      <c r="T44" s="76" t="str">
        <f t="shared" si="12"/>
        <v>-- きざみ値上限値</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milscm_2023_010.azn_202310_backup_mt_shinryo_koi_fuka.kizami_up IS 'きざみ値上限値';</v>
      </c>
    </row>
    <row r="45" spans="1:45" s="25" customFormat="1">
      <c r="A45" s="4"/>
      <c r="B45" s="21">
        <f t="shared" si="2"/>
        <v>33</v>
      </c>
      <c r="C45" s="6" t="s">
        <v>2171</v>
      </c>
      <c r="D45" s="6" t="s">
        <v>2172</v>
      </c>
      <c r="E45" s="8"/>
      <c r="F45" s="7" t="s">
        <v>1845</v>
      </c>
      <c r="G45" s="7" t="str">
        <f t="shared" si="7"/>
        <v>integer</v>
      </c>
      <c r="H45" s="26"/>
      <c r="I45" s="10"/>
      <c r="J45" s="11"/>
      <c r="M45" s="4"/>
      <c r="N45" s="76"/>
      <c r="O45" s="76"/>
      <c r="P45" s="76" t="str">
        <f t="shared" si="8"/>
        <v>,kizami_value</v>
      </c>
      <c r="Q45" s="76" t="str">
        <f t="shared" si="9"/>
        <v>INTEGER</v>
      </c>
      <c r="R45" s="76" t="str">
        <f t="shared" si="10"/>
        <v/>
      </c>
      <c r="S45" s="76" t="str">
        <f t="shared" si="11"/>
        <v/>
      </c>
      <c r="T45" s="76" t="str">
        <f t="shared" si="12"/>
        <v>-- きざみ値</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milscm_2023_010.azn_202310_backup_mt_shinryo_koi_fuka.kizami_value IS 'きざみ値';</v>
      </c>
    </row>
    <row r="46" spans="1:45" s="25" customFormat="1" ht="37.5">
      <c r="A46" s="4"/>
      <c r="B46" s="21">
        <f t="shared" si="2"/>
        <v>34</v>
      </c>
      <c r="C46" s="6" t="s">
        <v>2173</v>
      </c>
      <c r="D46" s="6" t="s">
        <v>2174</v>
      </c>
      <c r="E46" s="8"/>
      <c r="F46" s="7" t="s">
        <v>1742</v>
      </c>
      <c r="G46" s="7" t="str">
        <f t="shared" si="7"/>
        <v>numeric</v>
      </c>
      <c r="H46" s="26"/>
      <c r="I46" s="10"/>
      <c r="J46" s="11" t="s">
        <v>2393</v>
      </c>
      <c r="M46" s="4"/>
      <c r="N46" s="76"/>
      <c r="O46" s="76"/>
      <c r="P46" s="76" t="str">
        <f t="shared" si="8"/>
        <v>,kizami_tensu</v>
      </c>
      <c r="Q46" s="76" t="str">
        <f t="shared" si="9"/>
        <v>NUMERIC</v>
      </c>
      <c r="R46" s="76" t="str">
        <f t="shared" si="10"/>
        <v/>
      </c>
      <c r="S46" s="76" t="str">
        <f t="shared" si="11"/>
        <v/>
      </c>
      <c r="T46" s="76" t="str">
        <f t="shared" si="12"/>
        <v>-- きざみ点数</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milscm_2023_010.azn_202310_backup_mt_shinryo_koi_fuka.kizami_tensu IS 'きざみ点数';</v>
      </c>
    </row>
    <row r="47" spans="1:45" s="25" customFormat="1">
      <c r="A47" s="4"/>
      <c r="B47" s="21">
        <f t="shared" si="2"/>
        <v>35</v>
      </c>
      <c r="C47" s="6" t="s">
        <v>2175</v>
      </c>
      <c r="D47" s="6" t="s">
        <v>2176</v>
      </c>
      <c r="E47" s="8"/>
      <c r="F47" s="7" t="s">
        <v>1735</v>
      </c>
      <c r="G47" s="7" t="str">
        <f t="shared" si="7"/>
        <v>text</v>
      </c>
      <c r="H47" s="26"/>
      <c r="I47" s="10"/>
      <c r="J47" s="11"/>
      <c r="M47" s="4"/>
      <c r="N47" s="76"/>
      <c r="O47" s="76"/>
      <c r="P47" s="76" t="str">
        <f t="shared" si="8"/>
        <v>,up_low_error</v>
      </c>
      <c r="Q47" s="76" t="str">
        <f t="shared" si="9"/>
        <v>TEXT</v>
      </c>
      <c r="R47" s="76" t="str">
        <f t="shared" si="10"/>
        <v/>
      </c>
      <c r="S47" s="76" t="str">
        <f t="shared" si="11"/>
        <v/>
      </c>
      <c r="T47" s="76" t="str">
        <f t="shared" si="12"/>
        <v>-- 上下限エラー処理</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milscm_2023_010.azn_202310_backup_mt_shinryo_koi_fuka.up_low_error IS '上下限エラー処理';</v>
      </c>
    </row>
    <row r="48" spans="1:45" s="25" customFormat="1">
      <c r="A48" s="4"/>
      <c r="B48" s="21">
        <f t="shared" si="2"/>
        <v>36</v>
      </c>
      <c r="C48" s="6" t="s">
        <v>2177</v>
      </c>
      <c r="D48" s="6" t="s">
        <v>2178</v>
      </c>
      <c r="E48" s="8"/>
      <c r="F48" s="7" t="s">
        <v>1845</v>
      </c>
      <c r="G48" s="7" t="str">
        <f t="shared" si="7"/>
        <v>integer</v>
      </c>
      <c r="H48" s="26"/>
      <c r="I48" s="10"/>
      <c r="J48" s="11"/>
      <c r="M48" s="4"/>
      <c r="N48" s="76"/>
      <c r="O48" s="76"/>
      <c r="P48" s="76" t="str">
        <f t="shared" si="8"/>
        <v>,up_times</v>
      </c>
      <c r="Q48" s="76" t="str">
        <f t="shared" si="9"/>
        <v>INTEGER</v>
      </c>
      <c r="R48" s="76" t="str">
        <f t="shared" si="10"/>
        <v/>
      </c>
      <c r="S48" s="76" t="str">
        <f t="shared" si="11"/>
        <v/>
      </c>
      <c r="T48" s="76" t="str">
        <f t="shared" si="12"/>
        <v>-- 上限回数</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milscm_2023_010.azn_202310_backup_mt_shinryo_koi_fuka.up_times IS '上限回数';</v>
      </c>
    </row>
    <row r="49" spans="1:45" s="25" customFormat="1">
      <c r="A49" s="4"/>
      <c r="B49" s="21">
        <f t="shared" si="2"/>
        <v>37</v>
      </c>
      <c r="C49" s="6" t="s">
        <v>2179</v>
      </c>
      <c r="D49" s="6" t="s">
        <v>2180</v>
      </c>
      <c r="E49" s="8"/>
      <c r="F49" s="7" t="s">
        <v>1735</v>
      </c>
      <c r="G49" s="7" t="str">
        <f t="shared" si="7"/>
        <v>text</v>
      </c>
      <c r="H49" s="26"/>
      <c r="I49" s="10"/>
      <c r="J49" s="11"/>
      <c r="M49" s="4"/>
      <c r="N49" s="76"/>
      <c r="O49" s="76"/>
      <c r="P49" s="76" t="str">
        <f t="shared" si="8"/>
        <v>,up_times_error</v>
      </c>
      <c r="Q49" s="76" t="str">
        <f t="shared" si="9"/>
        <v>TEXT</v>
      </c>
      <c r="R49" s="76" t="str">
        <f t="shared" si="10"/>
        <v/>
      </c>
      <c r="S49" s="76" t="str">
        <f t="shared" si="11"/>
        <v/>
      </c>
      <c r="T49" s="76" t="str">
        <f t="shared" si="12"/>
        <v>-- 上限回数エラー処理</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milscm_2023_010.azn_202310_backup_mt_shinryo_koi_fuka.up_times_error IS '上限回数エラー処理';</v>
      </c>
    </row>
    <row r="50" spans="1:45" s="25" customFormat="1">
      <c r="A50" s="4"/>
      <c r="B50" s="21">
        <f t="shared" si="2"/>
        <v>38</v>
      </c>
      <c r="C50" s="6" t="s">
        <v>2181</v>
      </c>
      <c r="D50" s="6" t="s">
        <v>2182</v>
      </c>
      <c r="E50" s="8"/>
      <c r="F50" s="7" t="s">
        <v>1735</v>
      </c>
      <c r="G50" s="7" t="str">
        <f t="shared" si="7"/>
        <v>text</v>
      </c>
      <c r="H50" s="26"/>
      <c r="I50" s="10"/>
      <c r="J50" s="11"/>
      <c r="M50" s="4"/>
      <c r="N50" s="76"/>
      <c r="O50" s="76"/>
      <c r="P50" s="76" t="str">
        <f t="shared" si="8"/>
        <v>,chu_kasan_code</v>
      </c>
      <c r="Q50" s="76" t="str">
        <f t="shared" si="9"/>
        <v>TEXT</v>
      </c>
      <c r="R50" s="76" t="str">
        <f t="shared" si="10"/>
        <v/>
      </c>
      <c r="S50" s="76" t="str">
        <f t="shared" si="11"/>
        <v/>
      </c>
      <c r="T50" s="76" t="str">
        <f t="shared" si="12"/>
        <v>-- 注加算コード</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milscm_2023_010.azn_202310_backup_mt_shinryo_koi_fuka.chu_kasan_code IS '注加算コード';</v>
      </c>
    </row>
    <row r="51" spans="1:45" s="25" customFormat="1">
      <c r="A51" s="4"/>
      <c r="B51" s="21">
        <f t="shared" si="2"/>
        <v>39</v>
      </c>
      <c r="C51" s="6" t="s">
        <v>2183</v>
      </c>
      <c r="D51" s="6" t="s">
        <v>2184</v>
      </c>
      <c r="E51" s="8"/>
      <c r="F51" s="7" t="s">
        <v>1735</v>
      </c>
      <c r="G51" s="7" t="str">
        <f t="shared" si="7"/>
        <v>text</v>
      </c>
      <c r="H51" s="26"/>
      <c r="I51" s="10"/>
      <c r="J51" s="11"/>
      <c r="M51" s="4"/>
      <c r="N51" s="76"/>
      <c r="O51" s="76"/>
      <c r="P51" s="76" t="str">
        <f t="shared" si="8"/>
        <v>,chu_kasan_no</v>
      </c>
      <c r="Q51" s="76" t="str">
        <f t="shared" si="9"/>
        <v>TEXT</v>
      </c>
      <c r="R51" s="76" t="str">
        <f t="shared" si="10"/>
        <v/>
      </c>
      <c r="S51" s="76" t="str">
        <f t="shared" si="11"/>
        <v/>
      </c>
      <c r="T51" s="76" t="str">
        <f t="shared" si="12"/>
        <v>-- 注加算通番</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milscm_2023_010.azn_202310_backup_mt_shinryo_koi_fuka.chu_kasan_no IS '注加算通番';</v>
      </c>
    </row>
    <row r="52" spans="1:45" s="25" customFormat="1">
      <c r="A52" s="4"/>
      <c r="B52" s="21">
        <f t="shared" si="2"/>
        <v>40</v>
      </c>
      <c r="C52" s="6" t="s">
        <v>2185</v>
      </c>
      <c r="D52" s="6" t="s">
        <v>2186</v>
      </c>
      <c r="E52" s="8"/>
      <c r="F52" s="7" t="s">
        <v>1735</v>
      </c>
      <c r="G52" s="7" t="str">
        <f t="shared" si="7"/>
        <v>text</v>
      </c>
      <c r="H52" s="26"/>
      <c r="I52" s="10"/>
      <c r="J52" s="11"/>
      <c r="M52" s="4"/>
      <c r="N52" s="76"/>
      <c r="O52" s="76"/>
      <c r="P52" s="76" t="str">
        <f t="shared" si="8"/>
        <v>,tsusoku_age</v>
      </c>
      <c r="Q52" s="76" t="str">
        <f t="shared" si="9"/>
        <v>TEXT</v>
      </c>
      <c r="R52" s="76" t="str">
        <f t="shared" si="10"/>
        <v/>
      </c>
      <c r="S52" s="76" t="str">
        <f t="shared" si="11"/>
        <v/>
      </c>
      <c r="T52" s="76" t="str">
        <f t="shared" si="12"/>
        <v>-- 通則年齢</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milscm_2023_010.azn_202310_backup_mt_shinryo_koi_fuka.tsusoku_age IS '通則年齢';</v>
      </c>
    </row>
    <row r="53" spans="1:45" s="25" customFormat="1">
      <c r="A53" s="4"/>
      <c r="B53" s="21">
        <f t="shared" si="2"/>
        <v>41</v>
      </c>
      <c r="C53" s="6" t="s">
        <v>2187</v>
      </c>
      <c r="D53" s="6" t="s">
        <v>2188</v>
      </c>
      <c r="E53" s="8"/>
      <c r="F53" s="7" t="s">
        <v>1735</v>
      </c>
      <c r="G53" s="7" t="str">
        <f t="shared" si="7"/>
        <v>text</v>
      </c>
      <c r="H53" s="26"/>
      <c r="I53" s="10"/>
      <c r="J53" s="11"/>
      <c r="M53" s="4"/>
      <c r="N53" s="76"/>
      <c r="O53" s="76"/>
      <c r="P53" s="76" t="str">
        <f t="shared" si="8"/>
        <v>,low_age</v>
      </c>
      <c r="Q53" s="76" t="str">
        <f t="shared" si="9"/>
        <v>TEXT</v>
      </c>
      <c r="R53" s="76" t="str">
        <f t="shared" si="10"/>
        <v/>
      </c>
      <c r="S53" s="76" t="str">
        <f t="shared" si="11"/>
        <v/>
      </c>
      <c r="T53" s="76" t="str">
        <f t="shared" si="12"/>
        <v>-- 下限年齢</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milscm_2023_010.azn_202310_backup_mt_shinryo_koi_fuka.low_age IS '下限年齢';</v>
      </c>
    </row>
    <row r="54" spans="1:45" s="25" customFormat="1">
      <c r="A54" s="4"/>
      <c r="B54" s="21">
        <f t="shared" si="2"/>
        <v>42</v>
      </c>
      <c r="C54" s="6" t="s">
        <v>2189</v>
      </c>
      <c r="D54" s="6" t="s">
        <v>2190</v>
      </c>
      <c r="E54" s="8"/>
      <c r="F54" s="7" t="s">
        <v>1735</v>
      </c>
      <c r="G54" s="7" t="str">
        <f t="shared" si="7"/>
        <v>text</v>
      </c>
      <c r="H54" s="26"/>
      <c r="I54" s="10"/>
      <c r="J54" s="11"/>
      <c r="M54" s="4"/>
      <c r="N54" s="76"/>
      <c r="O54" s="76"/>
      <c r="P54" s="76" t="str">
        <f t="shared" si="8"/>
        <v>,up_age</v>
      </c>
      <c r="Q54" s="76" t="str">
        <f t="shared" si="9"/>
        <v>TEXT</v>
      </c>
      <c r="R54" s="76" t="str">
        <f t="shared" si="10"/>
        <v/>
      </c>
      <c r="S54" s="76" t="str">
        <f t="shared" si="11"/>
        <v/>
      </c>
      <c r="T54" s="76" t="str">
        <f t="shared" si="12"/>
        <v>-- 上限年齢</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milscm_2023_010.azn_202310_backup_mt_shinryo_koi_fuka.up_age IS '上限年齢';</v>
      </c>
    </row>
    <row r="55" spans="1:45" s="25" customFormat="1">
      <c r="A55" s="4"/>
      <c r="B55" s="21">
        <f t="shared" si="2"/>
        <v>43</v>
      </c>
      <c r="C55" s="6" t="s">
        <v>2191</v>
      </c>
      <c r="D55" s="6" t="s">
        <v>2192</v>
      </c>
      <c r="E55" s="8"/>
      <c r="F55" s="7" t="s">
        <v>1735</v>
      </c>
      <c r="G55" s="7" t="str">
        <f t="shared" si="7"/>
        <v>text</v>
      </c>
      <c r="H55" s="26"/>
      <c r="I55" s="10"/>
      <c r="J55" s="11"/>
      <c r="M55" s="4"/>
      <c r="N55" s="76"/>
      <c r="O55" s="76"/>
      <c r="P55" s="76" t="str">
        <f t="shared" si="8"/>
        <v>,time_kasan_kubun</v>
      </c>
      <c r="Q55" s="76" t="str">
        <f t="shared" si="9"/>
        <v>TEXT</v>
      </c>
      <c r="R55" s="76" t="str">
        <f t="shared" si="10"/>
        <v/>
      </c>
      <c r="S55" s="76" t="str">
        <f t="shared" si="11"/>
        <v/>
      </c>
      <c r="T55" s="76" t="str">
        <f t="shared" si="12"/>
        <v>-- 時間加算区分</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milscm_2023_010.azn_202310_backup_mt_shinryo_koi_fuka.time_kasan_kubun IS '時間加算区分';</v>
      </c>
    </row>
    <row r="56" spans="1:45" s="25" customFormat="1">
      <c r="A56" s="4"/>
      <c r="B56" s="21">
        <f t="shared" si="2"/>
        <v>44</v>
      </c>
      <c r="C56" s="6" t="s">
        <v>2193</v>
      </c>
      <c r="D56" s="6" t="s">
        <v>2194</v>
      </c>
      <c r="E56" s="8"/>
      <c r="F56" s="7" t="s">
        <v>1735</v>
      </c>
      <c r="G56" s="7" t="str">
        <f t="shared" si="7"/>
        <v>text</v>
      </c>
      <c r="H56" s="26"/>
      <c r="I56" s="10"/>
      <c r="J56" s="11"/>
      <c r="M56" s="4"/>
      <c r="N56" s="76"/>
      <c r="O56" s="76"/>
      <c r="P56" s="76" t="str">
        <f t="shared" si="8"/>
        <v>,tekigo_kubun</v>
      </c>
      <c r="Q56" s="76" t="str">
        <f t="shared" si="9"/>
        <v>TEXT</v>
      </c>
      <c r="R56" s="76" t="str">
        <f t="shared" si="10"/>
        <v/>
      </c>
      <c r="S56" s="76" t="str">
        <f t="shared" si="11"/>
        <v/>
      </c>
      <c r="T56" s="76" t="str">
        <f t="shared" si="12"/>
        <v>-- 適合区分</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milscm_2023_010.azn_202310_backup_mt_shinryo_koi_fuka.tekigo_kubun IS '適合区分';</v>
      </c>
    </row>
    <row r="57" spans="1:45" s="25" customFormat="1">
      <c r="A57" s="4"/>
      <c r="B57" s="21">
        <f t="shared" si="2"/>
        <v>45</v>
      </c>
      <c r="C57" s="6" t="s">
        <v>2195</v>
      </c>
      <c r="D57" s="6" t="s">
        <v>2196</v>
      </c>
      <c r="E57" s="8"/>
      <c r="F57" s="7" t="s">
        <v>1735</v>
      </c>
      <c r="G57" s="7" t="str">
        <f t="shared" si="7"/>
        <v>text</v>
      </c>
      <c r="H57" s="26"/>
      <c r="I57" s="10"/>
      <c r="J57" s="11"/>
      <c r="M57" s="4"/>
      <c r="N57" s="76"/>
      <c r="O57" s="76"/>
      <c r="P57" s="76" t="str">
        <f t="shared" si="8"/>
        <v>,facility_kijun</v>
      </c>
      <c r="Q57" s="76" t="str">
        <f t="shared" si="9"/>
        <v>TEXT</v>
      </c>
      <c r="R57" s="76" t="str">
        <f t="shared" si="10"/>
        <v/>
      </c>
      <c r="S57" s="76" t="str">
        <f t="shared" si="11"/>
        <v/>
      </c>
      <c r="T57" s="76" t="str">
        <f t="shared" si="12"/>
        <v>-- 対象施設基準</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milscm_2023_010.azn_202310_backup_mt_shinryo_koi_fuka.facility_kijun IS '対象施設基準';</v>
      </c>
    </row>
    <row r="58" spans="1:45" s="25" customFormat="1">
      <c r="A58" s="4"/>
      <c r="B58" s="21">
        <f t="shared" si="2"/>
        <v>46</v>
      </c>
      <c r="C58" s="6" t="s">
        <v>2197</v>
      </c>
      <c r="D58" s="6" t="s">
        <v>2198</v>
      </c>
      <c r="E58" s="8"/>
      <c r="F58" s="7" t="s">
        <v>1735</v>
      </c>
      <c r="G58" s="7" t="str">
        <f t="shared" si="7"/>
        <v>text</v>
      </c>
      <c r="H58" s="26"/>
      <c r="I58" s="10"/>
      <c r="J58" s="11"/>
      <c r="M58" s="4"/>
      <c r="N58" s="76"/>
      <c r="O58" s="76"/>
      <c r="P58" s="76" t="str">
        <f t="shared" si="8"/>
        <v>,nyuyoji_kasan_kubun</v>
      </c>
      <c r="Q58" s="76" t="str">
        <f t="shared" si="9"/>
        <v>TEXT</v>
      </c>
      <c r="R58" s="76" t="str">
        <f t="shared" si="10"/>
        <v/>
      </c>
      <c r="S58" s="76" t="str">
        <f t="shared" si="11"/>
        <v/>
      </c>
      <c r="T58" s="76" t="str">
        <f t="shared" si="12"/>
        <v>-- 処置乳幼児加算区分</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milscm_2023_010.azn_202310_backup_mt_shinryo_koi_fuka.nyuyoji_kasan_kubun IS '処置乳幼児加算区分';</v>
      </c>
    </row>
    <row r="59" spans="1:45" s="25" customFormat="1">
      <c r="A59" s="4"/>
      <c r="B59" s="21">
        <f t="shared" si="2"/>
        <v>47</v>
      </c>
      <c r="C59" s="6" t="s">
        <v>2199</v>
      </c>
      <c r="D59" s="6" t="s">
        <v>2200</v>
      </c>
      <c r="E59" s="8"/>
      <c r="F59" s="7" t="s">
        <v>1735</v>
      </c>
      <c r="G59" s="7" t="str">
        <f t="shared" si="7"/>
        <v>text</v>
      </c>
      <c r="H59" s="26"/>
      <c r="I59" s="10"/>
      <c r="J59" s="11"/>
      <c r="M59" s="4"/>
      <c r="N59" s="76"/>
      <c r="O59" s="76"/>
      <c r="P59" s="76" t="str">
        <f t="shared" si="8"/>
        <v>,taijuji_kasan_kubun</v>
      </c>
      <c r="Q59" s="76" t="str">
        <f t="shared" si="9"/>
        <v>TEXT</v>
      </c>
      <c r="R59" s="76" t="str">
        <f t="shared" si="10"/>
        <v/>
      </c>
      <c r="S59" s="76" t="str">
        <f t="shared" si="11"/>
        <v/>
      </c>
      <c r="T59" s="76" t="str">
        <f t="shared" si="12"/>
        <v>-- 極低出生体重児加算区分</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milscm_2023_010.azn_202310_backup_mt_shinryo_koi_fuka.taijuji_kasan_kubun IS '極低出生体重児加算区分';</v>
      </c>
    </row>
    <row r="60" spans="1:45" s="25" customFormat="1" ht="31.5">
      <c r="A60" s="4"/>
      <c r="B60" s="21">
        <f t="shared" si="2"/>
        <v>48</v>
      </c>
      <c r="C60" s="6" t="s">
        <v>2201</v>
      </c>
      <c r="D60" s="6" t="s">
        <v>2202</v>
      </c>
      <c r="E60" s="8"/>
      <c r="F60" s="7" t="s">
        <v>1735</v>
      </c>
      <c r="G60" s="7" t="str">
        <f t="shared" si="7"/>
        <v>text</v>
      </c>
      <c r="H60" s="26"/>
      <c r="I60" s="10"/>
      <c r="J60" s="11"/>
      <c r="M60" s="4"/>
      <c r="N60" s="76"/>
      <c r="O60" s="76"/>
      <c r="P60" s="76" t="str">
        <f t="shared" si="8"/>
        <v>,nyuin_kihon_gensan_shikibetsu</v>
      </c>
      <c r="Q60" s="76" t="str">
        <f t="shared" si="9"/>
        <v>TEXT</v>
      </c>
      <c r="R60" s="76" t="str">
        <f t="shared" si="10"/>
        <v/>
      </c>
      <c r="S60" s="76" t="str">
        <f t="shared" si="11"/>
        <v/>
      </c>
      <c r="T60" s="76" t="str">
        <f t="shared" si="12"/>
        <v>-- 入院基本料等減算対象識別</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milscm_2023_010.azn_202310_backup_mt_shinryo_koi_fuka.nyuin_kihon_gensan_shikibetsu IS '入院基本料等減算対象識別';</v>
      </c>
    </row>
    <row r="61" spans="1:45" s="25" customFormat="1">
      <c r="A61" s="4"/>
      <c r="B61" s="21">
        <f t="shared" si="2"/>
        <v>49</v>
      </c>
      <c r="C61" s="6" t="s">
        <v>2203</v>
      </c>
      <c r="D61" s="6" t="s">
        <v>2204</v>
      </c>
      <c r="E61" s="8"/>
      <c r="F61" s="7" t="s">
        <v>1735</v>
      </c>
      <c r="G61" s="7" t="str">
        <f t="shared" si="7"/>
        <v>text</v>
      </c>
      <c r="H61" s="26"/>
      <c r="I61" s="10"/>
      <c r="J61" s="11"/>
      <c r="M61" s="4"/>
      <c r="N61" s="76"/>
      <c r="O61" s="76"/>
      <c r="P61" s="76" t="str">
        <f t="shared" si="8"/>
        <v>,donor_kubun</v>
      </c>
      <c r="Q61" s="76" t="str">
        <f t="shared" si="9"/>
        <v>TEXT</v>
      </c>
      <c r="R61" s="76" t="str">
        <f t="shared" si="10"/>
        <v/>
      </c>
      <c r="S61" s="76" t="str">
        <f t="shared" si="11"/>
        <v/>
      </c>
      <c r="T61" s="76" t="str">
        <f t="shared" si="12"/>
        <v>-- ドナー分集計区分</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milscm_2023_010.azn_202310_backup_mt_shinryo_koi_fuka.donor_kubun IS 'ドナー分集計区分';</v>
      </c>
    </row>
    <row r="62" spans="1:45" s="25" customFormat="1">
      <c r="A62" s="4"/>
      <c r="B62" s="21">
        <f t="shared" si="2"/>
        <v>50</v>
      </c>
      <c r="C62" s="6" t="s">
        <v>2205</v>
      </c>
      <c r="D62" s="6" t="s">
        <v>2206</v>
      </c>
      <c r="E62" s="8"/>
      <c r="F62" s="7" t="s">
        <v>1735</v>
      </c>
      <c r="G62" s="7" t="str">
        <f t="shared" si="7"/>
        <v>text</v>
      </c>
      <c r="H62" s="26"/>
      <c r="I62" s="10"/>
      <c r="J62" s="11"/>
      <c r="M62" s="4"/>
      <c r="N62" s="76"/>
      <c r="O62" s="76"/>
      <c r="P62" s="76" t="str">
        <f t="shared" si="8"/>
        <v>,kensa_handan_kubun</v>
      </c>
      <c r="Q62" s="76" t="str">
        <f t="shared" si="9"/>
        <v>TEXT</v>
      </c>
      <c r="R62" s="76" t="str">
        <f t="shared" si="10"/>
        <v/>
      </c>
      <c r="S62" s="76" t="str">
        <f t="shared" si="11"/>
        <v/>
      </c>
      <c r="T62" s="76" t="str">
        <f t="shared" si="12"/>
        <v>-- 検査等実施判断区分</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milscm_2023_010.azn_202310_backup_mt_shinryo_koi_fuka.kensa_handan_kubun IS '検査等実施判断区分';</v>
      </c>
    </row>
    <row r="63" spans="1:45" s="25" customFormat="1" ht="31.5">
      <c r="A63" s="4"/>
      <c r="B63" s="21">
        <f t="shared" si="2"/>
        <v>51</v>
      </c>
      <c r="C63" s="6" t="s">
        <v>2207</v>
      </c>
      <c r="D63" s="6" t="s">
        <v>2208</v>
      </c>
      <c r="E63" s="8"/>
      <c r="F63" s="7" t="s">
        <v>1735</v>
      </c>
      <c r="G63" s="7" t="str">
        <f t="shared" si="7"/>
        <v>text</v>
      </c>
      <c r="H63" s="26"/>
      <c r="I63" s="10"/>
      <c r="J63" s="11"/>
      <c r="M63" s="4"/>
      <c r="N63" s="76"/>
      <c r="O63" s="76"/>
      <c r="P63" s="76" t="str">
        <f t="shared" si="8"/>
        <v>,kensa_handan_group_kubun</v>
      </c>
      <c r="Q63" s="76" t="str">
        <f t="shared" si="9"/>
        <v>TEXT</v>
      </c>
      <c r="R63" s="76" t="str">
        <f t="shared" si="10"/>
        <v/>
      </c>
      <c r="S63" s="76" t="str">
        <f t="shared" si="11"/>
        <v/>
      </c>
      <c r="T63" s="76" t="str">
        <f t="shared" si="12"/>
        <v>-- 検査等実施判断グループ区分</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milscm_2023_010.azn_202310_backup_mt_shinryo_koi_fuka.kensa_handan_group_kubun IS '検査等実施判断グループ区分';</v>
      </c>
    </row>
    <row r="64" spans="1:45" s="25" customFormat="1">
      <c r="A64" s="4"/>
      <c r="B64" s="21">
        <f t="shared" si="2"/>
        <v>52</v>
      </c>
      <c r="C64" s="6" t="s">
        <v>2209</v>
      </c>
      <c r="D64" s="6" t="s">
        <v>2210</v>
      </c>
      <c r="E64" s="8"/>
      <c r="F64" s="7" t="s">
        <v>1735</v>
      </c>
      <c r="G64" s="7" t="str">
        <f t="shared" si="7"/>
        <v>text</v>
      </c>
      <c r="H64" s="26"/>
      <c r="I64" s="10"/>
      <c r="J64" s="11"/>
      <c r="M64" s="4"/>
      <c r="N64" s="76"/>
      <c r="O64" s="76"/>
      <c r="P64" s="76" t="str">
        <f t="shared" si="8"/>
        <v>,teigen_kubun</v>
      </c>
      <c r="Q64" s="76" t="str">
        <f t="shared" si="9"/>
        <v>TEXT</v>
      </c>
      <c r="R64" s="76" t="str">
        <f t="shared" si="10"/>
        <v/>
      </c>
      <c r="S64" s="76" t="str">
        <f t="shared" si="11"/>
        <v/>
      </c>
      <c r="T64" s="76" t="str">
        <f t="shared" si="12"/>
        <v>-- 逓減対象区分</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milscm_2023_010.azn_202310_backup_mt_shinryo_koi_fuka.teigen_kubun IS '逓減対象区分';</v>
      </c>
    </row>
    <row r="65" spans="1:45" s="25" customFormat="1">
      <c r="A65" s="4"/>
      <c r="B65" s="21">
        <f t="shared" si="2"/>
        <v>53</v>
      </c>
      <c r="C65" s="6" t="s">
        <v>2211</v>
      </c>
      <c r="D65" s="6" t="s">
        <v>2212</v>
      </c>
      <c r="E65" s="8"/>
      <c r="F65" s="7" t="s">
        <v>1735</v>
      </c>
      <c r="G65" s="7" t="str">
        <f t="shared" si="7"/>
        <v>text</v>
      </c>
      <c r="H65" s="26"/>
      <c r="I65" s="10"/>
      <c r="J65" s="11"/>
      <c r="M65" s="4"/>
      <c r="N65" s="76"/>
      <c r="O65" s="76"/>
      <c r="P65" s="76" t="str">
        <f t="shared" si="8"/>
        <v>,sekizui_kasan_kubun</v>
      </c>
      <c r="Q65" s="76" t="str">
        <f t="shared" si="9"/>
        <v>TEXT</v>
      </c>
      <c r="R65" s="76" t="str">
        <f t="shared" si="10"/>
        <v/>
      </c>
      <c r="S65" s="76" t="str">
        <f t="shared" si="11"/>
        <v/>
      </c>
      <c r="T65" s="76" t="str">
        <f t="shared" si="12"/>
        <v>-- 脊髄誘発電位測定等加算区分</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milscm_2023_010.azn_202310_backup_mt_shinryo_koi_fuka.sekizui_kasan_kubun IS '脊髄誘発電位測定等加算区分';</v>
      </c>
    </row>
    <row r="66" spans="1:45" s="25" customFormat="1">
      <c r="A66" s="4"/>
      <c r="B66" s="21">
        <f t="shared" si="2"/>
        <v>54</v>
      </c>
      <c r="C66" s="6" t="s">
        <v>2213</v>
      </c>
      <c r="D66" s="6" t="s">
        <v>2214</v>
      </c>
      <c r="E66" s="8"/>
      <c r="F66" s="7" t="s">
        <v>1735</v>
      </c>
      <c r="G66" s="7" t="str">
        <f t="shared" si="7"/>
        <v>text</v>
      </c>
      <c r="H66" s="26"/>
      <c r="I66" s="10"/>
      <c r="J66" s="11"/>
      <c r="M66" s="4"/>
      <c r="N66" s="76"/>
      <c r="O66" s="76"/>
      <c r="P66" s="76" t="str">
        <f t="shared" si="8"/>
        <v>,keibu_kasan_kubun</v>
      </c>
      <c r="Q66" s="76" t="str">
        <f t="shared" si="9"/>
        <v>TEXT</v>
      </c>
      <c r="R66" s="76" t="str">
        <f t="shared" si="10"/>
        <v/>
      </c>
      <c r="S66" s="76" t="str">
        <f t="shared" si="11"/>
        <v/>
      </c>
      <c r="T66" s="76" t="str">
        <f t="shared" si="12"/>
        <v>-- 頸部郭清術併施加算区分</v>
      </c>
      <c r="U66" s="4"/>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milscm_2023_010.azn_202310_backup_mt_shinryo_koi_fuka.keibu_kasan_kubun IS '頸部郭清術併施加算区分';</v>
      </c>
    </row>
    <row r="67" spans="1:45" s="25" customFormat="1">
      <c r="A67" s="4"/>
      <c r="B67" s="21">
        <f t="shared" si="2"/>
        <v>55</v>
      </c>
      <c r="C67" s="6" t="s">
        <v>2215</v>
      </c>
      <c r="D67" s="6" t="s">
        <v>2216</v>
      </c>
      <c r="E67" s="8"/>
      <c r="F67" s="7" t="s">
        <v>1735</v>
      </c>
      <c r="G67" s="7" t="str">
        <f t="shared" si="7"/>
        <v>text</v>
      </c>
      <c r="H67" s="26"/>
      <c r="I67" s="10"/>
      <c r="J67" s="11"/>
      <c r="M67" s="4"/>
      <c r="N67" s="76"/>
      <c r="O67" s="76"/>
      <c r="P67" s="76" t="str">
        <f t="shared" si="8"/>
        <v>,hogoki_kasan_kubun</v>
      </c>
      <c r="Q67" s="76" t="str">
        <f t="shared" si="9"/>
        <v>TEXT</v>
      </c>
      <c r="R67" s="76" t="str">
        <f t="shared" si="10"/>
        <v/>
      </c>
      <c r="S67" s="76" t="str">
        <f t="shared" si="11"/>
        <v/>
      </c>
      <c r="T67" s="76" t="str">
        <f t="shared" si="12"/>
        <v>-- 自動縫合器加算区分</v>
      </c>
      <c r="U67" s="4"/>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milscm_2023_010.azn_202310_backup_mt_shinryo_koi_fuka.hogoki_kasan_kubun IS '自動縫合器加算区分';</v>
      </c>
    </row>
    <row r="68" spans="1:45" s="25" customFormat="1">
      <c r="A68" s="4"/>
      <c r="B68" s="21">
        <f t="shared" si="2"/>
        <v>56</v>
      </c>
      <c r="C68" s="6" t="s">
        <v>2217</v>
      </c>
      <c r="D68" s="6" t="s">
        <v>2218</v>
      </c>
      <c r="E68" s="8"/>
      <c r="F68" s="7" t="s">
        <v>1735</v>
      </c>
      <c r="G68" s="7" t="str">
        <f t="shared" si="7"/>
        <v>text</v>
      </c>
      <c r="H68" s="26"/>
      <c r="I68" s="10"/>
      <c r="J68" s="11"/>
      <c r="M68" s="4"/>
      <c r="N68" s="76"/>
      <c r="O68" s="76"/>
      <c r="P68" s="76" t="str">
        <f t="shared" si="8"/>
        <v>,gairai_kasan_kubun</v>
      </c>
      <c r="Q68" s="76" t="str">
        <f t="shared" si="9"/>
        <v>TEXT</v>
      </c>
      <c r="R68" s="76" t="str">
        <f t="shared" si="10"/>
        <v/>
      </c>
      <c r="S68" s="76" t="str">
        <f t="shared" si="11"/>
        <v/>
      </c>
      <c r="T68" s="76" t="str">
        <f t="shared" si="12"/>
        <v>-- 外来管理加算区分</v>
      </c>
      <c r="U68" s="4"/>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milscm_2023_010.azn_202310_backup_mt_shinryo_koi_fuka.gairai_kasan_kubun IS '外来管理加算区分';</v>
      </c>
    </row>
    <row r="69" spans="1:45" s="25" customFormat="1">
      <c r="A69" s="4"/>
      <c r="B69" s="21">
        <f t="shared" si="2"/>
        <v>57</v>
      </c>
      <c r="C69" s="6" t="s">
        <v>2219</v>
      </c>
      <c r="D69" s="6" t="s">
        <v>2220</v>
      </c>
      <c r="E69" s="8"/>
      <c r="F69" s="7" t="s">
        <v>1735</v>
      </c>
      <c r="G69" s="7" t="str">
        <f t="shared" si="7"/>
        <v>text</v>
      </c>
      <c r="H69" s="26"/>
      <c r="I69" s="10"/>
      <c r="J69" s="11"/>
      <c r="M69" s="4"/>
      <c r="N69" s="76"/>
      <c r="O69" s="76"/>
      <c r="P69" s="76" t="str">
        <f t="shared" si="8"/>
        <v>,old_tensu_shikibetsu</v>
      </c>
      <c r="Q69" s="76" t="str">
        <f t="shared" si="9"/>
        <v>TEXT</v>
      </c>
      <c r="R69" s="76" t="str">
        <f t="shared" si="10"/>
        <v/>
      </c>
      <c r="S69" s="76" t="str">
        <f t="shared" si="11"/>
        <v/>
      </c>
      <c r="T69" s="76" t="str">
        <f t="shared" si="12"/>
        <v>-- 旧点数識別</v>
      </c>
      <c r="U69" s="4"/>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milscm_2023_010.azn_202310_backup_mt_shinryo_koi_fuka.old_tensu_shikibetsu IS '旧点数識別';</v>
      </c>
    </row>
    <row r="70" spans="1:45" s="25" customFormat="1" ht="37.5">
      <c r="A70" s="4"/>
      <c r="B70" s="21">
        <f t="shared" si="2"/>
        <v>58</v>
      </c>
      <c r="C70" s="6" t="s">
        <v>2221</v>
      </c>
      <c r="D70" s="6" t="s">
        <v>2222</v>
      </c>
      <c r="E70" s="8"/>
      <c r="F70" s="7" t="s">
        <v>1742</v>
      </c>
      <c r="G70" s="7" t="str">
        <f t="shared" si="7"/>
        <v>numeric</v>
      </c>
      <c r="H70" s="26"/>
      <c r="I70" s="10"/>
      <c r="J70" s="11" t="s">
        <v>2393</v>
      </c>
      <c r="M70" s="4"/>
      <c r="N70" s="76"/>
      <c r="O70" s="76"/>
      <c r="P70" s="76" t="str">
        <f t="shared" si="8"/>
        <v>,old_tensu</v>
      </c>
      <c r="Q70" s="76" t="str">
        <f t="shared" si="9"/>
        <v>NUMERIC</v>
      </c>
      <c r="R70" s="76" t="str">
        <f t="shared" si="10"/>
        <v/>
      </c>
      <c r="S70" s="76" t="str">
        <f t="shared" si="11"/>
        <v/>
      </c>
      <c r="T70" s="76" t="str">
        <f t="shared" si="12"/>
        <v>-- 旧点数</v>
      </c>
      <c r="U70" s="4"/>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milscm_2023_010.azn_202310_backup_mt_shinryo_koi_fuka.old_tensu IS '旧点数';</v>
      </c>
    </row>
    <row r="71" spans="1:45" s="25" customFormat="1">
      <c r="A71" s="4"/>
      <c r="B71" s="21">
        <f t="shared" si="2"/>
        <v>59</v>
      </c>
      <c r="C71" s="6" t="s">
        <v>2223</v>
      </c>
      <c r="D71" s="6" t="s">
        <v>2224</v>
      </c>
      <c r="E71" s="8"/>
      <c r="F71" s="7" t="s">
        <v>1735</v>
      </c>
      <c r="G71" s="7" t="str">
        <f t="shared" si="7"/>
        <v>text</v>
      </c>
      <c r="H71" s="26"/>
      <c r="I71" s="10"/>
      <c r="J71" s="11"/>
      <c r="M71" s="4"/>
      <c r="N71" s="76"/>
      <c r="O71" s="76"/>
      <c r="P71" s="76" t="str">
        <f t="shared" si="8"/>
        <v>,kanji_henko_kubun</v>
      </c>
      <c r="Q71" s="76" t="str">
        <f t="shared" si="9"/>
        <v>TEXT</v>
      </c>
      <c r="R71" s="76" t="str">
        <f t="shared" si="10"/>
        <v/>
      </c>
      <c r="S71" s="76" t="str">
        <f t="shared" si="11"/>
        <v/>
      </c>
      <c r="T71" s="76" t="str">
        <f t="shared" si="12"/>
        <v>-- 漢字名称変更区分</v>
      </c>
      <c r="U71" s="4"/>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milscm_2023_010.azn_202310_backup_mt_shinryo_koi_fuka.kanji_henko_kubun IS '漢字名称変更区分';</v>
      </c>
    </row>
    <row r="72" spans="1:45" s="25" customFormat="1">
      <c r="A72" s="4"/>
      <c r="B72" s="21">
        <f t="shared" si="2"/>
        <v>60</v>
      </c>
      <c r="C72" s="6" t="s">
        <v>2225</v>
      </c>
      <c r="D72" s="6" t="s">
        <v>2226</v>
      </c>
      <c r="E72" s="8"/>
      <c r="F72" s="7" t="s">
        <v>1735</v>
      </c>
      <c r="G72" s="7" t="str">
        <f t="shared" si="7"/>
        <v>text</v>
      </c>
      <c r="H72" s="26"/>
      <c r="I72" s="10"/>
      <c r="J72" s="11"/>
      <c r="M72" s="4"/>
      <c r="N72" s="76"/>
      <c r="O72" s="76"/>
      <c r="P72" s="76" t="str">
        <f t="shared" si="8"/>
        <v>,kana_henko_kubun</v>
      </c>
      <c r="Q72" s="76" t="str">
        <f t="shared" si="9"/>
        <v>TEXT</v>
      </c>
      <c r="R72" s="76" t="str">
        <f t="shared" si="10"/>
        <v/>
      </c>
      <c r="S72" s="76" t="str">
        <f t="shared" si="11"/>
        <v/>
      </c>
      <c r="T72" s="76" t="str">
        <f t="shared" si="12"/>
        <v>-- カナ名称変更区分</v>
      </c>
      <c r="U72" s="4"/>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milscm_2023_010.azn_202310_backup_mt_shinryo_koi_fuka.kana_henko_kubun IS 'カナ名称変更区分';</v>
      </c>
    </row>
    <row r="73" spans="1:45" s="25" customFormat="1">
      <c r="A73" s="4"/>
      <c r="B73" s="21">
        <f t="shared" si="2"/>
        <v>61</v>
      </c>
      <c r="C73" s="6" t="s">
        <v>2227</v>
      </c>
      <c r="D73" s="6" t="s">
        <v>2228</v>
      </c>
      <c r="E73" s="8"/>
      <c r="F73" s="7" t="s">
        <v>1735</v>
      </c>
      <c r="G73" s="7" t="str">
        <f t="shared" si="7"/>
        <v>text</v>
      </c>
      <c r="H73" s="26"/>
      <c r="I73" s="10"/>
      <c r="J73" s="11"/>
      <c r="M73" s="4"/>
      <c r="N73" s="76"/>
      <c r="O73" s="76"/>
      <c r="P73" s="76" t="str">
        <f t="shared" si="8"/>
        <v>,kentai_comment</v>
      </c>
      <c r="Q73" s="76" t="str">
        <f t="shared" si="9"/>
        <v>TEXT</v>
      </c>
      <c r="R73" s="76" t="str">
        <f t="shared" si="10"/>
        <v/>
      </c>
      <c r="S73" s="76" t="str">
        <f t="shared" si="11"/>
        <v/>
      </c>
      <c r="T73" s="76" t="str">
        <f t="shared" si="12"/>
        <v>-- 検体検査コメント</v>
      </c>
      <c r="U73" s="4"/>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milscm_2023_010.azn_202310_backup_mt_shinryo_koi_fuka.kentai_comment IS '検体検査コメント';</v>
      </c>
    </row>
    <row r="74" spans="1:45" s="25" customFormat="1">
      <c r="A74" s="4"/>
      <c r="B74" s="21">
        <f t="shared" si="2"/>
        <v>62</v>
      </c>
      <c r="C74" s="6" t="s">
        <v>2229</v>
      </c>
      <c r="D74" s="6" t="s">
        <v>2230</v>
      </c>
      <c r="E74" s="8"/>
      <c r="F74" s="7" t="s">
        <v>1735</v>
      </c>
      <c r="G74" s="7" t="str">
        <f t="shared" si="7"/>
        <v>text</v>
      </c>
      <c r="H74" s="26"/>
      <c r="I74" s="10"/>
      <c r="J74" s="11"/>
      <c r="M74" s="4"/>
      <c r="N74" s="76"/>
      <c r="O74" s="76"/>
      <c r="P74" s="76" t="str">
        <f t="shared" si="8"/>
        <v>,tsusoku_kasan_tensu</v>
      </c>
      <c r="Q74" s="76" t="str">
        <f t="shared" si="9"/>
        <v>TEXT</v>
      </c>
      <c r="R74" s="76" t="str">
        <f t="shared" si="10"/>
        <v/>
      </c>
      <c r="S74" s="76" t="str">
        <f t="shared" si="11"/>
        <v/>
      </c>
      <c r="T74" s="76" t="str">
        <f t="shared" si="12"/>
        <v>-- 通則加算所定点数対象区分</v>
      </c>
      <c r="U74" s="4"/>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milscm_2023_010.azn_202310_backup_mt_shinryo_koi_fuka.tsusoku_kasan_tensu IS '通則加算所定点数対象区分';</v>
      </c>
    </row>
    <row r="75" spans="1:45" s="25" customFormat="1">
      <c r="A75" s="4"/>
      <c r="B75" s="21">
        <f t="shared" si="2"/>
        <v>63</v>
      </c>
      <c r="C75" s="6" t="s">
        <v>2231</v>
      </c>
      <c r="D75" s="6" t="s">
        <v>2232</v>
      </c>
      <c r="E75" s="8"/>
      <c r="F75" s="7" t="s">
        <v>1735</v>
      </c>
      <c r="G75" s="7" t="str">
        <f t="shared" si="7"/>
        <v>text</v>
      </c>
      <c r="H75" s="26"/>
      <c r="I75" s="10"/>
      <c r="J75" s="11"/>
      <c r="M75" s="4"/>
      <c r="N75" s="76"/>
      <c r="O75" s="76"/>
      <c r="P75" s="76" t="str">
        <f t="shared" si="8"/>
        <v>,hokatsu_teigen_kubun</v>
      </c>
      <c r="Q75" s="76" t="str">
        <f t="shared" si="9"/>
        <v>TEXT</v>
      </c>
      <c r="R75" s="76" t="str">
        <f t="shared" si="10"/>
        <v/>
      </c>
      <c r="S75" s="76" t="str">
        <f t="shared" si="11"/>
        <v/>
      </c>
      <c r="T75" s="76" t="str">
        <f t="shared" si="12"/>
        <v>-- 包括逓減区分</v>
      </c>
      <c r="U75" s="4"/>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milscm_2023_010.azn_202310_backup_mt_shinryo_koi_fuka.hokatsu_teigen_kubun IS '包括逓減区分';</v>
      </c>
    </row>
    <row r="76" spans="1:45" s="25" customFormat="1" ht="31.5">
      <c r="A76" s="4"/>
      <c r="B76" s="21">
        <f t="shared" si="2"/>
        <v>64</v>
      </c>
      <c r="C76" s="6" t="s">
        <v>2233</v>
      </c>
      <c r="D76" s="6" t="s">
        <v>2234</v>
      </c>
      <c r="E76" s="8"/>
      <c r="F76" s="7" t="s">
        <v>1735</v>
      </c>
      <c r="G76" s="7" t="str">
        <f t="shared" si="7"/>
        <v>text</v>
      </c>
      <c r="H76" s="26"/>
      <c r="I76" s="10"/>
      <c r="J76" s="11"/>
      <c r="M76" s="4"/>
      <c r="N76" s="76"/>
      <c r="O76" s="76"/>
      <c r="P76" s="76" t="str">
        <f t="shared" si="8"/>
        <v>,choonpa_naishikyo_kasan_kubun</v>
      </c>
      <c r="Q76" s="76" t="str">
        <f t="shared" si="9"/>
        <v>TEXT</v>
      </c>
      <c r="R76" s="76" t="str">
        <f t="shared" si="10"/>
        <v/>
      </c>
      <c r="S76" s="76" t="str">
        <f t="shared" si="11"/>
        <v/>
      </c>
      <c r="T76" s="76" t="str">
        <f t="shared" si="12"/>
        <v>-- 超音波内視鏡加算区分</v>
      </c>
      <c r="U76" s="4"/>
      <c r="AA76" s="4"/>
      <c r="AB76" s="4"/>
      <c r="AC76" s="4"/>
      <c r="AD76" s="4"/>
      <c r="AE76" s="4"/>
      <c r="AF76" s="4"/>
      <c r="AG76" s="4"/>
      <c r="AH76" s="4"/>
      <c r="AI76" s="4"/>
      <c r="AJ76" s="76" t="str">
        <f>IF(E76="○",IF(COUNTA(E$13:E76)=1,"",",")&amp;D76,"")</f>
        <v/>
      </c>
      <c r="AK76" s="4"/>
      <c r="AL76" s="4"/>
      <c r="AM76" s="4"/>
      <c r="AN76" s="4"/>
      <c r="AO76" s="4"/>
      <c r="AP76" s="4"/>
      <c r="AQ76" s="4"/>
      <c r="AR76" s="4"/>
      <c r="AS76" s="76" t="str">
        <f>"COMMENT ON COLUMN "&amp;エンティティ一覧!$O$2&amp;"."&amp;D$8&amp;"."&amp;D76&amp;" IS '"&amp;C76&amp;"';"</f>
        <v>COMMENT ON COLUMN milscm_2023_010.azn_202310_backup_mt_shinryo_koi_fuka.choonpa_naishikyo_kasan_kubun IS '超音波内視鏡加算区分';</v>
      </c>
    </row>
    <row r="77" spans="1:45" s="25" customFormat="1">
      <c r="A77" s="4"/>
      <c r="B77" s="21">
        <f t="shared" si="2"/>
        <v>65</v>
      </c>
      <c r="C77" s="6" t="s">
        <v>1958</v>
      </c>
      <c r="D77" s="6" t="s">
        <v>1181</v>
      </c>
      <c r="E77" s="8"/>
      <c r="F77" s="7" t="s">
        <v>1735</v>
      </c>
      <c r="G77" s="7" t="str">
        <f t="shared" si="7"/>
        <v>text</v>
      </c>
      <c r="H77" s="26"/>
      <c r="I77" s="10"/>
      <c r="J77" s="11" t="s">
        <v>2394</v>
      </c>
      <c r="M77" s="4"/>
      <c r="N77" s="76"/>
      <c r="O77" s="76"/>
      <c r="P77" s="76" t="str">
        <f t="shared" si="8"/>
        <v>,reserve4</v>
      </c>
      <c r="Q77" s="76" t="str">
        <f t="shared" si="9"/>
        <v>TEXT</v>
      </c>
      <c r="R77" s="76" t="str">
        <f t="shared" si="10"/>
        <v/>
      </c>
      <c r="S77" s="76" t="str">
        <f t="shared" si="11"/>
        <v/>
      </c>
      <c r="T77" s="76" t="str">
        <f t="shared" si="12"/>
        <v>-- 予備4</v>
      </c>
      <c r="U77" s="4"/>
      <c r="AA77" s="4"/>
      <c r="AB77" s="4"/>
      <c r="AC77" s="4"/>
      <c r="AD77" s="4"/>
      <c r="AE77" s="4"/>
      <c r="AF77" s="4"/>
      <c r="AG77" s="4"/>
      <c r="AH77" s="4"/>
      <c r="AI77" s="4"/>
      <c r="AJ77" s="76" t="str">
        <f>IF(E77="○",IF(COUNTA(E$13:E77)=1,"",",")&amp;D77,"")</f>
        <v/>
      </c>
      <c r="AK77" s="4"/>
      <c r="AL77" s="4"/>
      <c r="AM77" s="4"/>
      <c r="AN77" s="4"/>
      <c r="AO77" s="4"/>
      <c r="AP77" s="4"/>
      <c r="AQ77" s="4"/>
      <c r="AR77" s="4"/>
      <c r="AS77" s="76" t="str">
        <f>"COMMENT ON COLUMN "&amp;エンティティ一覧!$O$2&amp;"."&amp;D$8&amp;"."&amp;D77&amp;" IS '"&amp;C77&amp;"';"</f>
        <v>COMMENT ON COLUMN milscm_2023_010.azn_202310_backup_mt_shinryo_koi_fuka.reserve4 IS '予備4';</v>
      </c>
    </row>
    <row r="78" spans="1:45" s="25" customFormat="1">
      <c r="A78" s="4"/>
      <c r="B78" s="21">
        <f t="shared" si="2"/>
        <v>66</v>
      </c>
      <c r="C78" s="6" t="s">
        <v>2235</v>
      </c>
      <c r="D78" s="6" t="s">
        <v>2236</v>
      </c>
      <c r="E78" s="8"/>
      <c r="F78" s="7" t="s">
        <v>1735</v>
      </c>
      <c r="G78" s="7" t="str">
        <f t="shared" si="7"/>
        <v>text</v>
      </c>
      <c r="H78" s="26"/>
      <c r="I78" s="10"/>
      <c r="J78" s="11"/>
      <c r="M78" s="4"/>
      <c r="N78" s="76"/>
      <c r="O78" s="76"/>
      <c r="P78" s="76" t="str">
        <f t="shared" si="8"/>
        <v>,tensuran_shikibetsu_nyuin</v>
      </c>
      <c r="Q78" s="76" t="str">
        <f t="shared" si="9"/>
        <v>TEXT</v>
      </c>
      <c r="R78" s="76" t="str">
        <f t="shared" si="10"/>
        <v/>
      </c>
      <c r="S78" s="76" t="str">
        <f t="shared" si="11"/>
        <v/>
      </c>
      <c r="T78" s="76" t="str">
        <f t="shared" si="12"/>
        <v>-- 点数欄集計先識別（入院）</v>
      </c>
      <c r="U78" s="4"/>
      <c r="AA78" s="4"/>
      <c r="AB78" s="4"/>
      <c r="AC78" s="4"/>
      <c r="AD78" s="4"/>
      <c r="AE78" s="4"/>
      <c r="AF78" s="4"/>
      <c r="AG78" s="4"/>
      <c r="AH78" s="4"/>
      <c r="AI78" s="4"/>
      <c r="AJ78" s="76" t="str">
        <f>IF(E78="○",IF(COUNTA(E$13:E78)=1,"",",")&amp;D78,"")</f>
        <v/>
      </c>
      <c r="AK78" s="4"/>
      <c r="AL78" s="4"/>
      <c r="AM78" s="4"/>
      <c r="AN78" s="4"/>
      <c r="AO78" s="4"/>
      <c r="AP78" s="4"/>
      <c r="AQ78" s="4"/>
      <c r="AR78" s="4"/>
      <c r="AS78" s="76" t="str">
        <f>"COMMENT ON COLUMN "&amp;エンティティ一覧!$O$2&amp;"."&amp;D$8&amp;"."&amp;D78&amp;" IS '"&amp;C78&amp;"';"</f>
        <v>COMMENT ON COLUMN milscm_2023_010.azn_202310_backup_mt_shinryo_koi_fuka.tensuran_shikibetsu_nyuin IS '点数欄集計先識別（入院）';</v>
      </c>
    </row>
    <row r="79" spans="1:45" s="25" customFormat="1">
      <c r="A79" s="4"/>
      <c r="B79" s="21">
        <f t="shared" si="2"/>
        <v>67</v>
      </c>
      <c r="C79" s="6" t="s">
        <v>2237</v>
      </c>
      <c r="D79" s="6" t="s">
        <v>2238</v>
      </c>
      <c r="E79" s="8"/>
      <c r="F79" s="7" t="s">
        <v>1735</v>
      </c>
      <c r="G79" s="7" t="str">
        <f t="shared" si="7"/>
        <v>text</v>
      </c>
      <c r="H79" s="26"/>
      <c r="I79" s="10"/>
      <c r="J79" s="11"/>
      <c r="M79" s="4"/>
      <c r="N79" s="76"/>
      <c r="O79" s="76"/>
      <c r="P79" s="76" t="str">
        <f t="shared" si="8"/>
        <v>,fungoki_kasan_kubun</v>
      </c>
      <c r="Q79" s="76" t="str">
        <f t="shared" si="9"/>
        <v>TEXT</v>
      </c>
      <c r="R79" s="76" t="str">
        <f t="shared" si="10"/>
        <v/>
      </c>
      <c r="S79" s="76" t="str">
        <f t="shared" si="11"/>
        <v/>
      </c>
      <c r="T79" s="76" t="str">
        <f t="shared" si="12"/>
        <v>-- 自動吻合器加算区分</v>
      </c>
      <c r="U79" s="4"/>
      <c r="AA79" s="4"/>
      <c r="AB79" s="4"/>
      <c r="AC79" s="4"/>
      <c r="AD79" s="4"/>
      <c r="AE79" s="4"/>
      <c r="AF79" s="4"/>
      <c r="AG79" s="4"/>
      <c r="AH79" s="4"/>
      <c r="AI79" s="4"/>
      <c r="AJ79" s="76" t="str">
        <f>IF(E79="○",IF(COUNTA(E$13:E79)=1,"",",")&amp;D79,"")</f>
        <v/>
      </c>
      <c r="AK79" s="4"/>
      <c r="AL79" s="4"/>
      <c r="AM79" s="4"/>
      <c r="AN79" s="4"/>
      <c r="AO79" s="4"/>
      <c r="AP79" s="4"/>
      <c r="AQ79" s="4"/>
      <c r="AR79" s="4"/>
      <c r="AS79" s="76" t="str">
        <f>"COMMENT ON COLUMN "&amp;エンティティ一覧!$O$2&amp;"."&amp;D$8&amp;"."&amp;D79&amp;" IS '"&amp;C79&amp;"';"</f>
        <v>COMMENT ON COLUMN milscm_2023_010.azn_202310_backup_mt_shinryo_koi_fuka.fungoki_kasan_kubun IS '自動吻合器加算区分';</v>
      </c>
    </row>
    <row r="80" spans="1:45" s="25" customFormat="1">
      <c r="A80" s="4"/>
      <c r="B80" s="21">
        <f t="shared" si="2"/>
        <v>68</v>
      </c>
      <c r="C80" s="6" t="s">
        <v>2239</v>
      </c>
      <c r="D80" s="6" t="s">
        <v>2240</v>
      </c>
      <c r="E80" s="8"/>
      <c r="F80" s="7" t="s">
        <v>1735</v>
      </c>
      <c r="G80" s="7" t="str">
        <f t="shared" si="7"/>
        <v>text</v>
      </c>
      <c r="H80" s="26"/>
      <c r="I80" s="10"/>
      <c r="J80" s="11"/>
      <c r="M80" s="4"/>
      <c r="N80" s="76"/>
      <c r="O80" s="76"/>
      <c r="P80" s="76" t="str">
        <f t="shared" si="8"/>
        <v>,kokuji_shikibetsu_kubun1</v>
      </c>
      <c r="Q80" s="76" t="str">
        <f t="shared" si="9"/>
        <v>TEXT</v>
      </c>
      <c r="R80" s="76" t="str">
        <f t="shared" si="10"/>
        <v/>
      </c>
      <c r="S80" s="76" t="str">
        <f t="shared" si="11"/>
        <v/>
      </c>
      <c r="T80" s="76" t="str">
        <f t="shared" si="12"/>
        <v>-- 告示等識別区分1</v>
      </c>
      <c r="U80" s="4"/>
      <c r="AA80" s="4"/>
      <c r="AB80" s="4"/>
      <c r="AC80" s="4"/>
      <c r="AD80" s="4"/>
      <c r="AE80" s="4"/>
      <c r="AF80" s="4"/>
      <c r="AG80" s="4"/>
      <c r="AH80" s="4"/>
      <c r="AI80" s="4"/>
      <c r="AJ80" s="76" t="str">
        <f>IF(E80="○",IF(COUNTA(E$13:E80)=1,"",",")&amp;D80,"")</f>
        <v/>
      </c>
      <c r="AK80" s="4"/>
      <c r="AL80" s="4"/>
      <c r="AM80" s="4"/>
      <c r="AN80" s="4"/>
      <c r="AO80" s="4"/>
      <c r="AP80" s="4"/>
      <c r="AQ80" s="4"/>
      <c r="AR80" s="4"/>
      <c r="AS80" s="76" t="str">
        <f>"COMMENT ON COLUMN "&amp;エンティティ一覧!$O$2&amp;"."&amp;D$8&amp;"."&amp;D80&amp;" IS '"&amp;C80&amp;"';"</f>
        <v>COMMENT ON COLUMN milscm_2023_010.azn_202310_backup_mt_shinryo_koi_fuka.kokuji_shikibetsu_kubun1 IS '告示等識別区分1';</v>
      </c>
    </row>
    <row r="81" spans="1:45" s="25" customFormat="1">
      <c r="A81" s="4"/>
      <c r="B81" s="21">
        <f t="shared" si="2"/>
        <v>69</v>
      </c>
      <c r="C81" s="6" t="s">
        <v>2241</v>
      </c>
      <c r="D81" s="6" t="s">
        <v>2242</v>
      </c>
      <c r="E81" s="8"/>
      <c r="F81" s="7" t="s">
        <v>1735</v>
      </c>
      <c r="G81" s="7" t="str">
        <f t="shared" si="7"/>
        <v>text</v>
      </c>
      <c r="H81" s="26"/>
      <c r="I81" s="10"/>
      <c r="J81" s="11"/>
      <c r="M81" s="4"/>
      <c r="N81" s="76"/>
      <c r="O81" s="76"/>
      <c r="P81" s="76" t="str">
        <f t="shared" si="8"/>
        <v>,kokuji_shikibetsu_kubun2</v>
      </c>
      <c r="Q81" s="76" t="str">
        <f t="shared" si="9"/>
        <v>TEXT</v>
      </c>
      <c r="R81" s="76" t="str">
        <f t="shared" si="10"/>
        <v/>
      </c>
      <c r="S81" s="76" t="str">
        <f t="shared" si="11"/>
        <v/>
      </c>
      <c r="T81" s="76" t="str">
        <f t="shared" si="12"/>
        <v>-- 告示等識別区分2</v>
      </c>
      <c r="U81" s="4"/>
      <c r="AA81" s="4"/>
      <c r="AB81" s="4"/>
      <c r="AC81" s="4"/>
      <c r="AD81" s="4"/>
      <c r="AE81" s="4"/>
      <c r="AF81" s="4"/>
      <c r="AG81" s="4"/>
      <c r="AH81" s="4"/>
      <c r="AI81" s="4"/>
      <c r="AJ81" s="76" t="str">
        <f>IF(E81="○",IF(COUNTA(E$13:E81)=1,"",",")&amp;D81,"")</f>
        <v/>
      </c>
      <c r="AK81" s="4"/>
      <c r="AL81" s="4"/>
      <c r="AM81" s="4"/>
      <c r="AN81" s="4"/>
      <c r="AO81" s="4"/>
      <c r="AP81" s="4"/>
      <c r="AQ81" s="4"/>
      <c r="AR81" s="4"/>
      <c r="AS81" s="76" t="str">
        <f>"COMMENT ON COLUMN "&amp;エンティティ一覧!$O$2&amp;"."&amp;D$8&amp;"."&amp;D81&amp;" IS '"&amp;C81&amp;"';"</f>
        <v>COMMENT ON COLUMN milscm_2023_010.azn_202310_backup_mt_shinryo_koi_fuka.kokuji_shikibetsu_kubun2 IS '告示等識別区分2';</v>
      </c>
    </row>
    <row r="82" spans="1:45" s="25" customFormat="1">
      <c r="A82" s="4"/>
      <c r="B82" s="21">
        <f t="shared" si="2"/>
        <v>70</v>
      </c>
      <c r="C82" s="6" t="s">
        <v>2243</v>
      </c>
      <c r="D82" s="6" t="s">
        <v>2244</v>
      </c>
      <c r="E82" s="8"/>
      <c r="F82" s="7" t="s">
        <v>1735</v>
      </c>
      <c r="G82" s="7" t="str">
        <f t="shared" ref="G82:G145" si="13">IF(F82="フラグ","boolean",IF(F82="文字列","text",IF(F82="整数","integer",IF(F82="実数","numeric",""))))</f>
        <v>text</v>
      </c>
      <c r="H82" s="26"/>
      <c r="I82" s="10"/>
      <c r="J82" s="11"/>
      <c r="M82" s="4"/>
      <c r="N82" s="76"/>
      <c r="O82" s="76"/>
      <c r="P82" s="76" t="str">
        <f t="shared" ref="P82:P145" si="14">IF(B82&lt;&gt;1,","&amp;D82,D82)</f>
        <v>,chiiki_kasan</v>
      </c>
      <c r="Q82" s="76" t="str">
        <f t="shared" ref="Q82:Q145" si="15">UPPER(G82)</f>
        <v>TEXT</v>
      </c>
      <c r="R82" s="76" t="str">
        <f t="shared" ref="R82:R145" si="16">IF(H82&lt;&gt;"","default "&amp;IF(G82="text","'"&amp;H82&amp;"'",H82),"")</f>
        <v/>
      </c>
      <c r="S82" s="76" t="str">
        <f t="shared" ref="S82:S145" si="17">IF(I82="○","NOT NULL","")</f>
        <v/>
      </c>
      <c r="T82" s="76" t="str">
        <f t="shared" ref="T82:T145" si="18">"-- "&amp;C82</f>
        <v>-- 地域加算</v>
      </c>
      <c r="U82" s="4"/>
      <c r="AA82" s="4"/>
      <c r="AB82" s="4"/>
      <c r="AC82" s="4"/>
      <c r="AD82" s="4"/>
      <c r="AE82" s="4"/>
      <c r="AF82" s="4"/>
      <c r="AG82" s="4"/>
      <c r="AH82" s="4"/>
      <c r="AI82" s="4"/>
      <c r="AJ82" s="76" t="str">
        <f>IF(E82="○",IF(COUNTA(E$13:E82)=1,"",",")&amp;D82,"")</f>
        <v/>
      </c>
      <c r="AK82" s="4"/>
      <c r="AL82" s="4"/>
      <c r="AM82" s="4"/>
      <c r="AN82" s="4"/>
      <c r="AO82" s="4"/>
      <c r="AP82" s="4"/>
      <c r="AQ82" s="4"/>
      <c r="AR82" s="4"/>
      <c r="AS82" s="76" t="str">
        <f>"COMMENT ON COLUMN "&amp;エンティティ一覧!$O$2&amp;"."&amp;D$8&amp;"."&amp;D82&amp;" IS '"&amp;C82&amp;"';"</f>
        <v>COMMENT ON COLUMN milscm_2023_010.azn_202310_backup_mt_shinryo_koi_fuka.chiiki_kasan IS '地域加算';</v>
      </c>
    </row>
    <row r="83" spans="1:45" s="25" customFormat="1">
      <c r="A83" s="4"/>
      <c r="B83" s="21">
        <f t="shared" si="2"/>
        <v>71</v>
      </c>
      <c r="C83" s="6" t="s">
        <v>2245</v>
      </c>
      <c r="D83" s="6" t="s">
        <v>2246</v>
      </c>
      <c r="E83" s="8"/>
      <c r="F83" s="7" t="s">
        <v>1735</v>
      </c>
      <c r="G83" s="7" t="str">
        <f t="shared" si="13"/>
        <v>text</v>
      </c>
      <c r="H83" s="26"/>
      <c r="I83" s="10"/>
      <c r="J83" s="11"/>
      <c r="M83" s="4"/>
      <c r="N83" s="76"/>
      <c r="O83" s="76"/>
      <c r="P83" s="76" t="str">
        <f t="shared" si="14"/>
        <v>,bed_su_kubun</v>
      </c>
      <c r="Q83" s="76" t="str">
        <f t="shared" si="15"/>
        <v>TEXT</v>
      </c>
      <c r="R83" s="76" t="str">
        <f t="shared" si="16"/>
        <v/>
      </c>
      <c r="S83" s="76" t="str">
        <f t="shared" si="17"/>
        <v/>
      </c>
      <c r="T83" s="76" t="str">
        <f t="shared" si="18"/>
        <v>-- 病床数区分</v>
      </c>
      <c r="U83" s="4"/>
      <c r="AA83" s="4"/>
      <c r="AB83" s="4"/>
      <c r="AC83" s="4"/>
      <c r="AD83" s="4"/>
      <c r="AE83" s="4"/>
      <c r="AF83" s="4"/>
      <c r="AG83" s="4"/>
      <c r="AH83" s="4"/>
      <c r="AI83" s="4"/>
      <c r="AJ83" s="76" t="str">
        <f>IF(E83="○",IF(COUNTA(E$13:E83)=1,"",",")&amp;D83,"")</f>
        <v/>
      </c>
      <c r="AK83" s="4"/>
      <c r="AL83" s="4"/>
      <c r="AM83" s="4"/>
      <c r="AN83" s="4"/>
      <c r="AO83" s="4"/>
      <c r="AP83" s="4"/>
      <c r="AQ83" s="4"/>
      <c r="AR83" s="4"/>
      <c r="AS83" s="76" t="str">
        <f>"COMMENT ON COLUMN "&amp;エンティティ一覧!$O$2&amp;"."&amp;D$8&amp;"."&amp;D83&amp;" IS '"&amp;C83&amp;"';"</f>
        <v>COMMENT ON COLUMN milscm_2023_010.azn_202310_backup_mt_shinryo_koi_fuka.bed_su_kubun IS '病床数区分';</v>
      </c>
    </row>
    <row r="84" spans="1:45" s="25" customFormat="1">
      <c r="A84" s="4"/>
      <c r="B84" s="21">
        <f t="shared" si="2"/>
        <v>72</v>
      </c>
      <c r="C84" s="6" t="s">
        <v>2247</v>
      </c>
      <c r="D84" s="6" t="s">
        <v>2248</v>
      </c>
      <c r="E84" s="8"/>
      <c r="F84" s="7" t="s">
        <v>1735</v>
      </c>
      <c r="G84" s="7" t="str">
        <f t="shared" si="13"/>
        <v>text</v>
      </c>
      <c r="H84" s="26"/>
      <c r="I84" s="10"/>
      <c r="J84" s="11"/>
      <c r="M84" s="4"/>
      <c r="N84" s="76"/>
      <c r="O84" s="76"/>
      <c r="P84" s="76" t="str">
        <f t="shared" si="14"/>
        <v>,facility_kijun_code1</v>
      </c>
      <c r="Q84" s="76" t="str">
        <f t="shared" si="15"/>
        <v>TEXT</v>
      </c>
      <c r="R84" s="76" t="str">
        <f t="shared" si="16"/>
        <v/>
      </c>
      <c r="S84" s="76" t="str">
        <f t="shared" si="17"/>
        <v/>
      </c>
      <c r="T84" s="76" t="str">
        <f t="shared" si="18"/>
        <v>-- 施設基準コード1</v>
      </c>
      <c r="U84" s="4"/>
      <c r="AA84" s="4"/>
      <c r="AB84" s="4"/>
      <c r="AC84" s="4"/>
      <c r="AD84" s="4"/>
      <c r="AE84" s="4"/>
      <c r="AF84" s="4"/>
      <c r="AG84" s="4"/>
      <c r="AH84" s="4"/>
      <c r="AI84" s="4"/>
      <c r="AJ84" s="76" t="str">
        <f>IF(E84="○",IF(COUNTA(E$13:E84)=1,"",",")&amp;D84,"")</f>
        <v/>
      </c>
      <c r="AK84" s="4"/>
      <c r="AL84" s="4"/>
      <c r="AM84" s="4"/>
      <c r="AN84" s="4"/>
      <c r="AO84" s="4"/>
      <c r="AP84" s="4"/>
      <c r="AQ84" s="4"/>
      <c r="AR84" s="4"/>
      <c r="AS84" s="76" t="str">
        <f>"COMMENT ON COLUMN "&amp;エンティティ一覧!$O$2&amp;"."&amp;D$8&amp;"."&amp;D84&amp;" IS '"&amp;C84&amp;"';"</f>
        <v>COMMENT ON COLUMN milscm_2023_010.azn_202310_backup_mt_shinryo_koi_fuka.facility_kijun_code1 IS '施設基準コード1';</v>
      </c>
    </row>
    <row r="85" spans="1:45" s="25" customFormat="1">
      <c r="A85" s="4"/>
      <c r="B85" s="21">
        <f t="shared" si="2"/>
        <v>73</v>
      </c>
      <c r="C85" s="6" t="s">
        <v>2249</v>
      </c>
      <c r="D85" s="6" t="s">
        <v>2250</v>
      </c>
      <c r="E85" s="8"/>
      <c r="F85" s="7" t="s">
        <v>1735</v>
      </c>
      <c r="G85" s="7" t="str">
        <f t="shared" si="13"/>
        <v>text</v>
      </c>
      <c r="H85" s="26"/>
      <c r="I85" s="10"/>
      <c r="J85" s="11"/>
      <c r="M85" s="4"/>
      <c r="N85" s="76"/>
      <c r="O85" s="76"/>
      <c r="P85" s="76" t="str">
        <f t="shared" si="14"/>
        <v>,facility_kijun_code2</v>
      </c>
      <c r="Q85" s="76" t="str">
        <f t="shared" si="15"/>
        <v>TEXT</v>
      </c>
      <c r="R85" s="76" t="str">
        <f t="shared" si="16"/>
        <v/>
      </c>
      <c r="S85" s="76" t="str">
        <f t="shared" si="17"/>
        <v/>
      </c>
      <c r="T85" s="76" t="str">
        <f t="shared" si="18"/>
        <v>-- 施設基準コード2</v>
      </c>
      <c r="U85" s="4"/>
      <c r="AA85" s="4"/>
      <c r="AB85" s="4"/>
      <c r="AC85" s="4"/>
      <c r="AD85" s="4"/>
      <c r="AE85" s="4"/>
      <c r="AF85" s="4"/>
      <c r="AG85" s="4"/>
      <c r="AH85" s="4"/>
      <c r="AI85" s="4"/>
      <c r="AJ85" s="76" t="str">
        <f>IF(E85="○",IF(COUNTA(E$13:E85)=1,"",",")&amp;D85,"")</f>
        <v/>
      </c>
      <c r="AK85" s="4"/>
      <c r="AL85" s="4"/>
      <c r="AM85" s="4"/>
      <c r="AN85" s="4"/>
      <c r="AO85" s="4"/>
      <c r="AP85" s="4"/>
      <c r="AQ85" s="4"/>
      <c r="AR85" s="4"/>
      <c r="AS85" s="76" t="str">
        <f>"COMMENT ON COLUMN "&amp;エンティティ一覧!$O$2&amp;"."&amp;D$8&amp;"."&amp;D85&amp;" IS '"&amp;C85&amp;"';"</f>
        <v>COMMENT ON COLUMN milscm_2023_010.azn_202310_backup_mt_shinryo_koi_fuka.facility_kijun_code2 IS '施設基準コード2';</v>
      </c>
    </row>
    <row r="86" spans="1:45" s="25" customFormat="1">
      <c r="A86" s="4"/>
      <c r="B86" s="21">
        <f t="shared" si="2"/>
        <v>74</v>
      </c>
      <c r="C86" s="6" t="s">
        <v>2251</v>
      </c>
      <c r="D86" s="6" t="s">
        <v>2252</v>
      </c>
      <c r="E86" s="8"/>
      <c r="F86" s="7" t="s">
        <v>1735</v>
      </c>
      <c r="G86" s="7" t="str">
        <f t="shared" si="13"/>
        <v>text</v>
      </c>
      <c r="H86" s="26"/>
      <c r="I86" s="10"/>
      <c r="J86" s="11"/>
      <c r="M86" s="4"/>
      <c r="N86" s="76"/>
      <c r="O86" s="76"/>
      <c r="P86" s="76" t="str">
        <f t="shared" si="14"/>
        <v>,facility_kijun_code3</v>
      </c>
      <c r="Q86" s="76" t="str">
        <f t="shared" si="15"/>
        <v>TEXT</v>
      </c>
      <c r="R86" s="76" t="str">
        <f t="shared" si="16"/>
        <v/>
      </c>
      <c r="S86" s="76" t="str">
        <f t="shared" si="17"/>
        <v/>
      </c>
      <c r="T86" s="76" t="str">
        <f t="shared" si="18"/>
        <v>-- 施設基準コード3</v>
      </c>
      <c r="U86" s="4"/>
      <c r="AA86" s="4"/>
      <c r="AB86" s="4"/>
      <c r="AC86" s="4"/>
      <c r="AD86" s="4"/>
      <c r="AE86" s="4"/>
      <c r="AF86" s="4"/>
      <c r="AG86" s="4"/>
      <c r="AH86" s="4"/>
      <c r="AI86" s="4"/>
      <c r="AJ86" s="76" t="str">
        <f>IF(E86="○",IF(COUNTA(E$13:E86)=1,"",",")&amp;D86,"")</f>
        <v/>
      </c>
      <c r="AK86" s="4"/>
      <c r="AL86" s="4"/>
      <c r="AM86" s="4"/>
      <c r="AN86" s="4"/>
      <c r="AO86" s="4"/>
      <c r="AP86" s="4"/>
      <c r="AQ86" s="4"/>
      <c r="AR86" s="4"/>
      <c r="AS86" s="76" t="str">
        <f>"COMMENT ON COLUMN "&amp;エンティティ一覧!$O$2&amp;"."&amp;D$8&amp;"."&amp;D86&amp;" IS '"&amp;C86&amp;"';"</f>
        <v>COMMENT ON COLUMN milscm_2023_010.azn_202310_backup_mt_shinryo_koi_fuka.facility_kijun_code3 IS '施設基準コード3';</v>
      </c>
    </row>
    <row r="87" spans="1:45" s="25" customFormat="1">
      <c r="A87" s="4"/>
      <c r="B87" s="21">
        <f t="shared" si="2"/>
        <v>75</v>
      </c>
      <c r="C87" s="6" t="s">
        <v>2253</v>
      </c>
      <c r="D87" s="6" t="s">
        <v>2254</v>
      </c>
      <c r="E87" s="8"/>
      <c r="F87" s="7" t="s">
        <v>1735</v>
      </c>
      <c r="G87" s="7" t="str">
        <f t="shared" si="13"/>
        <v>text</v>
      </c>
      <c r="H87" s="26"/>
      <c r="I87" s="10"/>
      <c r="J87" s="11"/>
      <c r="M87" s="4"/>
      <c r="N87" s="76"/>
      <c r="O87" s="76"/>
      <c r="P87" s="76" t="str">
        <f t="shared" si="14"/>
        <v>,facility_kijun_code4</v>
      </c>
      <c r="Q87" s="76" t="str">
        <f t="shared" si="15"/>
        <v>TEXT</v>
      </c>
      <c r="R87" s="76" t="str">
        <f t="shared" si="16"/>
        <v/>
      </c>
      <c r="S87" s="76" t="str">
        <f t="shared" si="17"/>
        <v/>
      </c>
      <c r="T87" s="76" t="str">
        <f t="shared" si="18"/>
        <v>-- 施設基準コード4</v>
      </c>
      <c r="U87" s="4"/>
      <c r="AA87" s="4"/>
      <c r="AB87" s="4"/>
      <c r="AC87" s="4"/>
      <c r="AD87" s="4"/>
      <c r="AE87" s="4"/>
      <c r="AF87" s="4"/>
      <c r="AG87" s="4"/>
      <c r="AH87" s="4"/>
      <c r="AI87" s="4"/>
      <c r="AJ87" s="76" t="str">
        <f>IF(E87="○",IF(COUNTA(E$13:E87)=1,"",",")&amp;D87,"")</f>
        <v/>
      </c>
      <c r="AK87" s="4"/>
      <c r="AL87" s="4"/>
      <c r="AM87" s="4"/>
      <c r="AN87" s="4"/>
      <c r="AO87" s="4"/>
      <c r="AP87" s="4"/>
      <c r="AQ87" s="4"/>
      <c r="AR87" s="4"/>
      <c r="AS87" s="76" t="str">
        <f>"COMMENT ON COLUMN "&amp;エンティティ一覧!$O$2&amp;"."&amp;D$8&amp;"."&amp;D87&amp;" IS '"&amp;C87&amp;"';"</f>
        <v>COMMENT ON COLUMN milscm_2023_010.azn_202310_backup_mt_shinryo_koi_fuka.facility_kijun_code4 IS '施設基準コード4';</v>
      </c>
    </row>
    <row r="88" spans="1:45" s="25" customFormat="1">
      <c r="A88" s="4"/>
      <c r="B88" s="21">
        <f t="shared" si="2"/>
        <v>76</v>
      </c>
      <c r="C88" s="6" t="s">
        <v>2255</v>
      </c>
      <c r="D88" s="6" t="s">
        <v>2256</v>
      </c>
      <c r="E88" s="8"/>
      <c r="F88" s="7" t="s">
        <v>1735</v>
      </c>
      <c r="G88" s="7" t="str">
        <f t="shared" si="13"/>
        <v>text</v>
      </c>
      <c r="H88" s="26"/>
      <c r="I88" s="10"/>
      <c r="J88" s="11"/>
      <c r="M88" s="4"/>
      <c r="N88" s="76"/>
      <c r="O88" s="76"/>
      <c r="P88" s="76" t="str">
        <f t="shared" si="14"/>
        <v>,facility_kijun_code5</v>
      </c>
      <c r="Q88" s="76" t="str">
        <f t="shared" si="15"/>
        <v>TEXT</v>
      </c>
      <c r="R88" s="76" t="str">
        <f t="shared" si="16"/>
        <v/>
      </c>
      <c r="S88" s="76" t="str">
        <f t="shared" si="17"/>
        <v/>
      </c>
      <c r="T88" s="76" t="str">
        <f t="shared" si="18"/>
        <v>-- 施設基準コード5</v>
      </c>
      <c r="U88" s="4"/>
      <c r="AA88" s="4"/>
      <c r="AB88" s="4"/>
      <c r="AC88" s="4"/>
      <c r="AD88" s="4"/>
      <c r="AE88" s="4"/>
      <c r="AF88" s="4"/>
      <c r="AG88" s="4"/>
      <c r="AH88" s="4"/>
      <c r="AI88" s="4"/>
      <c r="AJ88" s="76" t="str">
        <f>IF(E88="○",IF(COUNTA(E$13:E88)=1,"",",")&amp;D88,"")</f>
        <v/>
      </c>
      <c r="AK88" s="4"/>
      <c r="AL88" s="4"/>
      <c r="AM88" s="4"/>
      <c r="AN88" s="4"/>
      <c r="AO88" s="4"/>
      <c r="AP88" s="4"/>
      <c r="AQ88" s="4"/>
      <c r="AR88" s="4"/>
      <c r="AS88" s="76" t="str">
        <f>"COMMENT ON COLUMN "&amp;エンティティ一覧!$O$2&amp;"."&amp;D$8&amp;"."&amp;D88&amp;" IS '"&amp;C88&amp;"';"</f>
        <v>COMMENT ON COLUMN milscm_2023_010.azn_202310_backup_mt_shinryo_koi_fuka.facility_kijun_code5 IS '施設基準コード5';</v>
      </c>
    </row>
    <row r="89" spans="1:45" s="25" customFormat="1">
      <c r="A89" s="4"/>
      <c r="B89" s="21">
        <f t="shared" si="2"/>
        <v>77</v>
      </c>
      <c r="C89" s="6" t="s">
        <v>2257</v>
      </c>
      <c r="D89" s="6" t="s">
        <v>2258</v>
      </c>
      <c r="E89" s="8"/>
      <c r="F89" s="7" t="s">
        <v>1735</v>
      </c>
      <c r="G89" s="7" t="str">
        <f t="shared" si="13"/>
        <v>text</v>
      </c>
      <c r="H89" s="26"/>
      <c r="I89" s="10"/>
      <c r="J89" s="11"/>
      <c r="M89" s="4"/>
      <c r="N89" s="76"/>
      <c r="O89" s="76"/>
      <c r="P89" s="76" t="str">
        <f t="shared" si="14"/>
        <v>,facility_kijun_code6</v>
      </c>
      <c r="Q89" s="76" t="str">
        <f t="shared" si="15"/>
        <v>TEXT</v>
      </c>
      <c r="R89" s="76" t="str">
        <f t="shared" si="16"/>
        <v/>
      </c>
      <c r="S89" s="76" t="str">
        <f t="shared" si="17"/>
        <v/>
      </c>
      <c r="T89" s="76" t="str">
        <f t="shared" si="18"/>
        <v>-- 施設基準コード6</v>
      </c>
      <c r="U89" s="4"/>
      <c r="AA89" s="4"/>
      <c r="AB89" s="4"/>
      <c r="AC89" s="4"/>
      <c r="AD89" s="4"/>
      <c r="AE89" s="4"/>
      <c r="AF89" s="4"/>
      <c r="AG89" s="4"/>
      <c r="AH89" s="4"/>
      <c r="AI89" s="4"/>
      <c r="AJ89" s="76" t="str">
        <f>IF(E89="○",IF(COUNTA(E$13:E89)=1,"",",")&amp;D89,"")</f>
        <v/>
      </c>
      <c r="AK89" s="4"/>
      <c r="AL89" s="4"/>
      <c r="AM89" s="4"/>
      <c r="AN89" s="4"/>
      <c r="AO89" s="4"/>
      <c r="AP89" s="4"/>
      <c r="AQ89" s="4"/>
      <c r="AR89" s="4"/>
      <c r="AS89" s="76" t="str">
        <f>"COMMENT ON COLUMN "&amp;エンティティ一覧!$O$2&amp;"."&amp;D$8&amp;"."&amp;D89&amp;" IS '"&amp;C89&amp;"';"</f>
        <v>COMMENT ON COLUMN milscm_2023_010.azn_202310_backup_mt_shinryo_koi_fuka.facility_kijun_code6 IS '施設基準コード6';</v>
      </c>
    </row>
    <row r="90" spans="1:45" s="25" customFormat="1">
      <c r="A90" s="4"/>
      <c r="B90" s="21">
        <f t="shared" si="2"/>
        <v>78</v>
      </c>
      <c r="C90" s="6" t="s">
        <v>2259</v>
      </c>
      <c r="D90" s="6" t="s">
        <v>2260</v>
      </c>
      <c r="E90" s="8"/>
      <c r="F90" s="7" t="s">
        <v>1735</v>
      </c>
      <c r="G90" s="7" t="str">
        <f t="shared" si="13"/>
        <v>text</v>
      </c>
      <c r="H90" s="26"/>
      <c r="I90" s="10"/>
      <c r="J90" s="11"/>
      <c r="M90" s="4"/>
      <c r="N90" s="76"/>
      <c r="O90" s="76"/>
      <c r="P90" s="76" t="str">
        <f t="shared" si="14"/>
        <v>,facility_kijun_code7</v>
      </c>
      <c r="Q90" s="76" t="str">
        <f t="shared" si="15"/>
        <v>TEXT</v>
      </c>
      <c r="R90" s="76" t="str">
        <f t="shared" si="16"/>
        <v/>
      </c>
      <c r="S90" s="76" t="str">
        <f t="shared" si="17"/>
        <v/>
      </c>
      <c r="T90" s="76" t="str">
        <f t="shared" si="18"/>
        <v>-- 施設基準コード7</v>
      </c>
      <c r="U90" s="4"/>
      <c r="AA90" s="4"/>
      <c r="AB90" s="4"/>
      <c r="AC90" s="4"/>
      <c r="AD90" s="4"/>
      <c r="AE90" s="4"/>
      <c r="AF90" s="4"/>
      <c r="AG90" s="4"/>
      <c r="AH90" s="4"/>
      <c r="AI90" s="4"/>
      <c r="AJ90" s="76" t="str">
        <f>IF(E90="○",IF(COUNTA(E$13:E90)=1,"",",")&amp;D90,"")</f>
        <v/>
      </c>
      <c r="AK90" s="4"/>
      <c r="AL90" s="4"/>
      <c r="AM90" s="4"/>
      <c r="AN90" s="4"/>
      <c r="AO90" s="4"/>
      <c r="AP90" s="4"/>
      <c r="AQ90" s="4"/>
      <c r="AR90" s="4"/>
      <c r="AS90" s="76" t="str">
        <f>"COMMENT ON COLUMN "&amp;エンティティ一覧!$O$2&amp;"."&amp;D$8&amp;"."&amp;D90&amp;" IS '"&amp;C90&amp;"';"</f>
        <v>COMMENT ON COLUMN milscm_2023_010.azn_202310_backup_mt_shinryo_koi_fuka.facility_kijun_code7 IS '施設基準コード7';</v>
      </c>
    </row>
    <row r="91" spans="1:45" s="25" customFormat="1">
      <c r="A91" s="4"/>
      <c r="B91" s="21">
        <f t="shared" si="2"/>
        <v>79</v>
      </c>
      <c r="C91" s="6" t="s">
        <v>2261</v>
      </c>
      <c r="D91" s="6" t="s">
        <v>2262</v>
      </c>
      <c r="E91" s="8"/>
      <c r="F91" s="7" t="s">
        <v>1735</v>
      </c>
      <c r="G91" s="7" t="str">
        <f t="shared" si="13"/>
        <v>text</v>
      </c>
      <c r="H91" s="26"/>
      <c r="I91" s="10"/>
      <c r="J91" s="11"/>
      <c r="M91" s="4"/>
      <c r="N91" s="76"/>
      <c r="O91" s="76"/>
      <c r="P91" s="76" t="str">
        <f t="shared" si="14"/>
        <v>,facility_kijun_code8</v>
      </c>
      <c r="Q91" s="76" t="str">
        <f t="shared" si="15"/>
        <v>TEXT</v>
      </c>
      <c r="R91" s="76" t="str">
        <f t="shared" si="16"/>
        <v/>
      </c>
      <c r="S91" s="76" t="str">
        <f t="shared" si="17"/>
        <v/>
      </c>
      <c r="T91" s="76" t="str">
        <f t="shared" si="18"/>
        <v>-- 施設基準コード8</v>
      </c>
      <c r="U91" s="4"/>
      <c r="AA91" s="4"/>
      <c r="AB91" s="4"/>
      <c r="AC91" s="4"/>
      <c r="AD91" s="4"/>
      <c r="AE91" s="4"/>
      <c r="AF91" s="4"/>
      <c r="AG91" s="4"/>
      <c r="AH91" s="4"/>
      <c r="AI91" s="4"/>
      <c r="AJ91" s="76" t="str">
        <f>IF(E91="○",IF(COUNTA(E$13:E91)=1,"",",")&amp;D91,"")</f>
        <v/>
      </c>
      <c r="AK91" s="4"/>
      <c r="AL91" s="4"/>
      <c r="AM91" s="4"/>
      <c r="AN91" s="4"/>
      <c r="AO91" s="4"/>
      <c r="AP91" s="4"/>
      <c r="AQ91" s="4"/>
      <c r="AR91" s="4"/>
      <c r="AS91" s="76" t="str">
        <f>"COMMENT ON COLUMN "&amp;エンティティ一覧!$O$2&amp;"."&amp;D$8&amp;"."&amp;D91&amp;" IS '"&amp;C91&amp;"';"</f>
        <v>COMMENT ON COLUMN milscm_2023_010.azn_202310_backup_mt_shinryo_koi_fuka.facility_kijun_code8 IS '施設基準コード8';</v>
      </c>
    </row>
    <row r="92" spans="1:45" s="25" customFormat="1">
      <c r="A92" s="4"/>
      <c r="B92" s="21">
        <f t="shared" si="2"/>
        <v>80</v>
      </c>
      <c r="C92" s="6" t="s">
        <v>2263</v>
      </c>
      <c r="D92" s="6" t="s">
        <v>2264</v>
      </c>
      <c r="E92" s="8"/>
      <c r="F92" s="7" t="s">
        <v>1735</v>
      </c>
      <c r="G92" s="7" t="str">
        <f t="shared" si="13"/>
        <v>text</v>
      </c>
      <c r="H92" s="26"/>
      <c r="I92" s="10"/>
      <c r="J92" s="11"/>
      <c r="M92" s="4"/>
      <c r="N92" s="76"/>
      <c r="O92" s="76"/>
      <c r="P92" s="76" t="str">
        <f t="shared" si="14"/>
        <v>,facility_kijun_code9</v>
      </c>
      <c r="Q92" s="76" t="str">
        <f t="shared" si="15"/>
        <v>TEXT</v>
      </c>
      <c r="R92" s="76" t="str">
        <f t="shared" si="16"/>
        <v/>
      </c>
      <c r="S92" s="76" t="str">
        <f t="shared" si="17"/>
        <v/>
      </c>
      <c r="T92" s="76" t="str">
        <f t="shared" si="18"/>
        <v>-- 施設基準コード9</v>
      </c>
      <c r="U92" s="4"/>
      <c r="AA92" s="4"/>
      <c r="AB92" s="4"/>
      <c r="AC92" s="4"/>
      <c r="AD92" s="4"/>
      <c r="AE92" s="4"/>
      <c r="AF92" s="4"/>
      <c r="AG92" s="4"/>
      <c r="AH92" s="4"/>
      <c r="AI92" s="4"/>
      <c r="AJ92" s="76" t="str">
        <f>IF(E92="○",IF(COUNTA(E$13:E92)=1,"",",")&amp;D92,"")</f>
        <v/>
      </c>
      <c r="AK92" s="4"/>
      <c r="AL92" s="4"/>
      <c r="AM92" s="4"/>
      <c r="AN92" s="4"/>
      <c r="AO92" s="4"/>
      <c r="AP92" s="4"/>
      <c r="AQ92" s="4"/>
      <c r="AR92" s="4"/>
      <c r="AS92" s="76" t="str">
        <f>"COMMENT ON COLUMN "&amp;エンティティ一覧!$O$2&amp;"."&amp;D$8&amp;"."&amp;D92&amp;" IS '"&amp;C92&amp;"';"</f>
        <v>COMMENT ON COLUMN milscm_2023_010.azn_202310_backup_mt_shinryo_koi_fuka.facility_kijun_code9 IS '施設基準コード9';</v>
      </c>
    </row>
    <row r="93" spans="1:45" s="25" customFormat="1">
      <c r="A93" s="4"/>
      <c r="B93" s="21">
        <f t="shared" si="2"/>
        <v>81</v>
      </c>
      <c r="C93" s="6" t="s">
        <v>2265</v>
      </c>
      <c r="D93" s="6" t="s">
        <v>2266</v>
      </c>
      <c r="E93" s="8"/>
      <c r="F93" s="7" t="s">
        <v>1735</v>
      </c>
      <c r="G93" s="7" t="str">
        <f t="shared" si="13"/>
        <v>text</v>
      </c>
      <c r="H93" s="26"/>
      <c r="I93" s="10"/>
      <c r="J93" s="11"/>
      <c r="M93" s="4"/>
      <c r="N93" s="76"/>
      <c r="O93" s="76"/>
      <c r="P93" s="76" t="str">
        <f t="shared" si="14"/>
        <v>,facility_kijun_code10</v>
      </c>
      <c r="Q93" s="76" t="str">
        <f t="shared" si="15"/>
        <v>TEXT</v>
      </c>
      <c r="R93" s="76" t="str">
        <f t="shared" si="16"/>
        <v/>
      </c>
      <c r="S93" s="76" t="str">
        <f t="shared" si="17"/>
        <v/>
      </c>
      <c r="T93" s="76" t="str">
        <f t="shared" si="18"/>
        <v>-- 施設基準コード10</v>
      </c>
      <c r="U93" s="4"/>
      <c r="AA93" s="4"/>
      <c r="AB93" s="4"/>
      <c r="AC93" s="4"/>
      <c r="AD93" s="4"/>
      <c r="AE93" s="4"/>
      <c r="AF93" s="4"/>
      <c r="AG93" s="4"/>
      <c r="AH93" s="4"/>
      <c r="AI93" s="4"/>
      <c r="AJ93" s="76" t="str">
        <f>IF(E93="○",IF(COUNTA(E$13:E93)=1,"",",")&amp;D93,"")</f>
        <v/>
      </c>
      <c r="AK93" s="4"/>
      <c r="AL93" s="4"/>
      <c r="AM93" s="4"/>
      <c r="AN93" s="4"/>
      <c r="AO93" s="4"/>
      <c r="AP93" s="4"/>
      <c r="AQ93" s="4"/>
      <c r="AR93" s="4"/>
      <c r="AS93" s="76" t="str">
        <f>"COMMENT ON COLUMN "&amp;エンティティ一覧!$O$2&amp;"."&amp;D$8&amp;"."&amp;D93&amp;" IS '"&amp;C93&amp;"';"</f>
        <v>COMMENT ON COLUMN milscm_2023_010.azn_202310_backup_mt_shinryo_koi_fuka.facility_kijun_code10 IS '施設基準コード10';</v>
      </c>
    </row>
    <row r="94" spans="1:45" s="25" customFormat="1" ht="31.5">
      <c r="A94" s="4"/>
      <c r="B94" s="21">
        <f t="shared" si="2"/>
        <v>82</v>
      </c>
      <c r="C94" s="6" t="s">
        <v>2267</v>
      </c>
      <c r="D94" s="6" t="s">
        <v>2268</v>
      </c>
      <c r="E94" s="8"/>
      <c r="F94" s="7" t="s">
        <v>1735</v>
      </c>
      <c r="G94" s="7" t="str">
        <f t="shared" si="13"/>
        <v>text</v>
      </c>
      <c r="H94" s="26"/>
      <c r="I94" s="10"/>
      <c r="J94" s="11"/>
      <c r="M94" s="4"/>
      <c r="N94" s="76"/>
      <c r="O94" s="76"/>
      <c r="P94" s="76" t="str">
        <f t="shared" si="14"/>
        <v>,choonpa_sekkai_kasan_kubun</v>
      </c>
      <c r="Q94" s="76" t="str">
        <f t="shared" si="15"/>
        <v>TEXT</v>
      </c>
      <c r="R94" s="76" t="str">
        <f t="shared" si="16"/>
        <v/>
      </c>
      <c r="S94" s="76" t="str">
        <f t="shared" si="17"/>
        <v/>
      </c>
      <c r="T94" s="76" t="str">
        <f t="shared" si="18"/>
        <v>-- 超音波凝固切開装置等加算区分</v>
      </c>
      <c r="U94" s="4"/>
      <c r="AA94" s="4"/>
      <c r="AB94" s="4"/>
      <c r="AC94" s="4"/>
      <c r="AD94" s="4"/>
      <c r="AE94" s="4"/>
      <c r="AF94" s="4"/>
      <c r="AG94" s="4"/>
      <c r="AH94" s="4"/>
      <c r="AI94" s="4"/>
      <c r="AJ94" s="76" t="str">
        <f>IF(E94="○",IF(COUNTA(E$13:E94)=1,"",",")&amp;D94,"")</f>
        <v/>
      </c>
      <c r="AK94" s="4"/>
      <c r="AL94" s="4"/>
      <c r="AM94" s="4"/>
      <c r="AN94" s="4"/>
      <c r="AO94" s="4"/>
      <c r="AP94" s="4"/>
      <c r="AQ94" s="4"/>
      <c r="AR94" s="4"/>
      <c r="AS94" s="76" t="str">
        <f>"COMMENT ON COLUMN "&amp;エンティティ一覧!$O$2&amp;"."&amp;D$8&amp;"."&amp;D94&amp;" IS '"&amp;C94&amp;"';"</f>
        <v>COMMENT ON COLUMN milscm_2023_010.azn_202310_backup_mt_shinryo_koi_fuka.choonpa_sekkai_kasan_kubun IS '超音波凝固切開装置等加算区分';</v>
      </c>
    </row>
    <row r="95" spans="1:45" s="25" customFormat="1">
      <c r="A95" s="4"/>
      <c r="B95" s="21">
        <f t="shared" si="2"/>
        <v>83</v>
      </c>
      <c r="C95" s="6" t="s">
        <v>2269</v>
      </c>
      <c r="D95" s="6" t="s">
        <v>2270</v>
      </c>
      <c r="E95" s="8"/>
      <c r="F95" s="7" t="s">
        <v>1735</v>
      </c>
      <c r="G95" s="7" t="str">
        <f t="shared" si="13"/>
        <v>text</v>
      </c>
      <c r="H95" s="26"/>
      <c r="I95" s="10"/>
      <c r="J95" s="11"/>
      <c r="M95" s="4"/>
      <c r="N95" s="76"/>
      <c r="O95" s="76"/>
      <c r="P95" s="76" t="str">
        <f t="shared" si="14"/>
        <v>,tanki_shujutsu</v>
      </c>
      <c r="Q95" s="76" t="str">
        <f t="shared" si="15"/>
        <v>TEXT</v>
      </c>
      <c r="R95" s="76" t="str">
        <f t="shared" si="16"/>
        <v/>
      </c>
      <c r="S95" s="76" t="str">
        <f t="shared" si="17"/>
        <v/>
      </c>
      <c r="T95" s="76" t="str">
        <f t="shared" si="18"/>
        <v>-- 短期滞在手術</v>
      </c>
      <c r="U95" s="4"/>
      <c r="AA95" s="4"/>
      <c r="AB95" s="4"/>
      <c r="AC95" s="4"/>
      <c r="AD95" s="4"/>
      <c r="AE95" s="4"/>
      <c r="AF95" s="4"/>
      <c r="AG95" s="4"/>
      <c r="AH95" s="4"/>
      <c r="AI95" s="4"/>
      <c r="AJ95" s="76" t="str">
        <f>IF(E95="○",IF(COUNTA(E$13:E95)=1,"",",")&amp;D95,"")</f>
        <v/>
      </c>
      <c r="AK95" s="4"/>
      <c r="AL95" s="4"/>
      <c r="AM95" s="4"/>
      <c r="AN95" s="4"/>
      <c r="AO95" s="4"/>
      <c r="AP95" s="4"/>
      <c r="AQ95" s="4"/>
      <c r="AR95" s="4"/>
      <c r="AS95" s="76" t="str">
        <f>"COMMENT ON COLUMN "&amp;エンティティ一覧!$O$2&amp;"."&amp;D$8&amp;"."&amp;D95&amp;" IS '"&amp;C95&amp;"';"</f>
        <v>COMMENT ON COLUMN milscm_2023_010.azn_202310_backup_mt_shinryo_koi_fuka.tanki_shujutsu IS '短期滞在手術';</v>
      </c>
    </row>
    <row r="96" spans="1:45" s="25" customFormat="1">
      <c r="A96" s="4"/>
      <c r="B96" s="21">
        <f t="shared" si="2"/>
        <v>84</v>
      </c>
      <c r="C96" s="6" t="s">
        <v>2271</v>
      </c>
      <c r="D96" s="6" t="s">
        <v>2272</v>
      </c>
      <c r="E96" s="8"/>
      <c r="F96" s="7" t="s">
        <v>1735</v>
      </c>
      <c r="G96" s="7" t="str">
        <f t="shared" si="13"/>
        <v>text</v>
      </c>
      <c r="H96" s="26"/>
      <c r="I96" s="10"/>
      <c r="J96" s="11"/>
      <c r="M96" s="4"/>
      <c r="N96" s="76"/>
      <c r="O96" s="76"/>
      <c r="P96" s="76" t="str">
        <f t="shared" si="14"/>
        <v>,shika_tekiyo_kubun</v>
      </c>
      <c r="Q96" s="76" t="str">
        <f t="shared" si="15"/>
        <v>TEXT</v>
      </c>
      <c r="R96" s="76" t="str">
        <f t="shared" si="16"/>
        <v/>
      </c>
      <c r="S96" s="76" t="str">
        <f t="shared" si="17"/>
        <v/>
      </c>
      <c r="T96" s="76" t="str">
        <f t="shared" si="18"/>
        <v>-- 歯科適用区分</v>
      </c>
      <c r="U96" s="4"/>
      <c r="AA96" s="4"/>
      <c r="AB96" s="4"/>
      <c r="AC96" s="4"/>
      <c r="AD96" s="4"/>
      <c r="AE96" s="4"/>
      <c r="AF96" s="4"/>
      <c r="AG96" s="4"/>
      <c r="AH96" s="4"/>
      <c r="AI96" s="4"/>
      <c r="AJ96" s="76" t="str">
        <f>IF(E96="○",IF(COUNTA(E$13:E96)=1,"",",")&amp;D96,"")</f>
        <v/>
      </c>
      <c r="AK96" s="4"/>
      <c r="AL96" s="4"/>
      <c r="AM96" s="4"/>
      <c r="AN96" s="4"/>
      <c r="AO96" s="4"/>
      <c r="AP96" s="4"/>
      <c r="AQ96" s="4"/>
      <c r="AR96" s="4"/>
      <c r="AS96" s="76" t="str">
        <f>"COMMENT ON COLUMN "&amp;エンティティ一覧!$O$2&amp;"."&amp;D$8&amp;"."&amp;D96&amp;" IS '"&amp;C96&amp;"';"</f>
        <v>COMMENT ON COLUMN milscm_2023_010.azn_202310_backup_mt_shinryo_koi_fuka.shika_tekiyo_kubun IS '歯科適用区分';</v>
      </c>
    </row>
    <row r="97" spans="1:45" s="25" customFormat="1">
      <c r="A97" s="4"/>
      <c r="B97" s="21">
        <f t="shared" si="2"/>
        <v>85</v>
      </c>
      <c r="C97" s="6" t="s">
        <v>2273</v>
      </c>
      <c r="D97" s="6" t="s">
        <v>2274</v>
      </c>
      <c r="E97" s="8"/>
      <c r="F97" s="7" t="s">
        <v>1735</v>
      </c>
      <c r="G97" s="7" t="str">
        <f t="shared" si="13"/>
        <v>text</v>
      </c>
      <c r="H97" s="26"/>
      <c r="I97" s="10"/>
      <c r="J97" s="11"/>
      <c r="M97" s="4"/>
      <c r="N97" s="76"/>
      <c r="O97" s="76"/>
      <c r="P97" s="76" t="str">
        <f t="shared" si="14"/>
        <v>,code_table_alphabet</v>
      </c>
      <c r="Q97" s="76" t="str">
        <f t="shared" si="15"/>
        <v>TEXT</v>
      </c>
      <c r="R97" s="76" t="str">
        <f t="shared" si="16"/>
        <v/>
      </c>
      <c r="S97" s="76" t="str">
        <f t="shared" si="17"/>
        <v/>
      </c>
      <c r="T97" s="76" t="str">
        <f t="shared" si="18"/>
        <v>-- コード表用番号（アルファベット部）</v>
      </c>
      <c r="U97" s="4"/>
      <c r="AA97" s="4"/>
      <c r="AB97" s="4"/>
      <c r="AC97" s="4"/>
      <c r="AD97" s="4"/>
      <c r="AE97" s="4"/>
      <c r="AF97" s="4"/>
      <c r="AG97" s="4"/>
      <c r="AH97" s="4"/>
      <c r="AI97" s="4"/>
      <c r="AJ97" s="76" t="str">
        <f>IF(E97="○",IF(COUNTA(E$13:E97)=1,"",",")&amp;D97,"")</f>
        <v/>
      </c>
      <c r="AK97" s="4"/>
      <c r="AL97" s="4"/>
      <c r="AM97" s="4"/>
      <c r="AN97" s="4"/>
      <c r="AO97" s="4"/>
      <c r="AP97" s="4"/>
      <c r="AQ97" s="4"/>
      <c r="AR97" s="4"/>
      <c r="AS97" s="76" t="str">
        <f>"COMMENT ON COLUMN "&amp;エンティティ一覧!$O$2&amp;"."&amp;D$8&amp;"."&amp;D97&amp;" IS '"&amp;C97&amp;"';"</f>
        <v>COMMENT ON COLUMN milscm_2023_010.azn_202310_backup_mt_shinryo_koi_fuka.code_table_alphabet IS 'コード表用番号（アルファベット部）';</v>
      </c>
    </row>
    <row r="98" spans="1:45" s="25" customFormat="1" ht="31.5">
      <c r="A98" s="4"/>
      <c r="B98" s="21">
        <f t="shared" si="2"/>
        <v>86</v>
      </c>
      <c r="C98" s="6" t="s">
        <v>2275</v>
      </c>
      <c r="D98" s="6" t="s">
        <v>2276</v>
      </c>
      <c r="E98" s="8"/>
      <c r="F98" s="7" t="s">
        <v>1735</v>
      </c>
      <c r="G98" s="7" t="str">
        <f t="shared" si="13"/>
        <v>text</v>
      </c>
      <c r="H98" s="26"/>
      <c r="I98" s="10"/>
      <c r="J98" s="11"/>
      <c r="M98" s="4"/>
      <c r="N98" s="76"/>
      <c r="O98" s="76"/>
      <c r="P98" s="76" t="str">
        <f t="shared" si="14"/>
        <v>,kokuji_kanren_no_alphabet</v>
      </c>
      <c r="Q98" s="76" t="str">
        <f t="shared" si="15"/>
        <v>TEXT</v>
      </c>
      <c r="R98" s="76" t="str">
        <f t="shared" si="16"/>
        <v/>
      </c>
      <c r="S98" s="76" t="str">
        <f t="shared" si="17"/>
        <v/>
      </c>
      <c r="T98" s="76" t="str">
        <f t="shared" si="18"/>
        <v>-- 告示・通知関連番号（アルファベット部）</v>
      </c>
      <c r="U98" s="4"/>
      <c r="AA98" s="4"/>
      <c r="AB98" s="4"/>
      <c r="AC98" s="4"/>
      <c r="AD98" s="4"/>
      <c r="AE98" s="4"/>
      <c r="AF98" s="4"/>
      <c r="AG98" s="4"/>
      <c r="AH98" s="4"/>
      <c r="AI98" s="4"/>
      <c r="AJ98" s="76" t="str">
        <f>IF(E98="○",IF(COUNTA(E$13:E98)=1,"",",")&amp;D98,"")</f>
        <v/>
      </c>
      <c r="AK98" s="4"/>
      <c r="AL98" s="4"/>
      <c r="AM98" s="4"/>
      <c r="AN98" s="4"/>
      <c r="AO98" s="4"/>
      <c r="AP98" s="4"/>
      <c r="AQ98" s="4"/>
      <c r="AR98" s="4"/>
      <c r="AS98" s="76" t="str">
        <f>"COMMENT ON COLUMN "&amp;エンティティ一覧!$O$2&amp;"."&amp;D$8&amp;"."&amp;D98&amp;" IS '"&amp;C98&amp;"';"</f>
        <v>COMMENT ON COLUMN milscm_2023_010.azn_202310_backup_mt_shinryo_koi_fuka.kokuji_kanren_no_alphabet IS '告示・通知関連番号（アルファベット部）';</v>
      </c>
    </row>
    <row r="99" spans="1:45" s="25" customFormat="1">
      <c r="A99" s="4"/>
      <c r="B99" s="21">
        <f t="shared" si="2"/>
        <v>87</v>
      </c>
      <c r="C99" s="6" t="s">
        <v>1965</v>
      </c>
      <c r="D99" s="6" t="s">
        <v>1966</v>
      </c>
      <c r="E99" s="8"/>
      <c r="F99" s="7" t="s">
        <v>1735</v>
      </c>
      <c r="G99" s="7" t="str">
        <f t="shared" si="13"/>
        <v>text</v>
      </c>
      <c r="H99" s="26"/>
      <c r="I99" s="10"/>
      <c r="J99" s="11" t="s">
        <v>144</v>
      </c>
      <c r="M99" s="4"/>
      <c r="N99" s="76"/>
      <c r="O99" s="76"/>
      <c r="P99" s="76" t="str">
        <f t="shared" si="14"/>
        <v>,henko_ymd</v>
      </c>
      <c r="Q99" s="76" t="str">
        <f t="shared" si="15"/>
        <v>TEXT</v>
      </c>
      <c r="R99" s="76" t="str">
        <f t="shared" si="16"/>
        <v/>
      </c>
      <c r="S99" s="76" t="str">
        <f t="shared" si="17"/>
        <v/>
      </c>
      <c r="T99" s="76" t="str">
        <f t="shared" si="18"/>
        <v>-- 変更年月日</v>
      </c>
      <c r="U99" s="4"/>
      <c r="AA99" s="4"/>
      <c r="AB99" s="4"/>
      <c r="AC99" s="4"/>
      <c r="AD99" s="4"/>
      <c r="AE99" s="4"/>
      <c r="AF99" s="4"/>
      <c r="AG99" s="4"/>
      <c r="AH99" s="4"/>
      <c r="AI99" s="4"/>
      <c r="AJ99" s="76" t="str">
        <f>IF(E99="○",IF(COUNTA(E$13:E99)=1,"",",")&amp;D99,"")</f>
        <v/>
      </c>
      <c r="AK99" s="4"/>
      <c r="AL99" s="4"/>
      <c r="AM99" s="4"/>
      <c r="AN99" s="4"/>
      <c r="AO99" s="4"/>
      <c r="AP99" s="4"/>
      <c r="AQ99" s="4"/>
      <c r="AR99" s="4"/>
      <c r="AS99" s="76" t="str">
        <f>"COMMENT ON COLUMN "&amp;エンティティ一覧!$O$2&amp;"."&amp;D$8&amp;"."&amp;D99&amp;" IS '"&amp;C99&amp;"';"</f>
        <v>COMMENT ON COLUMN milscm_2023_010.azn_202310_backup_mt_shinryo_koi_fuka.henko_ymd IS '変更年月日';</v>
      </c>
    </row>
    <row r="100" spans="1:45" s="25" customFormat="1">
      <c r="A100" s="4"/>
      <c r="B100" s="21">
        <f t="shared" si="2"/>
        <v>88</v>
      </c>
      <c r="C100" s="6" t="s">
        <v>1905</v>
      </c>
      <c r="D100" s="6" t="s">
        <v>1967</v>
      </c>
      <c r="E100" s="8"/>
      <c r="F100" s="7" t="s">
        <v>1735</v>
      </c>
      <c r="G100" s="7" t="str">
        <f t="shared" si="13"/>
        <v>text</v>
      </c>
      <c r="H100" s="26"/>
      <c r="I100" s="10"/>
      <c r="J100" s="11" t="s">
        <v>2395</v>
      </c>
      <c r="M100" s="4"/>
      <c r="N100" s="76"/>
      <c r="O100" s="76"/>
      <c r="P100" s="76" t="str">
        <f t="shared" si="14"/>
        <v>,haishi_ymd</v>
      </c>
      <c r="Q100" s="76" t="str">
        <f t="shared" si="15"/>
        <v>TEXT</v>
      </c>
      <c r="R100" s="76" t="str">
        <f t="shared" si="16"/>
        <v/>
      </c>
      <c r="S100" s="76" t="str">
        <f t="shared" si="17"/>
        <v/>
      </c>
      <c r="T100" s="76" t="str">
        <f t="shared" si="18"/>
        <v>-- 廃止年月日</v>
      </c>
      <c r="U100" s="4"/>
      <c r="AA100" s="4"/>
      <c r="AB100" s="4"/>
      <c r="AC100" s="4"/>
      <c r="AD100" s="4"/>
      <c r="AE100" s="4"/>
      <c r="AF100" s="4"/>
      <c r="AG100" s="4"/>
      <c r="AH100" s="4"/>
      <c r="AI100" s="4"/>
      <c r="AJ100" s="76" t="str">
        <f>IF(E100="○",IF(COUNTA(E$13:E100)=1,"",",")&amp;D100,"")</f>
        <v/>
      </c>
      <c r="AK100" s="4"/>
      <c r="AL100" s="4"/>
      <c r="AM100" s="4"/>
      <c r="AN100" s="4"/>
      <c r="AO100" s="4"/>
      <c r="AP100" s="4"/>
      <c r="AQ100" s="4"/>
      <c r="AR100" s="4"/>
      <c r="AS100" s="76" t="str">
        <f>"COMMENT ON COLUMN "&amp;エンティティ一覧!$O$2&amp;"."&amp;D$8&amp;"."&amp;D100&amp;" IS '"&amp;C100&amp;"';"</f>
        <v>COMMENT ON COLUMN milscm_2023_010.azn_202310_backup_mt_shinryo_koi_fuka.haishi_ymd IS '廃止年月日';</v>
      </c>
    </row>
    <row r="101" spans="1:45" s="25" customFormat="1">
      <c r="A101" s="4"/>
      <c r="B101" s="21">
        <f t="shared" si="2"/>
        <v>89</v>
      </c>
      <c r="C101" s="6" t="s">
        <v>2015</v>
      </c>
      <c r="D101" s="6" t="s">
        <v>2277</v>
      </c>
      <c r="E101" s="8"/>
      <c r="F101" s="7" t="s">
        <v>1735</v>
      </c>
      <c r="G101" s="7" t="str">
        <f t="shared" si="13"/>
        <v>text</v>
      </c>
      <c r="H101" s="26"/>
      <c r="I101" s="10"/>
      <c r="J101" s="11"/>
      <c r="M101" s="4"/>
      <c r="N101" s="76"/>
      <c r="O101" s="76"/>
      <c r="P101" s="76" t="str">
        <f t="shared" si="14"/>
        <v>,kohyo_junjo_no</v>
      </c>
      <c r="Q101" s="76" t="str">
        <f t="shared" si="15"/>
        <v>TEXT</v>
      </c>
      <c r="R101" s="76" t="str">
        <f t="shared" si="16"/>
        <v/>
      </c>
      <c r="S101" s="76" t="str">
        <f t="shared" si="17"/>
        <v/>
      </c>
      <c r="T101" s="76" t="str">
        <f t="shared" si="18"/>
        <v>-- 公表順序番号</v>
      </c>
      <c r="U101" s="4"/>
      <c r="AA101" s="4"/>
      <c r="AB101" s="4"/>
      <c r="AC101" s="4"/>
      <c r="AD101" s="4"/>
      <c r="AE101" s="4"/>
      <c r="AF101" s="4"/>
      <c r="AG101" s="4"/>
      <c r="AH101" s="4"/>
      <c r="AI101" s="4"/>
      <c r="AJ101" s="76" t="str">
        <f>IF(E101="○",IF(COUNTA(E$13:E101)=1,"",",")&amp;D101,"")</f>
        <v/>
      </c>
      <c r="AK101" s="4"/>
      <c r="AL101" s="4"/>
      <c r="AM101" s="4"/>
      <c r="AN101" s="4"/>
      <c r="AO101" s="4"/>
      <c r="AP101" s="4"/>
      <c r="AQ101" s="4"/>
      <c r="AR101" s="4"/>
      <c r="AS101" s="76" t="str">
        <f>"COMMENT ON COLUMN "&amp;エンティティ一覧!$O$2&amp;"."&amp;D$8&amp;"."&amp;D101&amp;" IS '"&amp;C101&amp;"';"</f>
        <v>COMMENT ON COLUMN milscm_2023_010.azn_202310_backup_mt_shinryo_koi_fuka.kohyo_junjo_no IS '公表順序番号';</v>
      </c>
    </row>
    <row r="102" spans="1:45" s="25" customFormat="1">
      <c r="A102" s="4"/>
      <c r="B102" s="21">
        <f t="shared" si="2"/>
        <v>90</v>
      </c>
      <c r="C102" s="6" t="s">
        <v>2278</v>
      </c>
      <c r="D102" s="6" t="s">
        <v>2279</v>
      </c>
      <c r="E102" s="8"/>
      <c r="F102" s="7" t="s">
        <v>1735</v>
      </c>
      <c r="G102" s="7" t="str">
        <f t="shared" si="13"/>
        <v>text</v>
      </c>
      <c r="H102" s="26"/>
      <c r="I102" s="10"/>
      <c r="J102" s="11"/>
      <c r="M102" s="4"/>
      <c r="N102" s="76"/>
      <c r="O102" s="76"/>
      <c r="P102" s="76" t="str">
        <f t="shared" si="14"/>
        <v>,code_table_no_sho</v>
      </c>
      <c r="Q102" s="76" t="str">
        <f t="shared" si="15"/>
        <v>TEXT</v>
      </c>
      <c r="R102" s="76" t="str">
        <f t="shared" si="16"/>
        <v/>
      </c>
      <c r="S102" s="76" t="str">
        <f t="shared" si="17"/>
        <v/>
      </c>
      <c r="T102" s="76" t="str">
        <f t="shared" si="18"/>
        <v xml:space="preserve">-- コード表用番号_章 </v>
      </c>
      <c r="U102" s="4"/>
      <c r="AA102" s="4"/>
      <c r="AB102" s="4"/>
      <c r="AC102" s="4"/>
      <c r="AD102" s="4"/>
      <c r="AE102" s="4"/>
      <c r="AF102" s="4"/>
      <c r="AG102" s="4"/>
      <c r="AH102" s="4"/>
      <c r="AI102" s="4"/>
      <c r="AJ102" s="76" t="str">
        <f>IF(E102="○",IF(COUNTA(E$13:E102)=1,"",",")&amp;D102,"")</f>
        <v/>
      </c>
      <c r="AK102" s="4"/>
      <c r="AL102" s="4"/>
      <c r="AM102" s="4"/>
      <c r="AN102" s="4"/>
      <c r="AO102" s="4"/>
      <c r="AP102" s="4"/>
      <c r="AQ102" s="4"/>
      <c r="AR102" s="4"/>
      <c r="AS102" s="76" t="str">
        <f>"COMMENT ON COLUMN "&amp;エンティティ一覧!$O$2&amp;"."&amp;D$8&amp;"."&amp;D102&amp;" IS '"&amp;C102&amp;"';"</f>
        <v>COMMENT ON COLUMN milscm_2023_010.azn_202310_backup_mt_shinryo_koi_fuka.code_table_no_sho IS 'コード表用番号_章 ';</v>
      </c>
    </row>
    <row r="103" spans="1:45" s="25" customFormat="1">
      <c r="A103" s="4"/>
      <c r="B103" s="21">
        <f t="shared" si="2"/>
        <v>91</v>
      </c>
      <c r="C103" s="6" t="s">
        <v>2280</v>
      </c>
      <c r="D103" s="6" t="s">
        <v>2281</v>
      </c>
      <c r="E103" s="8"/>
      <c r="F103" s="7" t="s">
        <v>1735</v>
      </c>
      <c r="G103" s="7" t="str">
        <f t="shared" si="13"/>
        <v>text</v>
      </c>
      <c r="H103" s="26"/>
      <c r="I103" s="10"/>
      <c r="J103" s="11"/>
      <c r="M103" s="4"/>
      <c r="N103" s="76"/>
      <c r="O103" s="76"/>
      <c r="P103" s="76" t="str">
        <f t="shared" si="14"/>
        <v>,code_table_no_bu</v>
      </c>
      <c r="Q103" s="76" t="str">
        <f t="shared" si="15"/>
        <v>TEXT</v>
      </c>
      <c r="R103" s="76" t="str">
        <f t="shared" si="16"/>
        <v/>
      </c>
      <c r="S103" s="76" t="str">
        <f t="shared" si="17"/>
        <v/>
      </c>
      <c r="T103" s="76" t="str">
        <f t="shared" si="18"/>
        <v>-- コード表用番号_部</v>
      </c>
      <c r="U103" s="4"/>
      <c r="AA103" s="4"/>
      <c r="AB103" s="4"/>
      <c r="AC103" s="4"/>
      <c r="AD103" s="4"/>
      <c r="AE103" s="4"/>
      <c r="AF103" s="4"/>
      <c r="AG103" s="4"/>
      <c r="AH103" s="4"/>
      <c r="AI103" s="4"/>
      <c r="AJ103" s="76" t="str">
        <f>IF(E103="○",IF(COUNTA(E$13:E103)=1,"",",")&amp;D103,"")</f>
        <v/>
      </c>
      <c r="AK103" s="4"/>
      <c r="AL103" s="4"/>
      <c r="AM103" s="4"/>
      <c r="AN103" s="4"/>
      <c r="AO103" s="4"/>
      <c r="AP103" s="4"/>
      <c r="AQ103" s="4"/>
      <c r="AR103" s="4"/>
      <c r="AS103" s="76" t="str">
        <f>"COMMENT ON COLUMN "&amp;エンティティ一覧!$O$2&amp;"."&amp;D$8&amp;"."&amp;D103&amp;" IS '"&amp;C103&amp;"';"</f>
        <v>COMMENT ON COLUMN milscm_2023_010.azn_202310_backup_mt_shinryo_koi_fuka.code_table_no_bu IS 'コード表用番号_部';</v>
      </c>
    </row>
    <row r="104" spans="1:45" s="25" customFormat="1">
      <c r="A104" s="4"/>
      <c r="B104" s="21">
        <f t="shared" si="2"/>
        <v>92</v>
      </c>
      <c r="C104" s="6" t="s">
        <v>2282</v>
      </c>
      <c r="D104" s="6" t="s">
        <v>2283</v>
      </c>
      <c r="E104" s="8"/>
      <c r="F104" s="7" t="s">
        <v>1735</v>
      </c>
      <c r="G104" s="7" t="str">
        <f t="shared" si="13"/>
        <v>text</v>
      </c>
      <c r="H104" s="26"/>
      <c r="I104" s="10"/>
      <c r="J104" s="11"/>
      <c r="M104" s="4"/>
      <c r="N104" s="76"/>
      <c r="O104" s="76"/>
      <c r="P104" s="76" t="str">
        <f t="shared" si="14"/>
        <v>,code_table_no_kubun</v>
      </c>
      <c r="Q104" s="76" t="str">
        <f t="shared" si="15"/>
        <v>TEXT</v>
      </c>
      <c r="R104" s="76" t="str">
        <f t="shared" si="16"/>
        <v/>
      </c>
      <c r="S104" s="76" t="str">
        <f t="shared" si="17"/>
        <v/>
      </c>
      <c r="T104" s="76" t="str">
        <f t="shared" si="18"/>
        <v>-- コード表用番号_区分番号</v>
      </c>
      <c r="U104" s="4"/>
      <c r="AA104" s="4"/>
      <c r="AB104" s="4"/>
      <c r="AC104" s="4"/>
      <c r="AD104" s="4"/>
      <c r="AE104" s="4"/>
      <c r="AF104" s="4"/>
      <c r="AG104" s="4"/>
      <c r="AH104" s="4"/>
      <c r="AI104" s="4"/>
      <c r="AJ104" s="76" t="str">
        <f>IF(E104="○",IF(COUNTA(E$13:E104)=1,"",",")&amp;D104,"")</f>
        <v/>
      </c>
      <c r="AK104" s="4"/>
      <c r="AL104" s="4"/>
      <c r="AM104" s="4"/>
      <c r="AN104" s="4"/>
      <c r="AO104" s="4"/>
      <c r="AP104" s="4"/>
      <c r="AQ104" s="4"/>
      <c r="AR104" s="4"/>
      <c r="AS104" s="76" t="str">
        <f>"COMMENT ON COLUMN "&amp;エンティティ一覧!$O$2&amp;"."&amp;D$8&amp;"."&amp;D104&amp;" IS '"&amp;C104&amp;"';"</f>
        <v>COMMENT ON COLUMN milscm_2023_010.azn_202310_backup_mt_shinryo_koi_fuka.code_table_no_kubun IS 'コード表用番号_区分番号';</v>
      </c>
    </row>
    <row r="105" spans="1:45" s="25" customFormat="1">
      <c r="A105" s="4"/>
      <c r="B105" s="21">
        <f t="shared" si="2"/>
        <v>93</v>
      </c>
      <c r="C105" s="6" t="s">
        <v>2284</v>
      </c>
      <c r="D105" s="6" t="s">
        <v>2285</v>
      </c>
      <c r="E105" s="8"/>
      <c r="F105" s="7" t="s">
        <v>1735</v>
      </c>
      <c r="G105" s="7" t="str">
        <f t="shared" si="13"/>
        <v>text</v>
      </c>
      <c r="H105" s="26"/>
      <c r="I105" s="10"/>
      <c r="J105" s="11"/>
      <c r="M105" s="4"/>
      <c r="N105" s="76"/>
      <c r="O105" s="76"/>
      <c r="P105" s="76" t="str">
        <f t="shared" si="14"/>
        <v>,code_table_no_edaban</v>
      </c>
      <c r="Q105" s="76" t="str">
        <f t="shared" si="15"/>
        <v>TEXT</v>
      </c>
      <c r="R105" s="76" t="str">
        <f t="shared" si="16"/>
        <v/>
      </c>
      <c r="S105" s="76" t="str">
        <f t="shared" si="17"/>
        <v/>
      </c>
      <c r="T105" s="76" t="str">
        <f t="shared" si="18"/>
        <v>-- コード表用番号_枝番</v>
      </c>
      <c r="U105" s="4"/>
      <c r="AA105" s="4"/>
      <c r="AB105" s="4"/>
      <c r="AC105" s="4"/>
      <c r="AD105" s="4"/>
      <c r="AE105" s="4"/>
      <c r="AF105" s="4"/>
      <c r="AG105" s="4"/>
      <c r="AH105" s="4"/>
      <c r="AI105" s="4"/>
      <c r="AJ105" s="76" t="str">
        <f>IF(E105="○",IF(COUNTA(E$13:E105)=1,"",",")&amp;D105,"")</f>
        <v/>
      </c>
      <c r="AK105" s="4"/>
      <c r="AL105" s="4"/>
      <c r="AM105" s="4"/>
      <c r="AN105" s="4"/>
      <c r="AO105" s="4"/>
      <c r="AP105" s="4"/>
      <c r="AQ105" s="4"/>
      <c r="AR105" s="4"/>
      <c r="AS105" s="76" t="str">
        <f>"COMMENT ON COLUMN "&amp;エンティティ一覧!$O$2&amp;"."&amp;D$8&amp;"."&amp;D105&amp;" IS '"&amp;C105&amp;"';"</f>
        <v>COMMENT ON COLUMN milscm_2023_010.azn_202310_backup_mt_shinryo_koi_fuka.code_table_no_edaban IS 'コード表用番号_枝番';</v>
      </c>
    </row>
    <row r="106" spans="1:45" s="25" customFormat="1">
      <c r="A106" s="4"/>
      <c r="B106" s="21">
        <f t="shared" si="2"/>
        <v>94</v>
      </c>
      <c r="C106" s="6" t="s">
        <v>2286</v>
      </c>
      <c r="D106" s="6" t="s">
        <v>2287</v>
      </c>
      <c r="E106" s="8"/>
      <c r="F106" s="7" t="s">
        <v>1735</v>
      </c>
      <c r="G106" s="7" t="str">
        <f t="shared" si="13"/>
        <v>text</v>
      </c>
      <c r="H106" s="26"/>
      <c r="I106" s="10"/>
      <c r="J106" s="11"/>
      <c r="M106" s="4"/>
      <c r="N106" s="76"/>
      <c r="O106" s="76"/>
      <c r="P106" s="76" t="str">
        <f t="shared" si="14"/>
        <v>,code_table_no_koban</v>
      </c>
      <c r="Q106" s="76" t="str">
        <f t="shared" si="15"/>
        <v>TEXT</v>
      </c>
      <c r="R106" s="76" t="str">
        <f t="shared" si="16"/>
        <v/>
      </c>
      <c r="S106" s="76" t="str">
        <f t="shared" si="17"/>
        <v/>
      </c>
      <c r="T106" s="76" t="str">
        <f t="shared" si="18"/>
        <v>-- コード表用番号_項番</v>
      </c>
      <c r="U106" s="4"/>
      <c r="AA106" s="4"/>
      <c r="AB106" s="4"/>
      <c r="AC106" s="4"/>
      <c r="AD106" s="4"/>
      <c r="AE106" s="4"/>
      <c r="AF106" s="4"/>
      <c r="AG106" s="4"/>
      <c r="AH106" s="4"/>
      <c r="AI106" s="4"/>
      <c r="AJ106" s="76" t="str">
        <f>IF(E106="○",IF(COUNTA(E$13:E106)=1,"",",")&amp;D106,"")</f>
        <v/>
      </c>
      <c r="AK106" s="4"/>
      <c r="AL106" s="4"/>
      <c r="AM106" s="4"/>
      <c r="AN106" s="4"/>
      <c r="AO106" s="4"/>
      <c r="AP106" s="4"/>
      <c r="AQ106" s="4"/>
      <c r="AR106" s="4"/>
      <c r="AS106" s="76" t="str">
        <f>"COMMENT ON COLUMN "&amp;エンティティ一覧!$O$2&amp;"."&amp;D$8&amp;"."&amp;D106&amp;" IS '"&amp;C106&amp;"';"</f>
        <v>COMMENT ON COLUMN milscm_2023_010.azn_202310_backup_mt_shinryo_koi_fuka.code_table_no_koban IS 'コード表用番号_項番';</v>
      </c>
    </row>
    <row r="107" spans="1:45" s="25" customFormat="1">
      <c r="A107" s="4"/>
      <c r="B107" s="21">
        <f t="shared" si="2"/>
        <v>95</v>
      </c>
      <c r="C107" s="6" t="s">
        <v>2288</v>
      </c>
      <c r="D107" s="6" t="s">
        <v>2289</v>
      </c>
      <c r="E107" s="8"/>
      <c r="F107" s="7" t="s">
        <v>1735</v>
      </c>
      <c r="G107" s="7" t="str">
        <f t="shared" si="13"/>
        <v>text</v>
      </c>
      <c r="H107" s="26"/>
      <c r="I107" s="10"/>
      <c r="J107" s="11"/>
      <c r="M107" s="4"/>
      <c r="N107" s="76"/>
      <c r="O107" s="76"/>
      <c r="P107" s="76" t="str">
        <f t="shared" si="14"/>
        <v>,kokuji_kanren_no_sho</v>
      </c>
      <c r="Q107" s="76" t="str">
        <f t="shared" si="15"/>
        <v>TEXT</v>
      </c>
      <c r="R107" s="76" t="str">
        <f t="shared" si="16"/>
        <v/>
      </c>
      <c r="S107" s="76" t="str">
        <f t="shared" si="17"/>
        <v/>
      </c>
      <c r="T107" s="76" t="str">
        <f t="shared" si="18"/>
        <v xml:space="preserve">-- 告示・通知関連番号_章 </v>
      </c>
      <c r="U107" s="4"/>
      <c r="AA107" s="4"/>
      <c r="AB107" s="4"/>
      <c r="AC107" s="4"/>
      <c r="AD107" s="4"/>
      <c r="AE107" s="4"/>
      <c r="AF107" s="4"/>
      <c r="AG107" s="4"/>
      <c r="AH107" s="4"/>
      <c r="AI107" s="4"/>
      <c r="AJ107" s="76" t="str">
        <f>IF(E107="○",IF(COUNTA(E$13:E107)=1,"",",")&amp;D107,"")</f>
        <v/>
      </c>
      <c r="AK107" s="4"/>
      <c r="AL107" s="4"/>
      <c r="AM107" s="4"/>
      <c r="AN107" s="4"/>
      <c r="AO107" s="4"/>
      <c r="AP107" s="4"/>
      <c r="AQ107" s="4"/>
      <c r="AR107" s="4"/>
      <c r="AS107" s="76" t="str">
        <f>"COMMENT ON COLUMN "&amp;エンティティ一覧!$O$2&amp;"."&amp;D$8&amp;"."&amp;D107&amp;" IS '"&amp;C107&amp;"';"</f>
        <v>COMMENT ON COLUMN milscm_2023_010.azn_202310_backup_mt_shinryo_koi_fuka.kokuji_kanren_no_sho IS '告示・通知関連番号_章 ';</v>
      </c>
    </row>
    <row r="108" spans="1:45" s="25" customFormat="1">
      <c r="A108" s="4"/>
      <c r="B108" s="21">
        <f t="shared" si="2"/>
        <v>96</v>
      </c>
      <c r="C108" s="6" t="s">
        <v>2290</v>
      </c>
      <c r="D108" s="6" t="s">
        <v>2291</v>
      </c>
      <c r="E108" s="8"/>
      <c r="F108" s="7" t="s">
        <v>1735</v>
      </c>
      <c r="G108" s="7" t="str">
        <f t="shared" si="13"/>
        <v>text</v>
      </c>
      <c r="H108" s="26"/>
      <c r="I108" s="10"/>
      <c r="J108" s="11"/>
      <c r="M108" s="4"/>
      <c r="N108" s="76"/>
      <c r="O108" s="76"/>
      <c r="P108" s="76" t="str">
        <f t="shared" si="14"/>
        <v>,kokuji_kanren_no_bu</v>
      </c>
      <c r="Q108" s="76" t="str">
        <f t="shared" si="15"/>
        <v>TEXT</v>
      </c>
      <c r="R108" s="76" t="str">
        <f t="shared" si="16"/>
        <v/>
      </c>
      <c r="S108" s="76" t="str">
        <f t="shared" si="17"/>
        <v/>
      </c>
      <c r="T108" s="76" t="str">
        <f t="shared" si="18"/>
        <v>-- 告示・通知関連番号_部</v>
      </c>
      <c r="U108" s="4"/>
      <c r="AA108" s="4"/>
      <c r="AB108" s="4"/>
      <c r="AC108" s="4"/>
      <c r="AD108" s="4"/>
      <c r="AE108" s="4"/>
      <c r="AF108" s="4"/>
      <c r="AG108" s="4"/>
      <c r="AH108" s="4"/>
      <c r="AI108" s="4"/>
      <c r="AJ108" s="76" t="str">
        <f>IF(E108="○",IF(COUNTA(E$13:E108)=1,"",",")&amp;D108,"")</f>
        <v/>
      </c>
      <c r="AK108" s="4"/>
      <c r="AL108" s="4"/>
      <c r="AM108" s="4"/>
      <c r="AN108" s="4"/>
      <c r="AO108" s="4"/>
      <c r="AP108" s="4"/>
      <c r="AQ108" s="4"/>
      <c r="AR108" s="4"/>
      <c r="AS108" s="76" t="str">
        <f>"COMMENT ON COLUMN "&amp;エンティティ一覧!$O$2&amp;"."&amp;D$8&amp;"."&amp;D108&amp;" IS '"&amp;C108&amp;"';"</f>
        <v>COMMENT ON COLUMN milscm_2023_010.azn_202310_backup_mt_shinryo_koi_fuka.kokuji_kanren_no_bu IS '告示・通知関連番号_部';</v>
      </c>
    </row>
    <row r="109" spans="1:45" s="25" customFormat="1">
      <c r="A109" s="4"/>
      <c r="B109" s="21">
        <f t="shared" si="2"/>
        <v>97</v>
      </c>
      <c r="C109" s="6" t="s">
        <v>2292</v>
      </c>
      <c r="D109" s="6" t="s">
        <v>2293</v>
      </c>
      <c r="E109" s="8"/>
      <c r="F109" s="7" t="s">
        <v>1735</v>
      </c>
      <c r="G109" s="7" t="str">
        <f t="shared" si="13"/>
        <v>text</v>
      </c>
      <c r="H109" s="26"/>
      <c r="I109" s="10"/>
      <c r="J109" s="11"/>
      <c r="M109" s="4"/>
      <c r="N109" s="76"/>
      <c r="O109" s="76"/>
      <c r="P109" s="76" t="str">
        <f t="shared" si="14"/>
        <v>,kokuji_kanren_no_kubun</v>
      </c>
      <c r="Q109" s="76" t="str">
        <f t="shared" si="15"/>
        <v>TEXT</v>
      </c>
      <c r="R109" s="76" t="str">
        <f t="shared" si="16"/>
        <v/>
      </c>
      <c r="S109" s="76" t="str">
        <f t="shared" si="17"/>
        <v/>
      </c>
      <c r="T109" s="76" t="str">
        <f t="shared" si="18"/>
        <v>-- 告示・通知関連番号_区分番号</v>
      </c>
      <c r="U109" s="4"/>
      <c r="AA109" s="4"/>
      <c r="AB109" s="4"/>
      <c r="AC109" s="4"/>
      <c r="AD109" s="4"/>
      <c r="AE109" s="4"/>
      <c r="AF109" s="4"/>
      <c r="AG109" s="4"/>
      <c r="AH109" s="4"/>
      <c r="AI109" s="4"/>
      <c r="AJ109" s="76" t="str">
        <f>IF(E109="○",IF(COUNTA(E$13:E109)=1,"",",")&amp;D109,"")</f>
        <v/>
      </c>
      <c r="AK109" s="4"/>
      <c r="AL109" s="4"/>
      <c r="AM109" s="4"/>
      <c r="AN109" s="4"/>
      <c r="AO109" s="4"/>
      <c r="AP109" s="4"/>
      <c r="AQ109" s="4"/>
      <c r="AR109" s="4"/>
      <c r="AS109" s="76" t="str">
        <f>"COMMENT ON COLUMN "&amp;エンティティ一覧!$O$2&amp;"."&amp;D$8&amp;"."&amp;D109&amp;" IS '"&amp;C109&amp;"';"</f>
        <v>COMMENT ON COLUMN milscm_2023_010.azn_202310_backup_mt_shinryo_koi_fuka.kokuji_kanren_no_kubun IS '告示・通知関連番号_区分番号';</v>
      </c>
    </row>
    <row r="110" spans="1:45" s="25" customFormat="1">
      <c r="A110" s="4"/>
      <c r="B110" s="21">
        <f t="shared" si="2"/>
        <v>98</v>
      </c>
      <c r="C110" s="6" t="s">
        <v>2294</v>
      </c>
      <c r="D110" s="6" t="s">
        <v>2295</v>
      </c>
      <c r="E110" s="8"/>
      <c r="F110" s="7" t="s">
        <v>1735</v>
      </c>
      <c r="G110" s="7" t="str">
        <f t="shared" si="13"/>
        <v>text</v>
      </c>
      <c r="H110" s="26"/>
      <c r="I110" s="10"/>
      <c r="J110" s="11"/>
      <c r="M110" s="4"/>
      <c r="N110" s="76"/>
      <c r="O110" s="76"/>
      <c r="P110" s="76" t="str">
        <f t="shared" si="14"/>
        <v>,kokuji_kanren_no_edaban</v>
      </c>
      <c r="Q110" s="76" t="str">
        <f t="shared" si="15"/>
        <v>TEXT</v>
      </c>
      <c r="R110" s="76" t="str">
        <f t="shared" si="16"/>
        <v/>
      </c>
      <c r="S110" s="76" t="str">
        <f t="shared" si="17"/>
        <v/>
      </c>
      <c r="T110" s="76" t="str">
        <f t="shared" si="18"/>
        <v>-- 告示・通知関連番号_枝番</v>
      </c>
      <c r="U110" s="4"/>
      <c r="AA110" s="4"/>
      <c r="AB110" s="4"/>
      <c r="AC110" s="4"/>
      <c r="AD110" s="4"/>
      <c r="AE110" s="4"/>
      <c r="AF110" s="4"/>
      <c r="AG110" s="4"/>
      <c r="AH110" s="4"/>
      <c r="AI110" s="4"/>
      <c r="AJ110" s="76" t="str">
        <f>IF(E110="○",IF(COUNTA(E$13:E110)=1,"",",")&amp;D110,"")</f>
        <v/>
      </c>
      <c r="AK110" s="4"/>
      <c r="AL110" s="4"/>
      <c r="AM110" s="4"/>
      <c r="AN110" s="4"/>
      <c r="AO110" s="4"/>
      <c r="AP110" s="4"/>
      <c r="AQ110" s="4"/>
      <c r="AR110" s="4"/>
      <c r="AS110" s="76" t="str">
        <f>"COMMENT ON COLUMN "&amp;エンティティ一覧!$O$2&amp;"."&amp;D$8&amp;"."&amp;D110&amp;" IS '"&amp;C110&amp;"';"</f>
        <v>COMMENT ON COLUMN milscm_2023_010.azn_202310_backup_mt_shinryo_koi_fuka.kokuji_kanren_no_edaban IS '告示・通知関連番号_枝番';</v>
      </c>
    </row>
    <row r="111" spans="1:45" s="25" customFormat="1">
      <c r="A111" s="4"/>
      <c r="B111" s="21">
        <f t="shared" si="2"/>
        <v>99</v>
      </c>
      <c r="C111" s="6" t="s">
        <v>2296</v>
      </c>
      <c r="D111" s="6" t="s">
        <v>2297</v>
      </c>
      <c r="E111" s="8"/>
      <c r="F111" s="7" t="s">
        <v>1735</v>
      </c>
      <c r="G111" s="7" t="str">
        <f t="shared" si="13"/>
        <v>text</v>
      </c>
      <c r="H111" s="26"/>
      <c r="I111" s="10"/>
      <c r="J111" s="11"/>
      <c r="M111" s="4"/>
      <c r="N111" s="76"/>
      <c r="O111" s="76"/>
      <c r="P111" s="76" t="str">
        <f t="shared" si="14"/>
        <v>,kokuji_kanren_no_koban</v>
      </c>
      <c r="Q111" s="76" t="str">
        <f t="shared" si="15"/>
        <v>TEXT</v>
      </c>
      <c r="R111" s="76" t="str">
        <f t="shared" si="16"/>
        <v/>
      </c>
      <c r="S111" s="76" t="str">
        <f t="shared" si="17"/>
        <v/>
      </c>
      <c r="T111" s="76" t="str">
        <f t="shared" si="18"/>
        <v>-- 告示・通知関連番号_項番</v>
      </c>
      <c r="U111" s="4"/>
      <c r="AA111" s="4"/>
      <c r="AB111" s="4"/>
      <c r="AC111" s="4"/>
      <c r="AD111" s="4"/>
      <c r="AE111" s="4"/>
      <c r="AF111" s="4"/>
      <c r="AG111" s="4"/>
      <c r="AH111" s="4"/>
      <c r="AI111" s="4"/>
      <c r="AJ111" s="76" t="str">
        <f>IF(E111="○",IF(COUNTA(E$13:E111)=1,"",",")&amp;D111,"")</f>
        <v/>
      </c>
      <c r="AK111" s="4"/>
      <c r="AL111" s="4"/>
      <c r="AM111" s="4"/>
      <c r="AN111" s="4"/>
      <c r="AO111" s="4"/>
      <c r="AP111" s="4"/>
      <c r="AQ111" s="4"/>
      <c r="AR111" s="4"/>
      <c r="AS111" s="76" t="str">
        <f>"COMMENT ON COLUMN "&amp;エンティティ一覧!$O$2&amp;"."&amp;D$8&amp;"."&amp;D111&amp;" IS '"&amp;C111&amp;"';"</f>
        <v>COMMENT ON COLUMN milscm_2023_010.azn_202310_backup_mt_shinryo_koi_fuka.kokuji_kanren_no_koban IS '告示・通知関連番号_項番';</v>
      </c>
    </row>
    <row r="112" spans="1:45" s="25" customFormat="1">
      <c r="A112" s="4"/>
      <c r="B112" s="21">
        <f t="shared" si="2"/>
        <v>100</v>
      </c>
      <c r="C112" s="6" t="s">
        <v>2298</v>
      </c>
      <c r="D112" s="6" t="s">
        <v>2299</v>
      </c>
      <c r="E112" s="8"/>
      <c r="F112" s="7" t="s">
        <v>1735</v>
      </c>
      <c r="G112" s="7" t="str">
        <f t="shared" si="13"/>
        <v>text</v>
      </c>
      <c r="H112" s="26"/>
      <c r="I112" s="10"/>
      <c r="J112" s="11"/>
      <c r="M112" s="4"/>
      <c r="N112" s="76"/>
      <c r="O112" s="76"/>
      <c r="P112" s="76" t="str">
        <f t="shared" si="14"/>
        <v>,age1_kasan_low</v>
      </c>
      <c r="Q112" s="76" t="str">
        <f t="shared" si="15"/>
        <v>TEXT</v>
      </c>
      <c r="R112" s="76" t="str">
        <f t="shared" si="16"/>
        <v/>
      </c>
      <c r="S112" s="76" t="str">
        <f t="shared" si="17"/>
        <v/>
      </c>
      <c r="T112" s="76" t="str">
        <f t="shared" si="18"/>
        <v>-- 年齢加算1下限年齢</v>
      </c>
      <c r="U112" s="4"/>
      <c r="AA112" s="4"/>
      <c r="AB112" s="4"/>
      <c r="AC112" s="4"/>
      <c r="AD112" s="4"/>
      <c r="AE112" s="4"/>
      <c r="AF112" s="4"/>
      <c r="AG112" s="4"/>
      <c r="AH112" s="4"/>
      <c r="AI112" s="4"/>
      <c r="AJ112" s="76" t="str">
        <f>IF(E112="○",IF(COUNTA(E$13:E112)=1,"",",")&amp;D112,"")</f>
        <v/>
      </c>
      <c r="AK112" s="4"/>
      <c r="AL112" s="4"/>
      <c r="AM112" s="4"/>
      <c r="AN112" s="4"/>
      <c r="AO112" s="4"/>
      <c r="AP112" s="4"/>
      <c r="AQ112" s="4"/>
      <c r="AR112" s="4"/>
      <c r="AS112" s="76" t="str">
        <f>"COMMENT ON COLUMN "&amp;エンティティ一覧!$O$2&amp;"."&amp;D$8&amp;"."&amp;D112&amp;" IS '"&amp;C112&amp;"';"</f>
        <v>COMMENT ON COLUMN milscm_2023_010.azn_202310_backup_mt_shinryo_koi_fuka.age1_kasan_low IS '年齢加算1下限年齢';</v>
      </c>
    </row>
    <row r="113" spans="1:45" s="25" customFormat="1">
      <c r="A113" s="4"/>
      <c r="B113" s="21">
        <f t="shared" si="2"/>
        <v>101</v>
      </c>
      <c r="C113" s="6" t="s">
        <v>2300</v>
      </c>
      <c r="D113" s="6" t="s">
        <v>2301</v>
      </c>
      <c r="E113" s="8"/>
      <c r="F113" s="7" t="s">
        <v>1735</v>
      </c>
      <c r="G113" s="7" t="str">
        <f t="shared" si="13"/>
        <v>text</v>
      </c>
      <c r="H113" s="26"/>
      <c r="I113" s="10"/>
      <c r="J113" s="11"/>
      <c r="M113" s="4"/>
      <c r="N113" s="76"/>
      <c r="O113" s="76"/>
      <c r="P113" s="76" t="str">
        <f t="shared" si="14"/>
        <v>,age1_kasan_up</v>
      </c>
      <c r="Q113" s="76" t="str">
        <f t="shared" si="15"/>
        <v>TEXT</v>
      </c>
      <c r="R113" s="76" t="str">
        <f t="shared" si="16"/>
        <v/>
      </c>
      <c r="S113" s="76" t="str">
        <f t="shared" si="17"/>
        <v/>
      </c>
      <c r="T113" s="76" t="str">
        <f t="shared" si="18"/>
        <v>-- 年齢加算1上限年齢</v>
      </c>
      <c r="U113" s="4"/>
      <c r="AA113" s="4"/>
      <c r="AB113" s="4"/>
      <c r="AC113" s="4"/>
      <c r="AD113" s="4"/>
      <c r="AE113" s="4"/>
      <c r="AF113" s="4"/>
      <c r="AG113" s="4"/>
      <c r="AH113" s="4"/>
      <c r="AI113" s="4"/>
      <c r="AJ113" s="76" t="str">
        <f>IF(E113="○",IF(COUNTA(E$13:E113)=1,"",",")&amp;D113,"")</f>
        <v/>
      </c>
      <c r="AK113" s="4"/>
      <c r="AL113" s="4"/>
      <c r="AM113" s="4"/>
      <c r="AN113" s="4"/>
      <c r="AO113" s="4"/>
      <c r="AP113" s="4"/>
      <c r="AQ113" s="4"/>
      <c r="AR113" s="4"/>
      <c r="AS113" s="76" t="str">
        <f>"COMMENT ON COLUMN "&amp;エンティティ一覧!$O$2&amp;"."&amp;D$8&amp;"."&amp;D113&amp;" IS '"&amp;C113&amp;"';"</f>
        <v>COMMENT ON COLUMN milscm_2023_010.azn_202310_backup_mt_shinryo_koi_fuka.age1_kasan_up IS '年齢加算1上限年齢';</v>
      </c>
    </row>
    <row r="114" spans="1:45" s="25" customFormat="1">
      <c r="A114" s="4"/>
      <c r="B114" s="21">
        <f t="shared" si="2"/>
        <v>102</v>
      </c>
      <c r="C114" s="6" t="s">
        <v>2302</v>
      </c>
      <c r="D114" s="6" t="s">
        <v>2303</v>
      </c>
      <c r="E114" s="8"/>
      <c r="F114" s="7" t="s">
        <v>1735</v>
      </c>
      <c r="G114" s="7" t="str">
        <f t="shared" si="13"/>
        <v>text</v>
      </c>
      <c r="H114" s="26"/>
      <c r="I114" s="10"/>
      <c r="J114" s="11"/>
      <c r="M114" s="4"/>
      <c r="N114" s="76"/>
      <c r="O114" s="76"/>
      <c r="P114" s="76" t="str">
        <f t="shared" si="14"/>
        <v>,age1_kasan_koi_code</v>
      </c>
      <c r="Q114" s="76" t="str">
        <f t="shared" si="15"/>
        <v>TEXT</v>
      </c>
      <c r="R114" s="76" t="str">
        <f t="shared" si="16"/>
        <v/>
      </c>
      <c r="S114" s="76" t="str">
        <f t="shared" si="17"/>
        <v/>
      </c>
      <c r="T114" s="76" t="str">
        <f t="shared" si="18"/>
        <v>-- 年齢加算1注加算診療行為コード</v>
      </c>
      <c r="U114" s="4"/>
      <c r="AA114" s="4"/>
      <c r="AB114" s="4"/>
      <c r="AC114" s="4"/>
      <c r="AD114" s="4"/>
      <c r="AE114" s="4"/>
      <c r="AF114" s="4"/>
      <c r="AG114" s="4"/>
      <c r="AH114" s="4"/>
      <c r="AI114" s="4"/>
      <c r="AJ114" s="76" t="str">
        <f>IF(E114="○",IF(COUNTA(E$13:E114)=1,"",",")&amp;D114,"")</f>
        <v/>
      </c>
      <c r="AK114" s="4"/>
      <c r="AL114" s="4"/>
      <c r="AM114" s="4"/>
      <c r="AN114" s="4"/>
      <c r="AO114" s="4"/>
      <c r="AP114" s="4"/>
      <c r="AQ114" s="4"/>
      <c r="AR114" s="4"/>
      <c r="AS114" s="76" t="str">
        <f>"COMMENT ON COLUMN "&amp;エンティティ一覧!$O$2&amp;"."&amp;D$8&amp;"."&amp;D114&amp;" IS '"&amp;C114&amp;"';"</f>
        <v>COMMENT ON COLUMN milscm_2023_010.azn_202310_backup_mt_shinryo_koi_fuka.age1_kasan_koi_code IS '年齢加算1注加算診療行為コード';</v>
      </c>
    </row>
    <row r="115" spans="1:45" s="25" customFormat="1">
      <c r="A115" s="4"/>
      <c r="B115" s="21">
        <f t="shared" si="2"/>
        <v>103</v>
      </c>
      <c r="C115" s="6" t="s">
        <v>2304</v>
      </c>
      <c r="D115" s="6" t="s">
        <v>2305</v>
      </c>
      <c r="E115" s="8"/>
      <c r="F115" s="7" t="s">
        <v>1735</v>
      </c>
      <c r="G115" s="7" t="str">
        <f t="shared" si="13"/>
        <v>text</v>
      </c>
      <c r="H115" s="26"/>
      <c r="I115" s="10"/>
      <c r="J115" s="11"/>
      <c r="M115" s="4"/>
      <c r="N115" s="76"/>
      <c r="O115" s="76"/>
      <c r="P115" s="76" t="str">
        <f t="shared" si="14"/>
        <v>,age2_kasan_low</v>
      </c>
      <c r="Q115" s="76" t="str">
        <f t="shared" si="15"/>
        <v>TEXT</v>
      </c>
      <c r="R115" s="76" t="str">
        <f t="shared" si="16"/>
        <v/>
      </c>
      <c r="S115" s="76" t="str">
        <f t="shared" si="17"/>
        <v/>
      </c>
      <c r="T115" s="76" t="str">
        <f t="shared" si="18"/>
        <v>-- 年齢加算2下限年齢</v>
      </c>
      <c r="U115" s="4"/>
      <c r="AA115" s="4"/>
      <c r="AB115" s="4"/>
      <c r="AC115" s="4"/>
      <c r="AD115" s="4"/>
      <c r="AE115" s="4"/>
      <c r="AF115" s="4"/>
      <c r="AG115" s="4"/>
      <c r="AH115" s="4"/>
      <c r="AI115" s="4"/>
      <c r="AJ115" s="76" t="str">
        <f>IF(E115="○",IF(COUNTA(E$13:E115)=1,"",",")&amp;D115,"")</f>
        <v/>
      </c>
      <c r="AK115" s="4"/>
      <c r="AL115" s="4"/>
      <c r="AM115" s="4"/>
      <c r="AN115" s="4"/>
      <c r="AO115" s="4"/>
      <c r="AP115" s="4"/>
      <c r="AQ115" s="4"/>
      <c r="AR115" s="4"/>
      <c r="AS115" s="76" t="str">
        <f>"COMMENT ON COLUMN "&amp;エンティティ一覧!$O$2&amp;"."&amp;D$8&amp;"."&amp;D115&amp;" IS '"&amp;C115&amp;"';"</f>
        <v>COMMENT ON COLUMN milscm_2023_010.azn_202310_backup_mt_shinryo_koi_fuka.age2_kasan_low IS '年齢加算2下限年齢';</v>
      </c>
    </row>
    <row r="116" spans="1:45" s="25" customFormat="1">
      <c r="A116" s="4"/>
      <c r="B116" s="21">
        <f t="shared" si="2"/>
        <v>104</v>
      </c>
      <c r="C116" s="6" t="s">
        <v>2306</v>
      </c>
      <c r="D116" s="6" t="s">
        <v>2307</v>
      </c>
      <c r="E116" s="8"/>
      <c r="F116" s="7" t="s">
        <v>1735</v>
      </c>
      <c r="G116" s="7" t="str">
        <f t="shared" si="13"/>
        <v>text</v>
      </c>
      <c r="H116" s="26"/>
      <c r="I116" s="10"/>
      <c r="J116" s="11"/>
      <c r="M116" s="4"/>
      <c r="N116" s="76"/>
      <c r="O116" s="76"/>
      <c r="P116" s="76" t="str">
        <f t="shared" si="14"/>
        <v>,age2_kasan_up</v>
      </c>
      <c r="Q116" s="76" t="str">
        <f t="shared" si="15"/>
        <v>TEXT</v>
      </c>
      <c r="R116" s="76" t="str">
        <f t="shared" si="16"/>
        <v/>
      </c>
      <c r="S116" s="76" t="str">
        <f t="shared" si="17"/>
        <v/>
      </c>
      <c r="T116" s="76" t="str">
        <f t="shared" si="18"/>
        <v>-- 年齢加算2上限年齢</v>
      </c>
      <c r="U116" s="4"/>
      <c r="AA116" s="4"/>
      <c r="AB116" s="4"/>
      <c r="AC116" s="4"/>
      <c r="AD116" s="4"/>
      <c r="AE116" s="4"/>
      <c r="AF116" s="4"/>
      <c r="AG116" s="4"/>
      <c r="AH116" s="4"/>
      <c r="AI116" s="4"/>
      <c r="AJ116" s="76" t="str">
        <f>IF(E116="○",IF(COUNTA(E$13:E116)=1,"",",")&amp;D116,"")</f>
        <v/>
      </c>
      <c r="AK116" s="4"/>
      <c r="AL116" s="4"/>
      <c r="AM116" s="4"/>
      <c r="AN116" s="4"/>
      <c r="AO116" s="4"/>
      <c r="AP116" s="4"/>
      <c r="AQ116" s="4"/>
      <c r="AR116" s="4"/>
      <c r="AS116" s="76" t="str">
        <f>"COMMENT ON COLUMN "&amp;エンティティ一覧!$O$2&amp;"."&amp;D$8&amp;"."&amp;D116&amp;" IS '"&amp;C116&amp;"';"</f>
        <v>COMMENT ON COLUMN milscm_2023_010.azn_202310_backup_mt_shinryo_koi_fuka.age2_kasan_up IS '年齢加算2上限年齢';</v>
      </c>
    </row>
    <row r="117" spans="1:45" s="25" customFormat="1">
      <c r="A117" s="4"/>
      <c r="B117" s="21">
        <f t="shared" si="2"/>
        <v>105</v>
      </c>
      <c r="C117" s="6" t="s">
        <v>2308</v>
      </c>
      <c r="D117" s="6" t="s">
        <v>2309</v>
      </c>
      <c r="E117" s="8"/>
      <c r="F117" s="7" t="s">
        <v>1735</v>
      </c>
      <c r="G117" s="7" t="str">
        <f t="shared" si="13"/>
        <v>text</v>
      </c>
      <c r="H117" s="26"/>
      <c r="I117" s="10"/>
      <c r="J117" s="11"/>
      <c r="M117" s="4"/>
      <c r="N117" s="76"/>
      <c r="O117" s="76"/>
      <c r="P117" s="76" t="str">
        <f t="shared" si="14"/>
        <v>,age2_kasan_koi_code</v>
      </c>
      <c r="Q117" s="76" t="str">
        <f t="shared" si="15"/>
        <v>TEXT</v>
      </c>
      <c r="R117" s="76" t="str">
        <f t="shared" si="16"/>
        <v/>
      </c>
      <c r="S117" s="76" t="str">
        <f t="shared" si="17"/>
        <v/>
      </c>
      <c r="T117" s="76" t="str">
        <f t="shared" si="18"/>
        <v>-- 年齢加算2注加算診療行為コード</v>
      </c>
      <c r="U117" s="4"/>
      <c r="AA117" s="4"/>
      <c r="AB117" s="4"/>
      <c r="AC117" s="4"/>
      <c r="AD117" s="4"/>
      <c r="AE117" s="4"/>
      <c r="AF117" s="4"/>
      <c r="AG117" s="4"/>
      <c r="AH117" s="4"/>
      <c r="AI117" s="4"/>
      <c r="AJ117" s="76" t="str">
        <f>IF(E117="○",IF(COUNTA(E$13:E117)=1,"",",")&amp;D117,"")</f>
        <v/>
      </c>
      <c r="AK117" s="4"/>
      <c r="AL117" s="4"/>
      <c r="AM117" s="4"/>
      <c r="AN117" s="4"/>
      <c r="AO117" s="4"/>
      <c r="AP117" s="4"/>
      <c r="AQ117" s="4"/>
      <c r="AR117" s="4"/>
      <c r="AS117" s="76" t="str">
        <f>"COMMENT ON COLUMN "&amp;エンティティ一覧!$O$2&amp;"."&amp;D$8&amp;"."&amp;D117&amp;" IS '"&amp;C117&amp;"';"</f>
        <v>COMMENT ON COLUMN milscm_2023_010.azn_202310_backup_mt_shinryo_koi_fuka.age2_kasan_koi_code IS '年齢加算2注加算診療行為コード';</v>
      </c>
    </row>
    <row r="118" spans="1:45" s="25" customFormat="1">
      <c r="A118" s="4"/>
      <c r="B118" s="21">
        <f t="shared" si="2"/>
        <v>106</v>
      </c>
      <c r="C118" s="6" t="s">
        <v>2310</v>
      </c>
      <c r="D118" s="6" t="s">
        <v>2311</v>
      </c>
      <c r="E118" s="8"/>
      <c r="F118" s="7" t="s">
        <v>1735</v>
      </c>
      <c r="G118" s="7" t="str">
        <f t="shared" si="13"/>
        <v>text</v>
      </c>
      <c r="H118" s="26"/>
      <c r="I118" s="10"/>
      <c r="J118" s="11"/>
      <c r="M118" s="4"/>
      <c r="N118" s="76"/>
      <c r="O118" s="76"/>
      <c r="P118" s="76" t="str">
        <f t="shared" si="14"/>
        <v>,age3_kasan_low</v>
      </c>
      <c r="Q118" s="76" t="str">
        <f t="shared" si="15"/>
        <v>TEXT</v>
      </c>
      <c r="R118" s="76" t="str">
        <f t="shared" si="16"/>
        <v/>
      </c>
      <c r="S118" s="76" t="str">
        <f t="shared" si="17"/>
        <v/>
      </c>
      <c r="T118" s="76" t="str">
        <f t="shared" si="18"/>
        <v>-- 年齢加算3下限年齢</v>
      </c>
      <c r="U118" s="4"/>
      <c r="AA118" s="4"/>
      <c r="AB118" s="4"/>
      <c r="AC118" s="4"/>
      <c r="AD118" s="4"/>
      <c r="AE118" s="4"/>
      <c r="AF118" s="4"/>
      <c r="AG118" s="4"/>
      <c r="AH118" s="4"/>
      <c r="AI118" s="4"/>
      <c r="AJ118" s="76" t="str">
        <f>IF(E118="○",IF(COUNTA(E$13:E118)=1,"",",")&amp;D118,"")</f>
        <v/>
      </c>
      <c r="AK118" s="4"/>
      <c r="AL118" s="4"/>
      <c r="AM118" s="4"/>
      <c r="AN118" s="4"/>
      <c r="AO118" s="4"/>
      <c r="AP118" s="4"/>
      <c r="AQ118" s="4"/>
      <c r="AR118" s="4"/>
      <c r="AS118" s="76" t="str">
        <f>"COMMENT ON COLUMN "&amp;エンティティ一覧!$O$2&amp;"."&amp;D$8&amp;"."&amp;D118&amp;" IS '"&amp;C118&amp;"';"</f>
        <v>COMMENT ON COLUMN milscm_2023_010.azn_202310_backup_mt_shinryo_koi_fuka.age3_kasan_low IS '年齢加算3下限年齢';</v>
      </c>
    </row>
    <row r="119" spans="1:45" s="25" customFormat="1">
      <c r="A119" s="4"/>
      <c r="B119" s="21">
        <f t="shared" si="2"/>
        <v>107</v>
      </c>
      <c r="C119" s="6" t="s">
        <v>2312</v>
      </c>
      <c r="D119" s="6" t="s">
        <v>2313</v>
      </c>
      <c r="E119" s="8"/>
      <c r="F119" s="7" t="s">
        <v>1735</v>
      </c>
      <c r="G119" s="7" t="str">
        <f t="shared" si="13"/>
        <v>text</v>
      </c>
      <c r="H119" s="26"/>
      <c r="I119" s="10"/>
      <c r="J119" s="11"/>
      <c r="M119" s="4"/>
      <c r="N119" s="76"/>
      <c r="O119" s="76"/>
      <c r="P119" s="76" t="str">
        <f t="shared" si="14"/>
        <v>,age3_kasan_up</v>
      </c>
      <c r="Q119" s="76" t="str">
        <f t="shared" si="15"/>
        <v>TEXT</v>
      </c>
      <c r="R119" s="76" t="str">
        <f t="shared" si="16"/>
        <v/>
      </c>
      <c r="S119" s="76" t="str">
        <f t="shared" si="17"/>
        <v/>
      </c>
      <c r="T119" s="76" t="str">
        <f t="shared" si="18"/>
        <v>-- 年齢加算3上限年齢</v>
      </c>
      <c r="U119" s="4"/>
      <c r="AA119" s="4"/>
      <c r="AB119" s="4"/>
      <c r="AC119" s="4"/>
      <c r="AD119" s="4"/>
      <c r="AE119" s="4"/>
      <c r="AF119" s="4"/>
      <c r="AG119" s="4"/>
      <c r="AH119" s="4"/>
      <c r="AI119" s="4"/>
      <c r="AJ119" s="76" t="str">
        <f>IF(E119="○",IF(COUNTA(E$13:E119)=1,"",",")&amp;D119,"")</f>
        <v/>
      </c>
      <c r="AK119" s="4"/>
      <c r="AL119" s="4"/>
      <c r="AM119" s="4"/>
      <c r="AN119" s="4"/>
      <c r="AO119" s="4"/>
      <c r="AP119" s="4"/>
      <c r="AQ119" s="4"/>
      <c r="AR119" s="4"/>
      <c r="AS119" s="76" t="str">
        <f>"COMMENT ON COLUMN "&amp;エンティティ一覧!$O$2&amp;"."&amp;D$8&amp;"."&amp;D119&amp;" IS '"&amp;C119&amp;"';"</f>
        <v>COMMENT ON COLUMN milscm_2023_010.azn_202310_backup_mt_shinryo_koi_fuka.age3_kasan_up IS '年齢加算3上限年齢';</v>
      </c>
    </row>
    <row r="120" spans="1:45" s="25" customFormat="1">
      <c r="A120" s="4"/>
      <c r="B120" s="21">
        <f t="shared" si="2"/>
        <v>108</v>
      </c>
      <c r="C120" s="6" t="s">
        <v>2314</v>
      </c>
      <c r="D120" s="6" t="s">
        <v>2315</v>
      </c>
      <c r="E120" s="8"/>
      <c r="F120" s="7" t="s">
        <v>1735</v>
      </c>
      <c r="G120" s="7" t="str">
        <f t="shared" si="13"/>
        <v>text</v>
      </c>
      <c r="H120" s="26"/>
      <c r="I120" s="10"/>
      <c r="J120" s="11"/>
      <c r="M120" s="4"/>
      <c r="N120" s="76"/>
      <c r="O120" s="76"/>
      <c r="P120" s="76" t="str">
        <f t="shared" si="14"/>
        <v>,age3_kasan_koi_code</v>
      </c>
      <c r="Q120" s="76" t="str">
        <f t="shared" si="15"/>
        <v>TEXT</v>
      </c>
      <c r="R120" s="76" t="str">
        <f t="shared" si="16"/>
        <v/>
      </c>
      <c r="S120" s="76" t="str">
        <f t="shared" si="17"/>
        <v/>
      </c>
      <c r="T120" s="76" t="str">
        <f t="shared" si="18"/>
        <v>-- 年齢加算3注加算診療行為コード</v>
      </c>
      <c r="U120" s="4"/>
      <c r="AA120" s="4"/>
      <c r="AB120" s="4"/>
      <c r="AC120" s="4"/>
      <c r="AD120" s="4"/>
      <c r="AE120" s="4"/>
      <c r="AF120" s="4"/>
      <c r="AG120" s="4"/>
      <c r="AH120" s="4"/>
      <c r="AI120" s="4"/>
      <c r="AJ120" s="76" t="str">
        <f>IF(E120="○",IF(COUNTA(E$13:E120)=1,"",",")&amp;D120,"")</f>
        <v/>
      </c>
      <c r="AK120" s="4"/>
      <c r="AL120" s="4"/>
      <c r="AM120" s="4"/>
      <c r="AN120" s="4"/>
      <c r="AO120" s="4"/>
      <c r="AP120" s="4"/>
      <c r="AQ120" s="4"/>
      <c r="AR120" s="4"/>
      <c r="AS120" s="76" t="str">
        <f>"COMMENT ON COLUMN "&amp;エンティティ一覧!$O$2&amp;"."&amp;D$8&amp;"."&amp;D120&amp;" IS '"&amp;C120&amp;"';"</f>
        <v>COMMENT ON COLUMN milscm_2023_010.azn_202310_backup_mt_shinryo_koi_fuka.age3_kasan_koi_code IS '年齢加算3注加算診療行為コード';</v>
      </c>
    </row>
    <row r="121" spans="1:45" s="25" customFormat="1">
      <c r="A121" s="4"/>
      <c r="B121" s="21">
        <f t="shared" si="2"/>
        <v>109</v>
      </c>
      <c r="C121" s="6" t="s">
        <v>2316</v>
      </c>
      <c r="D121" s="6" t="s">
        <v>2317</v>
      </c>
      <c r="E121" s="8"/>
      <c r="F121" s="7" t="s">
        <v>1735</v>
      </c>
      <c r="G121" s="7" t="str">
        <f t="shared" si="13"/>
        <v>text</v>
      </c>
      <c r="H121" s="26"/>
      <c r="I121" s="10"/>
      <c r="J121" s="11"/>
      <c r="M121" s="4"/>
      <c r="N121" s="76"/>
      <c r="O121" s="76"/>
      <c r="P121" s="76" t="str">
        <f t="shared" si="14"/>
        <v>,age4_kasan_low</v>
      </c>
      <c r="Q121" s="76" t="str">
        <f t="shared" si="15"/>
        <v>TEXT</v>
      </c>
      <c r="R121" s="76" t="str">
        <f t="shared" si="16"/>
        <v/>
      </c>
      <c r="S121" s="76" t="str">
        <f t="shared" si="17"/>
        <v/>
      </c>
      <c r="T121" s="76" t="str">
        <f t="shared" si="18"/>
        <v>-- 年齢加算4下限年齢</v>
      </c>
      <c r="U121" s="4"/>
      <c r="AA121" s="4"/>
      <c r="AB121" s="4"/>
      <c r="AC121" s="4"/>
      <c r="AD121" s="4"/>
      <c r="AE121" s="4"/>
      <c r="AF121" s="4"/>
      <c r="AG121" s="4"/>
      <c r="AH121" s="4"/>
      <c r="AI121" s="4"/>
      <c r="AJ121" s="76" t="str">
        <f>IF(E121="○",IF(COUNTA(E$13:E121)=1,"",",")&amp;D121,"")</f>
        <v/>
      </c>
      <c r="AK121" s="4"/>
      <c r="AL121" s="4"/>
      <c r="AM121" s="4"/>
      <c r="AN121" s="4"/>
      <c r="AO121" s="4"/>
      <c r="AP121" s="4"/>
      <c r="AQ121" s="4"/>
      <c r="AR121" s="4"/>
      <c r="AS121" s="76" t="str">
        <f>"COMMENT ON COLUMN "&amp;エンティティ一覧!$O$2&amp;"."&amp;D$8&amp;"."&amp;D121&amp;" IS '"&amp;C121&amp;"';"</f>
        <v>COMMENT ON COLUMN milscm_2023_010.azn_202310_backup_mt_shinryo_koi_fuka.age4_kasan_low IS '年齢加算4下限年齢';</v>
      </c>
    </row>
    <row r="122" spans="1:45" s="25" customFormat="1">
      <c r="A122" s="4"/>
      <c r="B122" s="21">
        <f t="shared" si="2"/>
        <v>110</v>
      </c>
      <c r="C122" s="6" t="s">
        <v>2318</v>
      </c>
      <c r="D122" s="6" t="s">
        <v>2319</v>
      </c>
      <c r="E122" s="8"/>
      <c r="F122" s="7" t="s">
        <v>1735</v>
      </c>
      <c r="G122" s="7" t="str">
        <f t="shared" si="13"/>
        <v>text</v>
      </c>
      <c r="H122" s="26"/>
      <c r="I122" s="10"/>
      <c r="J122" s="11"/>
      <c r="M122" s="4"/>
      <c r="N122" s="76"/>
      <c r="O122" s="76"/>
      <c r="P122" s="76" t="str">
        <f t="shared" si="14"/>
        <v>,age4_kasan_up</v>
      </c>
      <c r="Q122" s="76" t="str">
        <f t="shared" si="15"/>
        <v>TEXT</v>
      </c>
      <c r="R122" s="76" t="str">
        <f t="shared" si="16"/>
        <v/>
      </c>
      <c r="S122" s="76" t="str">
        <f t="shared" si="17"/>
        <v/>
      </c>
      <c r="T122" s="76" t="str">
        <f t="shared" si="18"/>
        <v>-- 年齢加算4上限年齢</v>
      </c>
      <c r="U122" s="4"/>
      <c r="AA122" s="4"/>
      <c r="AB122" s="4"/>
      <c r="AC122" s="4"/>
      <c r="AD122" s="4"/>
      <c r="AE122" s="4"/>
      <c r="AF122" s="4"/>
      <c r="AG122" s="4"/>
      <c r="AH122" s="4"/>
      <c r="AI122" s="4"/>
      <c r="AJ122" s="76" t="str">
        <f>IF(E122="○",IF(COUNTA(E$13:E122)=1,"",",")&amp;D122,"")</f>
        <v/>
      </c>
      <c r="AK122" s="4"/>
      <c r="AL122" s="4"/>
      <c r="AM122" s="4"/>
      <c r="AN122" s="4"/>
      <c r="AO122" s="4"/>
      <c r="AP122" s="4"/>
      <c r="AQ122" s="4"/>
      <c r="AR122" s="4"/>
      <c r="AS122" s="76" t="str">
        <f>"COMMENT ON COLUMN "&amp;エンティティ一覧!$O$2&amp;"."&amp;D$8&amp;"."&amp;D122&amp;" IS '"&amp;C122&amp;"';"</f>
        <v>COMMENT ON COLUMN milscm_2023_010.azn_202310_backup_mt_shinryo_koi_fuka.age4_kasan_up IS '年齢加算4上限年齢';</v>
      </c>
    </row>
    <row r="123" spans="1:45" s="25" customFormat="1">
      <c r="A123" s="4"/>
      <c r="B123" s="21">
        <f t="shared" si="2"/>
        <v>111</v>
      </c>
      <c r="C123" s="6" t="s">
        <v>2320</v>
      </c>
      <c r="D123" s="6" t="s">
        <v>2321</v>
      </c>
      <c r="E123" s="8"/>
      <c r="F123" s="7" t="s">
        <v>1735</v>
      </c>
      <c r="G123" s="7" t="str">
        <f t="shared" si="13"/>
        <v>text</v>
      </c>
      <c r="H123" s="26"/>
      <c r="I123" s="10"/>
      <c r="J123" s="11"/>
      <c r="M123" s="4"/>
      <c r="N123" s="76"/>
      <c r="O123" s="76"/>
      <c r="P123" s="76" t="str">
        <f t="shared" si="14"/>
        <v>,age4_kasan_koi_code</v>
      </c>
      <c r="Q123" s="76" t="str">
        <f t="shared" si="15"/>
        <v>TEXT</v>
      </c>
      <c r="R123" s="76" t="str">
        <f t="shared" si="16"/>
        <v/>
      </c>
      <c r="S123" s="76" t="str">
        <f t="shared" si="17"/>
        <v/>
      </c>
      <c r="T123" s="76" t="str">
        <f t="shared" si="18"/>
        <v>-- 年齢加算4注加算診療行為コード</v>
      </c>
      <c r="U123" s="4"/>
      <c r="AA123" s="4"/>
      <c r="AB123" s="4"/>
      <c r="AC123" s="4"/>
      <c r="AD123" s="4"/>
      <c r="AE123" s="4"/>
      <c r="AF123" s="4"/>
      <c r="AG123" s="4"/>
      <c r="AH123" s="4"/>
      <c r="AI123" s="4"/>
      <c r="AJ123" s="76" t="str">
        <f>IF(E123="○",IF(COUNTA(E$13:E123)=1,"",",")&amp;D123,"")</f>
        <v/>
      </c>
      <c r="AK123" s="4"/>
      <c r="AL123" s="4"/>
      <c r="AM123" s="4"/>
      <c r="AN123" s="4"/>
      <c r="AO123" s="4"/>
      <c r="AP123" s="4"/>
      <c r="AQ123" s="4"/>
      <c r="AR123" s="4"/>
      <c r="AS123" s="76" t="str">
        <f>"COMMENT ON COLUMN "&amp;エンティティ一覧!$O$2&amp;"."&amp;D$8&amp;"."&amp;D123&amp;" IS '"&amp;C123&amp;"';"</f>
        <v>COMMENT ON COLUMN milscm_2023_010.azn_202310_backup_mt_shinryo_koi_fuka.age4_kasan_koi_code IS '年齢加算4注加算診療行為コード';</v>
      </c>
    </row>
    <row r="124" spans="1:45" s="25" customFormat="1">
      <c r="A124" s="4"/>
      <c r="B124" s="21">
        <f t="shared" si="2"/>
        <v>112</v>
      </c>
      <c r="C124" s="6" t="s">
        <v>2322</v>
      </c>
      <c r="D124" s="6" t="s">
        <v>2323</v>
      </c>
      <c r="E124" s="8"/>
      <c r="F124" s="7" t="s">
        <v>1735</v>
      </c>
      <c r="G124" s="7" t="str">
        <f t="shared" si="13"/>
        <v>text</v>
      </c>
      <c r="H124" s="26"/>
      <c r="I124" s="10"/>
      <c r="J124" s="11"/>
      <c r="M124" s="4"/>
      <c r="N124" s="76"/>
      <c r="O124" s="76"/>
      <c r="P124" s="76" t="str">
        <f t="shared" si="14"/>
        <v>,ido_kanren</v>
      </c>
      <c r="Q124" s="76" t="str">
        <f t="shared" si="15"/>
        <v>TEXT</v>
      </c>
      <c r="R124" s="76" t="str">
        <f t="shared" si="16"/>
        <v/>
      </c>
      <c r="S124" s="76" t="str">
        <f t="shared" si="17"/>
        <v/>
      </c>
      <c r="T124" s="76" t="str">
        <f t="shared" si="18"/>
        <v>-- 異動関連</v>
      </c>
      <c r="U124" s="4"/>
      <c r="AA124" s="4"/>
      <c r="AB124" s="4"/>
      <c r="AC124" s="4"/>
      <c r="AD124" s="4"/>
      <c r="AE124" s="4"/>
      <c r="AF124" s="4"/>
      <c r="AG124" s="4"/>
      <c r="AH124" s="4"/>
      <c r="AI124" s="4"/>
      <c r="AJ124" s="76" t="str">
        <f>IF(E124="○",IF(COUNTA(E$13:E124)=1,"",",")&amp;D124,"")</f>
        <v/>
      </c>
      <c r="AK124" s="4"/>
      <c r="AL124" s="4"/>
      <c r="AM124" s="4"/>
      <c r="AN124" s="4"/>
      <c r="AO124" s="4"/>
      <c r="AP124" s="4"/>
      <c r="AQ124" s="4"/>
      <c r="AR124" s="4"/>
      <c r="AS124" s="76" t="str">
        <f>"COMMENT ON COLUMN "&amp;エンティティ一覧!$O$2&amp;"."&amp;D$8&amp;"."&amp;D124&amp;" IS '"&amp;C124&amp;"';"</f>
        <v>COMMENT ON COLUMN milscm_2023_010.azn_202310_backup_mt_shinryo_koi_fuka.ido_kanren IS '異動関連';</v>
      </c>
    </row>
    <row r="125" spans="1:45" s="25" customFormat="1">
      <c r="A125" s="4"/>
      <c r="B125" s="21">
        <f t="shared" si="2"/>
        <v>113</v>
      </c>
      <c r="C125" s="6" t="s">
        <v>2324</v>
      </c>
      <c r="D125" s="6" t="s">
        <v>2325</v>
      </c>
      <c r="E125" s="8"/>
      <c r="F125" s="7" t="s">
        <v>1735</v>
      </c>
      <c r="G125" s="7" t="str">
        <f t="shared" si="13"/>
        <v>text</v>
      </c>
      <c r="H125" s="26"/>
      <c r="I125" s="10"/>
      <c r="J125" s="11"/>
      <c r="M125" s="4"/>
      <c r="N125" s="76"/>
      <c r="O125" s="76"/>
      <c r="P125" s="76" t="str">
        <f t="shared" si="14"/>
        <v>,kihon_kanji_name</v>
      </c>
      <c r="Q125" s="76" t="str">
        <f t="shared" si="15"/>
        <v>TEXT</v>
      </c>
      <c r="R125" s="76" t="str">
        <f t="shared" si="16"/>
        <v/>
      </c>
      <c r="S125" s="76" t="str">
        <f t="shared" si="17"/>
        <v/>
      </c>
      <c r="T125" s="76" t="str">
        <f t="shared" si="18"/>
        <v>-- 基本漢字名称</v>
      </c>
      <c r="U125" s="4"/>
      <c r="AA125" s="4"/>
      <c r="AB125" s="4"/>
      <c r="AC125" s="4"/>
      <c r="AD125" s="4"/>
      <c r="AE125" s="4"/>
      <c r="AF125" s="4"/>
      <c r="AG125" s="4"/>
      <c r="AH125" s="4"/>
      <c r="AI125" s="4"/>
      <c r="AJ125" s="76" t="str">
        <f>IF(E125="○",IF(COUNTA(E$13:E125)=1,"",",")&amp;D125,"")</f>
        <v/>
      </c>
      <c r="AK125" s="4"/>
      <c r="AL125" s="4"/>
      <c r="AM125" s="4"/>
      <c r="AN125" s="4"/>
      <c r="AO125" s="4"/>
      <c r="AP125" s="4"/>
      <c r="AQ125" s="4"/>
      <c r="AR125" s="4"/>
      <c r="AS125" s="76" t="str">
        <f>"COMMENT ON COLUMN "&amp;エンティティ一覧!$O$2&amp;"."&amp;D$8&amp;"."&amp;D125&amp;" IS '"&amp;C125&amp;"';"</f>
        <v>COMMENT ON COLUMN milscm_2023_010.azn_202310_backup_mt_shinryo_koi_fuka.kihon_kanji_name IS '基本漢字名称';</v>
      </c>
    </row>
    <row r="126" spans="1:45" s="25" customFormat="1">
      <c r="A126" s="4"/>
      <c r="B126" s="21">
        <f t="shared" si="2"/>
        <v>114</v>
      </c>
      <c r="C126" s="6" t="s">
        <v>2326</v>
      </c>
      <c r="D126" s="6" t="s">
        <v>2327</v>
      </c>
      <c r="E126" s="8"/>
      <c r="F126" s="7" t="s">
        <v>1735</v>
      </c>
      <c r="G126" s="7" t="str">
        <f t="shared" si="13"/>
        <v>text</v>
      </c>
      <c r="H126" s="26"/>
      <c r="I126" s="10"/>
      <c r="J126" s="11"/>
      <c r="M126" s="4"/>
      <c r="N126" s="76"/>
      <c r="O126" s="76"/>
      <c r="P126" s="76" t="str">
        <f t="shared" si="14"/>
        <v>,fukubiko_naishikyo_kasan</v>
      </c>
      <c r="Q126" s="76" t="str">
        <f t="shared" si="15"/>
        <v>TEXT</v>
      </c>
      <c r="R126" s="76" t="str">
        <f t="shared" si="16"/>
        <v/>
      </c>
      <c r="S126" s="76" t="str">
        <f t="shared" si="17"/>
        <v/>
      </c>
      <c r="T126" s="76" t="str">
        <f t="shared" si="18"/>
        <v>-- 副鼻腔手術用内視鏡加算</v>
      </c>
      <c r="U126" s="4"/>
      <c r="AA126" s="4"/>
      <c r="AB126" s="4"/>
      <c r="AC126" s="4"/>
      <c r="AD126" s="4"/>
      <c r="AE126" s="4"/>
      <c r="AF126" s="4"/>
      <c r="AG126" s="4"/>
      <c r="AH126" s="4"/>
      <c r="AI126" s="4"/>
      <c r="AJ126" s="76" t="str">
        <f>IF(E126="○",IF(COUNTA(E$13:E126)=1,"",",")&amp;D126,"")</f>
        <v/>
      </c>
      <c r="AK126" s="4"/>
      <c r="AL126" s="4"/>
      <c r="AM126" s="4"/>
      <c r="AN126" s="4"/>
      <c r="AO126" s="4"/>
      <c r="AP126" s="4"/>
      <c r="AQ126" s="4"/>
      <c r="AR126" s="4"/>
      <c r="AS126" s="76" t="str">
        <f>"COMMENT ON COLUMN "&amp;エンティティ一覧!$O$2&amp;"."&amp;D$8&amp;"."&amp;D126&amp;" IS '"&amp;C126&amp;"';"</f>
        <v>COMMENT ON COLUMN milscm_2023_010.azn_202310_backup_mt_shinryo_koi_fuka.fukubiko_naishikyo_kasan IS '副鼻腔手術用内視鏡加算';</v>
      </c>
    </row>
    <row r="127" spans="1:45" s="25" customFormat="1" ht="31.5">
      <c r="A127" s="4"/>
      <c r="B127" s="21">
        <f t="shared" si="2"/>
        <v>115</v>
      </c>
      <c r="C127" s="6" t="s">
        <v>2328</v>
      </c>
      <c r="D127" s="6" t="s">
        <v>2329</v>
      </c>
      <c r="E127" s="8"/>
      <c r="F127" s="7" t="s">
        <v>1735</v>
      </c>
      <c r="G127" s="7" t="str">
        <f t="shared" si="13"/>
        <v>text</v>
      </c>
      <c r="H127" s="26"/>
      <c r="I127" s="10"/>
      <c r="J127" s="11"/>
      <c r="M127" s="4"/>
      <c r="N127" s="76"/>
      <c r="O127" s="76"/>
      <c r="P127" s="76" t="str">
        <f t="shared" si="14"/>
        <v>,fukubiko_kotsunanbu_kasan</v>
      </c>
      <c r="Q127" s="76" t="str">
        <f t="shared" si="15"/>
        <v>TEXT</v>
      </c>
      <c r="R127" s="76" t="str">
        <f t="shared" si="16"/>
        <v/>
      </c>
      <c r="S127" s="76" t="str">
        <f t="shared" si="17"/>
        <v/>
      </c>
      <c r="T127" s="76" t="str">
        <f t="shared" si="18"/>
        <v>-- 副鼻腔手術用骨軟部組織切除機器加算</v>
      </c>
      <c r="U127" s="4"/>
      <c r="AA127" s="4"/>
      <c r="AB127" s="4"/>
      <c r="AC127" s="4"/>
      <c r="AD127" s="4"/>
      <c r="AE127" s="4"/>
      <c r="AF127" s="4"/>
      <c r="AG127" s="4"/>
      <c r="AH127" s="4"/>
      <c r="AI127" s="4"/>
      <c r="AJ127" s="76" t="str">
        <f>IF(E127="○",IF(COUNTA(E$13:E127)=1,"",",")&amp;D127,"")</f>
        <v/>
      </c>
      <c r="AK127" s="4"/>
      <c r="AL127" s="4"/>
      <c r="AM127" s="4"/>
      <c r="AN127" s="4"/>
      <c r="AO127" s="4"/>
      <c r="AP127" s="4"/>
      <c r="AQ127" s="4"/>
      <c r="AR127" s="4"/>
      <c r="AS127" s="76" t="str">
        <f>"COMMENT ON COLUMN "&amp;エンティティ一覧!$O$2&amp;"."&amp;D$8&amp;"."&amp;D127&amp;" IS '"&amp;C127&amp;"';"</f>
        <v>COMMENT ON COLUMN milscm_2023_010.azn_202310_backup_mt_shinryo_koi_fuka.fukubiko_kotsunanbu_kasan IS '副鼻腔手術用骨軟部組織切除機器加算';</v>
      </c>
    </row>
    <row r="128" spans="1:45" s="25" customFormat="1">
      <c r="A128" s="4"/>
      <c r="B128" s="21">
        <f t="shared" si="2"/>
        <v>116</v>
      </c>
      <c r="C128" s="6" t="s">
        <v>2330</v>
      </c>
      <c r="D128" s="6" t="s">
        <v>2331</v>
      </c>
      <c r="E128" s="8"/>
      <c r="F128" s="7" t="s">
        <v>1735</v>
      </c>
      <c r="G128" s="7" t="str">
        <f t="shared" si="13"/>
        <v>text</v>
      </c>
      <c r="H128" s="26"/>
      <c r="I128" s="10"/>
      <c r="J128" s="11"/>
      <c r="M128" s="4"/>
      <c r="N128" s="76"/>
      <c r="O128" s="76"/>
      <c r="P128" s="76" t="str">
        <f t="shared" si="14"/>
        <v>,long_masui_kasan</v>
      </c>
      <c r="Q128" s="76" t="str">
        <f t="shared" si="15"/>
        <v>TEXT</v>
      </c>
      <c r="R128" s="76" t="str">
        <f t="shared" si="16"/>
        <v/>
      </c>
      <c r="S128" s="76" t="str">
        <f t="shared" si="17"/>
        <v/>
      </c>
      <c r="T128" s="76" t="str">
        <f t="shared" si="18"/>
        <v>-- 長時間麻酔管理加算</v>
      </c>
      <c r="U128" s="4"/>
      <c r="AA128" s="4"/>
      <c r="AB128" s="4"/>
      <c r="AC128" s="4"/>
      <c r="AD128" s="4"/>
      <c r="AE128" s="4"/>
      <c r="AF128" s="4"/>
      <c r="AG128" s="4"/>
      <c r="AH128" s="4"/>
      <c r="AI128" s="4"/>
      <c r="AJ128" s="76" t="str">
        <f>IF(E128="○",IF(COUNTA(E$13:E128)=1,"",",")&amp;D128,"")</f>
        <v/>
      </c>
      <c r="AK128" s="4"/>
      <c r="AL128" s="4"/>
      <c r="AM128" s="4"/>
      <c r="AN128" s="4"/>
      <c r="AO128" s="4"/>
      <c r="AP128" s="4"/>
      <c r="AQ128" s="4"/>
      <c r="AR128" s="4"/>
      <c r="AS128" s="76" t="str">
        <f>"COMMENT ON COLUMN "&amp;エンティティ一覧!$O$2&amp;"."&amp;D$8&amp;"."&amp;D128&amp;" IS '"&amp;C128&amp;"';"</f>
        <v>COMMENT ON COLUMN milscm_2023_010.azn_202310_backup_mt_shinryo_koi_fuka.long_masui_kasan IS '長時間麻酔管理加算';</v>
      </c>
    </row>
    <row r="129" spans="1:45" s="25" customFormat="1" ht="56.25">
      <c r="A129" s="4"/>
      <c r="B129" s="21">
        <f t="shared" si="2"/>
        <v>117</v>
      </c>
      <c r="C129" s="6" t="s">
        <v>2332</v>
      </c>
      <c r="D129" s="6" t="s">
        <v>2333</v>
      </c>
      <c r="E129" s="8"/>
      <c r="F129" s="7" t="s">
        <v>1735</v>
      </c>
      <c r="G129" s="7" t="str">
        <f t="shared" si="13"/>
        <v>text</v>
      </c>
      <c r="H129" s="26"/>
      <c r="I129" s="10"/>
      <c r="J129" s="11" t="s">
        <v>2396</v>
      </c>
      <c r="M129" s="4"/>
      <c r="N129" s="76"/>
      <c r="O129" s="76"/>
      <c r="P129" s="76" t="str">
        <f t="shared" si="14"/>
        <v>,tensu_kubun_no</v>
      </c>
      <c r="Q129" s="76" t="str">
        <f t="shared" si="15"/>
        <v>TEXT</v>
      </c>
      <c r="R129" s="76" t="str">
        <f t="shared" si="16"/>
        <v/>
      </c>
      <c r="S129" s="76" t="str">
        <f t="shared" si="17"/>
        <v/>
      </c>
      <c r="T129" s="76" t="str">
        <f t="shared" si="18"/>
        <v>-- 点数表区分番号</v>
      </c>
      <c r="U129" s="4"/>
      <c r="AA129" s="4"/>
      <c r="AB129" s="4"/>
      <c r="AC129" s="4"/>
      <c r="AD129" s="4"/>
      <c r="AE129" s="4"/>
      <c r="AF129" s="4"/>
      <c r="AG129" s="4"/>
      <c r="AH129" s="4"/>
      <c r="AI129" s="4"/>
      <c r="AJ129" s="76" t="str">
        <f>IF(E129="○",IF(COUNTA(E$13:E129)=1,"",",")&amp;D129,"")</f>
        <v/>
      </c>
      <c r="AK129" s="4"/>
      <c r="AL129" s="4"/>
      <c r="AM129" s="4"/>
      <c r="AN129" s="4"/>
      <c r="AO129" s="4"/>
      <c r="AP129" s="4"/>
      <c r="AQ129" s="4"/>
      <c r="AR129" s="4"/>
      <c r="AS129" s="76" t="str">
        <f>"COMMENT ON COLUMN "&amp;エンティティ一覧!$O$2&amp;"."&amp;D$8&amp;"."&amp;D129&amp;" IS '"&amp;C129&amp;"';"</f>
        <v>COMMENT ON COLUMN milscm_2023_010.azn_202310_backup_mt_shinryo_koi_fuka.tensu_kubun_no IS '点数表区分番号';</v>
      </c>
    </row>
    <row r="130" spans="1:45" s="25" customFormat="1">
      <c r="A130" s="4"/>
      <c r="B130" s="21">
        <f t="shared" si="2"/>
        <v>118</v>
      </c>
      <c r="C130" s="6" t="s">
        <v>2334</v>
      </c>
      <c r="D130" s="6" t="s">
        <v>2335</v>
      </c>
      <c r="E130" s="8"/>
      <c r="F130" s="7" t="s">
        <v>1735</v>
      </c>
      <c r="G130" s="7" t="str">
        <f t="shared" si="13"/>
        <v>text</v>
      </c>
      <c r="H130" s="26"/>
      <c r="I130" s="10"/>
      <c r="J130" s="11"/>
      <c r="M130" s="4"/>
      <c r="N130" s="76"/>
      <c r="O130" s="76"/>
      <c r="P130" s="76" t="str">
        <f t="shared" si="14"/>
        <v>,monitoring_kasan</v>
      </c>
      <c r="Q130" s="76" t="str">
        <f t="shared" si="15"/>
        <v>TEXT</v>
      </c>
      <c r="R130" s="76" t="str">
        <f t="shared" si="16"/>
        <v/>
      </c>
      <c r="S130" s="76" t="str">
        <f t="shared" si="17"/>
        <v/>
      </c>
      <c r="T130" s="76" t="str">
        <f t="shared" si="18"/>
        <v>-- モニタリング加算</v>
      </c>
      <c r="U130" s="4"/>
      <c r="AA130" s="4"/>
      <c r="AB130" s="4"/>
      <c r="AC130" s="4"/>
      <c r="AD130" s="4"/>
      <c r="AE130" s="4"/>
      <c r="AF130" s="4"/>
      <c r="AG130" s="4"/>
      <c r="AH130" s="4"/>
      <c r="AI130" s="4"/>
      <c r="AJ130" s="76" t="str">
        <f>IF(E130="○",IF(COUNTA(E$13:E130)=1,"",",")&amp;D130,"")</f>
        <v/>
      </c>
      <c r="AK130" s="4"/>
      <c r="AL130" s="4"/>
      <c r="AM130" s="4"/>
      <c r="AN130" s="4"/>
      <c r="AO130" s="4"/>
      <c r="AP130" s="4"/>
      <c r="AQ130" s="4"/>
      <c r="AR130" s="4"/>
      <c r="AS130" s="76" t="str">
        <f>"COMMENT ON COLUMN "&amp;エンティティ一覧!$O$2&amp;"."&amp;D$8&amp;"."&amp;D130&amp;" IS '"&amp;C130&amp;"';"</f>
        <v>COMMENT ON COLUMN milscm_2023_010.azn_202310_backup_mt_shinryo_koi_fuka.monitoring_kasan IS 'モニタリング加算';</v>
      </c>
    </row>
    <row r="131" spans="1:45" s="25" customFormat="1">
      <c r="A131" s="4"/>
      <c r="B131" s="21">
        <f t="shared" si="2"/>
        <v>119</v>
      </c>
      <c r="C131" s="6" t="s">
        <v>2336</v>
      </c>
      <c r="D131" s="6" t="s">
        <v>2337</v>
      </c>
      <c r="E131" s="8"/>
      <c r="F131" s="7" t="s">
        <v>1735</v>
      </c>
      <c r="G131" s="7" t="str">
        <f t="shared" si="13"/>
        <v>text</v>
      </c>
      <c r="H131" s="26"/>
      <c r="I131" s="10"/>
      <c r="J131" s="11"/>
      <c r="M131" s="4"/>
      <c r="N131" s="76"/>
      <c r="O131" s="76"/>
      <c r="P131" s="76" t="str">
        <f t="shared" si="14"/>
        <v>,toketsu_hozon_kasan</v>
      </c>
      <c r="Q131" s="76" t="str">
        <f t="shared" si="15"/>
        <v>TEXT</v>
      </c>
      <c r="R131" s="76" t="str">
        <f t="shared" si="16"/>
        <v/>
      </c>
      <c r="S131" s="76" t="str">
        <f t="shared" si="17"/>
        <v/>
      </c>
      <c r="T131" s="76" t="str">
        <f t="shared" si="18"/>
        <v>-- 凍結保存同種組織加算</v>
      </c>
      <c r="U131" s="4"/>
      <c r="AA131" s="4"/>
      <c r="AB131" s="4"/>
      <c r="AC131" s="4"/>
      <c r="AD131" s="4"/>
      <c r="AE131" s="4"/>
      <c r="AF131" s="4"/>
      <c r="AG131" s="4"/>
      <c r="AH131" s="4"/>
      <c r="AI131" s="4"/>
      <c r="AJ131" s="76" t="str">
        <f>IF(E131="○",IF(COUNTA(E$13:E131)=1,"",",")&amp;D131,"")</f>
        <v/>
      </c>
      <c r="AK131" s="4"/>
      <c r="AL131" s="4"/>
      <c r="AM131" s="4"/>
      <c r="AN131" s="4"/>
      <c r="AO131" s="4"/>
      <c r="AP131" s="4"/>
      <c r="AQ131" s="4"/>
      <c r="AR131" s="4"/>
      <c r="AS131" s="76" t="str">
        <f>"COMMENT ON COLUMN "&amp;エンティティ一覧!$O$2&amp;"."&amp;D$8&amp;"."&amp;D131&amp;" IS '"&amp;C131&amp;"';"</f>
        <v>COMMENT ON COLUMN milscm_2023_010.azn_202310_backup_mt_shinryo_koi_fuka.toketsu_hozon_kasan IS '凍結保存同種組織加算';</v>
      </c>
    </row>
    <row r="132" spans="1:45" s="25" customFormat="1">
      <c r="A132" s="4"/>
      <c r="B132" s="21">
        <f t="shared" si="2"/>
        <v>120</v>
      </c>
      <c r="C132" s="6" t="s">
        <v>2338</v>
      </c>
      <c r="D132" s="6" t="s">
        <v>2339</v>
      </c>
      <c r="E132" s="8"/>
      <c r="F132" s="7" t="s">
        <v>1735</v>
      </c>
      <c r="G132" s="7" t="str">
        <f t="shared" si="13"/>
        <v>text</v>
      </c>
      <c r="H132" s="26"/>
      <c r="I132" s="10"/>
      <c r="J132" s="11"/>
      <c r="M132" s="4"/>
      <c r="N132" s="76"/>
      <c r="O132" s="76"/>
      <c r="P132" s="76" t="str">
        <f t="shared" si="14"/>
        <v>,akusei_shuyo_kasan</v>
      </c>
      <c r="Q132" s="76" t="str">
        <f t="shared" si="15"/>
        <v>TEXT</v>
      </c>
      <c r="R132" s="76" t="str">
        <f t="shared" si="16"/>
        <v/>
      </c>
      <c r="S132" s="76" t="str">
        <f t="shared" si="17"/>
        <v/>
      </c>
      <c r="T132" s="76" t="str">
        <f t="shared" si="18"/>
        <v>-- 悪性腫瘍病理組織標本加算</v>
      </c>
      <c r="U132" s="4"/>
      <c r="AA132" s="4"/>
      <c r="AB132" s="4"/>
      <c r="AC132" s="4"/>
      <c r="AD132" s="4"/>
      <c r="AE132" s="4"/>
      <c r="AF132" s="4"/>
      <c r="AG132" s="4"/>
      <c r="AH132" s="4"/>
      <c r="AI132" s="4"/>
      <c r="AJ132" s="76" t="str">
        <f>IF(E132="○",IF(COUNTA(E$13:E132)=1,"",",")&amp;D132,"")</f>
        <v/>
      </c>
      <c r="AK132" s="4"/>
      <c r="AL132" s="4"/>
      <c r="AM132" s="4"/>
      <c r="AN132" s="4"/>
      <c r="AO132" s="4"/>
      <c r="AP132" s="4"/>
      <c r="AQ132" s="4"/>
      <c r="AR132" s="4"/>
      <c r="AS132" s="76" t="str">
        <f>"COMMENT ON COLUMN "&amp;エンティティ一覧!$O$2&amp;"."&amp;D$8&amp;"."&amp;D132&amp;" IS '"&amp;C132&amp;"';"</f>
        <v>COMMENT ON COLUMN milscm_2023_010.azn_202310_backup_mt_shinryo_koi_fuka.akusei_shuyo_kasan IS '悪性腫瘍病理組織標本加算';</v>
      </c>
    </row>
    <row r="133" spans="1:45" s="25" customFormat="1">
      <c r="A133" s="4"/>
      <c r="B133" s="21">
        <f t="shared" si="2"/>
        <v>121</v>
      </c>
      <c r="C133" s="6" t="s">
        <v>2340</v>
      </c>
      <c r="D133" s="6" t="s">
        <v>2341</v>
      </c>
      <c r="E133" s="8"/>
      <c r="F133" s="7" t="s">
        <v>1735</v>
      </c>
      <c r="G133" s="7" t="str">
        <f t="shared" si="13"/>
        <v>text</v>
      </c>
      <c r="H133" s="26"/>
      <c r="I133" s="10"/>
      <c r="J133" s="11"/>
      <c r="M133" s="4"/>
      <c r="N133" s="76"/>
      <c r="O133" s="76"/>
      <c r="P133" s="76" t="str">
        <f t="shared" si="14"/>
        <v>,sogai_kotei_kasan</v>
      </c>
      <c r="Q133" s="76" t="str">
        <f t="shared" si="15"/>
        <v>TEXT</v>
      </c>
      <c r="R133" s="76" t="str">
        <f t="shared" si="16"/>
        <v/>
      </c>
      <c r="S133" s="76" t="str">
        <f t="shared" si="17"/>
        <v/>
      </c>
      <c r="T133" s="76" t="str">
        <f t="shared" si="18"/>
        <v>-- 創外固定器加算</v>
      </c>
      <c r="U133" s="4"/>
      <c r="AA133" s="4"/>
      <c r="AB133" s="4"/>
      <c r="AC133" s="4"/>
      <c r="AD133" s="4"/>
      <c r="AE133" s="4"/>
      <c r="AF133" s="4"/>
      <c r="AG133" s="4"/>
      <c r="AH133" s="4"/>
      <c r="AI133" s="4"/>
      <c r="AJ133" s="76" t="str">
        <f>IF(E133="○",IF(COUNTA(E$13:E133)=1,"",",")&amp;D133,"")</f>
        <v/>
      </c>
      <c r="AK133" s="4"/>
      <c r="AL133" s="4"/>
      <c r="AM133" s="4"/>
      <c r="AN133" s="4"/>
      <c r="AO133" s="4"/>
      <c r="AP133" s="4"/>
      <c r="AQ133" s="4"/>
      <c r="AR133" s="4"/>
      <c r="AS133" s="76" t="str">
        <f>"COMMENT ON COLUMN "&amp;エンティティ一覧!$O$2&amp;"."&amp;D$8&amp;"."&amp;D133&amp;" IS '"&amp;C133&amp;"';"</f>
        <v>COMMENT ON COLUMN milscm_2023_010.azn_202310_backup_mt_shinryo_koi_fuka.sogai_kotei_kasan IS '創外固定器加算';</v>
      </c>
    </row>
    <row r="134" spans="1:45" s="25" customFormat="1">
      <c r="A134" s="4"/>
      <c r="B134" s="21">
        <f t="shared" si="2"/>
        <v>122</v>
      </c>
      <c r="C134" s="6" t="s">
        <v>2342</v>
      </c>
      <c r="D134" s="6" t="s">
        <v>2343</v>
      </c>
      <c r="E134" s="8"/>
      <c r="F134" s="7" t="s">
        <v>1735</v>
      </c>
      <c r="G134" s="7" t="str">
        <f t="shared" si="13"/>
        <v>text</v>
      </c>
      <c r="H134" s="26"/>
      <c r="I134" s="10"/>
      <c r="J134" s="11"/>
      <c r="M134" s="4"/>
      <c r="N134" s="76"/>
      <c r="O134" s="76"/>
      <c r="P134" s="76" t="str">
        <f t="shared" si="14"/>
        <v>,chouonpa_sessaku_kasan</v>
      </c>
      <c r="Q134" s="76" t="str">
        <f t="shared" si="15"/>
        <v>TEXT</v>
      </c>
      <c r="R134" s="76" t="str">
        <f t="shared" si="16"/>
        <v/>
      </c>
      <c r="S134" s="76" t="str">
        <f t="shared" si="17"/>
        <v/>
      </c>
      <c r="T134" s="76" t="str">
        <f t="shared" si="18"/>
        <v>-- 超音波切削機器加算</v>
      </c>
      <c r="U134" s="4"/>
      <c r="AA134" s="4"/>
      <c r="AB134" s="4"/>
      <c r="AC134" s="4"/>
      <c r="AD134" s="4"/>
      <c r="AE134" s="4"/>
      <c r="AF134" s="4"/>
      <c r="AG134" s="4"/>
      <c r="AH134" s="4"/>
      <c r="AI134" s="4"/>
      <c r="AJ134" s="76" t="str">
        <f>IF(E134="○",IF(COUNTA(E$13:E134)=1,"",",")&amp;D134,"")</f>
        <v/>
      </c>
      <c r="AK134" s="4"/>
      <c r="AL134" s="4"/>
      <c r="AM134" s="4"/>
      <c r="AN134" s="4"/>
      <c r="AO134" s="4"/>
      <c r="AP134" s="4"/>
      <c r="AQ134" s="4"/>
      <c r="AR134" s="4"/>
      <c r="AS134" s="76" t="str">
        <f>"COMMENT ON COLUMN "&amp;エンティティ一覧!$O$2&amp;"."&amp;D$8&amp;"."&amp;D134&amp;" IS '"&amp;C134&amp;"';"</f>
        <v>COMMENT ON COLUMN milscm_2023_010.azn_202310_backup_mt_shinryo_koi_fuka.chouonpa_sessaku_kasan IS '超音波切削機器加算';</v>
      </c>
    </row>
    <row r="135" spans="1:45" s="25" customFormat="1">
      <c r="A135" s="4"/>
      <c r="B135" s="21">
        <f t="shared" si="2"/>
        <v>123</v>
      </c>
      <c r="C135" s="6" t="s">
        <v>2344</v>
      </c>
      <c r="D135" s="6" t="s">
        <v>2345</v>
      </c>
      <c r="E135" s="8"/>
      <c r="F135" s="7" t="s">
        <v>1735</v>
      </c>
      <c r="G135" s="7" t="str">
        <f t="shared" si="13"/>
        <v>text</v>
      </c>
      <c r="H135" s="26"/>
      <c r="I135" s="10"/>
      <c r="J135" s="11"/>
      <c r="M135" s="4"/>
      <c r="N135" s="76"/>
      <c r="O135" s="76"/>
      <c r="P135" s="76" t="str">
        <f t="shared" si="14"/>
        <v>,sashin_jiheisa_kasan</v>
      </c>
      <c r="Q135" s="76" t="str">
        <f t="shared" si="15"/>
        <v>TEXT</v>
      </c>
      <c r="R135" s="76" t="str">
        <f t="shared" si="16"/>
        <v/>
      </c>
      <c r="S135" s="76" t="str">
        <f t="shared" si="17"/>
        <v/>
      </c>
      <c r="T135" s="76" t="str">
        <f t="shared" si="18"/>
        <v>-- 左心耳閉鎖術併施加算</v>
      </c>
      <c r="U135" s="4"/>
      <c r="AA135" s="4"/>
      <c r="AB135" s="4"/>
      <c r="AC135" s="4"/>
      <c r="AD135" s="4"/>
      <c r="AE135" s="4"/>
      <c r="AF135" s="4"/>
      <c r="AG135" s="4"/>
      <c r="AH135" s="4"/>
      <c r="AI135" s="4"/>
      <c r="AJ135" s="76" t="str">
        <f>IF(E135="○",IF(COUNTA(E$13:E135)=1,"",",")&amp;D135,"")</f>
        <v/>
      </c>
      <c r="AK135" s="4"/>
      <c r="AL135" s="4"/>
      <c r="AM135" s="4"/>
      <c r="AN135" s="4"/>
      <c r="AO135" s="4"/>
      <c r="AP135" s="4"/>
      <c r="AQ135" s="4"/>
      <c r="AR135" s="4"/>
      <c r="AS135" s="76" t="str">
        <f>"COMMENT ON COLUMN "&amp;エンティティ一覧!$O$2&amp;"."&amp;D$8&amp;"."&amp;D135&amp;" IS '"&amp;C135&amp;"';"</f>
        <v>COMMENT ON COLUMN milscm_2023_010.azn_202310_backup_mt_shinryo_koi_fuka.sashin_jiheisa_kasan IS '左心耳閉鎖術併施加算';</v>
      </c>
    </row>
    <row r="136" spans="1:45" s="25" customFormat="1" ht="31.5">
      <c r="A136" s="4"/>
      <c r="B136" s="21">
        <f t="shared" si="2"/>
        <v>124</v>
      </c>
      <c r="C136" s="6" t="s">
        <v>2346</v>
      </c>
      <c r="D136" s="6" t="s">
        <v>2347</v>
      </c>
      <c r="E136" s="8"/>
      <c r="F136" s="7" t="s">
        <v>1735</v>
      </c>
      <c r="G136" s="7" t="str">
        <f t="shared" si="13"/>
        <v>text</v>
      </c>
      <c r="H136" s="26"/>
      <c r="I136" s="10"/>
      <c r="J136" s="11"/>
      <c r="M136" s="4"/>
      <c r="N136" s="76"/>
      <c r="O136" s="76"/>
      <c r="P136" s="76" t="str">
        <f t="shared" si="14"/>
        <v>,gairai_kansen_taisaku_koujo_kubun</v>
      </c>
      <c r="Q136" s="76" t="str">
        <f t="shared" si="15"/>
        <v>TEXT</v>
      </c>
      <c r="R136" s="76" t="str">
        <f t="shared" si="16"/>
        <v/>
      </c>
      <c r="S136" s="76" t="str">
        <f t="shared" si="17"/>
        <v/>
      </c>
      <c r="T136" s="76" t="str">
        <f t="shared" si="18"/>
        <v>-- 外来感染対策向上加算等</v>
      </c>
      <c r="U136" s="4"/>
      <c r="AA136" s="4"/>
      <c r="AB136" s="4"/>
      <c r="AC136" s="4"/>
      <c r="AD136" s="4"/>
      <c r="AE136" s="4"/>
      <c r="AF136" s="4"/>
      <c r="AG136" s="4"/>
      <c r="AH136" s="4"/>
      <c r="AI136" s="4"/>
      <c r="AJ136" s="76" t="str">
        <f>IF(E136="○",IF(COUNTA(E$13:E136)=1,"",",")&amp;D136,"")</f>
        <v/>
      </c>
      <c r="AK136" s="4"/>
      <c r="AL136" s="4"/>
      <c r="AM136" s="4"/>
      <c r="AN136" s="4"/>
      <c r="AO136" s="4"/>
      <c r="AP136" s="4"/>
      <c r="AQ136" s="4"/>
      <c r="AR136" s="4"/>
      <c r="AS136" s="76" t="str">
        <f>"COMMENT ON COLUMN "&amp;エンティティ一覧!$O$2&amp;"."&amp;D$8&amp;"."&amp;D136&amp;" IS '"&amp;C136&amp;"';"</f>
        <v>COMMENT ON COLUMN milscm_2023_010.azn_202310_backup_mt_shinryo_koi_fuka.gairai_kansen_taisaku_koujo_kubun IS '外来感染対策向上加算等';</v>
      </c>
    </row>
    <row r="137" spans="1:45" s="25" customFormat="1">
      <c r="A137" s="4"/>
      <c r="B137" s="21">
        <f t="shared" si="2"/>
        <v>125</v>
      </c>
      <c r="C137" s="6" t="s">
        <v>2348</v>
      </c>
      <c r="D137" s="6" t="s">
        <v>2349</v>
      </c>
      <c r="E137" s="8"/>
      <c r="F137" s="7" t="s">
        <v>1735</v>
      </c>
      <c r="G137" s="7" t="str">
        <f t="shared" si="13"/>
        <v>text</v>
      </c>
      <c r="H137" s="26"/>
      <c r="I137" s="10"/>
      <c r="J137" s="11"/>
      <c r="M137" s="4"/>
      <c r="N137" s="76"/>
      <c r="O137" s="76"/>
      <c r="P137" s="76" t="str">
        <f t="shared" si="14"/>
        <v>,jibi_inko_nyuyoji_kasan</v>
      </c>
      <c r="Q137" s="76" t="str">
        <f t="shared" si="15"/>
        <v>TEXT</v>
      </c>
      <c r="R137" s="76" t="str">
        <f t="shared" si="16"/>
        <v/>
      </c>
      <c r="S137" s="76" t="str">
        <f t="shared" si="17"/>
        <v/>
      </c>
      <c r="T137" s="76" t="str">
        <f t="shared" si="18"/>
        <v>-- 耳鼻咽喉科乳幼児処置加算</v>
      </c>
      <c r="U137" s="4"/>
      <c r="AA137" s="4"/>
      <c r="AB137" s="4"/>
      <c r="AC137" s="4"/>
      <c r="AD137" s="4"/>
      <c r="AE137" s="4"/>
      <c r="AF137" s="4"/>
      <c r="AG137" s="4"/>
      <c r="AH137" s="4"/>
      <c r="AI137" s="4"/>
      <c r="AJ137" s="76" t="str">
        <f>IF(E137="○",IF(COUNTA(E$13:E137)=1,"",",")&amp;D137,"")</f>
        <v/>
      </c>
      <c r="AK137" s="4"/>
      <c r="AL137" s="4"/>
      <c r="AM137" s="4"/>
      <c r="AN137" s="4"/>
      <c r="AO137" s="4"/>
      <c r="AP137" s="4"/>
      <c r="AQ137" s="4"/>
      <c r="AR137" s="4"/>
      <c r="AS137" s="76" t="str">
        <f>"COMMENT ON COLUMN "&amp;エンティティ一覧!$O$2&amp;"."&amp;D$8&amp;"."&amp;D137&amp;" IS '"&amp;C137&amp;"';"</f>
        <v>COMMENT ON COLUMN milscm_2023_010.azn_202310_backup_mt_shinryo_koi_fuka.jibi_inko_nyuyoji_kasan IS '耳鼻咽喉科乳幼児処置加算';</v>
      </c>
    </row>
    <row r="138" spans="1:45" s="25" customFormat="1" ht="31.5">
      <c r="A138" s="4"/>
      <c r="B138" s="21">
        <f t="shared" si="2"/>
        <v>126</v>
      </c>
      <c r="C138" s="6" t="s">
        <v>2350</v>
      </c>
      <c r="D138" s="6" t="s">
        <v>2351</v>
      </c>
      <c r="E138" s="8"/>
      <c r="F138" s="7" t="s">
        <v>1735</v>
      </c>
      <c r="G138" s="7" t="str">
        <f t="shared" si="13"/>
        <v>text</v>
      </c>
      <c r="H138" s="26"/>
      <c r="I138" s="10"/>
      <c r="J138" s="11"/>
      <c r="M138" s="4"/>
      <c r="N138" s="76"/>
      <c r="O138" s="76"/>
      <c r="P138" s="76" t="str">
        <f t="shared" si="14"/>
        <v>,jibi_inko_shoni_koukin_tekisei_shiyou_shien_kasan</v>
      </c>
      <c r="Q138" s="76" t="str">
        <f t="shared" si="15"/>
        <v>TEXT</v>
      </c>
      <c r="R138" s="76" t="str">
        <f t="shared" si="16"/>
        <v/>
      </c>
      <c r="S138" s="76" t="str">
        <f t="shared" si="17"/>
        <v/>
      </c>
      <c r="T138" s="76" t="str">
        <f t="shared" si="18"/>
        <v>-- 耳鼻咽喉科小児抗菌薬適正使用支援加算</v>
      </c>
      <c r="U138" s="4"/>
      <c r="AA138" s="4"/>
      <c r="AB138" s="4"/>
      <c r="AC138" s="4"/>
      <c r="AD138" s="4"/>
      <c r="AE138" s="4"/>
      <c r="AF138" s="4"/>
      <c r="AG138" s="4"/>
      <c r="AH138" s="4"/>
      <c r="AI138" s="4"/>
      <c r="AJ138" s="76" t="str">
        <f>IF(E138="○",IF(COUNTA(E$13:E138)=1,"",",")&amp;D138,"")</f>
        <v/>
      </c>
      <c r="AK138" s="4"/>
      <c r="AL138" s="4"/>
      <c r="AM138" s="4"/>
      <c r="AN138" s="4"/>
      <c r="AO138" s="4"/>
      <c r="AP138" s="4"/>
      <c r="AQ138" s="4"/>
      <c r="AR138" s="4"/>
      <c r="AS138" s="76" t="str">
        <f>"COMMENT ON COLUMN "&amp;エンティティ一覧!$O$2&amp;"."&amp;D$8&amp;"."&amp;D138&amp;" IS '"&amp;C138&amp;"';"</f>
        <v>COMMENT ON COLUMN milscm_2023_010.azn_202310_backup_mt_shinryo_koi_fuka.jibi_inko_shoni_koukin_tekisei_shiyou_shien_kasan IS '耳鼻咽喉科小児抗菌薬適正使用支援加算';</v>
      </c>
    </row>
    <row r="139" spans="1:45" s="25" customFormat="1" ht="31.5">
      <c r="A139" s="4"/>
      <c r="B139" s="21">
        <f t="shared" si="2"/>
        <v>127</v>
      </c>
      <c r="C139" s="6" t="s">
        <v>2352</v>
      </c>
      <c r="D139" s="6" t="s">
        <v>2353</v>
      </c>
      <c r="E139" s="8"/>
      <c r="F139" s="7" t="s">
        <v>1735</v>
      </c>
      <c r="G139" s="7" t="str">
        <f t="shared" si="13"/>
        <v>text</v>
      </c>
      <c r="H139" s="26"/>
      <c r="I139" s="10"/>
      <c r="J139" s="11"/>
      <c r="M139" s="4"/>
      <c r="N139" s="76"/>
      <c r="O139" s="76"/>
      <c r="P139" s="76" t="str">
        <f t="shared" si="14"/>
        <v>,sekkaisou_kyokusho_inatsu_heisa_shochi_kasan</v>
      </c>
      <c r="Q139" s="76" t="str">
        <f t="shared" si="15"/>
        <v>TEXT</v>
      </c>
      <c r="R139" s="76" t="str">
        <f t="shared" si="16"/>
        <v/>
      </c>
      <c r="S139" s="76" t="str">
        <f t="shared" si="17"/>
        <v/>
      </c>
      <c r="T139" s="76" t="str">
        <f t="shared" si="18"/>
        <v>-- 切開創局所陰圧閉鎖処置機器加算</v>
      </c>
      <c r="U139" s="4"/>
      <c r="AA139" s="4"/>
      <c r="AB139" s="4"/>
      <c r="AC139" s="4"/>
      <c r="AD139" s="4"/>
      <c r="AE139" s="4"/>
      <c r="AF139" s="4"/>
      <c r="AG139" s="4"/>
      <c r="AH139" s="4"/>
      <c r="AI139" s="4"/>
      <c r="AJ139" s="76" t="str">
        <f>IF(E139="○",IF(COUNTA(E$13:E139)=1,"",",")&amp;D139,"")</f>
        <v/>
      </c>
      <c r="AK139" s="4"/>
      <c r="AL139" s="4"/>
      <c r="AM139" s="4"/>
      <c r="AN139" s="4"/>
      <c r="AO139" s="4"/>
      <c r="AP139" s="4"/>
      <c r="AQ139" s="4"/>
      <c r="AR139" s="4"/>
      <c r="AS139" s="76" t="str">
        <f>"COMMENT ON COLUMN "&amp;エンティティ一覧!$O$2&amp;"."&amp;D$8&amp;"."&amp;D139&amp;" IS '"&amp;C139&amp;"';"</f>
        <v>COMMENT ON COLUMN milscm_2023_010.azn_202310_backup_mt_shinryo_koi_fuka.sekkaisou_kyokusho_inatsu_heisa_shochi_kasan IS '切開創局所陰圧閉鎖処置機器加算';</v>
      </c>
    </row>
    <row r="140" spans="1:45" s="25" customFormat="1">
      <c r="A140" s="4"/>
      <c r="B140" s="21">
        <f t="shared" si="2"/>
        <v>128</v>
      </c>
      <c r="C140" s="6" t="s">
        <v>2017</v>
      </c>
      <c r="D140" s="6" t="s">
        <v>1186</v>
      </c>
      <c r="E140" s="8"/>
      <c r="F140" s="7" t="s">
        <v>1735</v>
      </c>
      <c r="G140" s="7" t="str">
        <f t="shared" si="13"/>
        <v>text</v>
      </c>
      <c r="H140" s="26"/>
      <c r="I140" s="10"/>
      <c r="J140" s="11" t="s">
        <v>2394</v>
      </c>
      <c r="M140" s="4"/>
      <c r="N140" s="76"/>
      <c r="O140" s="76"/>
      <c r="P140" s="76" t="str">
        <f t="shared" si="14"/>
        <v>,reserve5</v>
      </c>
      <c r="Q140" s="76" t="str">
        <f t="shared" si="15"/>
        <v>TEXT</v>
      </c>
      <c r="R140" s="76" t="str">
        <f t="shared" si="16"/>
        <v/>
      </c>
      <c r="S140" s="76" t="str">
        <f t="shared" si="17"/>
        <v/>
      </c>
      <c r="T140" s="76" t="str">
        <f t="shared" si="18"/>
        <v>-- 予備5</v>
      </c>
      <c r="U140" s="4"/>
      <c r="AA140" s="4"/>
      <c r="AB140" s="4"/>
      <c r="AC140" s="4"/>
      <c r="AD140" s="4"/>
      <c r="AE140" s="4"/>
      <c r="AF140" s="4"/>
      <c r="AG140" s="4"/>
      <c r="AH140" s="4"/>
      <c r="AI140" s="4"/>
      <c r="AJ140" s="76" t="str">
        <f>IF(E140="○",IF(COUNTA(E$13:E140)=1,"",",")&amp;D140,"")</f>
        <v/>
      </c>
      <c r="AK140" s="4"/>
      <c r="AL140" s="4"/>
      <c r="AM140" s="4"/>
      <c r="AN140" s="4"/>
      <c r="AO140" s="4"/>
      <c r="AP140" s="4"/>
      <c r="AQ140" s="4"/>
      <c r="AR140" s="4"/>
      <c r="AS140" s="76" t="str">
        <f>"COMMENT ON COLUMN "&amp;エンティティ一覧!$O$2&amp;"."&amp;D$8&amp;"."&amp;D140&amp;" IS '"&amp;C140&amp;"';"</f>
        <v>COMMENT ON COLUMN milscm_2023_010.azn_202310_backup_mt_shinryo_koi_fuka.reserve5 IS '予備5';</v>
      </c>
    </row>
    <row r="141" spans="1:45" s="25" customFormat="1">
      <c r="A141" s="4"/>
      <c r="B141" s="21">
        <f t="shared" si="2"/>
        <v>129</v>
      </c>
      <c r="C141" s="6" t="s">
        <v>2018</v>
      </c>
      <c r="D141" s="6" t="s">
        <v>1188</v>
      </c>
      <c r="E141" s="8"/>
      <c r="F141" s="7" t="s">
        <v>1735</v>
      </c>
      <c r="G141" s="7" t="str">
        <f t="shared" si="13"/>
        <v>text</v>
      </c>
      <c r="H141" s="26"/>
      <c r="I141" s="10"/>
      <c r="J141" s="11" t="s">
        <v>2394</v>
      </c>
      <c r="M141" s="4"/>
      <c r="N141" s="76"/>
      <c r="O141" s="76"/>
      <c r="P141" s="76" t="str">
        <f t="shared" si="14"/>
        <v>,reserve6</v>
      </c>
      <c r="Q141" s="76" t="str">
        <f t="shared" si="15"/>
        <v>TEXT</v>
      </c>
      <c r="R141" s="76" t="str">
        <f t="shared" si="16"/>
        <v/>
      </c>
      <c r="S141" s="76" t="str">
        <f t="shared" si="17"/>
        <v/>
      </c>
      <c r="T141" s="76" t="str">
        <f t="shared" si="18"/>
        <v>-- 予備6</v>
      </c>
      <c r="U141" s="4"/>
      <c r="AA141" s="4"/>
      <c r="AB141" s="4"/>
      <c r="AC141" s="4"/>
      <c r="AD141" s="4"/>
      <c r="AE141" s="4"/>
      <c r="AF141" s="4"/>
      <c r="AG141" s="4"/>
      <c r="AH141" s="4"/>
      <c r="AI141" s="4"/>
      <c r="AJ141" s="76" t="str">
        <f>IF(E141="○",IF(COUNTA(E$13:E141)=1,"",",")&amp;D141,"")</f>
        <v/>
      </c>
      <c r="AK141" s="4"/>
      <c r="AL141" s="4"/>
      <c r="AM141" s="4"/>
      <c r="AN141" s="4"/>
      <c r="AO141" s="4"/>
      <c r="AP141" s="4"/>
      <c r="AQ141" s="4"/>
      <c r="AR141" s="4"/>
      <c r="AS141" s="76" t="str">
        <f>"COMMENT ON COLUMN "&amp;エンティティ一覧!$O$2&amp;"."&amp;D$8&amp;"."&amp;D141&amp;" IS '"&amp;C141&amp;"';"</f>
        <v>COMMENT ON COLUMN milscm_2023_010.azn_202310_backup_mt_shinryo_koi_fuka.reserve6 IS '予備6';</v>
      </c>
    </row>
    <row r="142" spans="1:45" s="25" customFormat="1">
      <c r="A142" s="4"/>
      <c r="B142" s="21">
        <f t="shared" si="2"/>
        <v>130</v>
      </c>
      <c r="C142" s="6" t="s">
        <v>2019</v>
      </c>
      <c r="D142" s="6" t="s">
        <v>1190</v>
      </c>
      <c r="E142" s="8"/>
      <c r="F142" s="7" t="s">
        <v>1735</v>
      </c>
      <c r="G142" s="7" t="str">
        <f t="shared" si="13"/>
        <v>text</v>
      </c>
      <c r="H142" s="26"/>
      <c r="I142" s="10"/>
      <c r="J142" s="11" t="s">
        <v>2394</v>
      </c>
      <c r="M142" s="4"/>
      <c r="N142" s="76"/>
      <c r="O142" s="76"/>
      <c r="P142" s="76" t="str">
        <f t="shared" si="14"/>
        <v>,reserve7</v>
      </c>
      <c r="Q142" s="76" t="str">
        <f t="shared" si="15"/>
        <v>TEXT</v>
      </c>
      <c r="R142" s="76" t="str">
        <f t="shared" si="16"/>
        <v/>
      </c>
      <c r="S142" s="76" t="str">
        <f t="shared" si="17"/>
        <v/>
      </c>
      <c r="T142" s="76" t="str">
        <f t="shared" si="18"/>
        <v>-- 予備7</v>
      </c>
      <c r="U142" s="4"/>
      <c r="AA142" s="4"/>
      <c r="AB142" s="4"/>
      <c r="AC142" s="4"/>
      <c r="AD142" s="4"/>
      <c r="AE142" s="4"/>
      <c r="AF142" s="4"/>
      <c r="AG142" s="4"/>
      <c r="AH142" s="4"/>
      <c r="AI142" s="4"/>
      <c r="AJ142" s="76" t="str">
        <f>IF(E142="○",IF(COUNTA(E$13:E142)=1,"",",")&amp;D142,"")</f>
        <v/>
      </c>
      <c r="AK142" s="4"/>
      <c r="AL142" s="4"/>
      <c r="AM142" s="4"/>
      <c r="AN142" s="4"/>
      <c r="AO142" s="4"/>
      <c r="AP142" s="4"/>
      <c r="AQ142" s="4"/>
      <c r="AR142" s="4"/>
      <c r="AS142" s="76" t="str">
        <f>"COMMENT ON COLUMN "&amp;エンティティ一覧!$O$2&amp;"."&amp;D$8&amp;"."&amp;D142&amp;" IS '"&amp;C142&amp;"';"</f>
        <v>COMMENT ON COLUMN milscm_2023_010.azn_202310_backup_mt_shinryo_koi_fuka.reserve7 IS '予備7';</v>
      </c>
    </row>
    <row r="143" spans="1:45" s="25" customFormat="1">
      <c r="A143" s="4"/>
      <c r="B143" s="21">
        <f t="shared" si="2"/>
        <v>131</v>
      </c>
      <c r="C143" s="6" t="s">
        <v>2020</v>
      </c>
      <c r="D143" s="6" t="s">
        <v>2021</v>
      </c>
      <c r="E143" s="8"/>
      <c r="F143" s="7" t="s">
        <v>1735</v>
      </c>
      <c r="G143" s="7" t="str">
        <f t="shared" si="13"/>
        <v>text</v>
      </c>
      <c r="H143" s="26"/>
      <c r="I143" s="10"/>
      <c r="J143" s="11" t="s">
        <v>2394</v>
      </c>
      <c r="M143" s="4"/>
      <c r="N143" s="76"/>
      <c r="O143" s="76"/>
      <c r="P143" s="76" t="str">
        <f t="shared" si="14"/>
        <v>,reserve8</v>
      </c>
      <c r="Q143" s="76" t="str">
        <f t="shared" si="15"/>
        <v>TEXT</v>
      </c>
      <c r="R143" s="76" t="str">
        <f t="shared" si="16"/>
        <v/>
      </c>
      <c r="S143" s="76" t="str">
        <f t="shared" si="17"/>
        <v/>
      </c>
      <c r="T143" s="76" t="str">
        <f t="shared" si="18"/>
        <v>-- 予備8</v>
      </c>
      <c r="U143" s="4"/>
      <c r="AA143" s="4"/>
      <c r="AB143" s="4"/>
      <c r="AC143" s="4"/>
      <c r="AD143" s="4"/>
      <c r="AE143" s="4"/>
      <c r="AF143" s="4"/>
      <c r="AG143" s="4"/>
      <c r="AH143" s="4"/>
      <c r="AI143" s="4"/>
      <c r="AJ143" s="76" t="str">
        <f>IF(E143="○",IF(COUNTA(E$13:E143)=1,"",",")&amp;D143,"")</f>
        <v/>
      </c>
      <c r="AK143" s="4"/>
      <c r="AL143" s="4"/>
      <c r="AM143" s="4"/>
      <c r="AN143" s="4"/>
      <c r="AO143" s="4"/>
      <c r="AP143" s="4"/>
      <c r="AQ143" s="4"/>
      <c r="AR143" s="4"/>
      <c r="AS143" s="76" t="str">
        <f>"COMMENT ON COLUMN "&amp;エンティティ一覧!$O$2&amp;"."&amp;D$8&amp;"."&amp;D143&amp;" IS '"&amp;C143&amp;"';"</f>
        <v>COMMENT ON COLUMN milscm_2023_010.azn_202310_backup_mt_shinryo_koi_fuka.reserve8 IS '予備8';</v>
      </c>
    </row>
    <row r="144" spans="1:45" s="25" customFormat="1">
      <c r="A144" s="4"/>
      <c r="B144" s="21">
        <f t="shared" si="2"/>
        <v>132</v>
      </c>
      <c r="C144" s="6" t="s">
        <v>2354</v>
      </c>
      <c r="D144" s="6" t="s">
        <v>2355</v>
      </c>
      <c r="E144" s="8"/>
      <c r="F144" s="7" t="s">
        <v>1735</v>
      </c>
      <c r="G144" s="7" t="str">
        <f t="shared" si="13"/>
        <v>text</v>
      </c>
      <c r="H144" s="26"/>
      <c r="I144" s="10"/>
      <c r="J144" s="11" t="s">
        <v>2394</v>
      </c>
      <c r="M144" s="4"/>
      <c r="N144" s="76"/>
      <c r="O144" s="76"/>
      <c r="P144" s="76" t="str">
        <f t="shared" si="14"/>
        <v>,reserve9</v>
      </c>
      <c r="Q144" s="76" t="str">
        <f t="shared" si="15"/>
        <v>TEXT</v>
      </c>
      <c r="R144" s="76" t="str">
        <f t="shared" si="16"/>
        <v/>
      </c>
      <c r="S144" s="76" t="str">
        <f t="shared" si="17"/>
        <v/>
      </c>
      <c r="T144" s="76" t="str">
        <f t="shared" si="18"/>
        <v>-- 予備9</v>
      </c>
      <c r="U144" s="4"/>
      <c r="AA144" s="4"/>
      <c r="AB144" s="4"/>
      <c r="AC144" s="4"/>
      <c r="AD144" s="4"/>
      <c r="AE144" s="4"/>
      <c r="AF144" s="4"/>
      <c r="AG144" s="4"/>
      <c r="AH144" s="4"/>
      <c r="AI144" s="4"/>
      <c r="AJ144" s="76" t="str">
        <f>IF(E144="○",IF(COUNTA(E$13:E144)=1,"",",")&amp;D144,"")</f>
        <v/>
      </c>
      <c r="AK144" s="4"/>
      <c r="AL144" s="4"/>
      <c r="AM144" s="4"/>
      <c r="AN144" s="4"/>
      <c r="AO144" s="4"/>
      <c r="AP144" s="4"/>
      <c r="AQ144" s="4"/>
      <c r="AR144" s="4"/>
      <c r="AS144" s="76" t="str">
        <f>"COMMENT ON COLUMN "&amp;エンティティ一覧!$O$2&amp;"."&amp;D$8&amp;"."&amp;D144&amp;" IS '"&amp;C144&amp;"';"</f>
        <v>COMMENT ON COLUMN milscm_2023_010.azn_202310_backup_mt_shinryo_koi_fuka.reserve9 IS '予備9';</v>
      </c>
    </row>
    <row r="145" spans="1:45" s="25" customFormat="1">
      <c r="A145" s="4"/>
      <c r="B145" s="21">
        <f t="shared" si="2"/>
        <v>133</v>
      </c>
      <c r="C145" s="6" t="s">
        <v>2356</v>
      </c>
      <c r="D145" s="6" t="s">
        <v>2357</v>
      </c>
      <c r="E145" s="8"/>
      <c r="F145" s="7" t="s">
        <v>1735</v>
      </c>
      <c r="G145" s="7" t="str">
        <f t="shared" si="13"/>
        <v>text</v>
      </c>
      <c r="H145" s="26"/>
      <c r="I145" s="10"/>
      <c r="J145" s="11" t="s">
        <v>2394</v>
      </c>
      <c r="M145" s="4"/>
      <c r="N145" s="76"/>
      <c r="O145" s="76"/>
      <c r="P145" s="76" t="str">
        <f t="shared" si="14"/>
        <v>,reserve10</v>
      </c>
      <c r="Q145" s="76" t="str">
        <f t="shared" si="15"/>
        <v>TEXT</v>
      </c>
      <c r="R145" s="76" t="str">
        <f t="shared" si="16"/>
        <v/>
      </c>
      <c r="S145" s="76" t="str">
        <f t="shared" si="17"/>
        <v/>
      </c>
      <c r="T145" s="76" t="str">
        <f t="shared" si="18"/>
        <v>-- 予備10</v>
      </c>
      <c r="U145" s="4"/>
      <c r="AA145" s="4"/>
      <c r="AB145" s="4"/>
      <c r="AC145" s="4"/>
      <c r="AD145" s="4"/>
      <c r="AE145" s="4"/>
      <c r="AF145" s="4"/>
      <c r="AG145" s="4"/>
      <c r="AH145" s="4"/>
      <c r="AI145" s="4"/>
      <c r="AJ145" s="76" t="str">
        <f>IF(E145="○",IF(COUNTA(E$13:E145)=1,"",",")&amp;D145,"")</f>
        <v/>
      </c>
      <c r="AK145" s="4"/>
      <c r="AL145" s="4"/>
      <c r="AM145" s="4"/>
      <c r="AN145" s="4"/>
      <c r="AO145" s="4"/>
      <c r="AP145" s="4"/>
      <c r="AQ145" s="4"/>
      <c r="AR145" s="4"/>
      <c r="AS145" s="76" t="str">
        <f>"COMMENT ON COLUMN "&amp;エンティティ一覧!$O$2&amp;"."&amp;D$8&amp;"."&amp;D145&amp;" IS '"&amp;C145&amp;"';"</f>
        <v>COMMENT ON COLUMN milscm_2023_010.azn_202310_backup_mt_shinryo_koi_fuka.reserve10 IS '予備10';</v>
      </c>
    </row>
    <row r="146" spans="1:45" s="25" customFormat="1">
      <c r="A146" s="4"/>
      <c r="B146" s="21">
        <f t="shared" si="2"/>
        <v>134</v>
      </c>
      <c r="C146" s="6" t="s">
        <v>2358</v>
      </c>
      <c r="D146" s="6" t="s">
        <v>2359</v>
      </c>
      <c r="E146" s="8"/>
      <c r="F146" s="7" t="s">
        <v>1735</v>
      </c>
      <c r="G146" s="7" t="str">
        <f t="shared" ref="G146:G162" si="19">IF(F146="フラグ","boolean",IF(F146="文字列","text",IF(F146="整数","integer",IF(F146="実数","numeric",""))))</f>
        <v>text</v>
      </c>
      <c r="H146" s="26"/>
      <c r="I146" s="10"/>
      <c r="J146" s="11" t="s">
        <v>2394</v>
      </c>
      <c r="M146" s="4"/>
      <c r="N146" s="76"/>
      <c r="O146" s="76"/>
      <c r="P146" s="76" t="str">
        <f t="shared" ref="P146:P162" si="20">IF(B146&lt;&gt;1,","&amp;D146,D146)</f>
        <v>,reserve11</v>
      </c>
      <c r="Q146" s="76" t="str">
        <f t="shared" ref="Q146:Q162" si="21">UPPER(G146)</f>
        <v>TEXT</v>
      </c>
      <c r="R146" s="76" t="str">
        <f t="shared" ref="R146:R162" si="22">IF(H146&lt;&gt;"","default "&amp;IF(G146="text","'"&amp;H146&amp;"'",H146),"")</f>
        <v/>
      </c>
      <c r="S146" s="76" t="str">
        <f t="shared" ref="S146:S162" si="23">IF(I146="○","NOT NULL","")</f>
        <v/>
      </c>
      <c r="T146" s="76" t="str">
        <f t="shared" ref="T146:T162" si="24">"-- "&amp;C146</f>
        <v>-- 予備11</v>
      </c>
      <c r="U146" s="4"/>
      <c r="AA146" s="4"/>
      <c r="AB146" s="4"/>
      <c r="AC146" s="4"/>
      <c r="AD146" s="4"/>
      <c r="AE146" s="4"/>
      <c r="AF146" s="4"/>
      <c r="AG146" s="4"/>
      <c r="AH146" s="4"/>
      <c r="AI146" s="4"/>
      <c r="AJ146" s="76" t="str">
        <f>IF(E146="○",IF(COUNTA(E$13:E146)=1,"",",")&amp;D146,"")</f>
        <v/>
      </c>
      <c r="AK146" s="4"/>
      <c r="AL146" s="4"/>
      <c r="AM146" s="4"/>
      <c r="AN146" s="4"/>
      <c r="AO146" s="4"/>
      <c r="AP146" s="4"/>
      <c r="AQ146" s="4"/>
      <c r="AR146" s="4"/>
      <c r="AS146" s="76" t="str">
        <f>"COMMENT ON COLUMN "&amp;エンティティ一覧!$O$2&amp;"."&amp;D$8&amp;"."&amp;D146&amp;" IS '"&amp;C146&amp;"';"</f>
        <v>COMMENT ON COLUMN milscm_2023_010.azn_202310_backup_mt_shinryo_koi_fuka.reserve11 IS '予備11';</v>
      </c>
    </row>
    <row r="147" spans="1:45" s="25" customFormat="1">
      <c r="A147" s="4"/>
      <c r="B147" s="21">
        <f t="shared" si="2"/>
        <v>135</v>
      </c>
      <c r="C147" s="6" t="s">
        <v>2360</v>
      </c>
      <c r="D147" s="6" t="s">
        <v>2361</v>
      </c>
      <c r="E147" s="8"/>
      <c r="F147" s="7" t="s">
        <v>1735</v>
      </c>
      <c r="G147" s="7" t="str">
        <f t="shared" si="19"/>
        <v>text</v>
      </c>
      <c r="H147" s="26"/>
      <c r="I147" s="10"/>
      <c r="J147" s="11" t="s">
        <v>2394</v>
      </c>
      <c r="M147" s="4"/>
      <c r="N147" s="76"/>
      <c r="O147" s="76"/>
      <c r="P147" s="76" t="str">
        <f t="shared" si="20"/>
        <v>,reserve12</v>
      </c>
      <c r="Q147" s="76" t="str">
        <f t="shared" si="21"/>
        <v>TEXT</v>
      </c>
      <c r="R147" s="76" t="str">
        <f t="shared" si="22"/>
        <v/>
      </c>
      <c r="S147" s="76" t="str">
        <f t="shared" si="23"/>
        <v/>
      </c>
      <c r="T147" s="76" t="str">
        <f t="shared" si="24"/>
        <v>-- 予備12</v>
      </c>
      <c r="U147" s="4"/>
      <c r="AA147" s="4"/>
      <c r="AB147" s="4"/>
      <c r="AC147" s="4"/>
      <c r="AD147" s="4"/>
      <c r="AE147" s="4"/>
      <c r="AF147" s="4"/>
      <c r="AG147" s="4"/>
      <c r="AH147" s="4"/>
      <c r="AI147" s="4"/>
      <c r="AJ147" s="76" t="str">
        <f>IF(E147="○",IF(COUNTA(E$13:E147)=1,"",",")&amp;D147,"")</f>
        <v/>
      </c>
      <c r="AK147" s="4"/>
      <c r="AL147" s="4"/>
      <c r="AM147" s="4"/>
      <c r="AN147" s="4"/>
      <c r="AO147" s="4"/>
      <c r="AP147" s="4"/>
      <c r="AQ147" s="4"/>
      <c r="AR147" s="4"/>
      <c r="AS147" s="76" t="str">
        <f>"COMMENT ON COLUMN "&amp;エンティティ一覧!$O$2&amp;"."&amp;D$8&amp;"."&amp;D147&amp;" IS '"&amp;C147&amp;"';"</f>
        <v>COMMENT ON COLUMN milscm_2023_010.azn_202310_backup_mt_shinryo_koi_fuka.reserve12 IS '予備12';</v>
      </c>
    </row>
    <row r="148" spans="1:45" s="25" customFormat="1">
      <c r="A148" s="4"/>
      <c r="B148" s="21">
        <f t="shared" si="2"/>
        <v>136</v>
      </c>
      <c r="C148" s="6" t="s">
        <v>2362</v>
      </c>
      <c r="D148" s="6" t="s">
        <v>2363</v>
      </c>
      <c r="E148" s="8"/>
      <c r="F148" s="7" t="s">
        <v>1735</v>
      </c>
      <c r="G148" s="7" t="str">
        <f t="shared" si="19"/>
        <v>text</v>
      </c>
      <c r="H148" s="26"/>
      <c r="I148" s="10"/>
      <c r="J148" s="11" t="s">
        <v>2394</v>
      </c>
      <c r="M148" s="4"/>
      <c r="N148" s="76"/>
      <c r="O148" s="76"/>
      <c r="P148" s="76" t="str">
        <f t="shared" si="20"/>
        <v>,reserve13</v>
      </c>
      <c r="Q148" s="76" t="str">
        <f t="shared" si="21"/>
        <v>TEXT</v>
      </c>
      <c r="R148" s="76" t="str">
        <f t="shared" si="22"/>
        <v/>
      </c>
      <c r="S148" s="76" t="str">
        <f t="shared" si="23"/>
        <v/>
      </c>
      <c r="T148" s="76" t="str">
        <f t="shared" si="24"/>
        <v>-- 予備13</v>
      </c>
      <c r="U148" s="4"/>
      <c r="AA148" s="4"/>
      <c r="AB148" s="4"/>
      <c r="AC148" s="4"/>
      <c r="AD148" s="4"/>
      <c r="AE148" s="4"/>
      <c r="AF148" s="4"/>
      <c r="AG148" s="4"/>
      <c r="AH148" s="4"/>
      <c r="AI148" s="4"/>
      <c r="AJ148" s="76" t="str">
        <f>IF(E148="○",IF(COUNTA(E$13:E148)=1,"",",")&amp;D148,"")</f>
        <v/>
      </c>
      <c r="AK148" s="4"/>
      <c r="AL148" s="4"/>
      <c r="AM148" s="4"/>
      <c r="AN148" s="4"/>
      <c r="AO148" s="4"/>
      <c r="AP148" s="4"/>
      <c r="AQ148" s="4"/>
      <c r="AR148" s="4"/>
      <c r="AS148" s="76" t="str">
        <f>"COMMENT ON COLUMN "&amp;エンティティ一覧!$O$2&amp;"."&amp;D$8&amp;"."&amp;D148&amp;" IS '"&amp;C148&amp;"';"</f>
        <v>COMMENT ON COLUMN milscm_2023_010.azn_202310_backup_mt_shinryo_koi_fuka.reserve13 IS '予備13';</v>
      </c>
    </row>
    <row r="149" spans="1:45" s="25" customFormat="1">
      <c r="A149" s="4"/>
      <c r="B149" s="21">
        <f t="shared" si="2"/>
        <v>137</v>
      </c>
      <c r="C149" s="6" t="s">
        <v>2364</v>
      </c>
      <c r="D149" s="6" t="s">
        <v>2365</v>
      </c>
      <c r="E149" s="8"/>
      <c r="F149" s="7" t="s">
        <v>1735</v>
      </c>
      <c r="G149" s="7" t="str">
        <f t="shared" si="19"/>
        <v>text</v>
      </c>
      <c r="H149" s="26"/>
      <c r="I149" s="10"/>
      <c r="J149" s="11" t="s">
        <v>2394</v>
      </c>
      <c r="M149" s="4"/>
      <c r="N149" s="76"/>
      <c r="O149" s="76"/>
      <c r="P149" s="76" t="str">
        <f t="shared" si="20"/>
        <v>,reserve14</v>
      </c>
      <c r="Q149" s="76" t="str">
        <f t="shared" si="21"/>
        <v>TEXT</v>
      </c>
      <c r="R149" s="76" t="str">
        <f t="shared" si="22"/>
        <v/>
      </c>
      <c r="S149" s="76" t="str">
        <f t="shared" si="23"/>
        <v/>
      </c>
      <c r="T149" s="76" t="str">
        <f t="shared" si="24"/>
        <v>-- 予備14</v>
      </c>
      <c r="U149" s="4"/>
      <c r="AA149" s="4"/>
      <c r="AB149" s="4"/>
      <c r="AC149" s="4"/>
      <c r="AD149" s="4"/>
      <c r="AE149" s="4"/>
      <c r="AF149" s="4"/>
      <c r="AG149" s="4"/>
      <c r="AH149" s="4"/>
      <c r="AI149" s="4"/>
      <c r="AJ149" s="76" t="str">
        <f>IF(E149="○",IF(COUNTA(E$13:E149)=1,"",",")&amp;D149,"")</f>
        <v/>
      </c>
      <c r="AK149" s="4"/>
      <c r="AL149" s="4"/>
      <c r="AM149" s="4"/>
      <c r="AN149" s="4"/>
      <c r="AO149" s="4"/>
      <c r="AP149" s="4"/>
      <c r="AQ149" s="4"/>
      <c r="AR149" s="4"/>
      <c r="AS149" s="76" t="str">
        <f>"COMMENT ON COLUMN "&amp;エンティティ一覧!$O$2&amp;"."&amp;D$8&amp;"."&amp;D149&amp;" IS '"&amp;C149&amp;"';"</f>
        <v>COMMENT ON COLUMN milscm_2023_010.azn_202310_backup_mt_shinryo_koi_fuka.reserve14 IS '予備14';</v>
      </c>
    </row>
    <row r="150" spans="1:45" s="25" customFormat="1">
      <c r="A150" s="4"/>
      <c r="B150" s="21">
        <f t="shared" si="2"/>
        <v>138</v>
      </c>
      <c r="C150" s="6" t="s">
        <v>2366</v>
      </c>
      <c r="D150" s="6" t="s">
        <v>2367</v>
      </c>
      <c r="E150" s="8"/>
      <c r="F150" s="7" t="s">
        <v>1735</v>
      </c>
      <c r="G150" s="7" t="str">
        <f t="shared" si="19"/>
        <v>text</v>
      </c>
      <c r="H150" s="26"/>
      <c r="I150" s="10"/>
      <c r="J150" s="11" t="s">
        <v>2394</v>
      </c>
      <c r="M150" s="4"/>
      <c r="N150" s="76"/>
      <c r="O150" s="76"/>
      <c r="P150" s="76" t="str">
        <f t="shared" si="20"/>
        <v>,reserve15</v>
      </c>
      <c r="Q150" s="76" t="str">
        <f t="shared" si="21"/>
        <v>TEXT</v>
      </c>
      <c r="R150" s="76" t="str">
        <f t="shared" si="22"/>
        <v/>
      </c>
      <c r="S150" s="76" t="str">
        <f t="shared" si="23"/>
        <v/>
      </c>
      <c r="T150" s="76" t="str">
        <f t="shared" si="24"/>
        <v>-- 予備15</v>
      </c>
      <c r="U150" s="4"/>
      <c r="AA150" s="4"/>
      <c r="AB150" s="4"/>
      <c r="AC150" s="4"/>
      <c r="AD150" s="4"/>
      <c r="AE150" s="4"/>
      <c r="AF150" s="4"/>
      <c r="AG150" s="4"/>
      <c r="AH150" s="4"/>
      <c r="AI150" s="4"/>
      <c r="AJ150" s="76" t="str">
        <f>IF(E150="○",IF(COUNTA(E$13:E150)=1,"",",")&amp;D150,"")</f>
        <v/>
      </c>
      <c r="AK150" s="4"/>
      <c r="AL150" s="4"/>
      <c r="AM150" s="4"/>
      <c r="AN150" s="4"/>
      <c r="AO150" s="4"/>
      <c r="AP150" s="4"/>
      <c r="AQ150" s="4"/>
      <c r="AR150" s="4"/>
      <c r="AS150" s="76" t="str">
        <f>"COMMENT ON COLUMN "&amp;エンティティ一覧!$O$2&amp;"."&amp;D$8&amp;"."&amp;D150&amp;" IS '"&amp;C150&amp;"';"</f>
        <v>COMMENT ON COLUMN milscm_2023_010.azn_202310_backup_mt_shinryo_koi_fuka.reserve15 IS '予備15';</v>
      </c>
    </row>
    <row r="151" spans="1:45" s="25" customFormat="1">
      <c r="A151" s="4"/>
      <c r="B151" s="21">
        <f t="shared" si="2"/>
        <v>139</v>
      </c>
      <c r="C151" s="6" t="s">
        <v>2368</v>
      </c>
      <c r="D151" s="6" t="s">
        <v>2369</v>
      </c>
      <c r="E151" s="8"/>
      <c r="F151" s="7" t="s">
        <v>1735</v>
      </c>
      <c r="G151" s="7" t="str">
        <f t="shared" si="19"/>
        <v>text</v>
      </c>
      <c r="H151" s="26"/>
      <c r="I151" s="10"/>
      <c r="J151" s="11" t="s">
        <v>2394</v>
      </c>
      <c r="M151" s="4"/>
      <c r="N151" s="76"/>
      <c r="O151" s="76"/>
      <c r="P151" s="76" t="str">
        <f t="shared" si="20"/>
        <v>,reserve16</v>
      </c>
      <c r="Q151" s="76" t="str">
        <f t="shared" si="21"/>
        <v>TEXT</v>
      </c>
      <c r="R151" s="76" t="str">
        <f t="shared" si="22"/>
        <v/>
      </c>
      <c r="S151" s="76" t="str">
        <f t="shared" si="23"/>
        <v/>
      </c>
      <c r="T151" s="76" t="str">
        <f t="shared" si="24"/>
        <v>-- 予備16</v>
      </c>
      <c r="U151" s="4"/>
      <c r="AA151" s="4"/>
      <c r="AB151" s="4"/>
      <c r="AC151" s="4"/>
      <c r="AD151" s="4"/>
      <c r="AE151" s="4"/>
      <c r="AF151" s="4"/>
      <c r="AG151" s="4"/>
      <c r="AH151" s="4"/>
      <c r="AI151" s="4"/>
      <c r="AJ151" s="76" t="str">
        <f>IF(E151="○",IF(COUNTA(E$13:E151)=1,"",",")&amp;D151,"")</f>
        <v/>
      </c>
      <c r="AK151" s="4"/>
      <c r="AL151" s="4"/>
      <c r="AM151" s="4"/>
      <c r="AN151" s="4"/>
      <c r="AO151" s="4"/>
      <c r="AP151" s="4"/>
      <c r="AQ151" s="4"/>
      <c r="AR151" s="4"/>
      <c r="AS151" s="76" t="str">
        <f>"COMMENT ON COLUMN "&amp;エンティティ一覧!$O$2&amp;"."&amp;D$8&amp;"."&amp;D151&amp;" IS '"&amp;C151&amp;"';"</f>
        <v>COMMENT ON COLUMN milscm_2023_010.azn_202310_backup_mt_shinryo_koi_fuka.reserve16 IS '予備16';</v>
      </c>
    </row>
    <row r="152" spans="1:45" s="25" customFormat="1">
      <c r="A152" s="4"/>
      <c r="B152" s="21">
        <f t="shared" si="2"/>
        <v>140</v>
      </c>
      <c r="C152" s="6" t="s">
        <v>2370</v>
      </c>
      <c r="D152" s="6" t="s">
        <v>2371</v>
      </c>
      <c r="E152" s="8"/>
      <c r="F152" s="7" t="s">
        <v>1735</v>
      </c>
      <c r="G152" s="7" t="str">
        <f t="shared" si="19"/>
        <v>text</v>
      </c>
      <c r="H152" s="26"/>
      <c r="I152" s="10"/>
      <c r="J152" s="11" t="s">
        <v>2394</v>
      </c>
      <c r="M152" s="4"/>
      <c r="N152" s="76"/>
      <c r="O152" s="76"/>
      <c r="P152" s="76" t="str">
        <f t="shared" si="20"/>
        <v>,reserve17</v>
      </c>
      <c r="Q152" s="76" t="str">
        <f t="shared" si="21"/>
        <v>TEXT</v>
      </c>
      <c r="R152" s="76" t="str">
        <f t="shared" si="22"/>
        <v/>
      </c>
      <c r="S152" s="76" t="str">
        <f t="shared" si="23"/>
        <v/>
      </c>
      <c r="T152" s="76" t="str">
        <f t="shared" si="24"/>
        <v>-- 予備17</v>
      </c>
      <c r="U152" s="4"/>
      <c r="AA152" s="4"/>
      <c r="AB152" s="4"/>
      <c r="AC152" s="4"/>
      <c r="AD152" s="4"/>
      <c r="AE152" s="4"/>
      <c r="AF152" s="4"/>
      <c r="AG152" s="4"/>
      <c r="AH152" s="4"/>
      <c r="AI152" s="4"/>
      <c r="AJ152" s="76" t="str">
        <f>IF(E152="○",IF(COUNTA(E$13:E152)=1,"",",")&amp;D152,"")</f>
        <v/>
      </c>
      <c r="AK152" s="4"/>
      <c r="AL152" s="4"/>
      <c r="AM152" s="4"/>
      <c r="AN152" s="4"/>
      <c r="AO152" s="4"/>
      <c r="AP152" s="4"/>
      <c r="AQ152" s="4"/>
      <c r="AR152" s="4"/>
      <c r="AS152" s="76" t="str">
        <f>"COMMENT ON COLUMN "&amp;エンティティ一覧!$O$2&amp;"."&amp;D$8&amp;"."&amp;D152&amp;" IS '"&amp;C152&amp;"';"</f>
        <v>COMMENT ON COLUMN milscm_2023_010.azn_202310_backup_mt_shinryo_koi_fuka.reserve17 IS '予備17';</v>
      </c>
    </row>
    <row r="153" spans="1:45" s="25" customFormat="1">
      <c r="A153" s="4"/>
      <c r="B153" s="21">
        <f t="shared" si="2"/>
        <v>141</v>
      </c>
      <c r="C153" s="6" t="s">
        <v>2372</v>
      </c>
      <c r="D153" s="6" t="s">
        <v>2373</v>
      </c>
      <c r="E153" s="8"/>
      <c r="F153" s="7" t="s">
        <v>1735</v>
      </c>
      <c r="G153" s="7" t="str">
        <f t="shared" si="19"/>
        <v>text</v>
      </c>
      <c r="H153" s="26"/>
      <c r="I153" s="10"/>
      <c r="J153" s="11" t="s">
        <v>2394</v>
      </c>
      <c r="M153" s="4"/>
      <c r="N153" s="76"/>
      <c r="O153" s="76"/>
      <c r="P153" s="76" t="str">
        <f t="shared" si="20"/>
        <v>,reserve18</v>
      </c>
      <c r="Q153" s="76" t="str">
        <f t="shared" si="21"/>
        <v>TEXT</v>
      </c>
      <c r="R153" s="76" t="str">
        <f t="shared" si="22"/>
        <v/>
      </c>
      <c r="S153" s="76" t="str">
        <f t="shared" si="23"/>
        <v/>
      </c>
      <c r="T153" s="76" t="str">
        <f t="shared" si="24"/>
        <v>-- 予備18</v>
      </c>
      <c r="U153" s="4"/>
      <c r="AA153" s="4"/>
      <c r="AB153" s="4"/>
      <c r="AC153" s="4"/>
      <c r="AD153" s="4"/>
      <c r="AE153" s="4"/>
      <c r="AF153" s="4"/>
      <c r="AG153" s="4"/>
      <c r="AH153" s="4"/>
      <c r="AI153" s="4"/>
      <c r="AJ153" s="76" t="str">
        <f>IF(E153="○",IF(COUNTA(E$13:E153)=1,"",",")&amp;D153,"")</f>
        <v/>
      </c>
      <c r="AK153" s="4"/>
      <c r="AL153" s="4"/>
      <c r="AM153" s="4"/>
      <c r="AN153" s="4"/>
      <c r="AO153" s="4"/>
      <c r="AP153" s="4"/>
      <c r="AQ153" s="4"/>
      <c r="AR153" s="4"/>
      <c r="AS153" s="76" t="str">
        <f>"COMMENT ON COLUMN "&amp;エンティティ一覧!$O$2&amp;"."&amp;D$8&amp;"."&amp;D153&amp;" IS '"&amp;C153&amp;"';"</f>
        <v>COMMENT ON COLUMN milscm_2023_010.azn_202310_backup_mt_shinryo_koi_fuka.reserve18 IS '予備18';</v>
      </c>
    </row>
    <row r="154" spans="1:45" s="25" customFormat="1">
      <c r="A154" s="4"/>
      <c r="B154" s="21">
        <f t="shared" si="2"/>
        <v>142</v>
      </c>
      <c r="C154" s="6" t="s">
        <v>2374</v>
      </c>
      <c r="D154" s="6" t="s">
        <v>2375</v>
      </c>
      <c r="E154" s="8"/>
      <c r="F154" s="7" t="s">
        <v>1735</v>
      </c>
      <c r="G154" s="7" t="str">
        <f t="shared" si="19"/>
        <v>text</v>
      </c>
      <c r="H154" s="26"/>
      <c r="I154" s="10"/>
      <c r="J154" s="11" t="s">
        <v>2394</v>
      </c>
      <c r="M154" s="4"/>
      <c r="N154" s="76"/>
      <c r="O154" s="76"/>
      <c r="P154" s="76" t="str">
        <f t="shared" si="20"/>
        <v>,reserve19</v>
      </c>
      <c r="Q154" s="76" t="str">
        <f t="shared" si="21"/>
        <v>TEXT</v>
      </c>
      <c r="R154" s="76" t="str">
        <f t="shared" si="22"/>
        <v/>
      </c>
      <c r="S154" s="76" t="str">
        <f t="shared" si="23"/>
        <v/>
      </c>
      <c r="T154" s="76" t="str">
        <f t="shared" si="24"/>
        <v>-- 予備19</v>
      </c>
      <c r="U154" s="4"/>
      <c r="AA154" s="4"/>
      <c r="AB154" s="4"/>
      <c r="AC154" s="4"/>
      <c r="AD154" s="4"/>
      <c r="AE154" s="4"/>
      <c r="AF154" s="4"/>
      <c r="AG154" s="4"/>
      <c r="AH154" s="4"/>
      <c r="AI154" s="4"/>
      <c r="AJ154" s="76" t="str">
        <f>IF(E154="○",IF(COUNTA(E$13:E154)=1,"",",")&amp;D154,"")</f>
        <v/>
      </c>
      <c r="AK154" s="4"/>
      <c r="AL154" s="4"/>
      <c r="AM154" s="4"/>
      <c r="AN154" s="4"/>
      <c r="AO154" s="4"/>
      <c r="AP154" s="4"/>
      <c r="AQ154" s="4"/>
      <c r="AR154" s="4"/>
      <c r="AS154" s="76" t="str">
        <f>"COMMENT ON COLUMN "&amp;エンティティ一覧!$O$2&amp;"."&amp;D$8&amp;"."&amp;D154&amp;" IS '"&amp;C154&amp;"';"</f>
        <v>COMMENT ON COLUMN milscm_2023_010.azn_202310_backup_mt_shinryo_koi_fuka.reserve19 IS '予備19';</v>
      </c>
    </row>
    <row r="155" spans="1:45" s="25" customFormat="1">
      <c r="A155" s="4"/>
      <c r="B155" s="21">
        <f t="shared" si="2"/>
        <v>143</v>
      </c>
      <c r="C155" s="6" t="s">
        <v>2376</v>
      </c>
      <c r="D155" s="6" t="s">
        <v>2377</v>
      </c>
      <c r="E155" s="8"/>
      <c r="F155" s="7" t="s">
        <v>1735</v>
      </c>
      <c r="G155" s="7" t="str">
        <f t="shared" si="19"/>
        <v>text</v>
      </c>
      <c r="H155" s="26"/>
      <c r="I155" s="10"/>
      <c r="J155" s="11" t="s">
        <v>2394</v>
      </c>
      <c r="M155" s="4"/>
      <c r="N155" s="76"/>
      <c r="O155" s="76"/>
      <c r="P155" s="76" t="str">
        <f t="shared" si="20"/>
        <v>,reserve20</v>
      </c>
      <c r="Q155" s="76" t="str">
        <f t="shared" si="21"/>
        <v>TEXT</v>
      </c>
      <c r="R155" s="76" t="str">
        <f t="shared" si="22"/>
        <v/>
      </c>
      <c r="S155" s="76" t="str">
        <f t="shared" si="23"/>
        <v/>
      </c>
      <c r="T155" s="76" t="str">
        <f t="shared" si="24"/>
        <v>-- 予備20</v>
      </c>
      <c r="U155" s="4"/>
      <c r="AA155" s="4"/>
      <c r="AB155" s="4"/>
      <c r="AC155" s="4"/>
      <c r="AD155" s="4"/>
      <c r="AE155" s="4"/>
      <c r="AF155" s="4"/>
      <c r="AG155" s="4"/>
      <c r="AH155" s="4"/>
      <c r="AI155" s="4"/>
      <c r="AJ155" s="76" t="str">
        <f>IF(E155="○",IF(COUNTA(E$13:E155)=1,"",",")&amp;D155,"")</f>
        <v/>
      </c>
      <c r="AK155" s="4"/>
      <c r="AL155" s="4"/>
      <c r="AM155" s="4"/>
      <c r="AN155" s="4"/>
      <c r="AO155" s="4"/>
      <c r="AP155" s="4"/>
      <c r="AQ155" s="4"/>
      <c r="AR155" s="4"/>
      <c r="AS155" s="76" t="str">
        <f>"COMMENT ON COLUMN "&amp;エンティティ一覧!$O$2&amp;"."&amp;D$8&amp;"."&amp;D155&amp;" IS '"&amp;C155&amp;"';"</f>
        <v>COMMENT ON COLUMN milscm_2023_010.azn_202310_backup_mt_shinryo_koi_fuka.reserve20 IS '予備20';</v>
      </c>
    </row>
    <row r="156" spans="1:45" s="25" customFormat="1">
      <c r="A156" s="4"/>
      <c r="B156" s="21">
        <f t="shared" si="2"/>
        <v>144</v>
      </c>
      <c r="C156" s="6" t="s">
        <v>2378</v>
      </c>
      <c r="D156" s="6" t="s">
        <v>2379</v>
      </c>
      <c r="E156" s="8"/>
      <c r="F156" s="7" t="s">
        <v>1735</v>
      </c>
      <c r="G156" s="7" t="str">
        <f t="shared" si="19"/>
        <v>text</v>
      </c>
      <c r="H156" s="26"/>
      <c r="I156" s="10"/>
      <c r="J156" s="11" t="s">
        <v>2394</v>
      </c>
      <c r="M156" s="4"/>
      <c r="N156" s="76"/>
      <c r="O156" s="76"/>
      <c r="P156" s="76" t="str">
        <f t="shared" si="20"/>
        <v>,reserve21</v>
      </c>
      <c r="Q156" s="76" t="str">
        <f t="shared" si="21"/>
        <v>TEXT</v>
      </c>
      <c r="R156" s="76" t="str">
        <f t="shared" si="22"/>
        <v/>
      </c>
      <c r="S156" s="76" t="str">
        <f t="shared" si="23"/>
        <v/>
      </c>
      <c r="T156" s="76" t="str">
        <f t="shared" si="24"/>
        <v>-- 予備21</v>
      </c>
      <c r="U156" s="4"/>
      <c r="AA156" s="4"/>
      <c r="AB156" s="4"/>
      <c r="AC156" s="4"/>
      <c r="AD156" s="4"/>
      <c r="AE156" s="4"/>
      <c r="AF156" s="4"/>
      <c r="AG156" s="4"/>
      <c r="AH156" s="4"/>
      <c r="AI156" s="4"/>
      <c r="AJ156" s="76" t="str">
        <f>IF(E156="○",IF(COUNTA(E$13:E156)=1,"",",")&amp;D156,"")</f>
        <v/>
      </c>
      <c r="AK156" s="4"/>
      <c r="AL156" s="4"/>
      <c r="AM156" s="4"/>
      <c r="AN156" s="4"/>
      <c r="AO156" s="4"/>
      <c r="AP156" s="4"/>
      <c r="AQ156" s="4"/>
      <c r="AR156" s="4"/>
      <c r="AS156" s="76" t="str">
        <f>"COMMENT ON COLUMN "&amp;エンティティ一覧!$O$2&amp;"."&amp;D$8&amp;"."&amp;D156&amp;" IS '"&amp;C156&amp;"';"</f>
        <v>COMMENT ON COLUMN milscm_2023_010.azn_202310_backup_mt_shinryo_koi_fuka.reserve21 IS '予備21';</v>
      </c>
    </row>
    <row r="157" spans="1:45" s="25" customFormat="1">
      <c r="A157" s="4"/>
      <c r="B157" s="21">
        <f t="shared" si="2"/>
        <v>145</v>
      </c>
      <c r="C157" s="6" t="s">
        <v>2380</v>
      </c>
      <c r="D157" s="6" t="s">
        <v>2381</v>
      </c>
      <c r="E157" s="8"/>
      <c r="F157" s="7" t="s">
        <v>1735</v>
      </c>
      <c r="G157" s="7" t="str">
        <f t="shared" si="19"/>
        <v>text</v>
      </c>
      <c r="H157" s="26"/>
      <c r="I157" s="10"/>
      <c r="J157" s="11" t="s">
        <v>2394</v>
      </c>
      <c r="M157" s="4"/>
      <c r="N157" s="76"/>
      <c r="O157" s="76"/>
      <c r="P157" s="76" t="str">
        <f t="shared" si="20"/>
        <v>,reserve22</v>
      </c>
      <c r="Q157" s="76" t="str">
        <f t="shared" si="21"/>
        <v>TEXT</v>
      </c>
      <c r="R157" s="76" t="str">
        <f t="shared" si="22"/>
        <v/>
      </c>
      <c r="S157" s="76" t="str">
        <f t="shared" si="23"/>
        <v/>
      </c>
      <c r="T157" s="76" t="str">
        <f t="shared" si="24"/>
        <v>-- 予備22</v>
      </c>
      <c r="U157" s="4"/>
      <c r="AA157" s="4"/>
      <c r="AB157" s="4"/>
      <c r="AC157" s="4"/>
      <c r="AD157" s="4"/>
      <c r="AE157" s="4"/>
      <c r="AF157" s="4"/>
      <c r="AG157" s="4"/>
      <c r="AH157" s="4"/>
      <c r="AI157" s="4"/>
      <c r="AJ157" s="76" t="str">
        <f>IF(E157="○",IF(COUNTA(E$13:E157)=1,"",",")&amp;D157,"")</f>
        <v/>
      </c>
      <c r="AK157" s="4"/>
      <c r="AL157" s="4"/>
      <c r="AM157" s="4"/>
      <c r="AN157" s="4"/>
      <c r="AO157" s="4"/>
      <c r="AP157" s="4"/>
      <c r="AQ157" s="4"/>
      <c r="AR157" s="4"/>
      <c r="AS157" s="76" t="str">
        <f>"COMMENT ON COLUMN "&amp;エンティティ一覧!$O$2&amp;"."&amp;D$8&amp;"."&amp;D157&amp;" IS '"&amp;C157&amp;"';"</f>
        <v>COMMENT ON COLUMN milscm_2023_010.azn_202310_backup_mt_shinryo_koi_fuka.reserve22 IS '予備22';</v>
      </c>
    </row>
    <row r="158" spans="1:45" s="25" customFormat="1">
      <c r="A158" s="4"/>
      <c r="B158" s="21">
        <f t="shared" si="2"/>
        <v>146</v>
      </c>
      <c r="C158" s="6" t="s">
        <v>2382</v>
      </c>
      <c r="D158" s="6" t="s">
        <v>2383</v>
      </c>
      <c r="E158" s="8"/>
      <c r="F158" s="7" t="s">
        <v>1735</v>
      </c>
      <c r="G158" s="7" t="str">
        <f t="shared" si="19"/>
        <v>text</v>
      </c>
      <c r="H158" s="26"/>
      <c r="I158" s="10"/>
      <c r="J158" s="11" t="s">
        <v>2394</v>
      </c>
      <c r="M158" s="4"/>
      <c r="N158" s="76"/>
      <c r="O158" s="76"/>
      <c r="P158" s="76" t="str">
        <f t="shared" si="20"/>
        <v>,reserve23</v>
      </c>
      <c r="Q158" s="76" t="str">
        <f t="shared" si="21"/>
        <v>TEXT</v>
      </c>
      <c r="R158" s="76" t="str">
        <f t="shared" si="22"/>
        <v/>
      </c>
      <c r="S158" s="76" t="str">
        <f t="shared" si="23"/>
        <v/>
      </c>
      <c r="T158" s="76" t="str">
        <f t="shared" si="24"/>
        <v>-- 予備23</v>
      </c>
      <c r="U158" s="4"/>
      <c r="AA158" s="4"/>
      <c r="AB158" s="4"/>
      <c r="AC158" s="4"/>
      <c r="AD158" s="4"/>
      <c r="AE158" s="4"/>
      <c r="AF158" s="4"/>
      <c r="AG158" s="4"/>
      <c r="AH158" s="4"/>
      <c r="AI158" s="4"/>
      <c r="AJ158" s="76" t="str">
        <f>IF(E158="○",IF(COUNTA(E$13:E158)=1,"",",")&amp;D158,"")</f>
        <v/>
      </c>
      <c r="AK158" s="4"/>
      <c r="AL158" s="4"/>
      <c r="AM158" s="4"/>
      <c r="AN158" s="4"/>
      <c r="AO158" s="4"/>
      <c r="AP158" s="4"/>
      <c r="AQ158" s="4"/>
      <c r="AR158" s="4"/>
      <c r="AS158" s="76" t="str">
        <f>"COMMENT ON COLUMN "&amp;エンティティ一覧!$O$2&amp;"."&amp;D$8&amp;"."&amp;D158&amp;" IS '"&amp;C158&amp;"';"</f>
        <v>COMMENT ON COLUMN milscm_2023_010.azn_202310_backup_mt_shinryo_koi_fuka.reserve23 IS '予備23';</v>
      </c>
    </row>
    <row r="159" spans="1:45" s="25" customFormat="1">
      <c r="A159" s="4"/>
      <c r="B159" s="21">
        <f t="shared" si="2"/>
        <v>147</v>
      </c>
      <c r="C159" s="6" t="s">
        <v>2384</v>
      </c>
      <c r="D159" s="6" t="s">
        <v>2385</v>
      </c>
      <c r="E159" s="8"/>
      <c r="F159" s="7" t="s">
        <v>1735</v>
      </c>
      <c r="G159" s="7" t="str">
        <f t="shared" si="19"/>
        <v>text</v>
      </c>
      <c r="H159" s="26"/>
      <c r="I159" s="10"/>
      <c r="J159" s="11" t="s">
        <v>2394</v>
      </c>
      <c r="M159" s="4"/>
      <c r="N159" s="76"/>
      <c r="O159" s="76"/>
      <c r="P159" s="76" t="str">
        <f t="shared" si="20"/>
        <v>,reserve24</v>
      </c>
      <c r="Q159" s="76" t="str">
        <f t="shared" si="21"/>
        <v>TEXT</v>
      </c>
      <c r="R159" s="76" t="str">
        <f t="shared" si="22"/>
        <v/>
      </c>
      <c r="S159" s="76" t="str">
        <f t="shared" si="23"/>
        <v/>
      </c>
      <c r="T159" s="76" t="str">
        <f t="shared" si="24"/>
        <v>-- 予備24</v>
      </c>
      <c r="U159" s="4"/>
      <c r="AA159" s="4"/>
      <c r="AB159" s="4"/>
      <c r="AC159" s="4"/>
      <c r="AD159" s="4"/>
      <c r="AE159" s="4"/>
      <c r="AF159" s="4"/>
      <c r="AG159" s="4"/>
      <c r="AH159" s="4"/>
      <c r="AI159" s="4"/>
      <c r="AJ159" s="76" t="str">
        <f>IF(E159="○",IF(COUNTA(E$13:E159)=1,"",",")&amp;D159,"")</f>
        <v/>
      </c>
      <c r="AK159" s="4"/>
      <c r="AL159" s="4"/>
      <c r="AM159" s="4"/>
      <c r="AN159" s="4"/>
      <c r="AO159" s="4"/>
      <c r="AP159" s="4"/>
      <c r="AQ159" s="4"/>
      <c r="AR159" s="4"/>
      <c r="AS159" s="76" t="str">
        <f>"COMMENT ON COLUMN "&amp;エンティティ一覧!$O$2&amp;"."&amp;D$8&amp;"."&amp;D159&amp;" IS '"&amp;C159&amp;"';"</f>
        <v>COMMENT ON COLUMN milscm_2023_010.azn_202310_backup_mt_shinryo_koi_fuka.reserve24 IS '予備24';</v>
      </c>
    </row>
    <row r="160" spans="1:45" s="25" customFormat="1">
      <c r="A160" s="4"/>
      <c r="B160" s="21">
        <f t="shared" si="2"/>
        <v>148</v>
      </c>
      <c r="C160" s="6" t="s">
        <v>2386</v>
      </c>
      <c r="D160" s="6" t="s">
        <v>2387</v>
      </c>
      <c r="E160" s="8"/>
      <c r="F160" s="7" t="s">
        <v>1735</v>
      </c>
      <c r="G160" s="7" t="str">
        <f t="shared" si="19"/>
        <v>text</v>
      </c>
      <c r="H160" s="26"/>
      <c r="I160" s="10"/>
      <c r="J160" s="11" t="s">
        <v>2394</v>
      </c>
      <c r="M160" s="4"/>
      <c r="N160" s="76"/>
      <c r="O160" s="76"/>
      <c r="P160" s="76" t="str">
        <f t="shared" si="20"/>
        <v>,reserve25</v>
      </c>
      <c r="Q160" s="76" t="str">
        <f t="shared" si="21"/>
        <v>TEXT</v>
      </c>
      <c r="R160" s="76" t="str">
        <f t="shared" si="22"/>
        <v/>
      </c>
      <c r="S160" s="76" t="str">
        <f t="shared" si="23"/>
        <v/>
      </c>
      <c r="T160" s="76" t="str">
        <f t="shared" si="24"/>
        <v>-- 予備25</v>
      </c>
      <c r="U160" s="4"/>
      <c r="AA160" s="4"/>
      <c r="AB160" s="4"/>
      <c r="AC160" s="4"/>
      <c r="AD160" s="4"/>
      <c r="AE160" s="4"/>
      <c r="AF160" s="4"/>
      <c r="AG160" s="4"/>
      <c r="AH160" s="4"/>
      <c r="AI160" s="4"/>
      <c r="AJ160" s="76" t="str">
        <f>IF(E160="○",IF(COUNTA(E$13:E160)=1,"",",")&amp;D160,"")</f>
        <v/>
      </c>
      <c r="AK160" s="4"/>
      <c r="AL160" s="4"/>
      <c r="AM160" s="4"/>
      <c r="AN160" s="4"/>
      <c r="AO160" s="4"/>
      <c r="AP160" s="4"/>
      <c r="AQ160" s="4"/>
      <c r="AR160" s="4"/>
      <c r="AS160" s="76" t="str">
        <f>"COMMENT ON COLUMN "&amp;エンティティ一覧!$O$2&amp;"."&amp;D$8&amp;"."&amp;D160&amp;" IS '"&amp;C160&amp;"';"</f>
        <v>COMMENT ON COLUMN milscm_2023_010.azn_202310_backup_mt_shinryo_koi_fuka.reserve25 IS '予備25';</v>
      </c>
    </row>
    <row r="161" spans="1:52" s="25" customFormat="1">
      <c r="A161" s="4"/>
      <c r="B161" s="21">
        <f t="shared" si="2"/>
        <v>149</v>
      </c>
      <c r="C161" s="6" t="s">
        <v>2388</v>
      </c>
      <c r="D161" s="6" t="s">
        <v>2389</v>
      </c>
      <c r="E161" s="8"/>
      <c r="F161" s="7" t="s">
        <v>1735</v>
      </c>
      <c r="G161" s="7" t="str">
        <f t="shared" si="19"/>
        <v>text</v>
      </c>
      <c r="H161" s="26"/>
      <c r="I161" s="10"/>
      <c r="J161" s="11" t="s">
        <v>2394</v>
      </c>
      <c r="M161" s="4"/>
      <c r="N161" s="76"/>
      <c r="O161" s="76"/>
      <c r="P161" s="76" t="str">
        <f t="shared" si="20"/>
        <v>,reserve26</v>
      </c>
      <c r="Q161" s="76" t="str">
        <f t="shared" si="21"/>
        <v>TEXT</v>
      </c>
      <c r="R161" s="76" t="str">
        <f t="shared" si="22"/>
        <v/>
      </c>
      <c r="S161" s="76" t="str">
        <f t="shared" si="23"/>
        <v/>
      </c>
      <c r="T161" s="76" t="str">
        <f t="shared" si="24"/>
        <v>-- 予備26</v>
      </c>
      <c r="U161" s="4"/>
      <c r="AA161" s="4"/>
      <c r="AB161" s="4"/>
      <c r="AC161" s="4"/>
      <c r="AD161" s="4"/>
      <c r="AE161" s="4"/>
      <c r="AF161" s="4"/>
      <c r="AG161" s="4"/>
      <c r="AH161" s="4"/>
      <c r="AI161" s="4"/>
      <c r="AJ161" s="76" t="str">
        <f>IF(E161="○",IF(COUNTA(E$13:E161)=1,"",",")&amp;D161,"")</f>
        <v/>
      </c>
      <c r="AK161" s="4"/>
      <c r="AL161" s="4"/>
      <c r="AM161" s="4"/>
      <c r="AN161" s="4"/>
      <c r="AO161" s="4"/>
      <c r="AP161" s="4"/>
      <c r="AQ161" s="4"/>
      <c r="AR161" s="4"/>
      <c r="AS161" s="76" t="str">
        <f>"COMMENT ON COLUMN "&amp;エンティティ一覧!$O$2&amp;"."&amp;D$8&amp;"."&amp;D161&amp;" IS '"&amp;C161&amp;"';"</f>
        <v>COMMENT ON COLUMN milscm_2023_010.azn_202310_backup_mt_shinryo_koi_fuka.reserve26 IS '予備26';</v>
      </c>
    </row>
    <row r="162" spans="1:52" s="25" customFormat="1">
      <c r="A162" s="4"/>
      <c r="B162" s="21">
        <f t="shared" si="2"/>
        <v>150</v>
      </c>
      <c r="C162" s="6" t="s">
        <v>2390</v>
      </c>
      <c r="D162" s="6" t="s">
        <v>2391</v>
      </c>
      <c r="E162" s="8"/>
      <c r="F162" s="7" t="s">
        <v>1735</v>
      </c>
      <c r="G162" s="7" t="str">
        <f t="shared" si="19"/>
        <v>text</v>
      </c>
      <c r="H162" s="26"/>
      <c r="I162" s="10"/>
      <c r="J162" s="11" t="s">
        <v>2394</v>
      </c>
      <c r="M162" s="4"/>
      <c r="N162" s="76"/>
      <c r="O162" s="76"/>
      <c r="P162" s="76" t="str">
        <f t="shared" si="20"/>
        <v>,reserve27</v>
      </c>
      <c r="Q162" s="76" t="str">
        <f t="shared" si="21"/>
        <v>TEXT</v>
      </c>
      <c r="R162" s="76" t="str">
        <f t="shared" si="22"/>
        <v/>
      </c>
      <c r="S162" s="76" t="str">
        <f t="shared" si="23"/>
        <v/>
      </c>
      <c r="T162" s="76" t="str">
        <f t="shared" si="24"/>
        <v>-- 予備27</v>
      </c>
      <c r="U162" s="4"/>
      <c r="AA162" s="4"/>
      <c r="AB162" s="4"/>
      <c r="AC162" s="4"/>
      <c r="AD162" s="4"/>
      <c r="AE162" s="4"/>
      <c r="AF162" s="4"/>
      <c r="AG162" s="4"/>
      <c r="AH162" s="4"/>
      <c r="AI162" s="4"/>
      <c r="AJ162" s="76" t="str">
        <f>IF(E162="○",IF(COUNTA(E$13:E162)=1,"",",")&amp;D162,"")</f>
        <v/>
      </c>
      <c r="AK162" s="4"/>
      <c r="AL162" s="4"/>
      <c r="AM162" s="4"/>
      <c r="AN162" s="4"/>
      <c r="AO162" s="4"/>
      <c r="AP162" s="4"/>
      <c r="AQ162" s="4"/>
      <c r="AR162" s="4"/>
      <c r="AS162" s="76" t="str">
        <f>"COMMENT ON COLUMN "&amp;エンティティ一覧!$O$2&amp;"."&amp;D$8&amp;"."&amp;D162&amp;" IS '"&amp;C162&amp;"';"</f>
        <v>COMMENT ON COLUMN milscm_2023_010.azn_202310_backup_mt_shinryo_koi_fuka.reserve27 IS '予備27';</v>
      </c>
    </row>
    <row r="163" spans="1:52" s="25" customFormat="1" ht="19.5" thickBot="1">
      <c r="A163" s="4"/>
      <c r="B163" s="27">
        <f>ROW()-12</f>
        <v>151</v>
      </c>
      <c r="C163" s="57" t="s">
        <v>2046</v>
      </c>
      <c r="D163" s="57" t="s">
        <v>1879</v>
      </c>
      <c r="E163" s="56" t="s">
        <v>127</v>
      </c>
      <c r="F163" s="56" t="s">
        <v>1735</v>
      </c>
      <c r="G163" s="56" t="str">
        <f t="shared" si="3"/>
        <v>text</v>
      </c>
      <c r="H163" s="59"/>
      <c r="I163" s="60" t="s">
        <v>127</v>
      </c>
      <c r="J163" s="63" t="s">
        <v>2397</v>
      </c>
      <c r="N163" s="76"/>
      <c r="O163" s="76"/>
      <c r="P163" s="76" t="str">
        <f t="shared" si="4"/>
        <v>,update_ymd</v>
      </c>
      <c r="Q163" s="76" t="str">
        <f t="shared" si="0"/>
        <v>TEXT</v>
      </c>
      <c r="R163" s="76" t="str">
        <f t="shared" si="1"/>
        <v/>
      </c>
      <c r="S163" s="76" t="str">
        <f t="shared" si="5"/>
        <v>NOT NULL</v>
      </c>
      <c r="T163" s="76" t="str">
        <f t="shared" si="6"/>
        <v>-- データ登録日</v>
      </c>
      <c r="U163" s="4"/>
      <c r="AA163" s="4"/>
      <c r="AB163" s="4"/>
      <c r="AC163" s="4"/>
      <c r="AD163" s="4"/>
      <c r="AE163" s="4"/>
      <c r="AF163" s="4"/>
      <c r="AG163" s="4"/>
      <c r="AH163" s="4"/>
      <c r="AI163" s="4"/>
      <c r="AJ163" s="76" t="str">
        <f>IF(E163="○",IF(COUNTA(E$13:E163)=1,"",",")&amp;D163,"")</f>
        <v>,update_ymd</v>
      </c>
      <c r="AK163" s="4"/>
      <c r="AL163" s="4"/>
      <c r="AM163" s="4"/>
      <c r="AN163" s="4"/>
      <c r="AO163" s="4"/>
      <c r="AP163" s="4"/>
      <c r="AQ163" s="4"/>
      <c r="AR163" s="4"/>
      <c r="AS163" s="76" t="str">
        <f>"COMMENT ON COLUMN "&amp;エンティティ一覧!$O$2&amp;"."&amp;D$8&amp;"."&amp;D163&amp;" IS '"&amp;C163&amp;"';"</f>
        <v>COMMENT ON COLUMN milscm_2023_010.azn_202310_backup_mt_shinryo_koi_fuka.update_ymd IS 'データ登録日';</v>
      </c>
    </row>
    <row r="164" spans="1:52">
      <c r="L164" s="25"/>
      <c r="M164" s="25"/>
      <c r="N164" s="76" t="s">
        <v>142</v>
      </c>
      <c r="O164" s="76"/>
      <c r="P164" s="76"/>
      <c r="Q164" s="76"/>
      <c r="R164" s="76"/>
      <c r="S164" s="76"/>
      <c r="T164" s="76"/>
      <c r="V164" s="25"/>
      <c r="W164" s="25"/>
      <c r="X164" s="25"/>
      <c r="Y164" s="25"/>
      <c r="Z164" s="25"/>
      <c r="AJ164" s="76" t="s">
        <v>142</v>
      </c>
      <c r="AT164" s="25"/>
      <c r="AU164" s="25"/>
      <c r="AV164" s="25"/>
      <c r="AW164" s="25"/>
      <c r="AX164" s="25"/>
      <c r="AY164" s="25"/>
      <c r="AZ164" s="25"/>
    </row>
    <row r="165" spans="1:52">
      <c r="L165" s="25"/>
      <c r="M165" s="25"/>
      <c r="V165" s="25"/>
      <c r="W165" s="25"/>
      <c r="X165" s="25"/>
      <c r="Y165" s="25"/>
      <c r="Z165" s="25"/>
      <c r="AT165" s="25"/>
      <c r="AU165" s="25"/>
      <c r="AV165" s="25"/>
      <c r="AW165" s="25"/>
      <c r="AX165" s="25"/>
      <c r="AY165" s="25"/>
      <c r="AZ165" s="25"/>
    </row>
    <row r="166" spans="1:52">
      <c r="L166" s="25"/>
      <c r="M166" s="25"/>
      <c r="V166" s="25"/>
      <c r="W166" s="25"/>
      <c r="X166" s="25"/>
      <c r="Y166" s="25"/>
      <c r="Z166" s="25"/>
      <c r="AT166" s="25"/>
      <c r="AU166" s="25"/>
      <c r="AV166" s="25"/>
      <c r="AW166" s="25"/>
      <c r="AX166" s="25"/>
      <c r="AY166" s="25"/>
      <c r="AZ166" s="25"/>
    </row>
    <row r="167" spans="1:52">
      <c r="L167" s="25"/>
      <c r="M167" s="25"/>
      <c r="V167" s="25"/>
      <c r="W167" s="25"/>
      <c r="X167" s="25"/>
      <c r="Y167" s="25"/>
      <c r="Z167" s="25"/>
      <c r="AT167" s="25"/>
      <c r="AU167" s="25"/>
      <c r="AV167" s="25"/>
      <c r="AW167" s="25"/>
      <c r="AX167" s="25"/>
      <c r="AY167" s="25"/>
      <c r="AZ167" s="25"/>
    </row>
    <row r="168" spans="1:52">
      <c r="L168" s="25"/>
      <c r="M168" s="25"/>
      <c r="V168" s="25"/>
      <c r="W168" s="25"/>
      <c r="X168" s="25"/>
      <c r="Y168" s="25"/>
      <c r="Z168" s="25"/>
      <c r="AT168" s="25"/>
      <c r="AU168" s="25"/>
      <c r="AV168" s="25"/>
      <c r="AW168" s="25"/>
      <c r="AX168" s="25"/>
      <c r="AY168" s="25"/>
      <c r="AZ168" s="25"/>
    </row>
    <row r="169" spans="1:52">
      <c r="L169" s="25"/>
      <c r="M169" s="25"/>
      <c r="V169" s="25"/>
      <c r="W169" s="25"/>
      <c r="X169" s="25"/>
      <c r="Y169" s="25"/>
      <c r="Z169" s="25"/>
      <c r="AT169" s="25"/>
      <c r="AU169" s="25"/>
      <c r="AV169" s="25"/>
      <c r="AW169" s="25"/>
      <c r="AX169" s="25"/>
      <c r="AY169" s="25"/>
      <c r="AZ169" s="25"/>
    </row>
    <row r="170" spans="1:52">
      <c r="L170" s="25"/>
      <c r="M170" s="25"/>
      <c r="AT170" s="25"/>
      <c r="AU170" s="25"/>
      <c r="AV170" s="25"/>
      <c r="AW170" s="25"/>
      <c r="AX170" s="25"/>
      <c r="AY170" s="25"/>
      <c r="AZ170" s="25"/>
    </row>
    <row r="171" spans="1:52">
      <c r="L171" s="25"/>
      <c r="M171" s="25"/>
      <c r="AT171" s="25"/>
      <c r="AU171" s="25"/>
      <c r="AV171" s="25"/>
      <c r="AW171" s="25"/>
      <c r="AX171" s="25"/>
      <c r="AY171" s="25"/>
      <c r="AZ171" s="25"/>
    </row>
    <row r="172" spans="1:52">
      <c r="L172" s="25"/>
      <c r="M172" s="25"/>
      <c r="AT172" s="25"/>
      <c r="AU172" s="25"/>
      <c r="AV172" s="25"/>
      <c r="AW172" s="25"/>
      <c r="AX172" s="25"/>
      <c r="AY172" s="25"/>
      <c r="AZ172" s="25"/>
    </row>
    <row r="173" spans="1:52">
      <c r="L173" s="25"/>
      <c r="M173" s="25"/>
      <c r="AT173" s="25"/>
      <c r="AU173" s="25"/>
      <c r="AV173" s="25"/>
      <c r="AW173" s="25"/>
      <c r="AX173" s="25"/>
      <c r="AY173" s="25"/>
      <c r="AZ173" s="25"/>
    </row>
    <row r="174" spans="1:52">
      <c r="L174" s="25"/>
      <c r="M174" s="25"/>
      <c r="AT174" s="25"/>
      <c r="AU174" s="25"/>
      <c r="AV174" s="25"/>
      <c r="AW174" s="25"/>
      <c r="AX174" s="25"/>
      <c r="AY174" s="25"/>
      <c r="AZ174" s="25"/>
    </row>
    <row r="175" spans="1:52">
      <c r="L175" s="25"/>
      <c r="M175" s="25"/>
      <c r="AT175" s="25"/>
      <c r="AU175" s="25"/>
      <c r="AV175" s="25"/>
      <c r="AW175" s="25"/>
      <c r="AX175" s="25"/>
      <c r="AY175" s="25"/>
      <c r="AZ175" s="25"/>
    </row>
    <row r="176" spans="1:52">
      <c r="L176" s="25"/>
      <c r="M176" s="25"/>
      <c r="AT176" s="25"/>
      <c r="AU176" s="25"/>
      <c r="AV176" s="25"/>
      <c r="AW176" s="25"/>
      <c r="AX176" s="25"/>
      <c r="AY176" s="25"/>
      <c r="AZ176" s="25"/>
    </row>
    <row r="177" spans="12:52">
      <c r="L177" s="25"/>
      <c r="M177" s="25"/>
      <c r="AT177" s="25"/>
      <c r="AU177" s="25"/>
      <c r="AV177" s="25"/>
      <c r="AW177" s="25"/>
      <c r="AX177" s="25"/>
      <c r="AY177" s="25"/>
      <c r="AZ177" s="25"/>
    </row>
    <row r="178" spans="12:52">
      <c r="L178" s="25"/>
      <c r="M178" s="25"/>
      <c r="AT178" s="25"/>
      <c r="AU178" s="25"/>
      <c r="AV178" s="25"/>
      <c r="AW178" s="25"/>
      <c r="AX178" s="25"/>
      <c r="AY178" s="25"/>
      <c r="AZ178" s="25"/>
    </row>
    <row r="179" spans="12:52">
      <c r="L179" s="25"/>
      <c r="M179" s="25"/>
      <c r="AV179" s="25"/>
      <c r="AW179" s="25"/>
      <c r="AX179" s="25"/>
      <c r="AY179" s="25"/>
      <c r="AZ179" s="25"/>
    </row>
    <row r="180" spans="12:52">
      <c r="M180" s="25"/>
    </row>
    <row r="181" spans="12:52">
      <c r="M181" s="25"/>
    </row>
    <row r="182" spans="12:52">
      <c r="M182" s="25"/>
    </row>
    <row r="183" spans="12:52">
      <c r="M183" s="25"/>
    </row>
    <row r="184" spans="12:52">
      <c r="M184" s="25"/>
    </row>
    <row r="185" spans="12:52">
      <c r="M18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ENT_01_A3-16</v>
      </c>
      <c r="E6" s="272"/>
      <c r="F6" s="272"/>
      <c r="G6" s="272"/>
      <c r="H6" s="272"/>
      <c r="I6" s="272"/>
      <c r="J6" s="273"/>
    </row>
    <row r="7" spans="1:45">
      <c r="B7" s="261" t="s">
        <v>115</v>
      </c>
      <c r="C7" s="262"/>
      <c r="D7" s="263" t="s">
        <v>2398</v>
      </c>
      <c r="E7" s="264"/>
      <c r="F7" s="264"/>
      <c r="G7" s="264"/>
      <c r="H7" s="264"/>
      <c r="I7" s="264"/>
      <c r="J7" s="265"/>
    </row>
    <row r="8" spans="1:45">
      <c r="B8" s="261" t="s">
        <v>116</v>
      </c>
      <c r="C8" s="262"/>
      <c r="D8" s="263" t="str">
        <f>エンティティ一覧!AE2&amp;"_"&amp;D5&amp;"_mt_shori_shisetsu"</f>
        <v>azn_202310_backup_mt_shori_shisetsu</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処理対象施設マスタテーブルから組入れ条件の第一条件で絞り込んだ結果を格納するテーブル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milscm_2023_010.azn_202310_backup_mt_shori_shisetsu;</v>
      </c>
      <c r="O10" s="76"/>
      <c r="P10" s="76"/>
      <c r="Q10" s="76"/>
      <c r="R10" s="76"/>
      <c r="S10" s="76"/>
      <c r="T10" s="76"/>
      <c r="AJ10" s="76" t="str">
        <f>"ALTER TABLE ONLY "&amp;エンティティ一覧!$O$2&amp;"."&amp;D$8</f>
        <v>ALTER TABLE ONLY milscm_2023_010.azn_202310_backup_mt_shori_shisetsu</v>
      </c>
      <c r="AS10" s="76" t="str">
        <f>"ALTER TABLE "&amp;エンティティ一覧!$O$2&amp;"."&amp;D$8&amp;" OWNER TO pgmisgrp1;"</f>
        <v>ALTER TABLE milscm_2023_010.azn_202310_backup_mt_shori_shisetsu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milscm_2023_010.azn_202310_backup_mt_shori_shisetsu</v>
      </c>
      <c r="O11" s="76"/>
      <c r="P11" s="76"/>
      <c r="Q11" s="76"/>
      <c r="R11" s="76"/>
      <c r="S11" s="76"/>
      <c r="T11" s="76"/>
      <c r="AJ11" s="76" t="str">
        <f>"ADD CONSTRAINT "&amp;D$8&amp;"_pkey PRIMARY KEY"</f>
        <v>ADD CONSTRAINT azn_202310_backup_mt_shori_shisetsu_pkey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milscm_2023_010.azn_202310_backup_mt_shori_shisetsu IS 'バックアップ_処理対象施設マスタ';</v>
      </c>
    </row>
    <row r="13" spans="1:45" s="25" customFormat="1">
      <c r="A13" s="4"/>
      <c r="B13" s="21">
        <f>ROW()-12</f>
        <v>1</v>
      </c>
      <c r="C13" s="6" t="s">
        <v>2399</v>
      </c>
      <c r="D13" s="6" t="s">
        <v>128</v>
      </c>
      <c r="E13" s="8" t="s">
        <v>127</v>
      </c>
      <c r="F13" s="8" t="s">
        <v>1735</v>
      </c>
      <c r="G13" s="7" t="str">
        <f>IF(F13="フラグ","boolean",IF(F13="文字列","text",IF(F13="整数","integer",IF(F13="実数","numeric",""))))</f>
        <v>text</v>
      </c>
      <c r="H13" s="9"/>
      <c r="I13" s="10" t="s">
        <v>127</v>
      </c>
      <c r="J13" s="11"/>
      <c r="M13" s="4"/>
      <c r="N13" s="76"/>
      <c r="O13" s="76"/>
      <c r="P13" s="76" t="str">
        <f>IF(B13&lt;&gt;1,","&amp;D13,D13)</f>
        <v>facility_id</v>
      </c>
      <c r="Q13" s="76" t="str">
        <f t="shared" ref="Q13:Q22" si="0">UPPER(G13)</f>
        <v>TEXT</v>
      </c>
      <c r="R13" s="76" t="str">
        <f t="shared" ref="R13:R22"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milscm_2023_010.azn_202310_backup_mt_shori_shisetsu.facility_id IS '施設ID';</v>
      </c>
    </row>
    <row r="14" spans="1:45" s="25" customFormat="1">
      <c r="A14" s="4"/>
      <c r="B14" s="21">
        <f t="shared" ref="B14:B21" si="2">ROW()-12</f>
        <v>2</v>
      </c>
      <c r="C14" s="6" t="s">
        <v>2400</v>
      </c>
      <c r="D14" s="6" t="s">
        <v>2401</v>
      </c>
      <c r="E14" s="8"/>
      <c r="F14" s="7" t="s">
        <v>863</v>
      </c>
      <c r="G14" s="7" t="str">
        <f t="shared" ref="G14:G22" si="3">IF(F14="フラグ","boolean",IF(F14="文字列","text",IF(F14="整数","integer",IF(F14="実数","numeric",""))))</f>
        <v>text</v>
      </c>
      <c r="H14" s="26"/>
      <c r="I14" s="10" t="s">
        <v>127</v>
      </c>
      <c r="J14" s="11" t="s">
        <v>2419</v>
      </c>
      <c r="M14" s="4"/>
      <c r="N14" s="76"/>
      <c r="O14" s="76"/>
      <c r="P14" s="76" t="str">
        <f t="shared" ref="P14:P22" si="4">IF(B14&lt;&gt;1,","&amp;D14,D14)</f>
        <v>,facility_id_mml</v>
      </c>
      <c r="Q14" s="76" t="str">
        <f t="shared" si="0"/>
        <v>TEXT</v>
      </c>
      <c r="R14" s="76" t="str">
        <f t="shared" si="1"/>
        <v/>
      </c>
      <c r="S14" s="76" t="str">
        <f t="shared" ref="S14:S22" si="5">IF(I14="○","NOT NULL","")</f>
        <v>NOT NULL</v>
      </c>
      <c r="T14" s="76" t="str">
        <f t="shared" ref="T14:T22" si="6">"-- "&amp;C14</f>
        <v>-- 施設ID（MML）</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milscm_2023_010.azn_202310_backup_mt_shori_shisetsu.facility_id_mml IS '施設ID（MML）';</v>
      </c>
    </row>
    <row r="15" spans="1:45" s="25" customFormat="1">
      <c r="A15" s="4"/>
      <c r="B15" s="21">
        <f t="shared" si="2"/>
        <v>3</v>
      </c>
      <c r="C15" s="6" t="s">
        <v>2402</v>
      </c>
      <c r="D15" s="6" t="s">
        <v>2403</v>
      </c>
      <c r="E15" s="8"/>
      <c r="F15" s="7" t="s">
        <v>1735</v>
      </c>
      <c r="G15" s="7" t="str">
        <f t="shared" si="3"/>
        <v>text</v>
      </c>
      <c r="H15" s="26"/>
      <c r="I15" s="10" t="s">
        <v>127</v>
      </c>
      <c r="J15" s="11"/>
      <c r="M15" s="4"/>
      <c r="N15" s="76"/>
      <c r="O15" s="76"/>
      <c r="P15" s="76" t="str">
        <f t="shared" si="4"/>
        <v>,facility_name</v>
      </c>
      <c r="Q15" s="76" t="str">
        <f t="shared" si="0"/>
        <v>TEXT</v>
      </c>
      <c r="R15" s="76" t="str">
        <f t="shared" si="1"/>
        <v/>
      </c>
      <c r="S15" s="76" t="str">
        <f t="shared" si="5"/>
        <v>NOT NULL</v>
      </c>
      <c r="T15" s="76" t="str">
        <f t="shared" si="6"/>
        <v>-- 施設名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milscm_2023_010.azn_202310_backup_mt_shori_shisetsu.facility_name IS '施設名';</v>
      </c>
    </row>
    <row r="16" spans="1:45" s="25" customFormat="1" ht="37.5">
      <c r="A16" s="4"/>
      <c r="B16" s="21">
        <f t="shared" si="2"/>
        <v>4</v>
      </c>
      <c r="C16" s="6" t="s">
        <v>2404</v>
      </c>
      <c r="D16" s="6" t="s">
        <v>2405</v>
      </c>
      <c r="E16" s="8"/>
      <c r="F16" s="7" t="s">
        <v>1735</v>
      </c>
      <c r="G16" s="7" t="str">
        <f t="shared" si="3"/>
        <v>text</v>
      </c>
      <c r="H16" s="26"/>
      <c r="I16" s="10"/>
      <c r="J16" s="11" t="s">
        <v>2420</v>
      </c>
      <c r="M16" s="4"/>
      <c r="N16" s="76"/>
      <c r="O16" s="76"/>
      <c r="P16" s="76" t="str">
        <f t="shared" si="4"/>
        <v>,opt_out_ymd</v>
      </c>
      <c r="Q16" s="76" t="str">
        <f t="shared" si="0"/>
        <v>TEXT</v>
      </c>
      <c r="R16" s="76" t="str">
        <f t="shared" si="1"/>
        <v/>
      </c>
      <c r="S16" s="76" t="str">
        <f t="shared" si="5"/>
        <v/>
      </c>
      <c r="T16" s="76" t="str">
        <f t="shared" si="6"/>
        <v>-- オプトアウト通知開始年月日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milscm_2023_010.azn_202310_backup_mt_shori_shisetsu.opt_out_ymd IS 'オプトアウト通知開始年月日';</v>
      </c>
    </row>
    <row r="17" spans="1:52" s="25" customFormat="1">
      <c r="A17" s="4"/>
      <c r="B17" s="21">
        <f t="shared" si="2"/>
        <v>5</v>
      </c>
      <c r="C17" s="6" t="s">
        <v>2406</v>
      </c>
      <c r="D17" s="6" t="s">
        <v>2407</v>
      </c>
      <c r="E17" s="8"/>
      <c r="F17" s="7" t="s">
        <v>1735</v>
      </c>
      <c r="G17" s="7" t="str">
        <f t="shared" si="3"/>
        <v>text</v>
      </c>
      <c r="H17" s="26"/>
      <c r="I17" s="10"/>
      <c r="J17" s="11"/>
      <c r="M17" s="4"/>
      <c r="N17" s="76"/>
      <c r="O17" s="76"/>
      <c r="P17" s="76" t="str">
        <f t="shared" si="4"/>
        <v>,group_id_edit_kubun</v>
      </c>
      <c r="Q17" s="76" t="str">
        <f t="shared" si="0"/>
        <v>TEXT</v>
      </c>
      <c r="R17" s="76" t="str">
        <f t="shared" si="1"/>
        <v/>
      </c>
      <c r="S17" s="76" t="str">
        <f t="shared" si="5"/>
        <v/>
      </c>
      <c r="T17" s="76" t="str">
        <f t="shared" si="6"/>
        <v>-- 紐付けID編集区分</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milscm_2023_010.azn_202310_backup_mt_shori_shisetsu.group_id_edit_kubun IS '紐付けID編集区分';</v>
      </c>
    </row>
    <row r="18" spans="1:52" s="25" customFormat="1" ht="37.5">
      <c r="A18" s="4"/>
      <c r="B18" s="21">
        <f t="shared" si="2"/>
        <v>6</v>
      </c>
      <c r="C18" s="6" t="s">
        <v>2408</v>
      </c>
      <c r="D18" s="6" t="s">
        <v>2409</v>
      </c>
      <c r="E18" s="8"/>
      <c r="F18" s="7" t="s">
        <v>863</v>
      </c>
      <c r="G18" s="7" t="str">
        <f t="shared" ref="G18:G20" si="7">IF(F18="フラグ","boolean",IF(F18="文字列","text",IF(F18="整数","integer",IF(F18="実数","numeric",""))))</f>
        <v>text</v>
      </c>
      <c r="H18" s="26"/>
      <c r="I18" s="10"/>
      <c r="J18" s="11" t="s">
        <v>2421</v>
      </c>
      <c r="M18" s="4"/>
      <c r="N18" s="76"/>
      <c r="O18" s="76"/>
      <c r="P18" s="76" t="str">
        <f t="shared" ref="P18:P20" si="8">IF(B18&lt;&gt;1,","&amp;D18,D18)</f>
        <v>,facility_contract_start</v>
      </c>
      <c r="Q18" s="76" t="str">
        <f t="shared" ref="Q18:Q20" si="9">UPPER(G18)</f>
        <v>TEXT</v>
      </c>
      <c r="R18" s="76" t="str">
        <f t="shared" ref="R18:R20" si="10">IF(H18&lt;&gt;"","default "&amp;IF(G18="text","'"&amp;H18&amp;"'",H18),"")</f>
        <v/>
      </c>
      <c r="S18" s="76" t="str">
        <f t="shared" ref="S18:S20" si="11">IF(I18="○","NOT NULL","")</f>
        <v/>
      </c>
      <c r="T18" s="76" t="str">
        <f t="shared" ref="T18:T20" si="12">"-- "&amp;C18</f>
        <v>-- 施設データ提供開始日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milscm_2023_010.azn_202310_backup_mt_shori_shisetsu.facility_contract_start IS '施設データ提供開始日';</v>
      </c>
    </row>
    <row r="19" spans="1:52" s="25" customFormat="1" ht="56.25">
      <c r="A19" s="4"/>
      <c r="B19" s="21">
        <f t="shared" si="2"/>
        <v>7</v>
      </c>
      <c r="C19" s="6" t="s">
        <v>2410</v>
      </c>
      <c r="D19" s="6" t="s">
        <v>2411</v>
      </c>
      <c r="E19" s="8"/>
      <c r="F19" s="7" t="s">
        <v>863</v>
      </c>
      <c r="G19" s="7" t="str">
        <f t="shared" si="7"/>
        <v>text</v>
      </c>
      <c r="H19" s="26"/>
      <c r="I19" s="10"/>
      <c r="J19" s="11" t="s">
        <v>2422</v>
      </c>
      <c r="M19" s="4"/>
      <c r="N19" s="76"/>
      <c r="O19" s="76"/>
      <c r="P19" s="76" t="str">
        <f t="shared" si="8"/>
        <v>,facility_contract_end</v>
      </c>
      <c r="Q19" s="76" t="str">
        <f t="shared" si="9"/>
        <v>TEXT</v>
      </c>
      <c r="R19" s="76" t="str">
        <f t="shared" si="10"/>
        <v/>
      </c>
      <c r="S19" s="76" t="str">
        <f t="shared" si="11"/>
        <v/>
      </c>
      <c r="T19" s="76" t="str">
        <f t="shared" si="12"/>
        <v>-- 施設データ提供終了日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milscm_2023_010.azn_202310_backup_mt_shori_shisetsu.facility_contract_end IS '施設データ提供終了日';</v>
      </c>
    </row>
    <row r="20" spans="1:52" s="25" customFormat="1">
      <c r="A20" s="4"/>
      <c r="B20" s="21">
        <f t="shared" si="2"/>
        <v>8</v>
      </c>
      <c r="C20" s="6" t="s">
        <v>2412</v>
      </c>
      <c r="D20" s="6" t="s">
        <v>2413</v>
      </c>
      <c r="E20" s="8"/>
      <c r="F20" s="7" t="s">
        <v>1845</v>
      </c>
      <c r="G20" s="7" t="str">
        <f t="shared" si="7"/>
        <v>integer</v>
      </c>
      <c r="H20" s="26">
        <v>0</v>
      </c>
      <c r="I20" s="10"/>
      <c r="J20" s="11"/>
      <c r="M20" s="4"/>
      <c r="N20" s="76"/>
      <c r="O20" s="76"/>
      <c r="P20" s="76" t="str">
        <f t="shared" si="8"/>
        <v>,size</v>
      </c>
      <c r="Q20" s="76" t="str">
        <f t="shared" si="9"/>
        <v>INTEGER</v>
      </c>
      <c r="R20" s="76" t="str">
        <f t="shared" si="10"/>
        <v>default 0</v>
      </c>
      <c r="S20" s="76" t="str">
        <f t="shared" si="11"/>
        <v/>
      </c>
      <c r="T20" s="76" t="str">
        <f t="shared" si="12"/>
        <v>-- 施設規模</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milscm_2023_010.azn_202310_backup_mt_shori_shisetsu.size IS '施設規模';</v>
      </c>
    </row>
    <row r="21" spans="1:52" s="25" customFormat="1" ht="37.5">
      <c r="A21" s="4"/>
      <c r="B21" s="21">
        <f t="shared" si="2"/>
        <v>9</v>
      </c>
      <c r="C21" s="6" t="s">
        <v>2414</v>
      </c>
      <c r="D21" s="6" t="s">
        <v>2415</v>
      </c>
      <c r="E21" s="8"/>
      <c r="F21" s="7" t="s">
        <v>2416</v>
      </c>
      <c r="G21" s="7" t="str">
        <f t="shared" si="3"/>
        <v>boolean</v>
      </c>
      <c r="H21" s="26" t="s">
        <v>2423</v>
      </c>
      <c r="I21" s="10" t="s">
        <v>127</v>
      </c>
      <c r="J21" s="11" t="s">
        <v>2424</v>
      </c>
      <c r="M21" s="4"/>
      <c r="N21" s="76"/>
      <c r="O21" s="76"/>
      <c r="P21" s="76" t="str">
        <f t="shared" si="4"/>
        <v>,shori_f</v>
      </c>
      <c r="Q21" s="76" t="str">
        <f t="shared" si="0"/>
        <v>BOOLEAN</v>
      </c>
      <c r="R21" s="76" t="str">
        <f t="shared" si="1"/>
        <v>default TRUE</v>
      </c>
      <c r="S21" s="76" t="str">
        <f t="shared" si="5"/>
        <v>NOT NULL</v>
      </c>
      <c r="T21" s="76" t="str">
        <f t="shared" si="6"/>
        <v>-- データ取得対象フラグ</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milscm_2023_010.azn_202310_backup_mt_shori_shisetsu.shori_f IS 'データ取得対象フラグ';</v>
      </c>
    </row>
    <row r="22" spans="1:52" s="25" customFormat="1" ht="38.25" thickBot="1">
      <c r="A22" s="4"/>
      <c r="B22" s="27">
        <f>ROW()-12</f>
        <v>10</v>
      </c>
      <c r="C22" s="57" t="s">
        <v>2417</v>
      </c>
      <c r="D22" s="57" t="s">
        <v>2418</v>
      </c>
      <c r="E22" s="56"/>
      <c r="F22" s="56" t="s">
        <v>2416</v>
      </c>
      <c r="G22" s="56" t="str">
        <f t="shared" si="3"/>
        <v>boolean</v>
      </c>
      <c r="H22" s="59" t="s">
        <v>2425</v>
      </c>
      <c r="I22" s="60" t="s">
        <v>127</v>
      </c>
      <c r="J22" s="63" t="s">
        <v>2426</v>
      </c>
      <c r="N22" s="76"/>
      <c r="O22" s="76"/>
      <c r="P22" s="76" t="str">
        <f t="shared" si="4"/>
        <v>,feasibility_f</v>
      </c>
      <c r="Q22" s="76" t="str">
        <f t="shared" si="0"/>
        <v>BOOLEAN</v>
      </c>
      <c r="R22" s="76" t="str">
        <f t="shared" si="1"/>
        <v>default FALSE</v>
      </c>
      <c r="S22" s="76" t="str">
        <f t="shared" si="5"/>
        <v>NOT NULL</v>
      </c>
      <c r="T22" s="76" t="str">
        <f t="shared" si="6"/>
        <v>-- フィジビリティ対象フラグ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milscm_2023_010.azn_202310_backup_mt_shori_shisetsu.feasibility_f IS 'フィジビリティ対象フラグ';</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ENT_01_A3-17</v>
      </c>
      <c r="E6" s="272"/>
      <c r="F6" s="272"/>
      <c r="G6" s="272"/>
      <c r="H6" s="272"/>
      <c r="I6" s="272"/>
      <c r="J6" s="273"/>
    </row>
    <row r="7" spans="1:45">
      <c r="B7" s="261" t="s">
        <v>115</v>
      </c>
      <c r="C7" s="262"/>
      <c r="D7" s="263" t="s">
        <v>2427</v>
      </c>
      <c r="E7" s="264"/>
      <c r="F7" s="264"/>
      <c r="G7" s="264"/>
      <c r="H7" s="264"/>
      <c r="I7" s="264"/>
      <c r="J7" s="265"/>
    </row>
    <row r="8" spans="1:45">
      <c r="B8" s="261" t="s">
        <v>116</v>
      </c>
      <c r="C8" s="262"/>
      <c r="D8" s="263" t="str">
        <f>エンティティ一覧!AE2&amp;"_"&amp;D5&amp;"_mt_shori_shisetsu_manage"</f>
        <v>azn_202310_backup_mt_shori_shisetsu_manage</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処理対象施設マスタ管理テーブルから組入れ条件の第一条件で絞り込んだ結果を格納するテーブル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milscm_2023_010.azn_202310_backup_mt_shori_shisetsu_manage;</v>
      </c>
      <c r="O10" s="76"/>
      <c r="P10" s="76"/>
      <c r="Q10" s="76"/>
      <c r="R10" s="76"/>
      <c r="S10" s="76"/>
      <c r="T10" s="76"/>
      <c r="AJ10" s="76" t="str">
        <f>"ALTER TABLE ONLY "&amp;エンティティ一覧!$O$2&amp;"."&amp;D$8</f>
        <v>ALTER TABLE ONLY milscm_2023_010.azn_202310_backup_mt_shori_shisetsu_manage</v>
      </c>
      <c r="AS10" s="76" t="str">
        <f>"ALTER TABLE "&amp;エンティティ一覧!$O$2&amp;"."&amp;D$8&amp;" OWNER TO pgmisgrp1;"</f>
        <v>ALTER TABLE milscm_2023_010.azn_202310_backup_mt_shori_shisetsu_manage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milscm_2023_010.azn_202310_backup_mt_shori_shisetsu_manage</v>
      </c>
      <c r="O11" s="76"/>
      <c r="P11" s="76"/>
      <c r="Q11" s="76"/>
      <c r="R11" s="76"/>
      <c r="S11" s="76"/>
      <c r="T11" s="76"/>
      <c r="AJ11" s="76" t="str">
        <f>"ADD CONSTRAINT "&amp;D$8&amp;"_pkey PRIMARY KEY"</f>
        <v>ADD CONSTRAINT azn_202310_backup_mt_shori_shisetsu_manage_pkey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milscm_2023_010.azn_202310_backup_mt_shori_shisetsu_manage IS 'バックアップ_処理対象施設マスタ管理';</v>
      </c>
    </row>
    <row r="13" spans="1:45" s="25" customFormat="1">
      <c r="A13" s="4"/>
      <c r="B13" s="21">
        <f>ROW()-12</f>
        <v>1</v>
      </c>
      <c r="C13" s="6" t="s">
        <v>2399</v>
      </c>
      <c r="D13" s="6" t="s">
        <v>128</v>
      </c>
      <c r="E13" s="8" t="s">
        <v>127</v>
      </c>
      <c r="F13" s="8" t="s">
        <v>1735</v>
      </c>
      <c r="G13" s="7" t="str">
        <f>IF(F13="フラグ","boolean",IF(F13="文字列","text",IF(F13="整数","integer",IF(F13="実数","numeric",""))))</f>
        <v>text</v>
      </c>
      <c r="H13" s="9"/>
      <c r="I13" s="10" t="s">
        <v>127</v>
      </c>
      <c r="J13" s="11"/>
      <c r="M13" s="4"/>
      <c r="N13" s="76"/>
      <c r="O13" s="76"/>
      <c r="P13" s="76" t="str">
        <f>IF(B13&lt;&gt;1,","&amp;D13,D13)</f>
        <v>facility_id</v>
      </c>
      <c r="Q13" s="76" t="str">
        <f t="shared" ref="Q13:Q18" si="0">UPPER(G13)</f>
        <v>TEXT</v>
      </c>
      <c r="R13" s="76" t="str">
        <f t="shared" ref="R13:R18"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milscm_2023_010.azn_202310_backup_mt_shori_shisetsu_manage.facility_id IS '施設ID';</v>
      </c>
    </row>
    <row r="14" spans="1:45" s="25" customFormat="1" ht="37.5">
      <c r="A14" s="4"/>
      <c r="B14" s="21">
        <f t="shared" ref="B14:B17" si="2">ROW()-12</f>
        <v>2</v>
      </c>
      <c r="C14" s="6" t="s">
        <v>2408</v>
      </c>
      <c r="D14" s="6" t="s">
        <v>2409</v>
      </c>
      <c r="E14" s="8"/>
      <c r="F14" s="7" t="s">
        <v>863</v>
      </c>
      <c r="G14" s="7" t="str">
        <f t="shared" ref="G14:G18" si="3">IF(F14="フラグ","boolean",IF(F14="文字列","text",IF(F14="整数","integer",IF(F14="実数","numeric",""))))</f>
        <v>text</v>
      </c>
      <c r="H14" s="26"/>
      <c r="I14" s="10"/>
      <c r="J14" s="11" t="s">
        <v>2421</v>
      </c>
      <c r="M14" s="4"/>
      <c r="N14" s="76"/>
      <c r="O14" s="76"/>
      <c r="P14" s="76" t="str">
        <f t="shared" ref="P14:P18" si="4">IF(B14&lt;&gt;1,","&amp;D14,D14)</f>
        <v>,facility_contract_start</v>
      </c>
      <c r="Q14" s="76" t="str">
        <f t="shared" si="0"/>
        <v>TEXT</v>
      </c>
      <c r="R14" s="76" t="str">
        <f t="shared" si="1"/>
        <v/>
      </c>
      <c r="S14" s="76" t="str">
        <f t="shared" ref="S14:S18" si="5">IF(I14="○","NOT NULL","")</f>
        <v/>
      </c>
      <c r="T14" s="76" t="str">
        <f t="shared" ref="T14:T18" si="6">"-- "&amp;C14</f>
        <v>-- 施設データ提供開始日</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milscm_2023_010.azn_202310_backup_mt_shori_shisetsu_manage.facility_contract_start IS '施設データ提供開始日';</v>
      </c>
    </row>
    <row r="15" spans="1:45" s="25" customFormat="1" ht="56.25">
      <c r="A15" s="4"/>
      <c r="B15" s="21">
        <f t="shared" si="2"/>
        <v>3</v>
      </c>
      <c r="C15" s="6" t="s">
        <v>2410</v>
      </c>
      <c r="D15" s="6" t="s">
        <v>2411</v>
      </c>
      <c r="E15" s="8"/>
      <c r="F15" s="7" t="s">
        <v>863</v>
      </c>
      <c r="G15" s="7" t="str">
        <f t="shared" si="3"/>
        <v>text</v>
      </c>
      <c r="H15" s="26"/>
      <c r="I15" s="10"/>
      <c r="J15" s="11" t="s">
        <v>2422</v>
      </c>
      <c r="M15" s="4"/>
      <c r="N15" s="76"/>
      <c r="O15" s="76"/>
      <c r="P15" s="76" t="str">
        <f t="shared" si="4"/>
        <v>,facility_contract_end</v>
      </c>
      <c r="Q15" s="76" t="str">
        <f t="shared" si="0"/>
        <v>TEXT</v>
      </c>
      <c r="R15" s="76" t="str">
        <f t="shared" si="1"/>
        <v/>
      </c>
      <c r="S15" s="76" t="str">
        <f t="shared" si="5"/>
        <v/>
      </c>
      <c r="T15" s="76" t="str">
        <f t="shared" si="6"/>
        <v>-- 施設データ提供終了日</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milscm_2023_010.azn_202310_backup_mt_shori_shisetsu_manage.facility_contract_end IS '施設データ提供終了日';</v>
      </c>
    </row>
    <row r="16" spans="1:45" s="25" customFormat="1">
      <c r="A16" s="4"/>
      <c r="B16" s="21">
        <f t="shared" si="2"/>
        <v>4</v>
      </c>
      <c r="C16" s="6" t="s">
        <v>2412</v>
      </c>
      <c r="D16" s="6" t="s">
        <v>2413</v>
      </c>
      <c r="E16" s="8"/>
      <c r="F16" s="7" t="s">
        <v>1845</v>
      </c>
      <c r="G16" s="7" t="str">
        <f t="shared" si="3"/>
        <v>integer</v>
      </c>
      <c r="H16" s="26">
        <v>0</v>
      </c>
      <c r="I16" s="10"/>
      <c r="J16" s="11"/>
      <c r="M16" s="4"/>
      <c r="N16" s="76"/>
      <c r="O16" s="76"/>
      <c r="P16" s="76" t="str">
        <f t="shared" si="4"/>
        <v>,size</v>
      </c>
      <c r="Q16" s="76" t="str">
        <f t="shared" si="0"/>
        <v>INTEGER</v>
      </c>
      <c r="R16" s="76" t="str">
        <f t="shared" si="1"/>
        <v>default 0</v>
      </c>
      <c r="S16" s="76" t="str">
        <f t="shared" si="5"/>
        <v/>
      </c>
      <c r="T16" s="76" t="str">
        <f t="shared" si="6"/>
        <v>-- 施設規模</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milscm_2023_010.azn_202310_backup_mt_shori_shisetsu_manage.size IS '施設規模';</v>
      </c>
    </row>
    <row r="17" spans="1:52" s="25" customFormat="1" ht="37.5">
      <c r="A17" s="4"/>
      <c r="B17" s="21">
        <f t="shared" si="2"/>
        <v>5</v>
      </c>
      <c r="C17" s="6" t="s">
        <v>2414</v>
      </c>
      <c r="D17" s="6" t="s">
        <v>2415</v>
      </c>
      <c r="E17" s="8"/>
      <c r="F17" s="7" t="s">
        <v>2416</v>
      </c>
      <c r="G17" s="7" t="str">
        <f t="shared" si="3"/>
        <v>boolean</v>
      </c>
      <c r="H17" s="26" t="s">
        <v>2423</v>
      </c>
      <c r="I17" s="10" t="s">
        <v>127</v>
      </c>
      <c r="J17" s="11" t="s">
        <v>2424</v>
      </c>
      <c r="M17" s="4"/>
      <c r="N17" s="76"/>
      <c r="O17" s="76"/>
      <c r="P17" s="76" t="str">
        <f t="shared" si="4"/>
        <v>,shori_f</v>
      </c>
      <c r="Q17" s="76" t="str">
        <f t="shared" si="0"/>
        <v>BOOLEAN</v>
      </c>
      <c r="R17" s="76" t="str">
        <f t="shared" si="1"/>
        <v>default TRUE</v>
      </c>
      <c r="S17" s="76" t="str">
        <f t="shared" si="5"/>
        <v>NOT NULL</v>
      </c>
      <c r="T17" s="76" t="str">
        <f t="shared" si="6"/>
        <v>-- データ取得対象フラグ</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milscm_2023_010.azn_202310_backup_mt_shori_shisetsu_manage.shori_f IS 'データ取得対象フラグ';</v>
      </c>
    </row>
    <row r="18" spans="1:52" s="25" customFormat="1" ht="38.25" thickBot="1">
      <c r="A18" s="4"/>
      <c r="B18" s="27">
        <f>ROW()-12</f>
        <v>6</v>
      </c>
      <c r="C18" s="57" t="s">
        <v>2417</v>
      </c>
      <c r="D18" s="57" t="s">
        <v>2418</v>
      </c>
      <c r="E18" s="56"/>
      <c r="F18" s="56" t="s">
        <v>2416</v>
      </c>
      <c r="G18" s="56" t="str">
        <f t="shared" si="3"/>
        <v>boolean</v>
      </c>
      <c r="H18" s="59" t="s">
        <v>2425</v>
      </c>
      <c r="I18" s="60" t="s">
        <v>127</v>
      </c>
      <c r="J18" s="63" t="s">
        <v>2426</v>
      </c>
      <c r="N18" s="76"/>
      <c r="O18" s="76"/>
      <c r="P18" s="76" t="str">
        <f t="shared" si="4"/>
        <v>,feasibility_f</v>
      </c>
      <c r="Q18" s="76" t="str">
        <f t="shared" si="0"/>
        <v>BOOLEAN</v>
      </c>
      <c r="R18" s="76" t="str">
        <f t="shared" si="1"/>
        <v>default FALSE</v>
      </c>
      <c r="S18" s="76" t="str">
        <f t="shared" si="5"/>
        <v>NOT NULL</v>
      </c>
      <c r="T18" s="76" t="str">
        <f t="shared" si="6"/>
        <v>-- フィジビリティ対象フラグ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milscm_2023_010.azn_202310_backup_mt_shori_shisetsu_manage.feasibility_f IS 'フィジビリティ対象フラグ';</v>
      </c>
    </row>
    <row r="19" spans="1:52">
      <c r="L19" s="25"/>
      <c r="M19" s="25"/>
      <c r="N19" s="76" t="s">
        <v>142</v>
      </c>
      <c r="O19" s="76"/>
      <c r="P19" s="76"/>
      <c r="Q19" s="76"/>
      <c r="R19" s="76"/>
      <c r="S19" s="76"/>
      <c r="T19" s="76"/>
      <c r="V19" s="25"/>
      <c r="W19" s="25"/>
      <c r="X19" s="25"/>
      <c r="Y19" s="25"/>
      <c r="Z19" s="25"/>
      <c r="AJ19" s="76"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V34" s="25"/>
      <c r="AW34" s="25"/>
      <c r="AX34" s="25"/>
      <c r="AY34" s="25"/>
      <c r="AZ34" s="25"/>
    </row>
    <row r="35" spans="12:52">
      <c r="M35" s="25"/>
    </row>
    <row r="36" spans="12:52">
      <c r="M36" s="25"/>
    </row>
    <row r="37" spans="12:52">
      <c r="M37" s="25"/>
    </row>
    <row r="38" spans="12:52">
      <c r="M38" s="25"/>
    </row>
    <row r="39" spans="12:52">
      <c r="M39" s="25"/>
    </row>
    <row r="40" spans="12:52">
      <c r="M4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ENT_01_A3-18</v>
      </c>
      <c r="E6" s="272"/>
      <c r="F6" s="272"/>
      <c r="G6" s="272"/>
      <c r="H6" s="272"/>
      <c r="I6" s="272"/>
      <c r="J6" s="273"/>
    </row>
    <row r="7" spans="1:45">
      <c r="B7" s="261" t="s">
        <v>115</v>
      </c>
      <c r="C7" s="262"/>
      <c r="D7" s="263" t="s">
        <v>3285</v>
      </c>
      <c r="E7" s="264"/>
      <c r="F7" s="264"/>
      <c r="G7" s="264"/>
      <c r="H7" s="264"/>
      <c r="I7" s="264"/>
      <c r="J7" s="265"/>
    </row>
    <row r="8" spans="1:45">
      <c r="B8" s="261" t="s">
        <v>116</v>
      </c>
      <c r="C8" s="262"/>
      <c r="D8" s="263" t="str">
        <f>エンティティ一覧!AE2&amp;"_"&amp;D5&amp;"_mt_iyakuhin"</f>
        <v>azn_202310_backup_mt_iyakuhin</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医薬品マスタテーブルから組入れ条件の第一条件で絞り込んだ結果を格納するテーブル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milscm_2023_010.azn_202310_backup_mt_iyakuhin;</v>
      </c>
      <c r="O10" s="76"/>
      <c r="P10" s="76"/>
      <c r="Q10" s="76"/>
      <c r="R10" s="76"/>
      <c r="S10" s="76"/>
      <c r="T10" s="76"/>
      <c r="AJ10" s="76" t="str">
        <f>"ALTER TABLE ONLY "&amp;エンティティ一覧!$O$2&amp;"."&amp;D$8</f>
        <v>ALTER TABLE ONLY milscm_2023_010.azn_202310_backup_mt_iyakuhin</v>
      </c>
      <c r="AS10" s="76" t="str">
        <f>"ALTER TABLE "&amp;エンティティ一覧!$O$2&amp;"."&amp;D$8&amp;" OWNER TO pgmisgrp1;"</f>
        <v>ALTER TABLE milscm_2023_010.azn_202310_backup_mt_iyakuhin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milscm_2023_010.azn_202310_backup_mt_iyakuhin</v>
      </c>
      <c r="O11" s="76"/>
      <c r="P11" s="76"/>
      <c r="Q11" s="76"/>
      <c r="R11" s="76"/>
      <c r="S11" s="76"/>
      <c r="T11" s="76"/>
      <c r="AJ11" s="76" t="str">
        <f>"ADD CONSTRAINT "&amp;D$8&amp;"_pkey PRIMARY KEY"</f>
        <v>ADD CONSTRAINT azn_202310_backup_mt_iyakuhin_pkey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milscm_2023_010.azn_202310_backup_mt_iyakuhin IS 'バックアップ_医薬品マスタ';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34" si="0">UPPER(G13)</f>
        <v>TEXT</v>
      </c>
      <c r="R13" s="76" t="str">
        <f t="shared" ref="R13:R34"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milscm_2023_010.azn_202310_backup_mt_iyakuhin.sekoubi IS '施行日';</v>
      </c>
    </row>
    <row r="14" spans="1:45" s="25" customFormat="1">
      <c r="A14" s="4"/>
      <c r="B14" s="21">
        <f t="shared" ref="B14:B33" si="2">ROW()-12</f>
        <v>2</v>
      </c>
      <c r="C14" s="6" t="s">
        <v>3288</v>
      </c>
      <c r="D14" s="6" t="s">
        <v>2045</v>
      </c>
      <c r="E14" s="8" t="s">
        <v>127</v>
      </c>
      <c r="F14" s="7" t="s">
        <v>316</v>
      </c>
      <c r="G14" s="7" t="str">
        <f t="shared" ref="G14:G34" si="3">IF(F14="フラグ","boolean",IF(F14="文字列","text",IF(F14="整数","integer",IF(F14="実数","numeric",""))))</f>
        <v>text</v>
      </c>
      <c r="H14" s="26"/>
      <c r="I14" s="10" t="s">
        <v>127</v>
      </c>
      <c r="J14" s="11" t="s">
        <v>3313</v>
      </c>
      <c r="M14" s="4"/>
      <c r="N14" s="76"/>
      <c r="O14" s="76"/>
      <c r="P14" s="76" t="str">
        <f t="shared" ref="P14:P34" si="4">IF(B14&lt;&gt;1,","&amp;D14,D14)</f>
        <v>,koshin_kubun</v>
      </c>
      <c r="Q14" s="76" t="str">
        <f t="shared" si="0"/>
        <v>TEXT</v>
      </c>
      <c r="R14" s="76" t="str">
        <f t="shared" si="1"/>
        <v/>
      </c>
      <c r="S14" s="76" t="str">
        <f t="shared" ref="S14:S34" si="5">IF(I14="○","NOT NULL","")</f>
        <v>NOT NULL</v>
      </c>
      <c r="T14" s="76" t="str">
        <f t="shared" ref="T14:T34"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milscm_2023_010.azn_202310_backup_mt_iyakuhin.koshin_kubun IS '更新区分';</v>
      </c>
    </row>
    <row r="15" spans="1:45" s="25" customFormat="1">
      <c r="A15" s="4"/>
      <c r="B15" s="21">
        <f t="shared" si="2"/>
        <v>3</v>
      </c>
      <c r="C15" s="6" t="s">
        <v>1155</v>
      </c>
      <c r="D15" s="6" t="s">
        <v>1156</v>
      </c>
      <c r="E15" s="8" t="s">
        <v>127</v>
      </c>
      <c r="F15" s="7" t="s">
        <v>316</v>
      </c>
      <c r="G15" s="7" t="str">
        <f t="shared" si="3"/>
        <v>text</v>
      </c>
      <c r="H15" s="26"/>
      <c r="I15" s="10" t="s">
        <v>127</v>
      </c>
      <c r="J15" s="11"/>
      <c r="M15" s="4"/>
      <c r="N15" s="76"/>
      <c r="O15" s="76"/>
      <c r="P15" s="76" t="str">
        <f t="shared" si="4"/>
        <v>,iyakuhin_code</v>
      </c>
      <c r="Q15" s="76" t="str">
        <f t="shared" si="0"/>
        <v>TEXT</v>
      </c>
      <c r="R15" s="76" t="str">
        <f t="shared" si="1"/>
        <v/>
      </c>
      <c r="S15" s="76" t="str">
        <f t="shared" si="5"/>
        <v>NOT NULL</v>
      </c>
      <c r="T15" s="76" t="str">
        <f t="shared" si="6"/>
        <v>-- 医薬品コード</v>
      </c>
      <c r="U15" s="4"/>
      <c r="AA15" s="4"/>
      <c r="AB15" s="4"/>
      <c r="AC15" s="4"/>
      <c r="AD15" s="4"/>
      <c r="AE15" s="4"/>
      <c r="AF15" s="4"/>
      <c r="AG15" s="4"/>
      <c r="AH15" s="4"/>
      <c r="AI15" s="4"/>
      <c r="AJ15" s="76" t="str">
        <f>IF(E15="○",IF(COUNTA(E$13:E15)=1,"",",")&amp;D15,"")</f>
        <v>,iyakuhin_code</v>
      </c>
      <c r="AK15" s="4"/>
      <c r="AL15" s="4"/>
      <c r="AM15" s="4"/>
      <c r="AN15" s="4"/>
      <c r="AO15" s="4"/>
      <c r="AP15" s="4"/>
      <c r="AQ15" s="4"/>
      <c r="AR15" s="4"/>
      <c r="AS15" s="76" t="str">
        <f>"COMMENT ON COLUMN "&amp;エンティティ一覧!$O$2&amp;"."&amp;D$8&amp;"."&amp;D15&amp;" IS '"&amp;C15&amp;"';"</f>
        <v>COMMENT ON COLUMN milscm_2023_010.azn_202310_backup_mt_iyakuhin.iyakuhin_code IS '医薬品コード';</v>
      </c>
    </row>
    <row r="16" spans="1:45" s="25" customFormat="1">
      <c r="A16" s="4"/>
      <c r="B16" s="21">
        <f t="shared" si="2"/>
        <v>4</v>
      </c>
      <c r="C16" s="6" t="s">
        <v>2550</v>
      </c>
      <c r="D16" s="6" t="s">
        <v>3289</v>
      </c>
      <c r="E16" s="8"/>
      <c r="F16" s="7" t="s">
        <v>316</v>
      </c>
      <c r="G16" s="7" t="str">
        <f t="shared" si="3"/>
        <v>text</v>
      </c>
      <c r="H16" s="26"/>
      <c r="I16" s="10" t="s">
        <v>127</v>
      </c>
      <c r="J16" s="11"/>
      <c r="M16" s="4"/>
      <c r="N16" s="76"/>
      <c r="O16" s="76"/>
      <c r="P16" s="76" t="str">
        <f t="shared" si="4"/>
        <v>,yakko_bunrui1_code</v>
      </c>
      <c r="Q16" s="76" t="str">
        <f t="shared" si="0"/>
        <v>TEXT</v>
      </c>
      <c r="R16" s="76" t="str">
        <f t="shared" si="1"/>
        <v/>
      </c>
      <c r="S16" s="76" t="str">
        <f t="shared" si="5"/>
        <v>NOT NULL</v>
      </c>
      <c r="T16" s="76" t="str">
        <f t="shared" si="6"/>
        <v>-- 薬効分類1コード</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milscm_2023_010.azn_202310_backup_mt_iyakuhin.yakko_bunrui1_code IS '薬効分類1コード';</v>
      </c>
    </row>
    <row r="17" spans="1:45" s="25" customFormat="1">
      <c r="A17" s="4"/>
      <c r="B17" s="21">
        <f t="shared" si="2"/>
        <v>5</v>
      </c>
      <c r="C17" s="6" t="s">
        <v>2552</v>
      </c>
      <c r="D17" s="6" t="s">
        <v>3290</v>
      </c>
      <c r="E17" s="8"/>
      <c r="F17" s="7" t="s">
        <v>316</v>
      </c>
      <c r="G17" s="7" t="str">
        <f t="shared" si="3"/>
        <v>text</v>
      </c>
      <c r="H17" s="26"/>
      <c r="I17" s="10" t="s">
        <v>127</v>
      </c>
      <c r="J17" s="11"/>
      <c r="M17" s="4"/>
      <c r="N17" s="76"/>
      <c r="O17" s="76"/>
      <c r="P17" s="76" t="str">
        <f t="shared" si="4"/>
        <v>,yakko_bunrui2_code</v>
      </c>
      <c r="Q17" s="76" t="str">
        <f t="shared" si="0"/>
        <v>TEXT</v>
      </c>
      <c r="R17" s="76" t="str">
        <f t="shared" si="1"/>
        <v/>
      </c>
      <c r="S17" s="76" t="str">
        <f t="shared" si="5"/>
        <v>NOT NULL</v>
      </c>
      <c r="T17" s="76" t="str">
        <f t="shared" si="6"/>
        <v>-- 薬効分類2コード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milscm_2023_010.azn_202310_backup_mt_iyakuhin.yakko_bunrui2_code IS '薬効分類2コード';</v>
      </c>
    </row>
    <row r="18" spans="1:45" s="25" customFormat="1">
      <c r="A18" s="4"/>
      <c r="B18" s="21">
        <f t="shared" si="2"/>
        <v>6</v>
      </c>
      <c r="C18" s="6" t="s">
        <v>2554</v>
      </c>
      <c r="D18" s="6" t="s">
        <v>3291</v>
      </c>
      <c r="E18" s="8"/>
      <c r="F18" s="7" t="s">
        <v>316</v>
      </c>
      <c r="G18" s="7" t="str">
        <f t="shared" ref="G18:G21" si="7">IF(F18="フラグ","boolean",IF(F18="文字列","text",IF(F18="整数","integer",IF(F18="実数","numeric",""))))</f>
        <v>text</v>
      </c>
      <c r="H18" s="26"/>
      <c r="I18" s="10" t="s">
        <v>127</v>
      </c>
      <c r="J18" s="11"/>
      <c r="M18" s="4"/>
      <c r="N18" s="76"/>
      <c r="O18" s="76"/>
      <c r="P18" s="76" t="str">
        <f t="shared" ref="P18:P21" si="8">IF(B18&lt;&gt;1,","&amp;D18,D18)</f>
        <v>,yakko_bunrui3_code</v>
      </c>
      <c r="Q18" s="76" t="str">
        <f t="shared" ref="Q18:Q21" si="9">UPPER(G18)</f>
        <v>TEXT</v>
      </c>
      <c r="R18" s="76" t="str">
        <f t="shared" ref="R18:R21" si="10">IF(H18&lt;&gt;"","default "&amp;IF(G18="text","'"&amp;H18&amp;"'",H18),"")</f>
        <v/>
      </c>
      <c r="S18" s="76" t="str">
        <f t="shared" ref="S18:S21" si="11">IF(I18="○","NOT NULL","")</f>
        <v>NOT NULL</v>
      </c>
      <c r="T18" s="76" t="str">
        <f t="shared" ref="T18:T21" si="12">"-- "&amp;C18</f>
        <v>-- 薬効分類3コード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milscm_2023_010.azn_202310_backup_mt_iyakuhin.yakko_bunrui3_code IS '薬効分類3コード';</v>
      </c>
    </row>
    <row r="19" spans="1:45" s="25" customFormat="1">
      <c r="A19" s="4"/>
      <c r="B19" s="21">
        <f t="shared" si="2"/>
        <v>7</v>
      </c>
      <c r="C19" s="6" t="s">
        <v>2556</v>
      </c>
      <c r="D19" s="6" t="s">
        <v>3292</v>
      </c>
      <c r="E19" s="8"/>
      <c r="F19" s="7" t="s">
        <v>316</v>
      </c>
      <c r="G19" s="7" t="str">
        <f t="shared" si="7"/>
        <v>text</v>
      </c>
      <c r="H19" s="26"/>
      <c r="I19" s="10" t="s">
        <v>127</v>
      </c>
      <c r="J19" s="11"/>
      <c r="M19" s="4"/>
      <c r="N19" s="76"/>
      <c r="O19" s="76"/>
      <c r="P19" s="76" t="str">
        <f t="shared" si="8"/>
        <v>,yakko_bunrui4_code</v>
      </c>
      <c r="Q19" s="76" t="str">
        <f t="shared" si="9"/>
        <v>TEXT</v>
      </c>
      <c r="R19" s="76" t="str">
        <f t="shared" si="10"/>
        <v/>
      </c>
      <c r="S19" s="76" t="str">
        <f t="shared" si="11"/>
        <v>NOT NULL</v>
      </c>
      <c r="T19" s="76" t="str">
        <f t="shared" si="12"/>
        <v>-- 薬効分類4コード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milscm_2023_010.azn_202310_backup_mt_iyakuhin.yakko_bunrui4_code IS '薬効分類4コード';</v>
      </c>
    </row>
    <row r="20" spans="1:45" s="25" customFormat="1">
      <c r="A20" s="4"/>
      <c r="B20" s="21">
        <f t="shared" si="2"/>
        <v>8</v>
      </c>
      <c r="C20" s="6" t="s">
        <v>2558</v>
      </c>
      <c r="D20" s="6" t="s">
        <v>3293</v>
      </c>
      <c r="E20" s="8"/>
      <c r="F20" s="7" t="s">
        <v>316</v>
      </c>
      <c r="G20" s="7" t="str">
        <f t="shared" si="7"/>
        <v>text</v>
      </c>
      <c r="H20" s="26"/>
      <c r="I20" s="10" t="s">
        <v>127</v>
      </c>
      <c r="J20" s="11"/>
      <c r="M20" s="4"/>
      <c r="N20" s="76"/>
      <c r="O20" s="76"/>
      <c r="P20" s="76" t="str">
        <f t="shared" si="8"/>
        <v>,yakko_bunrui5_code</v>
      </c>
      <c r="Q20" s="76" t="str">
        <f t="shared" si="9"/>
        <v>TEXT</v>
      </c>
      <c r="R20" s="76" t="str">
        <f t="shared" si="10"/>
        <v/>
      </c>
      <c r="S20" s="76" t="str">
        <f t="shared" si="11"/>
        <v>NOT NULL</v>
      </c>
      <c r="T20" s="76" t="str">
        <f t="shared" si="12"/>
        <v>-- 薬効分類5コード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milscm_2023_010.azn_202310_backup_mt_iyakuhin.yakko_bunrui5_code IS '薬効分類5コード';</v>
      </c>
    </row>
    <row r="21" spans="1:45" s="25" customFormat="1">
      <c r="A21" s="4"/>
      <c r="B21" s="21">
        <f t="shared" si="2"/>
        <v>9</v>
      </c>
      <c r="C21" s="6" t="s">
        <v>2560</v>
      </c>
      <c r="D21" s="6" t="s">
        <v>3294</v>
      </c>
      <c r="E21" s="8"/>
      <c r="F21" s="7" t="s">
        <v>316</v>
      </c>
      <c r="G21" s="7" t="str">
        <f t="shared" si="7"/>
        <v>text</v>
      </c>
      <c r="H21" s="26"/>
      <c r="I21" s="10" t="s">
        <v>127</v>
      </c>
      <c r="J21" s="11"/>
      <c r="M21" s="4"/>
      <c r="N21" s="76"/>
      <c r="O21" s="76"/>
      <c r="P21" s="76" t="str">
        <f t="shared" si="8"/>
        <v>,seizo_maker_code</v>
      </c>
      <c r="Q21" s="76" t="str">
        <f t="shared" si="9"/>
        <v>TEXT</v>
      </c>
      <c r="R21" s="76" t="str">
        <f t="shared" si="10"/>
        <v/>
      </c>
      <c r="S21" s="76" t="str">
        <f t="shared" si="11"/>
        <v>NOT NULL</v>
      </c>
      <c r="T21" s="76" t="str">
        <f t="shared" si="12"/>
        <v>-- 製造メーカコード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milscm_2023_010.azn_202310_backup_mt_iyakuhin.seizo_maker_code IS '製造メーカコード';</v>
      </c>
    </row>
    <row r="22" spans="1:45" s="25" customFormat="1">
      <c r="A22" s="4"/>
      <c r="B22" s="21">
        <f t="shared" si="2"/>
        <v>10</v>
      </c>
      <c r="C22" s="6" t="s">
        <v>3295</v>
      </c>
      <c r="D22" s="6" t="s">
        <v>2112</v>
      </c>
      <c r="E22" s="8"/>
      <c r="F22" s="7" t="s">
        <v>316</v>
      </c>
      <c r="G22" s="7" t="str">
        <f t="shared" ref="G22:G32" si="13">IF(F22="フラグ","boolean",IF(F22="文字列","text",IF(F22="整数","integer",IF(F22="実数","numeric",""))))</f>
        <v>text</v>
      </c>
      <c r="H22" s="26"/>
      <c r="I22" s="10" t="s">
        <v>127</v>
      </c>
      <c r="J22" s="11"/>
      <c r="M22" s="4"/>
      <c r="N22" s="76"/>
      <c r="O22" s="76"/>
      <c r="P22" s="76" t="str">
        <f t="shared" ref="P22:P32" si="14">IF(B22&lt;&gt;1,","&amp;D22,D22)</f>
        <v>,iyakuhin_name</v>
      </c>
      <c r="Q22" s="76" t="str">
        <f t="shared" ref="Q22:Q32" si="15">UPPER(G22)</f>
        <v>TEXT</v>
      </c>
      <c r="R22" s="76" t="str">
        <f t="shared" ref="R22:R32" si="16">IF(H22&lt;&gt;"","default "&amp;IF(G22="text","'"&amp;H22&amp;"'",H22),"")</f>
        <v/>
      </c>
      <c r="S22" s="76" t="str">
        <f t="shared" ref="S22:S32" si="17">IF(I22="○","NOT NULL","")</f>
        <v>NOT NULL</v>
      </c>
      <c r="T22" s="76" t="str">
        <f t="shared" ref="T22:T32" si="18">"-- "&amp;C22</f>
        <v>-- 医薬品名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milscm_2023_010.azn_202310_backup_mt_iyakuhin.iyakuhin_name IS '医薬品名';</v>
      </c>
    </row>
    <row r="23" spans="1:45" s="25" customFormat="1">
      <c r="A23" s="4"/>
      <c r="B23" s="21">
        <f t="shared" si="2"/>
        <v>11</v>
      </c>
      <c r="C23" s="6" t="s">
        <v>2562</v>
      </c>
      <c r="D23" s="6" t="s">
        <v>2563</v>
      </c>
      <c r="E23" s="8"/>
      <c r="F23" s="7" t="s">
        <v>316</v>
      </c>
      <c r="G23" s="7" t="str">
        <f t="shared" si="13"/>
        <v>text</v>
      </c>
      <c r="H23" s="26"/>
      <c r="I23" s="10" t="s">
        <v>127</v>
      </c>
      <c r="J23" s="11"/>
      <c r="M23" s="4"/>
      <c r="N23" s="76"/>
      <c r="O23" s="76"/>
      <c r="P23" s="76" t="str">
        <f t="shared" si="14"/>
        <v>,iyakuhin_jpn_name</v>
      </c>
      <c r="Q23" s="76" t="str">
        <f t="shared" si="15"/>
        <v>TEXT</v>
      </c>
      <c r="R23" s="76" t="str">
        <f t="shared" si="16"/>
        <v/>
      </c>
      <c r="S23" s="76" t="str">
        <f t="shared" si="17"/>
        <v>NOT NULL</v>
      </c>
      <c r="T23" s="76" t="str">
        <f t="shared" si="18"/>
        <v>-- 医薬品日本語名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milscm_2023_010.azn_202310_backup_mt_iyakuhin.iyakuhin_jpn_name IS '医薬品日本語名';</v>
      </c>
    </row>
    <row r="24" spans="1:45" s="25" customFormat="1">
      <c r="A24" s="4"/>
      <c r="B24" s="21">
        <f t="shared" si="2"/>
        <v>12</v>
      </c>
      <c r="C24" s="6" t="s">
        <v>2580</v>
      </c>
      <c r="D24" s="6" t="s">
        <v>3296</v>
      </c>
      <c r="E24" s="8"/>
      <c r="F24" s="7" t="s">
        <v>316</v>
      </c>
      <c r="G24" s="7" t="str">
        <f t="shared" si="13"/>
        <v>text</v>
      </c>
      <c r="H24" s="26"/>
      <c r="I24" s="10" t="s">
        <v>127</v>
      </c>
      <c r="J24" s="11"/>
      <c r="M24" s="4"/>
      <c r="N24" s="76"/>
      <c r="O24" s="76"/>
      <c r="P24" s="76" t="str">
        <f t="shared" si="14"/>
        <v>,kohatsuhin_flag</v>
      </c>
      <c r="Q24" s="76" t="str">
        <f t="shared" si="15"/>
        <v>TEXT</v>
      </c>
      <c r="R24" s="76" t="str">
        <f t="shared" si="16"/>
        <v/>
      </c>
      <c r="S24" s="76" t="str">
        <f t="shared" si="17"/>
        <v>NOT NULL</v>
      </c>
      <c r="T24" s="76" t="str">
        <f t="shared" si="18"/>
        <v>-- 後発品フラグ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milscm_2023_010.azn_202310_backup_mt_iyakuhin.kohatsuhin_flag IS '後発品フラグ';</v>
      </c>
    </row>
    <row r="25" spans="1:45" s="25" customFormat="1">
      <c r="A25" s="4"/>
      <c r="B25" s="21">
        <f t="shared" si="2"/>
        <v>13</v>
      </c>
      <c r="C25" s="6" t="s">
        <v>3297</v>
      </c>
      <c r="D25" s="6" t="s">
        <v>3298</v>
      </c>
      <c r="E25" s="8"/>
      <c r="F25" s="7" t="s">
        <v>316</v>
      </c>
      <c r="G25" s="7" t="str">
        <f t="shared" si="13"/>
        <v>text</v>
      </c>
      <c r="H25" s="26"/>
      <c r="I25" s="10"/>
      <c r="J25" s="11"/>
      <c r="M25" s="4"/>
      <c r="N25" s="76"/>
      <c r="O25" s="76"/>
      <c r="P25" s="76" t="str">
        <f t="shared" si="14"/>
        <v>,shinyaku_code</v>
      </c>
      <c r="Q25" s="76" t="str">
        <f t="shared" si="15"/>
        <v>TEXT</v>
      </c>
      <c r="R25" s="76" t="str">
        <f t="shared" si="16"/>
        <v/>
      </c>
      <c r="S25" s="76" t="str">
        <f t="shared" si="17"/>
        <v/>
      </c>
      <c r="T25" s="76" t="str">
        <f t="shared" si="18"/>
        <v>-- 新薬コード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milscm_2023_010.azn_202310_backup_mt_iyakuhin.shinyaku_code IS '新薬コード';</v>
      </c>
    </row>
    <row r="26" spans="1:45" s="25" customFormat="1">
      <c r="A26" s="4"/>
      <c r="B26" s="21">
        <f t="shared" si="2"/>
        <v>14</v>
      </c>
      <c r="C26" s="6" t="s">
        <v>2546</v>
      </c>
      <c r="D26" s="6" t="s">
        <v>3299</v>
      </c>
      <c r="E26" s="8"/>
      <c r="F26" s="7" t="s">
        <v>316</v>
      </c>
      <c r="G26" s="7" t="str">
        <f t="shared" si="13"/>
        <v>text</v>
      </c>
      <c r="H26" s="26"/>
      <c r="I26" s="10" t="s">
        <v>127</v>
      </c>
      <c r="J26" s="11"/>
      <c r="M26" s="4"/>
      <c r="N26" s="76"/>
      <c r="O26" s="76"/>
      <c r="P26" s="76" t="str">
        <f t="shared" si="14"/>
        <v>,iyakuhin_brand_code</v>
      </c>
      <c r="Q26" s="76" t="str">
        <f t="shared" si="15"/>
        <v>TEXT</v>
      </c>
      <c r="R26" s="76" t="str">
        <f t="shared" si="16"/>
        <v/>
      </c>
      <c r="S26" s="76" t="str">
        <f t="shared" si="17"/>
        <v>NOT NULL</v>
      </c>
      <c r="T26" s="76" t="str">
        <f t="shared" si="18"/>
        <v>-- 医薬品ブランドコード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milscm_2023_010.azn_202310_backup_mt_iyakuhin.iyakuhin_brand_code IS '医薬品ブランドコード';</v>
      </c>
    </row>
    <row r="27" spans="1:45" s="25" customFormat="1" ht="31.5">
      <c r="A27" s="4"/>
      <c r="B27" s="21">
        <f t="shared" si="2"/>
        <v>15</v>
      </c>
      <c r="C27" s="6" t="s">
        <v>2548</v>
      </c>
      <c r="D27" s="6" t="s">
        <v>3300</v>
      </c>
      <c r="E27" s="8"/>
      <c r="F27" s="7" t="s">
        <v>316</v>
      </c>
      <c r="G27" s="7" t="str">
        <f t="shared" si="13"/>
        <v>text</v>
      </c>
      <c r="H27" s="26"/>
      <c r="I27" s="10" t="s">
        <v>127</v>
      </c>
      <c r="J27" s="11"/>
      <c r="M27" s="4"/>
      <c r="N27" s="76"/>
      <c r="O27" s="76"/>
      <c r="P27" s="76" t="str">
        <f t="shared" si="14"/>
        <v>,iyakuhin_ippan_name_code</v>
      </c>
      <c r="Q27" s="76" t="str">
        <f t="shared" si="15"/>
        <v>TEXT</v>
      </c>
      <c r="R27" s="76" t="str">
        <f t="shared" si="16"/>
        <v/>
      </c>
      <c r="S27" s="76" t="str">
        <f t="shared" si="17"/>
        <v>NOT NULL</v>
      </c>
      <c r="T27" s="76" t="str">
        <f t="shared" si="18"/>
        <v>-- 医薬品一般名コード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milscm_2023_010.azn_202310_backup_mt_iyakuhin.iyakuhin_ippan_name_code IS '医薬品一般名コード';</v>
      </c>
    </row>
    <row r="28" spans="1:45" s="25" customFormat="1">
      <c r="A28" s="4"/>
      <c r="B28" s="21">
        <f t="shared" si="2"/>
        <v>16</v>
      </c>
      <c r="C28" s="6" t="s">
        <v>2582</v>
      </c>
      <c r="D28" s="6" t="s">
        <v>2583</v>
      </c>
      <c r="E28" s="8"/>
      <c r="F28" s="7" t="s">
        <v>316</v>
      </c>
      <c r="G28" s="7" t="str">
        <f t="shared" si="13"/>
        <v>text</v>
      </c>
      <c r="H28" s="26"/>
      <c r="I28" s="10" t="s">
        <v>127</v>
      </c>
      <c r="J28" s="11"/>
      <c r="M28" s="4"/>
      <c r="N28" s="76"/>
      <c r="O28" s="76"/>
      <c r="P28" s="76" t="str">
        <f t="shared" si="14"/>
        <v>,toyo_keiro_kubun</v>
      </c>
      <c r="Q28" s="76" t="str">
        <f t="shared" si="15"/>
        <v>TEXT</v>
      </c>
      <c r="R28" s="76" t="str">
        <f t="shared" si="16"/>
        <v/>
      </c>
      <c r="S28" s="76" t="str">
        <f t="shared" si="17"/>
        <v>NOT NULL</v>
      </c>
      <c r="T28" s="76" t="str">
        <f t="shared" si="18"/>
        <v>-- 投与経路区分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milscm_2023_010.azn_202310_backup_mt_iyakuhin.toyo_keiro_kubun IS '投与経路区分';</v>
      </c>
    </row>
    <row r="29" spans="1:45" s="25" customFormat="1">
      <c r="A29" s="4"/>
      <c r="B29" s="21">
        <f t="shared" si="2"/>
        <v>17</v>
      </c>
      <c r="C29" s="6" t="s">
        <v>3301</v>
      </c>
      <c r="D29" s="6" t="s">
        <v>3302</v>
      </c>
      <c r="E29" s="8"/>
      <c r="F29" s="7" t="s">
        <v>316</v>
      </c>
      <c r="G29" s="7" t="str">
        <f t="shared" si="13"/>
        <v>text</v>
      </c>
      <c r="H29" s="26"/>
      <c r="I29" s="10"/>
      <c r="J29" s="11"/>
      <c r="M29" s="4"/>
      <c r="N29" s="76"/>
      <c r="O29" s="76"/>
      <c r="P29" s="76" t="str">
        <f t="shared" si="14"/>
        <v>,tokutei_kizai_unit_code</v>
      </c>
      <c r="Q29" s="76" t="str">
        <f t="shared" si="15"/>
        <v>TEXT</v>
      </c>
      <c r="R29" s="76" t="str">
        <f t="shared" si="16"/>
        <v/>
      </c>
      <c r="S29" s="76" t="str">
        <f t="shared" si="17"/>
        <v/>
      </c>
      <c r="T29" s="76" t="str">
        <f t="shared" si="18"/>
        <v>-- 特定器材単位コード</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milscm_2023_010.azn_202310_backup_mt_iyakuhin.tokutei_kizai_unit_code IS '特定器材単位コード';</v>
      </c>
    </row>
    <row r="30" spans="1:45" s="25" customFormat="1">
      <c r="A30" s="4"/>
      <c r="B30" s="21">
        <f t="shared" si="2"/>
        <v>18</v>
      </c>
      <c r="C30" s="6" t="s">
        <v>3303</v>
      </c>
      <c r="D30" s="6" t="s">
        <v>3304</v>
      </c>
      <c r="E30" s="8"/>
      <c r="F30" s="7" t="s">
        <v>316</v>
      </c>
      <c r="G30" s="7" t="str">
        <f t="shared" si="13"/>
        <v>text</v>
      </c>
      <c r="H30" s="26"/>
      <c r="I30" s="10" t="s">
        <v>127</v>
      </c>
      <c r="J30" s="11" t="s">
        <v>144</v>
      </c>
      <c r="M30" s="4"/>
      <c r="N30" s="76"/>
      <c r="O30" s="76"/>
      <c r="P30" s="76" t="str">
        <f t="shared" si="14"/>
        <v>,hatsubai_ymd</v>
      </c>
      <c r="Q30" s="76" t="str">
        <f t="shared" si="15"/>
        <v>TEXT</v>
      </c>
      <c r="R30" s="76" t="str">
        <f t="shared" si="16"/>
        <v/>
      </c>
      <c r="S30" s="76" t="str">
        <f t="shared" si="17"/>
        <v>NOT NULL</v>
      </c>
      <c r="T30" s="76" t="str">
        <f t="shared" si="18"/>
        <v>-- 発売年月日</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milscm_2023_010.azn_202310_backup_mt_iyakuhin.hatsubai_ymd IS '発売年月日';</v>
      </c>
    </row>
    <row r="31" spans="1:45" s="25" customFormat="1">
      <c r="A31" s="4"/>
      <c r="B31" s="21">
        <f t="shared" si="2"/>
        <v>19</v>
      </c>
      <c r="C31" s="6" t="s">
        <v>3305</v>
      </c>
      <c r="D31" s="6" t="s">
        <v>3306</v>
      </c>
      <c r="E31" s="8"/>
      <c r="F31" s="7" t="s">
        <v>316</v>
      </c>
      <c r="G31" s="7" t="str">
        <f t="shared" si="13"/>
        <v>text</v>
      </c>
      <c r="H31" s="26"/>
      <c r="I31" s="10"/>
      <c r="J31" s="11" t="s">
        <v>3314</v>
      </c>
      <c r="M31" s="4"/>
      <c r="N31" s="76"/>
      <c r="O31" s="76"/>
      <c r="P31" s="76" t="str">
        <f t="shared" si="14"/>
        <v>,ikosaki</v>
      </c>
      <c r="Q31" s="76" t="str">
        <f t="shared" si="15"/>
        <v>TEXT</v>
      </c>
      <c r="R31" s="76" t="str">
        <f t="shared" si="16"/>
        <v/>
      </c>
      <c r="S31" s="76" t="str">
        <f t="shared" si="17"/>
        <v/>
      </c>
      <c r="T31" s="76" t="str">
        <f t="shared" si="18"/>
        <v>-- 移行先</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milscm_2023_010.azn_202310_backup_mt_iyakuhin.ikosaki IS '移行先';</v>
      </c>
    </row>
    <row r="32" spans="1:45" s="25" customFormat="1">
      <c r="A32" s="4"/>
      <c r="B32" s="21">
        <f t="shared" si="2"/>
        <v>20</v>
      </c>
      <c r="C32" s="6" t="s">
        <v>3307</v>
      </c>
      <c r="D32" s="6" t="s">
        <v>3308</v>
      </c>
      <c r="E32" s="8"/>
      <c r="F32" s="7" t="s">
        <v>316</v>
      </c>
      <c r="G32" s="7" t="str">
        <f t="shared" si="13"/>
        <v>text</v>
      </c>
      <c r="H32" s="26"/>
      <c r="I32" s="10" t="s">
        <v>127</v>
      </c>
      <c r="J32" s="11" t="s">
        <v>3315</v>
      </c>
      <c r="M32" s="4"/>
      <c r="N32" s="76"/>
      <c r="O32" s="76"/>
      <c r="P32" s="76" t="str">
        <f t="shared" si="14"/>
        <v>,nen</v>
      </c>
      <c r="Q32" s="76" t="str">
        <f t="shared" si="15"/>
        <v>TEXT</v>
      </c>
      <c r="R32" s="76" t="str">
        <f t="shared" si="16"/>
        <v/>
      </c>
      <c r="S32" s="76" t="str">
        <f t="shared" si="17"/>
        <v>NOT NULL</v>
      </c>
      <c r="T32" s="76" t="str">
        <f t="shared" si="18"/>
        <v>-- 年</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milscm_2023_010.azn_202310_backup_mt_iyakuhin.nen IS '年';</v>
      </c>
    </row>
    <row r="33" spans="1:52" s="25" customFormat="1">
      <c r="A33" s="4"/>
      <c r="B33" s="21">
        <f t="shared" si="2"/>
        <v>21</v>
      </c>
      <c r="C33" s="6" t="s">
        <v>3309</v>
      </c>
      <c r="D33" s="6" t="s">
        <v>3310</v>
      </c>
      <c r="E33" s="8"/>
      <c r="F33" s="7" t="s">
        <v>316</v>
      </c>
      <c r="G33" s="7" t="str">
        <f t="shared" ref="G33" si="19">IF(F33="フラグ","boolean",IF(F33="文字列","text",IF(F33="整数","integer",IF(F33="実数","numeric",""))))</f>
        <v>text</v>
      </c>
      <c r="H33" s="26"/>
      <c r="I33" s="10" t="s">
        <v>127</v>
      </c>
      <c r="J33" s="11" t="s">
        <v>3316</v>
      </c>
      <c r="M33" s="4"/>
      <c r="N33" s="76"/>
      <c r="O33" s="76"/>
      <c r="P33" s="76" t="str">
        <f t="shared" ref="P33" si="20">IF(B33&lt;&gt;1,","&amp;D33,D33)</f>
        <v>,nengetsu</v>
      </c>
      <c r="Q33" s="76" t="str">
        <f t="shared" ref="Q33" si="21">UPPER(G33)</f>
        <v>TEXT</v>
      </c>
      <c r="R33" s="76" t="str">
        <f t="shared" ref="R33" si="22">IF(H33&lt;&gt;"","default "&amp;IF(G33="text","'"&amp;H33&amp;"'",H33),"")</f>
        <v/>
      </c>
      <c r="S33" s="76" t="str">
        <f t="shared" ref="S33" si="23">IF(I33="○","NOT NULL","")</f>
        <v>NOT NULL</v>
      </c>
      <c r="T33" s="76" t="str">
        <f t="shared" ref="T33" si="24">"-- "&amp;C33</f>
        <v>-- 年月</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milscm_2023_010.azn_202310_backup_mt_iyakuhin.nengetsu IS '年月';</v>
      </c>
    </row>
    <row r="34" spans="1:52" s="25" customFormat="1" ht="19.5" thickBot="1">
      <c r="A34" s="4"/>
      <c r="B34" s="27">
        <f>ROW()-12</f>
        <v>22</v>
      </c>
      <c r="C34" s="57" t="s">
        <v>3311</v>
      </c>
      <c r="D34" s="57" t="s">
        <v>1879</v>
      </c>
      <c r="E34" s="56"/>
      <c r="F34" s="56" t="s">
        <v>316</v>
      </c>
      <c r="G34" s="56" t="str">
        <f t="shared" si="3"/>
        <v>text</v>
      </c>
      <c r="H34" s="59"/>
      <c r="I34" s="60" t="s">
        <v>127</v>
      </c>
      <c r="J34" s="63" t="s">
        <v>2397</v>
      </c>
      <c r="N34" s="76"/>
      <c r="O34" s="76"/>
      <c r="P34" s="76" t="str">
        <f t="shared" si="4"/>
        <v>,update_ymd</v>
      </c>
      <c r="Q34" s="76" t="str">
        <f t="shared" si="0"/>
        <v>TEXT</v>
      </c>
      <c r="R34" s="76" t="str">
        <f t="shared" si="1"/>
        <v/>
      </c>
      <c r="S34" s="76" t="str">
        <f t="shared" si="5"/>
        <v>NOT NULL</v>
      </c>
      <c r="T34" s="76" t="str">
        <f t="shared" si="6"/>
        <v>-- データ登録日</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milscm_2023_010.azn_202310_backup_mt_iyakuhin.update_ymd IS 'データ登録日';</v>
      </c>
    </row>
    <row r="35" spans="1:52">
      <c r="L35" s="25"/>
      <c r="M35" s="25"/>
      <c r="N35" s="76" t="s">
        <v>142</v>
      </c>
      <c r="O35" s="76"/>
      <c r="P35" s="76"/>
      <c r="Q35" s="76"/>
      <c r="R35" s="76"/>
      <c r="S35" s="76"/>
      <c r="T35" s="76"/>
      <c r="V35" s="25"/>
      <c r="W35" s="25"/>
      <c r="X35" s="25"/>
      <c r="Y35" s="25"/>
      <c r="Z35" s="25"/>
      <c r="AJ35" s="76" t="s">
        <v>142</v>
      </c>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V50" s="25"/>
      <c r="AW50" s="25"/>
      <c r="AX50" s="25"/>
      <c r="AY50" s="25"/>
      <c r="AZ50" s="25"/>
    </row>
    <row r="51" spans="12:52">
      <c r="M51" s="25"/>
    </row>
    <row r="52" spans="12:52">
      <c r="M52" s="25"/>
    </row>
    <row r="53" spans="12:52">
      <c r="M53" s="25"/>
    </row>
    <row r="54" spans="12:52">
      <c r="M54" s="25"/>
    </row>
    <row r="55" spans="12:52">
      <c r="M55" s="25"/>
    </row>
    <row r="56" spans="12:52">
      <c r="M5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ENT_01_A3-19</v>
      </c>
      <c r="E6" s="272"/>
      <c r="F6" s="272"/>
      <c r="G6" s="272"/>
      <c r="H6" s="272"/>
      <c r="I6" s="272"/>
      <c r="J6" s="273"/>
    </row>
    <row r="7" spans="1:45">
      <c r="B7" s="261" t="s">
        <v>115</v>
      </c>
      <c r="C7" s="262"/>
      <c r="D7" s="263" t="s">
        <v>3317</v>
      </c>
      <c r="E7" s="264"/>
      <c r="F7" s="264"/>
      <c r="G7" s="264"/>
      <c r="H7" s="264"/>
      <c r="I7" s="264"/>
      <c r="J7" s="265"/>
    </row>
    <row r="8" spans="1:45">
      <c r="B8" s="261" t="s">
        <v>116</v>
      </c>
      <c r="C8" s="262"/>
      <c r="D8" s="263" t="str">
        <f>エンティティ一覧!AE2&amp;"_"&amp;D5&amp;"_mt_iyakuhin_brand"</f>
        <v>azn_202310_backup_mt_iyakuhin_brand</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医薬品ブランドマスタテーブルから組入れ条件の第一条件で絞り込んだ結果を格納するテーブル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milscm_2023_010.azn_202310_backup_mt_iyakuhin_brand;</v>
      </c>
      <c r="O10" s="76"/>
      <c r="P10" s="76"/>
      <c r="Q10" s="76"/>
      <c r="R10" s="76"/>
      <c r="S10" s="76"/>
      <c r="T10" s="76"/>
      <c r="AJ10" s="76" t="str">
        <f>"ALTER TABLE ONLY "&amp;エンティティ一覧!$O$2&amp;"."&amp;D$8</f>
        <v>ALTER TABLE ONLY milscm_2023_010.azn_202310_backup_mt_iyakuhin_brand</v>
      </c>
      <c r="AS10" s="76" t="str">
        <f>"ALTER TABLE "&amp;エンティティ一覧!$O$2&amp;"."&amp;D$8&amp;" OWNER TO pgmisgrp1;"</f>
        <v>ALTER TABLE milscm_2023_010.azn_202310_backup_mt_iyakuhin_brand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milscm_2023_010.azn_202310_backup_mt_iyakuhin_brand</v>
      </c>
      <c r="O11" s="76"/>
      <c r="P11" s="76"/>
      <c r="Q11" s="76"/>
      <c r="R11" s="76"/>
      <c r="S11" s="76"/>
      <c r="T11" s="76"/>
      <c r="AJ11" s="76" t="str">
        <f>"ADD CONSTRAINT "&amp;D$8&amp;"_pkey PRIMARY KEY"</f>
        <v>ADD CONSTRAINT azn_202310_backup_mt_iyakuhin_brand_pkey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milscm_2023_010.azn_202310_backup_mt_iyakuhin_brand IS 'バックアップ_医薬品ブランドマスタ';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20" si="0">UPPER(G13)</f>
        <v>TEXT</v>
      </c>
      <c r="R13" s="76" t="str">
        <f t="shared" ref="R13:R20"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milscm_2023_010.azn_202310_backup_mt_iyakuhin_brand.sekoubi IS '施行日';</v>
      </c>
    </row>
    <row r="14" spans="1:45" s="25" customFormat="1">
      <c r="A14" s="4"/>
      <c r="B14" s="21">
        <f t="shared" ref="B14:B19" si="2">ROW()-12</f>
        <v>2</v>
      </c>
      <c r="C14" s="6" t="s">
        <v>3288</v>
      </c>
      <c r="D14" s="6" t="s">
        <v>2045</v>
      </c>
      <c r="E14" s="8" t="s">
        <v>127</v>
      </c>
      <c r="F14" s="7" t="s">
        <v>316</v>
      </c>
      <c r="G14" s="7" t="str">
        <f t="shared" ref="G14:G20" si="3">IF(F14="フラグ","boolean",IF(F14="文字列","text",IF(F14="整数","integer",IF(F14="実数","numeric",""))))</f>
        <v>text</v>
      </c>
      <c r="H14" s="26"/>
      <c r="I14" s="10" t="s">
        <v>127</v>
      </c>
      <c r="J14" s="11" t="s">
        <v>3313</v>
      </c>
      <c r="M14" s="4"/>
      <c r="N14" s="76"/>
      <c r="O14" s="76"/>
      <c r="P14" s="76" t="str">
        <f t="shared" ref="P14:P20" si="4">IF(B14&lt;&gt;1,","&amp;D14,D14)</f>
        <v>,koshin_kubun</v>
      </c>
      <c r="Q14" s="76" t="str">
        <f t="shared" si="0"/>
        <v>TEXT</v>
      </c>
      <c r="R14" s="76" t="str">
        <f t="shared" si="1"/>
        <v/>
      </c>
      <c r="S14" s="76" t="str">
        <f t="shared" ref="S14:S20" si="5">IF(I14="○","NOT NULL","")</f>
        <v>NOT NULL</v>
      </c>
      <c r="T14" s="76" t="str">
        <f t="shared" ref="T14:T20"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milscm_2023_010.azn_202310_backup_mt_iyakuhin_brand.koshin_kubun IS '更新区分';</v>
      </c>
    </row>
    <row r="15" spans="1:45" s="25" customFormat="1">
      <c r="A15" s="4"/>
      <c r="B15" s="21">
        <f t="shared" si="2"/>
        <v>3</v>
      </c>
      <c r="C15" s="6" t="s">
        <v>2546</v>
      </c>
      <c r="D15" s="6" t="s">
        <v>3299</v>
      </c>
      <c r="E15" s="8" t="s">
        <v>127</v>
      </c>
      <c r="F15" s="7" t="s">
        <v>316</v>
      </c>
      <c r="G15" s="7" t="str">
        <f t="shared" si="3"/>
        <v>text</v>
      </c>
      <c r="H15" s="26"/>
      <c r="I15" s="10" t="s">
        <v>127</v>
      </c>
      <c r="J15" s="11"/>
      <c r="M15" s="4"/>
      <c r="N15" s="76"/>
      <c r="O15" s="76"/>
      <c r="P15" s="76" t="str">
        <f t="shared" si="4"/>
        <v>,iyakuhin_brand_code</v>
      </c>
      <c r="Q15" s="76" t="str">
        <f t="shared" si="0"/>
        <v>TEXT</v>
      </c>
      <c r="R15" s="76" t="str">
        <f t="shared" si="1"/>
        <v/>
      </c>
      <c r="S15" s="76" t="str">
        <f t="shared" si="5"/>
        <v>NOT NULL</v>
      </c>
      <c r="T15" s="76" t="str">
        <f t="shared" si="6"/>
        <v>-- 医薬品ブランドコード</v>
      </c>
      <c r="U15" s="4"/>
      <c r="AA15" s="4"/>
      <c r="AB15" s="4"/>
      <c r="AC15" s="4"/>
      <c r="AD15" s="4"/>
      <c r="AE15" s="4"/>
      <c r="AF15" s="4"/>
      <c r="AG15" s="4"/>
      <c r="AH15" s="4"/>
      <c r="AI15" s="4"/>
      <c r="AJ15" s="76" t="str">
        <f>IF(E15="○",IF(COUNTA(E$13:E15)=1,"",",")&amp;D15,"")</f>
        <v>,iyakuhin_brand_code</v>
      </c>
      <c r="AK15" s="4"/>
      <c r="AL15" s="4"/>
      <c r="AM15" s="4"/>
      <c r="AN15" s="4"/>
      <c r="AO15" s="4"/>
      <c r="AP15" s="4"/>
      <c r="AQ15" s="4"/>
      <c r="AR15" s="4"/>
      <c r="AS15" s="76" t="str">
        <f>"COMMENT ON COLUMN "&amp;エンティティ一覧!$O$2&amp;"."&amp;D$8&amp;"."&amp;D15&amp;" IS '"&amp;C15&amp;"';"</f>
        <v>COMMENT ON COLUMN milscm_2023_010.azn_202310_backup_mt_iyakuhin_brand.iyakuhin_brand_code IS '医薬品ブランドコード';</v>
      </c>
    </row>
    <row r="16" spans="1:45" s="25" customFormat="1">
      <c r="A16" s="4"/>
      <c r="B16" s="21">
        <f t="shared" si="2"/>
        <v>4</v>
      </c>
      <c r="C16" s="6" t="s">
        <v>2564</v>
      </c>
      <c r="D16" s="6" t="s">
        <v>3318</v>
      </c>
      <c r="E16" s="8"/>
      <c r="F16" s="7" t="s">
        <v>316</v>
      </c>
      <c r="G16" s="7" t="str">
        <f t="shared" si="3"/>
        <v>text</v>
      </c>
      <c r="H16" s="26"/>
      <c r="I16" s="10" t="s">
        <v>127</v>
      </c>
      <c r="J16" s="11"/>
      <c r="M16" s="4"/>
      <c r="N16" s="76"/>
      <c r="O16" s="76"/>
      <c r="P16" s="76" t="str">
        <f t="shared" si="4"/>
        <v>,iyakuhin_brand_name</v>
      </c>
      <c r="Q16" s="76" t="str">
        <f t="shared" si="0"/>
        <v>TEXT</v>
      </c>
      <c r="R16" s="76" t="str">
        <f t="shared" si="1"/>
        <v/>
      </c>
      <c r="S16" s="76" t="str">
        <f t="shared" si="5"/>
        <v>NOT NULL</v>
      </c>
      <c r="T16" s="76" t="str">
        <f t="shared" si="6"/>
        <v>-- 医薬品ブランド名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milscm_2023_010.azn_202310_backup_mt_iyakuhin_brand.iyakuhin_brand_name IS '医薬品ブランド名';</v>
      </c>
    </row>
    <row r="17" spans="1:52" s="25" customFormat="1">
      <c r="A17" s="4"/>
      <c r="B17" s="21">
        <f t="shared" si="2"/>
        <v>5</v>
      </c>
      <c r="C17" s="6" t="s">
        <v>3319</v>
      </c>
      <c r="D17" s="6" t="s">
        <v>2565</v>
      </c>
      <c r="E17" s="8"/>
      <c r="F17" s="7" t="s">
        <v>316</v>
      </c>
      <c r="G17" s="7" t="str">
        <f t="shared" si="3"/>
        <v>text</v>
      </c>
      <c r="H17" s="26"/>
      <c r="I17" s="10" t="s">
        <v>127</v>
      </c>
      <c r="J17" s="11"/>
      <c r="M17" s="4"/>
      <c r="N17" s="76"/>
      <c r="O17" s="76"/>
      <c r="P17" s="76" t="str">
        <f t="shared" si="4"/>
        <v>,iyakuhin_brand_jpn_name</v>
      </c>
      <c r="Q17" s="76" t="str">
        <f t="shared" si="0"/>
        <v>TEXT</v>
      </c>
      <c r="R17" s="76" t="str">
        <f t="shared" si="1"/>
        <v/>
      </c>
      <c r="S17" s="76" t="str">
        <f t="shared" si="5"/>
        <v>NOT NULL</v>
      </c>
      <c r="T17" s="76" t="str">
        <f t="shared" si="6"/>
        <v>-- 医薬品ブランド日本語名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milscm_2023_010.azn_202310_backup_mt_iyakuhin_brand.iyakuhin_brand_jpn_name IS '医薬品ブランド日本語名';</v>
      </c>
    </row>
    <row r="18" spans="1:52" s="25" customFormat="1">
      <c r="A18" s="4"/>
      <c r="B18" s="21">
        <f t="shared" si="2"/>
        <v>6</v>
      </c>
      <c r="C18" s="6" t="s">
        <v>3307</v>
      </c>
      <c r="D18" s="6" t="s">
        <v>3308</v>
      </c>
      <c r="E18" s="8"/>
      <c r="F18" s="7" t="s">
        <v>316</v>
      </c>
      <c r="G18" s="7" t="str">
        <f t="shared" si="3"/>
        <v>text</v>
      </c>
      <c r="H18" s="26"/>
      <c r="I18" s="10" t="s">
        <v>127</v>
      </c>
      <c r="J18" s="11" t="s">
        <v>3315</v>
      </c>
      <c r="M18" s="4"/>
      <c r="N18" s="76"/>
      <c r="O18" s="76"/>
      <c r="P18" s="76" t="str">
        <f t="shared" si="4"/>
        <v>,nen</v>
      </c>
      <c r="Q18" s="76" t="str">
        <f t="shared" si="0"/>
        <v>TEXT</v>
      </c>
      <c r="R18" s="76" t="str">
        <f t="shared" si="1"/>
        <v/>
      </c>
      <c r="S18" s="76" t="str">
        <f t="shared" si="5"/>
        <v>NOT NULL</v>
      </c>
      <c r="T18" s="76" t="str">
        <f t="shared" si="6"/>
        <v>-- 年</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milscm_2023_010.azn_202310_backup_mt_iyakuhin_brand.nen IS '年';</v>
      </c>
    </row>
    <row r="19" spans="1:52" s="25" customFormat="1">
      <c r="A19" s="4"/>
      <c r="B19" s="21">
        <f t="shared" si="2"/>
        <v>7</v>
      </c>
      <c r="C19" s="6" t="s">
        <v>3309</v>
      </c>
      <c r="D19" s="6" t="s">
        <v>3310</v>
      </c>
      <c r="E19" s="8"/>
      <c r="F19" s="7" t="s">
        <v>316</v>
      </c>
      <c r="G19" s="7" t="str">
        <f t="shared" si="3"/>
        <v>text</v>
      </c>
      <c r="H19" s="26"/>
      <c r="I19" s="10" t="s">
        <v>127</v>
      </c>
      <c r="J19" s="11" t="s">
        <v>3316</v>
      </c>
      <c r="M19" s="4"/>
      <c r="N19" s="76"/>
      <c r="O19" s="76"/>
      <c r="P19" s="76" t="str">
        <f t="shared" si="4"/>
        <v>,nengetsu</v>
      </c>
      <c r="Q19" s="76" t="str">
        <f t="shared" si="0"/>
        <v>TEXT</v>
      </c>
      <c r="R19" s="76" t="str">
        <f t="shared" si="1"/>
        <v/>
      </c>
      <c r="S19" s="76" t="str">
        <f t="shared" si="5"/>
        <v>NOT NULL</v>
      </c>
      <c r="T19" s="76" t="str">
        <f t="shared" si="6"/>
        <v>-- 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milscm_2023_010.azn_202310_backup_mt_iyakuhin_brand.nengetsu IS '年月';</v>
      </c>
    </row>
    <row r="20" spans="1:52" s="25" customFormat="1" ht="19.5" thickBot="1">
      <c r="A20" s="4"/>
      <c r="B20" s="27">
        <f>ROW()-12</f>
        <v>8</v>
      </c>
      <c r="C20" s="57" t="s">
        <v>3311</v>
      </c>
      <c r="D20" s="57" t="s">
        <v>1879</v>
      </c>
      <c r="E20" s="56"/>
      <c r="F20" s="56" t="s">
        <v>316</v>
      </c>
      <c r="G20" s="56" t="str">
        <f t="shared" si="3"/>
        <v>text</v>
      </c>
      <c r="H20" s="59"/>
      <c r="I20" s="60" t="s">
        <v>127</v>
      </c>
      <c r="J20" s="63" t="s">
        <v>2397</v>
      </c>
      <c r="N20" s="76"/>
      <c r="O20" s="76"/>
      <c r="P20" s="76" t="str">
        <f t="shared" si="4"/>
        <v>,update_ymd</v>
      </c>
      <c r="Q20" s="76" t="str">
        <f t="shared" si="0"/>
        <v>TEXT</v>
      </c>
      <c r="R20" s="76" t="str">
        <f t="shared" si="1"/>
        <v/>
      </c>
      <c r="S20" s="76" t="str">
        <f t="shared" si="5"/>
        <v>NOT NULL</v>
      </c>
      <c r="T20" s="76" t="str">
        <f t="shared" si="6"/>
        <v>-- データ登録日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milscm_2023_010.azn_202310_backup_mt_iyakuhin_brand.update_ymd IS 'データ登録日';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ENT_01_A3-20</v>
      </c>
      <c r="E6" s="272"/>
      <c r="F6" s="272"/>
      <c r="G6" s="272"/>
      <c r="H6" s="272"/>
      <c r="I6" s="272"/>
      <c r="J6" s="273"/>
    </row>
    <row r="7" spans="1:45">
      <c r="B7" s="261" t="s">
        <v>115</v>
      </c>
      <c r="C7" s="262"/>
      <c r="D7" s="263" t="s">
        <v>3320</v>
      </c>
      <c r="E7" s="264"/>
      <c r="F7" s="264"/>
      <c r="G7" s="264"/>
      <c r="H7" s="264"/>
      <c r="I7" s="264"/>
      <c r="J7" s="265"/>
    </row>
    <row r="8" spans="1:45">
      <c r="B8" s="261" t="s">
        <v>116</v>
      </c>
      <c r="C8" s="262"/>
      <c r="D8" s="263" t="str">
        <f>エンティティ一覧!AE2&amp;"_"&amp;D5&amp;"_mt_iyakuhin_ippan_name"</f>
        <v>azn_202310_backup_mt_iyakuhin_ippan_name</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医薬品一般名マスタテーブルから組入れ条件の第一条件で絞り込んだ結果を格納するテーブル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milscm_2023_010.azn_202310_backup_mt_iyakuhin_ippan_name;</v>
      </c>
      <c r="O10" s="76"/>
      <c r="P10" s="76"/>
      <c r="Q10" s="76"/>
      <c r="R10" s="76"/>
      <c r="S10" s="76"/>
      <c r="T10" s="76"/>
      <c r="AJ10" s="76" t="str">
        <f>"ALTER TABLE ONLY "&amp;エンティティ一覧!$O$2&amp;"."&amp;D$8</f>
        <v>ALTER TABLE ONLY milscm_2023_010.azn_202310_backup_mt_iyakuhin_ippan_name</v>
      </c>
      <c r="AS10" s="76" t="str">
        <f>"ALTER TABLE "&amp;エンティティ一覧!$O$2&amp;"."&amp;D$8&amp;" OWNER TO pgmisgrp1;"</f>
        <v>ALTER TABLE milscm_2023_010.azn_202310_backup_mt_iyakuhin_ippan_name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milscm_2023_010.azn_202310_backup_mt_iyakuhin_ippan_name</v>
      </c>
      <c r="O11" s="76"/>
      <c r="P11" s="76"/>
      <c r="Q11" s="76"/>
      <c r="R11" s="76"/>
      <c r="S11" s="76"/>
      <c r="T11" s="76"/>
      <c r="AJ11" s="76" t="str">
        <f>"ADD CONSTRAINT "&amp;D$8&amp;"_pkey PRIMARY KEY"</f>
        <v>ADD CONSTRAINT azn_202310_backup_mt_iyakuhin_ippan_name_pkey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milscm_2023_010.azn_202310_backup_mt_iyakuhin_ippan_name IS 'バックアップ_医薬品一般名マスタ';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20" si="0">UPPER(G13)</f>
        <v>TEXT</v>
      </c>
      <c r="R13" s="76" t="str">
        <f t="shared" ref="R13:R20"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milscm_2023_010.azn_202310_backup_mt_iyakuhin_ippan_name.sekoubi IS '施行日';</v>
      </c>
    </row>
    <row r="14" spans="1:45" s="25" customFormat="1">
      <c r="A14" s="4"/>
      <c r="B14" s="21">
        <f t="shared" ref="B14:B19" si="2">ROW()-12</f>
        <v>2</v>
      </c>
      <c r="C14" s="6" t="s">
        <v>3288</v>
      </c>
      <c r="D14" s="6" t="s">
        <v>2045</v>
      </c>
      <c r="E14" s="8" t="s">
        <v>127</v>
      </c>
      <c r="F14" s="7" t="s">
        <v>316</v>
      </c>
      <c r="G14" s="7" t="str">
        <f t="shared" ref="G14:G20" si="3">IF(F14="フラグ","boolean",IF(F14="文字列","text",IF(F14="整数","integer",IF(F14="実数","numeric",""))))</f>
        <v>text</v>
      </c>
      <c r="H14" s="26"/>
      <c r="I14" s="10" t="s">
        <v>127</v>
      </c>
      <c r="J14" s="11" t="s">
        <v>3313</v>
      </c>
      <c r="M14" s="4"/>
      <c r="N14" s="76"/>
      <c r="O14" s="76"/>
      <c r="P14" s="76" t="str">
        <f t="shared" ref="P14:P20" si="4">IF(B14&lt;&gt;1,","&amp;D14,D14)</f>
        <v>,koshin_kubun</v>
      </c>
      <c r="Q14" s="76" t="str">
        <f t="shared" si="0"/>
        <v>TEXT</v>
      </c>
      <c r="R14" s="76" t="str">
        <f t="shared" si="1"/>
        <v/>
      </c>
      <c r="S14" s="76" t="str">
        <f t="shared" ref="S14:S20" si="5">IF(I14="○","NOT NULL","")</f>
        <v>NOT NULL</v>
      </c>
      <c r="T14" s="76" t="str">
        <f t="shared" ref="T14:T20"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milscm_2023_010.azn_202310_backup_mt_iyakuhin_ippan_name.koshin_kubun IS '更新区分';</v>
      </c>
    </row>
    <row r="15" spans="1:45" s="25" customFormat="1" ht="31.5">
      <c r="A15" s="4"/>
      <c r="B15" s="21">
        <f t="shared" si="2"/>
        <v>3</v>
      </c>
      <c r="C15" s="6" t="s">
        <v>2548</v>
      </c>
      <c r="D15" s="6" t="s">
        <v>3300</v>
      </c>
      <c r="E15" s="8" t="s">
        <v>127</v>
      </c>
      <c r="F15" s="7" t="s">
        <v>316</v>
      </c>
      <c r="G15" s="7" t="str">
        <f t="shared" si="3"/>
        <v>text</v>
      </c>
      <c r="H15" s="26"/>
      <c r="I15" s="10" t="s">
        <v>127</v>
      </c>
      <c r="J15" s="11"/>
      <c r="M15" s="4"/>
      <c r="N15" s="76"/>
      <c r="O15" s="76"/>
      <c r="P15" s="76" t="str">
        <f t="shared" si="4"/>
        <v>,iyakuhin_ippan_name_code</v>
      </c>
      <c r="Q15" s="76" t="str">
        <f t="shared" si="0"/>
        <v>TEXT</v>
      </c>
      <c r="R15" s="76" t="str">
        <f t="shared" si="1"/>
        <v/>
      </c>
      <c r="S15" s="76" t="str">
        <f t="shared" si="5"/>
        <v>NOT NULL</v>
      </c>
      <c r="T15" s="76" t="str">
        <f t="shared" si="6"/>
        <v>-- 医薬品一般名コード</v>
      </c>
      <c r="U15" s="4"/>
      <c r="AA15" s="4"/>
      <c r="AB15" s="4"/>
      <c r="AC15" s="4"/>
      <c r="AD15" s="4"/>
      <c r="AE15" s="4"/>
      <c r="AF15" s="4"/>
      <c r="AG15" s="4"/>
      <c r="AH15" s="4"/>
      <c r="AI15" s="4"/>
      <c r="AJ15" s="76" t="str">
        <f>IF(E15="○",IF(COUNTA(E$13:E15)=1,"",",")&amp;D15,"")</f>
        <v>,iyakuhin_ippan_name_code</v>
      </c>
      <c r="AK15" s="4"/>
      <c r="AL15" s="4"/>
      <c r="AM15" s="4"/>
      <c r="AN15" s="4"/>
      <c r="AO15" s="4"/>
      <c r="AP15" s="4"/>
      <c r="AQ15" s="4"/>
      <c r="AR15" s="4"/>
      <c r="AS15" s="76" t="str">
        <f>"COMMENT ON COLUMN "&amp;エンティティ一覧!$O$2&amp;"."&amp;D$8&amp;"."&amp;D15&amp;" IS '"&amp;C15&amp;"';"</f>
        <v>COMMENT ON COLUMN milscm_2023_010.azn_202310_backup_mt_iyakuhin_ippan_name.iyakuhin_ippan_name_code IS '医薬品一般名コード';</v>
      </c>
    </row>
    <row r="16" spans="1:45" s="25" customFormat="1">
      <c r="A16" s="4"/>
      <c r="B16" s="21">
        <f t="shared" si="2"/>
        <v>4</v>
      </c>
      <c r="C16" s="6" t="s">
        <v>2566</v>
      </c>
      <c r="D16" s="6" t="s">
        <v>2110</v>
      </c>
      <c r="E16" s="8"/>
      <c r="F16" s="7" t="s">
        <v>316</v>
      </c>
      <c r="G16" s="7" t="str">
        <f t="shared" si="3"/>
        <v>text</v>
      </c>
      <c r="H16" s="26"/>
      <c r="I16" s="10" t="s">
        <v>127</v>
      </c>
      <c r="J16" s="11"/>
      <c r="M16" s="4"/>
      <c r="N16" s="76"/>
      <c r="O16" s="76"/>
      <c r="P16" s="76" t="str">
        <f t="shared" si="4"/>
        <v>,iyakuhin_ippan_name</v>
      </c>
      <c r="Q16" s="76" t="str">
        <f t="shared" si="0"/>
        <v>TEXT</v>
      </c>
      <c r="R16" s="76" t="str">
        <f t="shared" si="1"/>
        <v/>
      </c>
      <c r="S16" s="76" t="str">
        <f t="shared" si="5"/>
        <v>NOT NULL</v>
      </c>
      <c r="T16" s="76" t="str">
        <f t="shared" si="6"/>
        <v>-- 医薬品一般名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milscm_2023_010.azn_202310_backup_mt_iyakuhin_ippan_name.iyakuhin_ippan_name IS '医薬品一般名';</v>
      </c>
    </row>
    <row r="17" spans="1:52" s="25" customFormat="1" ht="31.5">
      <c r="A17" s="4"/>
      <c r="B17" s="21">
        <f t="shared" si="2"/>
        <v>5</v>
      </c>
      <c r="C17" s="6" t="s">
        <v>2567</v>
      </c>
      <c r="D17" s="6" t="s">
        <v>3321</v>
      </c>
      <c r="E17" s="8"/>
      <c r="F17" s="7" t="s">
        <v>316</v>
      </c>
      <c r="G17" s="7" t="str">
        <f t="shared" si="3"/>
        <v>text</v>
      </c>
      <c r="H17" s="26"/>
      <c r="I17" s="10" t="s">
        <v>127</v>
      </c>
      <c r="J17" s="11"/>
      <c r="M17" s="4"/>
      <c r="N17" s="76"/>
      <c r="O17" s="76"/>
      <c r="P17" s="76" t="str">
        <f t="shared" si="4"/>
        <v>,iyakuhin_ippan_englishname</v>
      </c>
      <c r="Q17" s="76" t="str">
        <f t="shared" si="0"/>
        <v>TEXT</v>
      </c>
      <c r="R17" s="76" t="str">
        <f t="shared" si="1"/>
        <v/>
      </c>
      <c r="S17" s="76" t="str">
        <f t="shared" si="5"/>
        <v>NOT NULL</v>
      </c>
      <c r="T17" s="76" t="str">
        <f t="shared" si="6"/>
        <v>-- 医薬品一般名英名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milscm_2023_010.azn_202310_backup_mt_iyakuhin_ippan_name.iyakuhin_ippan_englishname IS '医薬品一般名英名';</v>
      </c>
    </row>
    <row r="18" spans="1:52" s="25" customFormat="1">
      <c r="A18" s="4"/>
      <c r="B18" s="21">
        <f t="shared" si="2"/>
        <v>6</v>
      </c>
      <c r="C18" s="6" t="s">
        <v>3307</v>
      </c>
      <c r="D18" s="6" t="s">
        <v>3308</v>
      </c>
      <c r="E18" s="8"/>
      <c r="F18" s="7" t="s">
        <v>316</v>
      </c>
      <c r="G18" s="7" t="str">
        <f t="shared" si="3"/>
        <v>text</v>
      </c>
      <c r="H18" s="26"/>
      <c r="I18" s="10" t="s">
        <v>127</v>
      </c>
      <c r="J18" s="11" t="s">
        <v>3315</v>
      </c>
      <c r="M18" s="4"/>
      <c r="N18" s="76"/>
      <c r="O18" s="76"/>
      <c r="P18" s="76" t="str">
        <f t="shared" si="4"/>
        <v>,nen</v>
      </c>
      <c r="Q18" s="76" t="str">
        <f t="shared" si="0"/>
        <v>TEXT</v>
      </c>
      <c r="R18" s="76" t="str">
        <f t="shared" si="1"/>
        <v/>
      </c>
      <c r="S18" s="76" t="str">
        <f t="shared" si="5"/>
        <v>NOT NULL</v>
      </c>
      <c r="T18" s="76" t="str">
        <f t="shared" si="6"/>
        <v>-- 年</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milscm_2023_010.azn_202310_backup_mt_iyakuhin_ippan_name.nen IS '年';</v>
      </c>
    </row>
    <row r="19" spans="1:52" s="25" customFormat="1">
      <c r="A19" s="4"/>
      <c r="B19" s="21">
        <f t="shared" si="2"/>
        <v>7</v>
      </c>
      <c r="C19" s="6" t="s">
        <v>3309</v>
      </c>
      <c r="D19" s="6" t="s">
        <v>3310</v>
      </c>
      <c r="E19" s="8"/>
      <c r="F19" s="7" t="s">
        <v>316</v>
      </c>
      <c r="G19" s="7" t="str">
        <f t="shared" si="3"/>
        <v>text</v>
      </c>
      <c r="H19" s="26"/>
      <c r="I19" s="10" t="s">
        <v>127</v>
      </c>
      <c r="J19" s="11" t="s">
        <v>3316</v>
      </c>
      <c r="M19" s="4"/>
      <c r="N19" s="76"/>
      <c r="O19" s="76"/>
      <c r="P19" s="76" t="str">
        <f t="shared" si="4"/>
        <v>,nengetsu</v>
      </c>
      <c r="Q19" s="76" t="str">
        <f t="shared" si="0"/>
        <v>TEXT</v>
      </c>
      <c r="R19" s="76" t="str">
        <f t="shared" si="1"/>
        <v/>
      </c>
      <c r="S19" s="76" t="str">
        <f t="shared" si="5"/>
        <v>NOT NULL</v>
      </c>
      <c r="T19" s="76" t="str">
        <f t="shared" si="6"/>
        <v>-- 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milscm_2023_010.azn_202310_backup_mt_iyakuhin_ippan_name.nengetsu IS '年月';</v>
      </c>
    </row>
    <row r="20" spans="1:52" s="25" customFormat="1" ht="19.5" thickBot="1">
      <c r="A20" s="4"/>
      <c r="B20" s="27">
        <f>ROW()-12</f>
        <v>8</v>
      </c>
      <c r="C20" s="57" t="s">
        <v>3311</v>
      </c>
      <c r="D20" s="57" t="s">
        <v>1879</v>
      </c>
      <c r="E20" s="56"/>
      <c r="F20" s="56" t="s">
        <v>316</v>
      </c>
      <c r="G20" s="56" t="str">
        <f t="shared" si="3"/>
        <v>text</v>
      </c>
      <c r="H20" s="59"/>
      <c r="I20" s="60" t="s">
        <v>127</v>
      </c>
      <c r="J20" s="63" t="s">
        <v>2397</v>
      </c>
      <c r="N20" s="76"/>
      <c r="O20" s="76"/>
      <c r="P20" s="76" t="str">
        <f t="shared" si="4"/>
        <v>,update_ymd</v>
      </c>
      <c r="Q20" s="76" t="str">
        <f t="shared" si="0"/>
        <v>TEXT</v>
      </c>
      <c r="R20" s="76" t="str">
        <f t="shared" si="1"/>
        <v/>
      </c>
      <c r="S20" s="76" t="str">
        <f t="shared" si="5"/>
        <v>NOT NULL</v>
      </c>
      <c r="T20" s="76" t="str">
        <f t="shared" si="6"/>
        <v>-- データ登録日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milscm_2023_010.azn_202310_backup_mt_iyakuhin_ippan_name.update_ymd IS 'データ登録日';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ENT_01_A3-21</v>
      </c>
      <c r="E6" s="272"/>
      <c r="F6" s="272"/>
      <c r="G6" s="272"/>
      <c r="H6" s="272"/>
      <c r="I6" s="272"/>
      <c r="J6" s="273"/>
    </row>
    <row r="7" spans="1:45">
      <c r="B7" s="261" t="s">
        <v>115</v>
      </c>
      <c r="C7" s="262"/>
      <c r="D7" s="263" t="s">
        <v>3322</v>
      </c>
      <c r="E7" s="264"/>
      <c r="F7" s="264"/>
      <c r="G7" s="264"/>
      <c r="H7" s="264"/>
      <c r="I7" s="264"/>
      <c r="J7" s="265"/>
    </row>
    <row r="8" spans="1:45">
      <c r="B8" s="261" t="s">
        <v>116</v>
      </c>
      <c r="C8" s="262"/>
      <c r="D8" s="263" t="str">
        <f>エンティティ一覧!AE2&amp;"_"&amp;D5&amp;"_mt_iyakuhin_sales_kaisha"</f>
        <v>azn_202310_backup_mt_iyakuhin_sales_kaisha</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医薬品販売会社マスタテーブルから組入れ条件の第一条件で絞り込んだ結果を格納するテーブル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milscm_2023_010.azn_202310_backup_mt_iyakuhin_sales_kaisha;</v>
      </c>
      <c r="O10" s="76"/>
      <c r="P10" s="76"/>
      <c r="Q10" s="76"/>
      <c r="R10" s="76"/>
      <c r="S10" s="76"/>
      <c r="T10" s="76"/>
      <c r="AJ10" s="76" t="str">
        <f>"ALTER TABLE ONLY "&amp;エンティティ一覧!$O$2&amp;"."&amp;D$8</f>
        <v>ALTER TABLE ONLY milscm_2023_010.azn_202310_backup_mt_iyakuhin_sales_kaisha</v>
      </c>
      <c r="AS10" s="76" t="str">
        <f>"ALTER TABLE "&amp;エンティティ一覧!$O$2&amp;"."&amp;D$8&amp;" OWNER TO pgmisgrp1;"</f>
        <v>ALTER TABLE milscm_2023_010.azn_202310_backup_mt_iyakuhin_sales_kaisha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milscm_2023_010.azn_202310_backup_mt_iyakuhin_sales_kaisha</v>
      </c>
      <c r="O11" s="76"/>
      <c r="P11" s="76"/>
      <c r="Q11" s="76"/>
      <c r="R11" s="76"/>
      <c r="S11" s="76"/>
      <c r="T11" s="76"/>
      <c r="AJ11" s="76" t="str">
        <f>"ADD CONSTRAINT "&amp;D$8&amp;"_pkey PRIMARY KEY"</f>
        <v>ADD CONSTRAINT azn_202310_backup_mt_iyakuhin_sales_kaisha_pkey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milscm_2023_010.azn_202310_backup_mt_iyakuhin_sales_kaisha IS 'バックアップ_医薬品販売会社マスタ';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19" si="0">UPPER(G13)</f>
        <v>TEXT</v>
      </c>
      <c r="R13" s="76" t="str">
        <f t="shared" ref="R13:R19"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milscm_2023_010.azn_202310_backup_mt_iyakuhin_sales_kaisha.sekoubi IS '施行日';</v>
      </c>
    </row>
    <row r="14" spans="1:45" s="25" customFormat="1">
      <c r="A14" s="4"/>
      <c r="B14" s="21">
        <f t="shared" ref="B14:B18" si="2">ROW()-12</f>
        <v>2</v>
      </c>
      <c r="C14" s="6" t="s">
        <v>3288</v>
      </c>
      <c r="D14" s="6" t="s">
        <v>2045</v>
      </c>
      <c r="E14" s="8" t="s">
        <v>127</v>
      </c>
      <c r="F14" s="7" t="s">
        <v>316</v>
      </c>
      <c r="G14" s="7" t="str">
        <f t="shared" ref="G14:G19" si="3">IF(F14="フラグ","boolean",IF(F14="文字列","text",IF(F14="整数","integer",IF(F14="実数","numeric",""))))</f>
        <v>text</v>
      </c>
      <c r="H14" s="26"/>
      <c r="I14" s="10" t="s">
        <v>127</v>
      </c>
      <c r="J14" s="11" t="s">
        <v>3313</v>
      </c>
      <c r="M14" s="4"/>
      <c r="N14" s="76"/>
      <c r="O14" s="76"/>
      <c r="P14" s="76" t="str">
        <f t="shared" ref="P14:P19" si="4">IF(B14&lt;&gt;1,","&amp;D14,D14)</f>
        <v>,koshin_kubun</v>
      </c>
      <c r="Q14" s="76" t="str">
        <f t="shared" si="0"/>
        <v>TEXT</v>
      </c>
      <c r="R14" s="76" t="str">
        <f t="shared" si="1"/>
        <v/>
      </c>
      <c r="S14" s="76" t="str">
        <f t="shared" ref="S14:S19" si="5">IF(I14="○","NOT NULL","")</f>
        <v>NOT NULL</v>
      </c>
      <c r="T14" s="76" t="str">
        <f t="shared" ref="T14:T19"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milscm_2023_010.azn_202310_backup_mt_iyakuhin_sales_kaisha.koshin_kubun IS '更新区分';</v>
      </c>
    </row>
    <row r="15" spans="1:45" s="25" customFormat="1">
      <c r="A15" s="4"/>
      <c r="B15" s="21">
        <f t="shared" si="2"/>
        <v>3</v>
      </c>
      <c r="C15" s="6" t="s">
        <v>1155</v>
      </c>
      <c r="D15" s="6" t="s">
        <v>1156</v>
      </c>
      <c r="E15" s="8" t="s">
        <v>127</v>
      </c>
      <c r="F15" s="7" t="s">
        <v>316</v>
      </c>
      <c r="G15" s="7" t="str">
        <f t="shared" si="3"/>
        <v>text</v>
      </c>
      <c r="H15" s="26"/>
      <c r="I15" s="10" t="s">
        <v>127</v>
      </c>
      <c r="J15" s="11"/>
      <c r="M15" s="4"/>
      <c r="N15" s="76"/>
      <c r="O15" s="76"/>
      <c r="P15" s="76" t="str">
        <f t="shared" si="4"/>
        <v>,iyakuhin_code</v>
      </c>
      <c r="Q15" s="76" t="str">
        <f t="shared" si="0"/>
        <v>TEXT</v>
      </c>
      <c r="R15" s="76" t="str">
        <f t="shared" si="1"/>
        <v/>
      </c>
      <c r="S15" s="76" t="str">
        <f t="shared" si="5"/>
        <v>NOT NULL</v>
      </c>
      <c r="T15" s="76" t="str">
        <f t="shared" si="6"/>
        <v>-- 医薬品コード</v>
      </c>
      <c r="U15" s="4"/>
      <c r="AA15" s="4"/>
      <c r="AB15" s="4"/>
      <c r="AC15" s="4"/>
      <c r="AD15" s="4"/>
      <c r="AE15" s="4"/>
      <c r="AF15" s="4"/>
      <c r="AG15" s="4"/>
      <c r="AH15" s="4"/>
      <c r="AI15" s="4"/>
      <c r="AJ15" s="76" t="str">
        <f>IF(E15="○",IF(COUNTA(E$13:E15)=1,"",",")&amp;D15,"")</f>
        <v>,iyakuhin_code</v>
      </c>
      <c r="AK15" s="4"/>
      <c r="AL15" s="4"/>
      <c r="AM15" s="4"/>
      <c r="AN15" s="4"/>
      <c r="AO15" s="4"/>
      <c r="AP15" s="4"/>
      <c r="AQ15" s="4"/>
      <c r="AR15" s="4"/>
      <c r="AS15" s="76" t="str">
        <f>"COMMENT ON COLUMN "&amp;エンティティ一覧!$O$2&amp;"."&amp;D$8&amp;"."&amp;D15&amp;" IS '"&amp;C15&amp;"';"</f>
        <v>COMMENT ON COLUMN milscm_2023_010.azn_202310_backup_mt_iyakuhin_sales_kaisha.iyakuhin_code IS '医薬品コード';</v>
      </c>
    </row>
    <row r="16" spans="1:45" s="25" customFormat="1">
      <c r="A16" s="4"/>
      <c r="B16" s="21">
        <f t="shared" si="2"/>
        <v>4</v>
      </c>
      <c r="C16" s="6" t="s">
        <v>3323</v>
      </c>
      <c r="D16" s="6" t="s">
        <v>3324</v>
      </c>
      <c r="E16" s="8" t="s">
        <v>127</v>
      </c>
      <c r="F16" s="7" t="s">
        <v>316</v>
      </c>
      <c r="G16" s="7" t="str">
        <f t="shared" si="3"/>
        <v>text</v>
      </c>
      <c r="H16" s="26"/>
      <c r="I16" s="10" t="s">
        <v>127</v>
      </c>
      <c r="J16" s="11"/>
      <c r="M16" s="4"/>
      <c r="N16" s="76"/>
      <c r="O16" s="76"/>
      <c r="P16" s="76" t="str">
        <f t="shared" si="4"/>
        <v>,maker_code</v>
      </c>
      <c r="Q16" s="76" t="str">
        <f t="shared" si="0"/>
        <v>TEXT</v>
      </c>
      <c r="R16" s="76" t="str">
        <f t="shared" si="1"/>
        <v/>
      </c>
      <c r="S16" s="76" t="str">
        <f t="shared" si="5"/>
        <v>NOT NULL</v>
      </c>
      <c r="T16" s="76" t="str">
        <f t="shared" si="6"/>
        <v>-- メーカコード</v>
      </c>
      <c r="U16" s="4"/>
      <c r="AA16" s="4"/>
      <c r="AB16" s="4"/>
      <c r="AC16" s="4"/>
      <c r="AD16" s="4"/>
      <c r="AE16" s="4"/>
      <c r="AF16" s="4"/>
      <c r="AG16" s="4"/>
      <c r="AH16" s="4"/>
      <c r="AI16" s="4"/>
      <c r="AJ16" s="76" t="str">
        <f>IF(E16="○",IF(COUNTA(E$13:E16)=1,"",",")&amp;D16,"")</f>
        <v>,maker_code</v>
      </c>
      <c r="AK16" s="4"/>
      <c r="AL16" s="4"/>
      <c r="AM16" s="4"/>
      <c r="AN16" s="4"/>
      <c r="AO16" s="4"/>
      <c r="AP16" s="4"/>
      <c r="AQ16" s="4"/>
      <c r="AR16" s="4"/>
      <c r="AS16" s="76" t="str">
        <f>"COMMENT ON COLUMN "&amp;エンティティ一覧!$O$2&amp;"."&amp;D$8&amp;"."&amp;D16&amp;" IS '"&amp;C16&amp;"';"</f>
        <v>COMMENT ON COLUMN milscm_2023_010.azn_202310_backup_mt_iyakuhin_sales_kaisha.maker_code IS 'メーカコード';</v>
      </c>
    </row>
    <row r="17" spans="1:52" s="25" customFormat="1">
      <c r="A17" s="4"/>
      <c r="B17" s="21">
        <f t="shared" si="2"/>
        <v>5</v>
      </c>
      <c r="C17" s="6" t="s">
        <v>3307</v>
      </c>
      <c r="D17" s="6" t="s">
        <v>3308</v>
      </c>
      <c r="E17" s="8"/>
      <c r="F17" s="7" t="s">
        <v>316</v>
      </c>
      <c r="G17" s="7" t="str">
        <f t="shared" si="3"/>
        <v>text</v>
      </c>
      <c r="H17" s="26"/>
      <c r="I17" s="10" t="s">
        <v>127</v>
      </c>
      <c r="J17" s="11" t="s">
        <v>3315</v>
      </c>
      <c r="M17" s="4"/>
      <c r="N17" s="76"/>
      <c r="O17" s="76"/>
      <c r="P17" s="76" t="str">
        <f t="shared" si="4"/>
        <v>,nen</v>
      </c>
      <c r="Q17" s="76" t="str">
        <f t="shared" si="0"/>
        <v>TEXT</v>
      </c>
      <c r="R17" s="76" t="str">
        <f t="shared" si="1"/>
        <v/>
      </c>
      <c r="S17" s="76" t="str">
        <f t="shared" si="5"/>
        <v>NOT NULL</v>
      </c>
      <c r="T17" s="76" t="str">
        <f t="shared" si="6"/>
        <v>-- 年</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milscm_2023_010.azn_202310_backup_mt_iyakuhin_sales_kaisha.nen IS '年';</v>
      </c>
    </row>
    <row r="18" spans="1:52" s="25" customFormat="1">
      <c r="A18" s="4"/>
      <c r="B18" s="21">
        <f t="shared" si="2"/>
        <v>6</v>
      </c>
      <c r="C18" s="6" t="s">
        <v>3309</v>
      </c>
      <c r="D18" s="6" t="s">
        <v>3310</v>
      </c>
      <c r="E18" s="8"/>
      <c r="F18" s="7" t="s">
        <v>316</v>
      </c>
      <c r="G18" s="7" t="str">
        <f t="shared" si="3"/>
        <v>text</v>
      </c>
      <c r="H18" s="26"/>
      <c r="I18" s="10" t="s">
        <v>127</v>
      </c>
      <c r="J18" s="11" t="s">
        <v>3316</v>
      </c>
      <c r="M18" s="4"/>
      <c r="N18" s="76"/>
      <c r="O18" s="76"/>
      <c r="P18" s="76" t="str">
        <f t="shared" si="4"/>
        <v>,nengetsu</v>
      </c>
      <c r="Q18" s="76" t="str">
        <f t="shared" si="0"/>
        <v>TEXT</v>
      </c>
      <c r="R18" s="76" t="str">
        <f t="shared" si="1"/>
        <v/>
      </c>
      <c r="S18" s="76" t="str">
        <f t="shared" si="5"/>
        <v>NOT NULL</v>
      </c>
      <c r="T18" s="76" t="str">
        <f t="shared" si="6"/>
        <v>-- 年月</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milscm_2023_010.azn_202310_backup_mt_iyakuhin_sales_kaisha.nengetsu IS '年月';</v>
      </c>
    </row>
    <row r="19" spans="1:52" s="25" customFormat="1" ht="19.5" thickBot="1">
      <c r="A19" s="4"/>
      <c r="B19" s="27">
        <f>ROW()-12</f>
        <v>7</v>
      </c>
      <c r="C19" s="57" t="s">
        <v>3311</v>
      </c>
      <c r="D19" s="57" t="s">
        <v>1879</v>
      </c>
      <c r="E19" s="56"/>
      <c r="F19" s="56" t="s">
        <v>316</v>
      </c>
      <c r="G19" s="56" t="str">
        <f t="shared" si="3"/>
        <v>text</v>
      </c>
      <c r="H19" s="59"/>
      <c r="I19" s="60" t="s">
        <v>127</v>
      </c>
      <c r="J19" s="63" t="s">
        <v>2397</v>
      </c>
      <c r="N19" s="76"/>
      <c r="O19" s="76"/>
      <c r="P19" s="76" t="str">
        <f t="shared" si="4"/>
        <v>,update_ymd</v>
      </c>
      <c r="Q19" s="76" t="str">
        <f t="shared" si="0"/>
        <v>TEXT</v>
      </c>
      <c r="R19" s="76" t="str">
        <f t="shared" si="1"/>
        <v/>
      </c>
      <c r="S19" s="76" t="str">
        <f t="shared" si="5"/>
        <v>NOT NULL</v>
      </c>
      <c r="T19" s="76" t="str">
        <f t="shared" si="6"/>
        <v>-- データ登録日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milscm_2023_010.azn_202310_backup_mt_iyakuhin_sales_kaisha.update_ymd IS 'データ登録日';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ENT_01_A3-22</v>
      </c>
      <c r="E6" s="272"/>
      <c r="F6" s="272"/>
      <c r="G6" s="272"/>
      <c r="H6" s="272"/>
      <c r="I6" s="272"/>
      <c r="J6" s="273"/>
    </row>
    <row r="7" spans="1:45">
      <c r="B7" s="261" t="s">
        <v>115</v>
      </c>
      <c r="C7" s="262"/>
      <c r="D7" s="263" t="s">
        <v>3243</v>
      </c>
      <c r="E7" s="264"/>
      <c r="F7" s="264"/>
      <c r="G7" s="264"/>
      <c r="H7" s="264"/>
      <c r="I7" s="264"/>
      <c r="J7" s="265"/>
    </row>
    <row r="8" spans="1:45">
      <c r="B8" s="261" t="s">
        <v>116</v>
      </c>
      <c r="C8" s="262"/>
      <c r="D8" s="263" t="str">
        <f>エンティティ一覧!AE2&amp;"_"&amp;D5&amp;"_mt_maker"</f>
        <v>azn_202310_backup_mt_maker</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メーカマスタテーブルから組入れ条件の第一条件で絞り込んだ結果を格納するテーブル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milscm_2023_010.azn_202310_backup_mt_maker;</v>
      </c>
      <c r="O10" s="76"/>
      <c r="P10" s="76"/>
      <c r="Q10" s="76"/>
      <c r="R10" s="76"/>
      <c r="S10" s="76"/>
      <c r="T10" s="76"/>
      <c r="AJ10" s="76" t="str">
        <f>"ALTER TABLE ONLY "&amp;エンティティ一覧!$O$2&amp;"."&amp;D$8</f>
        <v>ALTER TABLE ONLY milscm_2023_010.azn_202310_backup_mt_maker</v>
      </c>
      <c r="AS10" s="76" t="str">
        <f>"ALTER TABLE "&amp;エンティティ一覧!$O$2&amp;"."&amp;D$8&amp;" OWNER TO pgmisgrp1;"</f>
        <v>ALTER TABLE milscm_2023_010.azn_202310_backup_mt_maker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milscm_2023_010.azn_202310_backup_mt_maker</v>
      </c>
      <c r="O11" s="76"/>
      <c r="P11" s="76"/>
      <c r="Q11" s="76"/>
      <c r="R11" s="76"/>
      <c r="S11" s="76"/>
      <c r="T11" s="76"/>
      <c r="AJ11" s="76" t="str">
        <f>"ADD CONSTRAINT "&amp;D$8&amp;"_pkey PRIMARY KEY"</f>
        <v>ADD CONSTRAINT azn_202310_backup_mt_maker_pkey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milscm_2023_010.azn_202310_backup_mt_maker IS 'バックアップ_メーカマスタ';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19" si="0">UPPER(G13)</f>
        <v>TEXT</v>
      </c>
      <c r="R13" s="76" t="str">
        <f t="shared" ref="R13:R19"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milscm_2023_010.azn_202310_backup_mt_maker.sekoubi IS '施行日';</v>
      </c>
    </row>
    <row r="14" spans="1:45" s="25" customFormat="1">
      <c r="A14" s="4"/>
      <c r="B14" s="21">
        <f t="shared" ref="B14:B18" si="2">ROW()-12</f>
        <v>2</v>
      </c>
      <c r="C14" s="6" t="s">
        <v>3288</v>
      </c>
      <c r="D14" s="6" t="s">
        <v>2045</v>
      </c>
      <c r="E14" s="8" t="s">
        <v>127</v>
      </c>
      <c r="F14" s="7" t="s">
        <v>316</v>
      </c>
      <c r="G14" s="7" t="str">
        <f t="shared" ref="G14:G19" si="3">IF(F14="フラグ","boolean",IF(F14="文字列","text",IF(F14="整数","integer",IF(F14="実数","numeric",""))))</f>
        <v>text</v>
      </c>
      <c r="H14" s="26"/>
      <c r="I14" s="10" t="s">
        <v>127</v>
      </c>
      <c r="J14" s="11" t="s">
        <v>3313</v>
      </c>
      <c r="M14" s="4"/>
      <c r="N14" s="76"/>
      <c r="O14" s="76"/>
      <c r="P14" s="76" t="str">
        <f t="shared" ref="P14:P19" si="4">IF(B14&lt;&gt;1,","&amp;D14,D14)</f>
        <v>,koshin_kubun</v>
      </c>
      <c r="Q14" s="76" t="str">
        <f t="shared" si="0"/>
        <v>TEXT</v>
      </c>
      <c r="R14" s="76" t="str">
        <f t="shared" si="1"/>
        <v/>
      </c>
      <c r="S14" s="76" t="str">
        <f t="shared" ref="S14:S19" si="5">IF(I14="○","NOT NULL","")</f>
        <v>NOT NULL</v>
      </c>
      <c r="T14" s="76" t="str">
        <f t="shared" ref="T14:T19"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milscm_2023_010.azn_202310_backup_mt_maker.koshin_kubun IS '更新区分';</v>
      </c>
    </row>
    <row r="15" spans="1:45" s="25" customFormat="1">
      <c r="A15" s="4"/>
      <c r="B15" s="21">
        <f t="shared" si="2"/>
        <v>3</v>
      </c>
      <c r="C15" s="6" t="s">
        <v>3323</v>
      </c>
      <c r="D15" s="6" t="s">
        <v>3324</v>
      </c>
      <c r="E15" s="8" t="s">
        <v>127</v>
      </c>
      <c r="F15" s="7" t="s">
        <v>316</v>
      </c>
      <c r="G15" s="7" t="str">
        <f t="shared" si="3"/>
        <v>text</v>
      </c>
      <c r="H15" s="26"/>
      <c r="I15" s="10" t="s">
        <v>127</v>
      </c>
      <c r="J15" s="11"/>
      <c r="M15" s="4"/>
      <c r="N15" s="76"/>
      <c r="O15" s="76"/>
      <c r="P15" s="76" t="str">
        <f t="shared" si="4"/>
        <v>,maker_code</v>
      </c>
      <c r="Q15" s="76" t="str">
        <f t="shared" si="0"/>
        <v>TEXT</v>
      </c>
      <c r="R15" s="76" t="str">
        <f t="shared" si="1"/>
        <v/>
      </c>
      <c r="S15" s="76" t="str">
        <f t="shared" si="5"/>
        <v>NOT NULL</v>
      </c>
      <c r="T15" s="76" t="str">
        <f t="shared" si="6"/>
        <v>-- メーカコード</v>
      </c>
      <c r="U15" s="4"/>
      <c r="AA15" s="4"/>
      <c r="AB15" s="4"/>
      <c r="AC15" s="4"/>
      <c r="AD15" s="4"/>
      <c r="AE15" s="4"/>
      <c r="AF15" s="4"/>
      <c r="AG15" s="4"/>
      <c r="AH15" s="4"/>
      <c r="AI15" s="4"/>
      <c r="AJ15" s="76" t="str">
        <f>IF(E15="○",IF(COUNTA(E$13:E15)=1,"",",")&amp;D15,"")</f>
        <v>,maker_code</v>
      </c>
      <c r="AK15" s="4"/>
      <c r="AL15" s="4"/>
      <c r="AM15" s="4"/>
      <c r="AN15" s="4"/>
      <c r="AO15" s="4"/>
      <c r="AP15" s="4"/>
      <c r="AQ15" s="4"/>
      <c r="AR15" s="4"/>
      <c r="AS15" s="76" t="str">
        <f>"COMMENT ON COLUMN "&amp;エンティティ一覧!$O$2&amp;"."&amp;D$8&amp;"."&amp;D15&amp;" IS '"&amp;C15&amp;"';"</f>
        <v>COMMENT ON COLUMN milscm_2023_010.azn_202310_backup_mt_maker.maker_code IS 'メーカコード';</v>
      </c>
    </row>
    <row r="16" spans="1:45" s="25" customFormat="1">
      <c r="A16" s="4"/>
      <c r="B16" s="21">
        <f t="shared" si="2"/>
        <v>4</v>
      </c>
      <c r="C16" s="6" t="s">
        <v>3325</v>
      </c>
      <c r="D16" s="6" t="s">
        <v>3326</v>
      </c>
      <c r="E16" s="8"/>
      <c r="F16" s="7" t="s">
        <v>316</v>
      </c>
      <c r="G16" s="7" t="str">
        <f t="shared" si="3"/>
        <v>text</v>
      </c>
      <c r="H16" s="26"/>
      <c r="I16" s="10" t="s">
        <v>127</v>
      </c>
      <c r="J16" s="11"/>
      <c r="M16" s="4"/>
      <c r="N16" s="76"/>
      <c r="O16" s="76"/>
      <c r="P16" s="76" t="str">
        <f t="shared" si="4"/>
        <v>,maker_name</v>
      </c>
      <c r="Q16" s="76" t="str">
        <f t="shared" si="0"/>
        <v>TEXT</v>
      </c>
      <c r="R16" s="76" t="str">
        <f t="shared" si="1"/>
        <v/>
      </c>
      <c r="S16" s="76" t="str">
        <f t="shared" si="5"/>
        <v>NOT NULL</v>
      </c>
      <c r="T16" s="76" t="str">
        <f t="shared" si="6"/>
        <v>-- メーカ名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milscm_2023_010.azn_202310_backup_mt_maker.maker_name IS 'メーカ名';</v>
      </c>
    </row>
    <row r="17" spans="1:52" s="25" customFormat="1">
      <c r="A17" s="4"/>
      <c r="B17" s="21">
        <f t="shared" si="2"/>
        <v>5</v>
      </c>
      <c r="C17" s="6" t="s">
        <v>3307</v>
      </c>
      <c r="D17" s="6" t="s">
        <v>3308</v>
      </c>
      <c r="E17" s="8"/>
      <c r="F17" s="7" t="s">
        <v>316</v>
      </c>
      <c r="G17" s="7" t="str">
        <f t="shared" si="3"/>
        <v>text</v>
      </c>
      <c r="H17" s="26"/>
      <c r="I17" s="10" t="s">
        <v>127</v>
      </c>
      <c r="J17" s="11" t="s">
        <v>3315</v>
      </c>
      <c r="M17" s="4"/>
      <c r="N17" s="76"/>
      <c r="O17" s="76"/>
      <c r="P17" s="76" t="str">
        <f t="shared" si="4"/>
        <v>,nen</v>
      </c>
      <c r="Q17" s="76" t="str">
        <f t="shared" si="0"/>
        <v>TEXT</v>
      </c>
      <c r="R17" s="76" t="str">
        <f t="shared" si="1"/>
        <v/>
      </c>
      <c r="S17" s="76" t="str">
        <f t="shared" si="5"/>
        <v>NOT NULL</v>
      </c>
      <c r="T17" s="76" t="str">
        <f t="shared" si="6"/>
        <v>-- 年</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milscm_2023_010.azn_202310_backup_mt_maker.nen IS '年';</v>
      </c>
    </row>
    <row r="18" spans="1:52" s="25" customFormat="1">
      <c r="A18" s="4"/>
      <c r="B18" s="21">
        <f t="shared" si="2"/>
        <v>6</v>
      </c>
      <c r="C18" s="6" t="s">
        <v>3309</v>
      </c>
      <c r="D18" s="6" t="s">
        <v>3310</v>
      </c>
      <c r="E18" s="8"/>
      <c r="F18" s="7" t="s">
        <v>316</v>
      </c>
      <c r="G18" s="7" t="str">
        <f t="shared" si="3"/>
        <v>text</v>
      </c>
      <c r="H18" s="26"/>
      <c r="I18" s="10" t="s">
        <v>127</v>
      </c>
      <c r="J18" s="11" t="s">
        <v>3316</v>
      </c>
      <c r="M18" s="4"/>
      <c r="N18" s="76"/>
      <c r="O18" s="76"/>
      <c r="P18" s="76" t="str">
        <f t="shared" si="4"/>
        <v>,nengetsu</v>
      </c>
      <c r="Q18" s="76" t="str">
        <f t="shared" si="0"/>
        <v>TEXT</v>
      </c>
      <c r="R18" s="76" t="str">
        <f t="shared" si="1"/>
        <v/>
      </c>
      <c r="S18" s="76" t="str">
        <f t="shared" si="5"/>
        <v>NOT NULL</v>
      </c>
      <c r="T18" s="76" t="str">
        <f t="shared" si="6"/>
        <v>-- 年月</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milscm_2023_010.azn_202310_backup_mt_maker.nengetsu IS '年月';</v>
      </c>
    </row>
    <row r="19" spans="1:52" s="25" customFormat="1" ht="19.5" thickBot="1">
      <c r="A19" s="4"/>
      <c r="B19" s="27">
        <f>ROW()-12</f>
        <v>7</v>
      </c>
      <c r="C19" s="57" t="s">
        <v>3311</v>
      </c>
      <c r="D19" s="57" t="s">
        <v>1879</v>
      </c>
      <c r="E19" s="56"/>
      <c r="F19" s="56" t="s">
        <v>316</v>
      </c>
      <c r="G19" s="56" t="str">
        <f t="shared" si="3"/>
        <v>text</v>
      </c>
      <c r="H19" s="59"/>
      <c r="I19" s="60" t="s">
        <v>127</v>
      </c>
      <c r="J19" s="63" t="s">
        <v>2397</v>
      </c>
      <c r="N19" s="76"/>
      <c r="O19" s="76"/>
      <c r="P19" s="76" t="str">
        <f t="shared" si="4"/>
        <v>,update_ymd</v>
      </c>
      <c r="Q19" s="76" t="str">
        <f t="shared" si="0"/>
        <v>TEXT</v>
      </c>
      <c r="R19" s="76" t="str">
        <f t="shared" si="1"/>
        <v/>
      </c>
      <c r="S19" s="76" t="str">
        <f t="shared" si="5"/>
        <v>NOT NULL</v>
      </c>
      <c r="T19" s="76" t="str">
        <f t="shared" si="6"/>
        <v>-- データ登録日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milscm_2023_010.azn_202310_backup_mt_maker.update_ymd IS 'データ登録日';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ENT_01_A3-23</v>
      </c>
      <c r="E6" s="272"/>
      <c r="F6" s="272"/>
      <c r="G6" s="272"/>
      <c r="H6" s="272"/>
      <c r="I6" s="272"/>
      <c r="J6" s="273"/>
    </row>
    <row r="7" spans="1:45">
      <c r="B7" s="261" t="s">
        <v>115</v>
      </c>
      <c r="C7" s="262"/>
      <c r="D7" s="263" t="s">
        <v>3327</v>
      </c>
      <c r="E7" s="264"/>
      <c r="F7" s="264"/>
      <c r="G7" s="264"/>
      <c r="H7" s="264"/>
      <c r="I7" s="264"/>
      <c r="J7" s="265"/>
    </row>
    <row r="8" spans="1:45">
      <c r="B8" s="261" t="s">
        <v>116</v>
      </c>
      <c r="C8" s="262"/>
      <c r="D8" s="263" t="str">
        <f>エンティティ一覧!AE2&amp;"_"&amp;D5&amp;"_mt_price"</f>
        <v>azn_202310_backup_mt_price</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薬価マスタテーブルから組入れ条件の第一条件で絞り込んだ結果を格納するテーブル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milscm_2023_010.azn_202310_backup_mt_price;</v>
      </c>
      <c r="O10" s="76"/>
      <c r="P10" s="76"/>
      <c r="Q10" s="76"/>
      <c r="R10" s="76"/>
      <c r="S10" s="76"/>
      <c r="T10" s="76"/>
      <c r="AJ10" s="76" t="str">
        <f>"ALTER TABLE ONLY "&amp;エンティティ一覧!$O$2&amp;"."&amp;D$8</f>
        <v>ALTER TABLE ONLY milscm_2023_010.azn_202310_backup_mt_price</v>
      </c>
      <c r="AS10" s="76" t="str">
        <f>"ALTER TABLE "&amp;エンティティ一覧!$O$2&amp;"."&amp;D$8&amp;" OWNER TO pgmisgrp1;"</f>
        <v>ALTER TABLE milscm_2023_010.azn_202310_backup_mt_price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milscm_2023_010.azn_202310_backup_mt_price</v>
      </c>
      <c r="O11" s="76"/>
      <c r="P11" s="76"/>
      <c r="Q11" s="76"/>
      <c r="R11" s="76"/>
      <c r="S11" s="76"/>
      <c r="T11" s="76"/>
      <c r="AJ11" s="76" t="str">
        <f>"ADD CONSTRAINT "&amp;D$8&amp;"_pkey PRIMARY KEY"</f>
        <v>ADD CONSTRAINT azn_202310_backup_mt_price_pkey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milscm_2023_010.azn_202310_backup_mt_price IS 'バックアップ_薬価マスタ';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20" si="0">UPPER(G13)</f>
        <v>TEXT</v>
      </c>
      <c r="R13" s="76" t="str">
        <f t="shared" ref="R13:R20"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milscm_2023_010.azn_202310_backup_mt_price.sekoubi IS '施行日';</v>
      </c>
    </row>
    <row r="14" spans="1:45" s="25" customFormat="1">
      <c r="A14" s="4"/>
      <c r="B14" s="21">
        <f t="shared" ref="B14:B19" si="2">ROW()-12</f>
        <v>2</v>
      </c>
      <c r="C14" s="6" t="s">
        <v>3288</v>
      </c>
      <c r="D14" s="6" t="s">
        <v>2045</v>
      </c>
      <c r="E14" s="8" t="s">
        <v>127</v>
      </c>
      <c r="F14" s="7" t="s">
        <v>316</v>
      </c>
      <c r="G14" s="7" t="str">
        <f t="shared" ref="G14:G20" si="3">IF(F14="フラグ","boolean",IF(F14="文字列","text",IF(F14="整数","integer",IF(F14="実数","numeric",""))))</f>
        <v>text</v>
      </c>
      <c r="H14" s="26"/>
      <c r="I14" s="10" t="s">
        <v>127</v>
      </c>
      <c r="J14" s="11" t="s">
        <v>3313</v>
      </c>
      <c r="M14" s="4"/>
      <c r="N14" s="76"/>
      <c r="O14" s="76"/>
      <c r="P14" s="76" t="str">
        <f t="shared" ref="P14:P20" si="4">IF(B14&lt;&gt;1,","&amp;D14,D14)</f>
        <v>,koshin_kubun</v>
      </c>
      <c r="Q14" s="76" t="str">
        <f t="shared" si="0"/>
        <v>TEXT</v>
      </c>
      <c r="R14" s="76" t="str">
        <f t="shared" si="1"/>
        <v/>
      </c>
      <c r="S14" s="76" t="str">
        <f t="shared" ref="S14:S20" si="5">IF(I14="○","NOT NULL","")</f>
        <v>NOT NULL</v>
      </c>
      <c r="T14" s="76" t="str">
        <f t="shared" ref="T14:T20"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milscm_2023_010.azn_202310_backup_mt_price.koshin_kubun IS '更新区分';</v>
      </c>
    </row>
    <row r="15" spans="1:45" s="25" customFormat="1">
      <c r="A15" s="4"/>
      <c r="B15" s="21">
        <f t="shared" si="2"/>
        <v>3</v>
      </c>
      <c r="C15" s="6" t="s">
        <v>1155</v>
      </c>
      <c r="D15" s="6" t="s">
        <v>1156</v>
      </c>
      <c r="E15" s="8" t="s">
        <v>127</v>
      </c>
      <c r="F15" s="7" t="s">
        <v>316</v>
      </c>
      <c r="G15" s="7" t="str">
        <f t="shared" si="3"/>
        <v>text</v>
      </c>
      <c r="H15" s="26"/>
      <c r="I15" s="10" t="s">
        <v>127</v>
      </c>
      <c r="J15" s="11"/>
      <c r="M15" s="4"/>
      <c r="N15" s="76"/>
      <c r="O15" s="76"/>
      <c r="P15" s="76" t="str">
        <f t="shared" si="4"/>
        <v>,iyakuhin_code</v>
      </c>
      <c r="Q15" s="76" t="str">
        <f t="shared" si="0"/>
        <v>TEXT</v>
      </c>
      <c r="R15" s="76" t="str">
        <f t="shared" si="1"/>
        <v/>
      </c>
      <c r="S15" s="76" t="str">
        <f t="shared" si="5"/>
        <v>NOT NULL</v>
      </c>
      <c r="T15" s="76" t="str">
        <f t="shared" si="6"/>
        <v>-- 医薬品コード</v>
      </c>
      <c r="U15" s="4"/>
      <c r="AA15" s="4"/>
      <c r="AB15" s="4"/>
      <c r="AC15" s="4"/>
      <c r="AD15" s="4"/>
      <c r="AE15" s="4"/>
      <c r="AF15" s="4"/>
      <c r="AG15" s="4"/>
      <c r="AH15" s="4"/>
      <c r="AI15" s="4"/>
      <c r="AJ15" s="76" t="str">
        <f>IF(E15="○",IF(COUNTA(E$13:E15)=1,"",",")&amp;D15,"")</f>
        <v>,iyakuhin_code</v>
      </c>
      <c r="AK15" s="4"/>
      <c r="AL15" s="4"/>
      <c r="AM15" s="4"/>
      <c r="AN15" s="4"/>
      <c r="AO15" s="4"/>
      <c r="AP15" s="4"/>
      <c r="AQ15" s="4"/>
      <c r="AR15" s="4"/>
      <c r="AS15" s="76" t="str">
        <f>"COMMENT ON COLUMN "&amp;エンティティ一覧!$O$2&amp;"."&amp;D$8&amp;"."&amp;D15&amp;" IS '"&amp;C15&amp;"';"</f>
        <v>COMMENT ON COLUMN milscm_2023_010.azn_202310_backup_mt_price.iyakuhin_code IS '医薬品コード';</v>
      </c>
    </row>
    <row r="16" spans="1:45" s="25" customFormat="1">
      <c r="A16" s="4"/>
      <c r="B16" s="21">
        <f t="shared" si="2"/>
        <v>4</v>
      </c>
      <c r="C16" s="6" t="s">
        <v>3328</v>
      </c>
      <c r="D16" s="6" t="s">
        <v>3329</v>
      </c>
      <c r="E16" s="8"/>
      <c r="F16" s="7" t="s">
        <v>316</v>
      </c>
      <c r="G16" s="7" t="str">
        <f t="shared" si="3"/>
        <v>text</v>
      </c>
      <c r="H16" s="26"/>
      <c r="I16" s="10" t="s">
        <v>127</v>
      </c>
      <c r="J16" s="11" t="s">
        <v>3330</v>
      </c>
      <c r="M16" s="4"/>
      <c r="N16" s="76"/>
      <c r="O16" s="76"/>
      <c r="P16" s="76" t="str">
        <f t="shared" si="4"/>
        <v>,nendo</v>
      </c>
      <c r="Q16" s="76" t="str">
        <f t="shared" si="0"/>
        <v>TEXT</v>
      </c>
      <c r="R16" s="76" t="str">
        <f t="shared" si="1"/>
        <v/>
      </c>
      <c r="S16" s="76" t="str">
        <f t="shared" si="5"/>
        <v>NOT NULL</v>
      </c>
      <c r="T16" s="76" t="str">
        <f t="shared" si="6"/>
        <v>-- 年度</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milscm_2023_010.azn_202310_backup_mt_price.nendo IS '年度';</v>
      </c>
    </row>
    <row r="17" spans="1:52" s="25" customFormat="1" ht="37.5">
      <c r="A17" s="4"/>
      <c r="B17" s="21">
        <f t="shared" si="2"/>
        <v>5</v>
      </c>
      <c r="C17" s="6" t="s">
        <v>2601</v>
      </c>
      <c r="D17" s="6" t="s">
        <v>2602</v>
      </c>
      <c r="E17" s="8"/>
      <c r="F17" s="7" t="s">
        <v>331</v>
      </c>
      <c r="G17" s="7" t="str">
        <f t="shared" si="3"/>
        <v>numeric</v>
      </c>
      <c r="H17" s="26"/>
      <c r="I17" s="10" t="s">
        <v>127</v>
      </c>
      <c r="J17" s="11" t="s">
        <v>2393</v>
      </c>
      <c r="M17" s="4"/>
      <c r="N17" s="76"/>
      <c r="O17" s="76"/>
      <c r="P17" s="76" t="str">
        <f t="shared" si="4"/>
        <v>,price</v>
      </c>
      <c r="Q17" s="76" t="str">
        <f t="shared" si="0"/>
        <v>NUMERIC</v>
      </c>
      <c r="R17" s="76" t="str">
        <f t="shared" si="1"/>
        <v/>
      </c>
      <c r="S17" s="76" t="str">
        <f t="shared" si="5"/>
        <v>NOT NULL</v>
      </c>
      <c r="T17" s="76" t="str">
        <f t="shared" si="6"/>
        <v>-- 薬価</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milscm_2023_010.azn_202310_backup_mt_price.price IS '薬価';</v>
      </c>
    </row>
    <row r="18" spans="1:52" s="25" customFormat="1">
      <c r="A18" s="4"/>
      <c r="B18" s="21">
        <f t="shared" si="2"/>
        <v>6</v>
      </c>
      <c r="C18" s="6" t="s">
        <v>3307</v>
      </c>
      <c r="D18" s="6" t="s">
        <v>3308</v>
      </c>
      <c r="E18" s="8"/>
      <c r="F18" s="7" t="s">
        <v>316</v>
      </c>
      <c r="G18" s="7" t="str">
        <f t="shared" si="3"/>
        <v>text</v>
      </c>
      <c r="H18" s="26"/>
      <c r="I18" s="10" t="s">
        <v>127</v>
      </c>
      <c r="J18" s="11" t="s">
        <v>3315</v>
      </c>
      <c r="M18" s="4"/>
      <c r="N18" s="76"/>
      <c r="O18" s="76"/>
      <c r="P18" s="76" t="str">
        <f t="shared" si="4"/>
        <v>,nen</v>
      </c>
      <c r="Q18" s="76" t="str">
        <f t="shared" si="0"/>
        <v>TEXT</v>
      </c>
      <c r="R18" s="76" t="str">
        <f t="shared" si="1"/>
        <v/>
      </c>
      <c r="S18" s="76" t="str">
        <f t="shared" si="5"/>
        <v>NOT NULL</v>
      </c>
      <c r="T18" s="76" t="str">
        <f t="shared" si="6"/>
        <v>-- 年</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milscm_2023_010.azn_202310_backup_mt_price.nen IS '年';</v>
      </c>
    </row>
    <row r="19" spans="1:52" s="25" customFormat="1">
      <c r="A19" s="4"/>
      <c r="B19" s="21">
        <f t="shared" si="2"/>
        <v>7</v>
      </c>
      <c r="C19" s="6" t="s">
        <v>3309</v>
      </c>
      <c r="D19" s="6" t="s">
        <v>3310</v>
      </c>
      <c r="E19" s="8"/>
      <c r="F19" s="7" t="s">
        <v>316</v>
      </c>
      <c r="G19" s="7" t="str">
        <f t="shared" si="3"/>
        <v>text</v>
      </c>
      <c r="H19" s="26"/>
      <c r="I19" s="10" t="s">
        <v>127</v>
      </c>
      <c r="J19" s="11" t="s">
        <v>3316</v>
      </c>
      <c r="M19" s="4"/>
      <c r="N19" s="76"/>
      <c r="O19" s="76"/>
      <c r="P19" s="76" t="str">
        <f t="shared" si="4"/>
        <v>,nengetsu</v>
      </c>
      <c r="Q19" s="76" t="str">
        <f t="shared" si="0"/>
        <v>TEXT</v>
      </c>
      <c r="R19" s="76" t="str">
        <f t="shared" si="1"/>
        <v/>
      </c>
      <c r="S19" s="76" t="str">
        <f t="shared" si="5"/>
        <v>NOT NULL</v>
      </c>
      <c r="T19" s="76" t="str">
        <f t="shared" si="6"/>
        <v>-- 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milscm_2023_010.azn_202310_backup_mt_price.nengetsu IS '年月';</v>
      </c>
    </row>
    <row r="20" spans="1:52" s="25" customFormat="1" ht="19.5" thickBot="1">
      <c r="A20" s="4"/>
      <c r="B20" s="27">
        <f>ROW()-12</f>
        <v>8</v>
      </c>
      <c r="C20" s="57" t="s">
        <v>3311</v>
      </c>
      <c r="D20" s="57" t="s">
        <v>1879</v>
      </c>
      <c r="E20" s="56"/>
      <c r="F20" s="56" t="s">
        <v>316</v>
      </c>
      <c r="G20" s="56" t="str">
        <f t="shared" si="3"/>
        <v>text</v>
      </c>
      <c r="H20" s="59"/>
      <c r="I20" s="60" t="s">
        <v>127</v>
      </c>
      <c r="J20" s="63" t="s">
        <v>2397</v>
      </c>
      <c r="N20" s="76"/>
      <c r="O20" s="76"/>
      <c r="P20" s="76" t="str">
        <f t="shared" si="4"/>
        <v>,update_ymd</v>
      </c>
      <c r="Q20" s="76" t="str">
        <f t="shared" si="0"/>
        <v>TEXT</v>
      </c>
      <c r="R20" s="76" t="str">
        <f t="shared" si="1"/>
        <v/>
      </c>
      <c r="S20" s="76" t="str">
        <f t="shared" si="5"/>
        <v>NOT NULL</v>
      </c>
      <c r="T20" s="76" t="str">
        <f t="shared" si="6"/>
        <v>-- データ登録日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milscm_2023_010.azn_202310_backup_mt_price.update_ymd IS 'データ登録日';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ENT_01_A3-24</v>
      </c>
      <c r="E6" s="272"/>
      <c r="F6" s="272"/>
      <c r="G6" s="272"/>
      <c r="H6" s="272"/>
      <c r="I6" s="272"/>
      <c r="J6" s="273"/>
    </row>
    <row r="7" spans="1:45">
      <c r="B7" s="261" t="s">
        <v>115</v>
      </c>
      <c r="C7" s="262"/>
      <c r="D7" s="263" t="s">
        <v>3245</v>
      </c>
      <c r="E7" s="264"/>
      <c r="F7" s="264"/>
      <c r="G7" s="264"/>
      <c r="H7" s="264"/>
      <c r="I7" s="264"/>
      <c r="J7" s="265"/>
    </row>
    <row r="8" spans="1:45">
      <c r="B8" s="261" t="s">
        <v>116</v>
      </c>
      <c r="C8" s="262"/>
      <c r="D8" s="263" t="str">
        <f>エンティティ一覧!AE2&amp;"_"&amp;D5&amp;"_mt_yakko_atc1"</f>
        <v>azn_202310_backup_mt_yakko_atc1</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薬効ATC分類1マスタテーブルから組入れ条件の第一条件で絞り込んだ結果を格納するテーブル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milscm_2023_010.azn_202310_backup_mt_yakko_atc1;</v>
      </c>
      <c r="O10" s="76"/>
      <c r="P10" s="76"/>
      <c r="Q10" s="76"/>
      <c r="R10" s="76"/>
      <c r="S10" s="76"/>
      <c r="T10" s="76"/>
      <c r="AJ10" s="76" t="str">
        <f>"ALTER TABLE ONLY "&amp;エンティティ一覧!$O$2&amp;"."&amp;D$8</f>
        <v>ALTER TABLE ONLY milscm_2023_010.azn_202310_backup_mt_yakko_atc1</v>
      </c>
      <c r="AS10" s="76" t="str">
        <f>"ALTER TABLE "&amp;エンティティ一覧!$O$2&amp;"."&amp;D$8&amp;" OWNER TO pgmisgrp1;"</f>
        <v>ALTER TABLE milscm_2023_010.azn_202310_backup_mt_yakko_atc1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milscm_2023_010.azn_202310_backup_mt_yakko_atc1</v>
      </c>
      <c r="O11" s="76"/>
      <c r="P11" s="76"/>
      <c r="Q11" s="76"/>
      <c r="R11" s="76"/>
      <c r="S11" s="76"/>
      <c r="T11" s="76"/>
      <c r="AJ11" s="76" t="str">
        <f>"ADD CONSTRAINT "&amp;D$8&amp;"_pkey PRIMARY KEY"</f>
        <v>ADD CONSTRAINT azn_202310_backup_mt_yakko_atc1_pkey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milscm_2023_010.azn_202310_backup_mt_yakko_atc1 IS 'バックアップ_薬効ATC分類1マスタ';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20" si="0">UPPER(G13)</f>
        <v>TEXT</v>
      </c>
      <c r="R13" s="76" t="str">
        <f t="shared" ref="R13:R20"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milscm_2023_010.azn_202310_backup_mt_yakko_atc1.sekoubi IS '施行日';</v>
      </c>
    </row>
    <row r="14" spans="1:45" s="25" customFormat="1">
      <c r="A14" s="4"/>
      <c r="B14" s="21">
        <f t="shared" ref="B14:B19" si="2">ROW()-12</f>
        <v>2</v>
      </c>
      <c r="C14" s="6" t="s">
        <v>3288</v>
      </c>
      <c r="D14" s="6" t="s">
        <v>2045</v>
      </c>
      <c r="E14" s="8" t="s">
        <v>127</v>
      </c>
      <c r="F14" s="7" t="s">
        <v>316</v>
      </c>
      <c r="G14" s="7" t="str">
        <f t="shared" ref="G14:G20" si="3">IF(F14="フラグ","boolean",IF(F14="文字列","text",IF(F14="整数","integer",IF(F14="実数","numeric",""))))</f>
        <v>text</v>
      </c>
      <c r="H14" s="26"/>
      <c r="I14" s="10" t="s">
        <v>127</v>
      </c>
      <c r="J14" s="11" t="s">
        <v>3313</v>
      </c>
      <c r="M14" s="4"/>
      <c r="N14" s="76"/>
      <c r="O14" s="76"/>
      <c r="P14" s="76" t="str">
        <f t="shared" ref="P14:P20" si="4">IF(B14&lt;&gt;1,","&amp;D14,D14)</f>
        <v>,koshin_kubun</v>
      </c>
      <c r="Q14" s="76" t="str">
        <f t="shared" si="0"/>
        <v>TEXT</v>
      </c>
      <c r="R14" s="76" t="str">
        <f t="shared" si="1"/>
        <v/>
      </c>
      <c r="S14" s="76" t="str">
        <f t="shared" ref="S14:S20" si="5">IF(I14="○","NOT NULL","")</f>
        <v>NOT NULL</v>
      </c>
      <c r="T14" s="76" t="str">
        <f t="shared" ref="T14:T20"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milscm_2023_010.azn_202310_backup_mt_yakko_atc1.koshin_kubun IS '更新区分';</v>
      </c>
    </row>
    <row r="15" spans="1:45" s="25" customFormat="1">
      <c r="A15" s="4"/>
      <c r="B15" s="21">
        <f t="shared" si="2"/>
        <v>3</v>
      </c>
      <c r="C15" s="6" t="s">
        <v>2550</v>
      </c>
      <c r="D15" s="6" t="s">
        <v>3289</v>
      </c>
      <c r="E15" s="8" t="s">
        <v>127</v>
      </c>
      <c r="F15" s="7" t="s">
        <v>316</v>
      </c>
      <c r="G15" s="7" t="str">
        <f t="shared" si="3"/>
        <v>text</v>
      </c>
      <c r="H15" s="26"/>
      <c r="I15" s="10" t="s">
        <v>127</v>
      </c>
      <c r="J15" s="11"/>
      <c r="M15" s="4"/>
      <c r="N15" s="76"/>
      <c r="O15" s="76"/>
      <c r="P15" s="76" t="str">
        <f t="shared" si="4"/>
        <v>,yakko_bunrui1_code</v>
      </c>
      <c r="Q15" s="76" t="str">
        <f t="shared" si="0"/>
        <v>TEXT</v>
      </c>
      <c r="R15" s="76" t="str">
        <f t="shared" si="1"/>
        <v/>
      </c>
      <c r="S15" s="76" t="str">
        <f t="shared" si="5"/>
        <v>NOT NULL</v>
      </c>
      <c r="T15" s="76" t="str">
        <f t="shared" si="6"/>
        <v>-- 薬効分類1コード</v>
      </c>
      <c r="U15" s="4"/>
      <c r="AA15" s="4"/>
      <c r="AB15" s="4"/>
      <c r="AC15" s="4"/>
      <c r="AD15" s="4"/>
      <c r="AE15" s="4"/>
      <c r="AF15" s="4"/>
      <c r="AG15" s="4"/>
      <c r="AH15" s="4"/>
      <c r="AI15" s="4"/>
      <c r="AJ15" s="76" t="str">
        <f>IF(E15="○",IF(COUNTA(E$13:E15)=1,"",",")&amp;D15,"")</f>
        <v>,yakko_bunrui1_code</v>
      </c>
      <c r="AK15" s="4"/>
      <c r="AL15" s="4"/>
      <c r="AM15" s="4"/>
      <c r="AN15" s="4"/>
      <c r="AO15" s="4"/>
      <c r="AP15" s="4"/>
      <c r="AQ15" s="4"/>
      <c r="AR15" s="4"/>
      <c r="AS15" s="76" t="str">
        <f>"COMMENT ON COLUMN "&amp;エンティティ一覧!$O$2&amp;"."&amp;D$8&amp;"."&amp;D15&amp;" IS '"&amp;C15&amp;"';"</f>
        <v>COMMENT ON COLUMN milscm_2023_010.azn_202310_backup_mt_yakko_atc1.yakko_bunrui1_code IS '薬効分類1コード';</v>
      </c>
    </row>
    <row r="16" spans="1:45" s="25" customFormat="1">
      <c r="A16" s="4"/>
      <c r="B16" s="21">
        <f t="shared" si="2"/>
        <v>4</v>
      </c>
      <c r="C16" s="6" t="s">
        <v>2568</v>
      </c>
      <c r="D16" s="6" t="s">
        <v>3331</v>
      </c>
      <c r="E16" s="8"/>
      <c r="F16" s="7" t="s">
        <v>316</v>
      </c>
      <c r="G16" s="7" t="str">
        <f t="shared" si="3"/>
        <v>text</v>
      </c>
      <c r="H16" s="26"/>
      <c r="I16" s="10" t="s">
        <v>127</v>
      </c>
      <c r="J16" s="11"/>
      <c r="M16" s="4"/>
      <c r="N16" s="76"/>
      <c r="O16" s="76"/>
      <c r="P16" s="76" t="str">
        <f t="shared" si="4"/>
        <v>,yakko_bunrui1_name</v>
      </c>
      <c r="Q16" s="76" t="str">
        <f t="shared" si="0"/>
        <v>TEXT</v>
      </c>
      <c r="R16" s="76" t="str">
        <f t="shared" si="1"/>
        <v/>
      </c>
      <c r="S16" s="76" t="str">
        <f t="shared" si="5"/>
        <v>NOT NULL</v>
      </c>
      <c r="T16" s="76" t="str">
        <f t="shared" si="6"/>
        <v>-- 薬効分類1名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milscm_2023_010.azn_202310_backup_mt_yakko_atc1.yakko_bunrui1_name IS '薬効分類1名';</v>
      </c>
    </row>
    <row r="17" spans="1:52" s="25" customFormat="1">
      <c r="A17" s="4"/>
      <c r="B17" s="21">
        <f t="shared" si="2"/>
        <v>5</v>
      </c>
      <c r="C17" s="6" t="s">
        <v>3332</v>
      </c>
      <c r="D17" s="6" t="s">
        <v>2569</v>
      </c>
      <c r="E17" s="8"/>
      <c r="F17" s="7" t="s">
        <v>316</v>
      </c>
      <c r="G17" s="7" t="str">
        <f t="shared" si="3"/>
        <v>text</v>
      </c>
      <c r="H17" s="26"/>
      <c r="I17" s="10" t="s">
        <v>127</v>
      </c>
      <c r="J17" s="11"/>
      <c r="M17" s="4"/>
      <c r="N17" s="76"/>
      <c r="O17" s="76"/>
      <c r="P17" s="76" t="str">
        <f t="shared" si="4"/>
        <v>,yakko_bunrui1_jpn_name</v>
      </c>
      <c r="Q17" s="76" t="str">
        <f t="shared" si="0"/>
        <v>TEXT</v>
      </c>
      <c r="R17" s="76" t="str">
        <f t="shared" si="1"/>
        <v/>
      </c>
      <c r="S17" s="76" t="str">
        <f t="shared" si="5"/>
        <v>NOT NULL</v>
      </c>
      <c r="T17" s="76" t="str">
        <f t="shared" si="6"/>
        <v>-- 薬効分類1日本語名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milscm_2023_010.azn_202310_backup_mt_yakko_atc1.yakko_bunrui1_jpn_name IS '薬効分類1日本語名';</v>
      </c>
    </row>
    <row r="18" spans="1:52" s="25" customFormat="1">
      <c r="A18" s="4"/>
      <c r="B18" s="21">
        <f t="shared" si="2"/>
        <v>6</v>
      </c>
      <c r="C18" s="6" t="s">
        <v>3307</v>
      </c>
      <c r="D18" s="6" t="s">
        <v>3308</v>
      </c>
      <c r="E18" s="8"/>
      <c r="F18" s="7" t="s">
        <v>316</v>
      </c>
      <c r="G18" s="7" t="str">
        <f t="shared" si="3"/>
        <v>text</v>
      </c>
      <c r="H18" s="26"/>
      <c r="I18" s="10" t="s">
        <v>127</v>
      </c>
      <c r="J18" s="11" t="s">
        <v>3315</v>
      </c>
      <c r="M18" s="4"/>
      <c r="N18" s="76"/>
      <c r="O18" s="76"/>
      <c r="P18" s="76" t="str">
        <f t="shared" si="4"/>
        <v>,nen</v>
      </c>
      <c r="Q18" s="76" t="str">
        <f t="shared" si="0"/>
        <v>TEXT</v>
      </c>
      <c r="R18" s="76" t="str">
        <f t="shared" si="1"/>
        <v/>
      </c>
      <c r="S18" s="76" t="str">
        <f t="shared" si="5"/>
        <v>NOT NULL</v>
      </c>
      <c r="T18" s="76" t="str">
        <f t="shared" si="6"/>
        <v>-- 年</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milscm_2023_010.azn_202310_backup_mt_yakko_atc1.nen IS '年';</v>
      </c>
    </row>
    <row r="19" spans="1:52" s="25" customFormat="1">
      <c r="A19" s="4"/>
      <c r="B19" s="21">
        <f t="shared" si="2"/>
        <v>7</v>
      </c>
      <c r="C19" s="6" t="s">
        <v>3309</v>
      </c>
      <c r="D19" s="6" t="s">
        <v>3310</v>
      </c>
      <c r="E19" s="8"/>
      <c r="F19" s="7" t="s">
        <v>316</v>
      </c>
      <c r="G19" s="7" t="str">
        <f t="shared" si="3"/>
        <v>text</v>
      </c>
      <c r="H19" s="26"/>
      <c r="I19" s="10" t="s">
        <v>127</v>
      </c>
      <c r="J19" s="11" t="s">
        <v>3316</v>
      </c>
      <c r="M19" s="4"/>
      <c r="N19" s="76"/>
      <c r="O19" s="76"/>
      <c r="P19" s="76" t="str">
        <f t="shared" si="4"/>
        <v>,nengetsu</v>
      </c>
      <c r="Q19" s="76" t="str">
        <f t="shared" si="0"/>
        <v>TEXT</v>
      </c>
      <c r="R19" s="76" t="str">
        <f t="shared" si="1"/>
        <v/>
      </c>
      <c r="S19" s="76" t="str">
        <f t="shared" si="5"/>
        <v>NOT NULL</v>
      </c>
      <c r="T19" s="76" t="str">
        <f t="shared" si="6"/>
        <v>-- 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milscm_2023_010.azn_202310_backup_mt_yakko_atc1.nengetsu IS '年月';</v>
      </c>
    </row>
    <row r="20" spans="1:52" s="25" customFormat="1" ht="19.5" thickBot="1">
      <c r="A20" s="4"/>
      <c r="B20" s="27">
        <f>ROW()-12</f>
        <v>8</v>
      </c>
      <c r="C20" s="57" t="s">
        <v>3311</v>
      </c>
      <c r="D20" s="57" t="s">
        <v>1879</v>
      </c>
      <c r="E20" s="56"/>
      <c r="F20" s="56" t="s">
        <v>316</v>
      </c>
      <c r="G20" s="56" t="str">
        <f t="shared" si="3"/>
        <v>text</v>
      </c>
      <c r="H20" s="59"/>
      <c r="I20" s="60" t="s">
        <v>127</v>
      </c>
      <c r="J20" s="63" t="s">
        <v>2397</v>
      </c>
      <c r="N20" s="76"/>
      <c r="O20" s="76"/>
      <c r="P20" s="76" t="str">
        <f t="shared" si="4"/>
        <v>,update_ymd</v>
      </c>
      <c r="Q20" s="76" t="str">
        <f t="shared" si="0"/>
        <v>TEXT</v>
      </c>
      <c r="R20" s="76" t="str">
        <f t="shared" si="1"/>
        <v/>
      </c>
      <c r="S20" s="76" t="str">
        <f t="shared" si="5"/>
        <v>NOT NULL</v>
      </c>
      <c r="T20" s="76" t="str">
        <f t="shared" si="6"/>
        <v>-- データ登録日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milscm_2023_010.azn_202310_backup_mt_yakko_atc1.update_ymd IS 'データ登録日';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ENT_01_A3-25</v>
      </c>
      <c r="E6" s="272"/>
      <c r="F6" s="272"/>
      <c r="G6" s="272"/>
      <c r="H6" s="272"/>
      <c r="I6" s="272"/>
      <c r="J6" s="273"/>
    </row>
    <row r="7" spans="1:45">
      <c r="B7" s="261" t="s">
        <v>115</v>
      </c>
      <c r="C7" s="262"/>
      <c r="D7" s="263" t="s">
        <v>3333</v>
      </c>
      <c r="E7" s="264"/>
      <c r="F7" s="264"/>
      <c r="G7" s="264"/>
      <c r="H7" s="264"/>
      <c r="I7" s="264"/>
      <c r="J7" s="265"/>
    </row>
    <row r="8" spans="1:45">
      <c r="B8" s="261" t="s">
        <v>116</v>
      </c>
      <c r="C8" s="262"/>
      <c r="D8" s="263" t="str">
        <f>エンティティ一覧!AE2&amp;"_"&amp;D5&amp;"_mt_yakko_atc2"</f>
        <v>azn_202310_backup_mt_yakko_atc2</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薬効ATC分類2マスタテーブルから組入れ条件の第一条件で絞り込んだ結果を格納するテーブル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milscm_2023_010.azn_202310_backup_mt_yakko_atc2;</v>
      </c>
      <c r="O10" s="76"/>
      <c r="P10" s="76"/>
      <c r="Q10" s="76"/>
      <c r="R10" s="76"/>
      <c r="S10" s="76"/>
      <c r="T10" s="76"/>
      <c r="AJ10" s="76" t="str">
        <f>"ALTER TABLE ONLY "&amp;エンティティ一覧!$O$2&amp;"."&amp;D$8</f>
        <v>ALTER TABLE ONLY milscm_2023_010.azn_202310_backup_mt_yakko_atc2</v>
      </c>
      <c r="AS10" s="76" t="str">
        <f>"ALTER TABLE "&amp;エンティティ一覧!$O$2&amp;"."&amp;D$8&amp;" OWNER TO pgmisgrp1;"</f>
        <v>ALTER TABLE milscm_2023_010.azn_202310_backup_mt_yakko_atc2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milscm_2023_010.azn_202310_backup_mt_yakko_atc2</v>
      </c>
      <c r="O11" s="76"/>
      <c r="P11" s="76"/>
      <c r="Q11" s="76"/>
      <c r="R11" s="76"/>
      <c r="S11" s="76"/>
      <c r="T11" s="76"/>
      <c r="AJ11" s="76" t="str">
        <f>"ADD CONSTRAINT "&amp;D$8&amp;"_pkey PRIMARY KEY"</f>
        <v>ADD CONSTRAINT azn_202310_backup_mt_yakko_atc2_pkey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milscm_2023_010.azn_202310_backup_mt_yakko_atc2 IS 'バックアップ_薬効ATC分類2マスタ';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21" si="0">UPPER(G13)</f>
        <v>TEXT</v>
      </c>
      <c r="R13" s="76" t="str">
        <f t="shared" ref="R13:R21"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milscm_2023_010.azn_202310_backup_mt_yakko_atc2.sekoubi IS '施行日';</v>
      </c>
    </row>
    <row r="14" spans="1:45" s="25" customFormat="1">
      <c r="A14" s="4"/>
      <c r="B14" s="21">
        <f t="shared" ref="B14:B20" si="2">ROW()-12</f>
        <v>2</v>
      </c>
      <c r="C14" s="6" t="s">
        <v>3288</v>
      </c>
      <c r="D14" s="6" t="s">
        <v>2045</v>
      </c>
      <c r="E14" s="8" t="s">
        <v>127</v>
      </c>
      <c r="F14" s="7" t="s">
        <v>316</v>
      </c>
      <c r="G14" s="7" t="str">
        <f t="shared" ref="G14:G21" si="3">IF(F14="フラグ","boolean",IF(F14="文字列","text",IF(F14="整数","integer",IF(F14="実数","numeric",""))))</f>
        <v>text</v>
      </c>
      <c r="H14" s="26"/>
      <c r="I14" s="10" t="s">
        <v>127</v>
      </c>
      <c r="J14" s="11" t="s">
        <v>3313</v>
      </c>
      <c r="M14" s="4"/>
      <c r="N14" s="76"/>
      <c r="O14" s="76"/>
      <c r="P14" s="76" t="str">
        <f t="shared" ref="P14:P21" si="4">IF(B14&lt;&gt;1,","&amp;D14,D14)</f>
        <v>,koshin_kubun</v>
      </c>
      <c r="Q14" s="76" t="str">
        <f t="shared" si="0"/>
        <v>TEXT</v>
      </c>
      <c r="R14" s="76" t="str">
        <f t="shared" si="1"/>
        <v/>
      </c>
      <c r="S14" s="76" t="str">
        <f t="shared" ref="S14:S21" si="5">IF(I14="○","NOT NULL","")</f>
        <v>NOT NULL</v>
      </c>
      <c r="T14" s="76" t="str">
        <f t="shared" ref="T14:T21"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milscm_2023_010.azn_202310_backup_mt_yakko_atc2.koshin_kubun IS '更新区分';</v>
      </c>
    </row>
    <row r="15" spans="1:45" s="25" customFormat="1">
      <c r="A15" s="4"/>
      <c r="B15" s="21">
        <f t="shared" si="2"/>
        <v>3</v>
      </c>
      <c r="C15" s="6" t="s">
        <v>2550</v>
      </c>
      <c r="D15" s="6" t="s">
        <v>3289</v>
      </c>
      <c r="E15" s="8" t="s">
        <v>127</v>
      </c>
      <c r="F15" s="7" t="s">
        <v>316</v>
      </c>
      <c r="G15" s="7" t="str">
        <f t="shared" si="3"/>
        <v>text</v>
      </c>
      <c r="H15" s="26"/>
      <c r="I15" s="10" t="s">
        <v>127</v>
      </c>
      <c r="J15" s="11"/>
      <c r="M15" s="4"/>
      <c r="N15" s="76"/>
      <c r="O15" s="76"/>
      <c r="P15" s="76" t="str">
        <f t="shared" si="4"/>
        <v>,yakko_bunrui1_code</v>
      </c>
      <c r="Q15" s="76" t="str">
        <f t="shared" si="0"/>
        <v>TEXT</v>
      </c>
      <c r="R15" s="76" t="str">
        <f t="shared" si="1"/>
        <v/>
      </c>
      <c r="S15" s="76" t="str">
        <f t="shared" si="5"/>
        <v>NOT NULL</v>
      </c>
      <c r="T15" s="76" t="str">
        <f t="shared" si="6"/>
        <v>-- 薬効分類1コード</v>
      </c>
      <c r="U15" s="4"/>
      <c r="AA15" s="4"/>
      <c r="AB15" s="4"/>
      <c r="AC15" s="4"/>
      <c r="AD15" s="4"/>
      <c r="AE15" s="4"/>
      <c r="AF15" s="4"/>
      <c r="AG15" s="4"/>
      <c r="AH15" s="4"/>
      <c r="AI15" s="4"/>
      <c r="AJ15" s="76" t="str">
        <f>IF(E15="○",IF(COUNTA(E$13:E15)=1,"",",")&amp;D15,"")</f>
        <v>,yakko_bunrui1_code</v>
      </c>
      <c r="AK15" s="4"/>
      <c r="AL15" s="4"/>
      <c r="AM15" s="4"/>
      <c r="AN15" s="4"/>
      <c r="AO15" s="4"/>
      <c r="AP15" s="4"/>
      <c r="AQ15" s="4"/>
      <c r="AR15" s="4"/>
      <c r="AS15" s="76" t="str">
        <f>"COMMENT ON COLUMN "&amp;エンティティ一覧!$O$2&amp;"."&amp;D$8&amp;"."&amp;D15&amp;" IS '"&amp;C15&amp;"';"</f>
        <v>COMMENT ON COLUMN milscm_2023_010.azn_202310_backup_mt_yakko_atc2.yakko_bunrui1_code IS '薬効分類1コード';</v>
      </c>
    </row>
    <row r="16" spans="1:45" s="25" customFormat="1">
      <c r="A16" s="4"/>
      <c r="B16" s="21">
        <f t="shared" si="2"/>
        <v>4</v>
      </c>
      <c r="C16" s="6" t="s">
        <v>2552</v>
      </c>
      <c r="D16" s="6" t="s">
        <v>3290</v>
      </c>
      <c r="E16" s="8" t="s">
        <v>127</v>
      </c>
      <c r="F16" s="7" t="s">
        <v>316</v>
      </c>
      <c r="G16" s="7" t="str">
        <f t="shared" si="3"/>
        <v>text</v>
      </c>
      <c r="H16" s="26"/>
      <c r="I16" s="10" t="s">
        <v>127</v>
      </c>
      <c r="J16" s="11"/>
      <c r="M16" s="4"/>
      <c r="N16" s="76"/>
      <c r="O16" s="76"/>
      <c r="P16" s="76" t="str">
        <f t="shared" si="4"/>
        <v>,yakko_bunrui2_code</v>
      </c>
      <c r="Q16" s="76" t="str">
        <f t="shared" si="0"/>
        <v>TEXT</v>
      </c>
      <c r="R16" s="76" t="str">
        <f t="shared" si="1"/>
        <v/>
      </c>
      <c r="S16" s="76" t="str">
        <f t="shared" si="5"/>
        <v>NOT NULL</v>
      </c>
      <c r="T16" s="76" t="str">
        <f t="shared" si="6"/>
        <v>-- 薬効分類2コード</v>
      </c>
      <c r="U16" s="4"/>
      <c r="AA16" s="4"/>
      <c r="AB16" s="4"/>
      <c r="AC16" s="4"/>
      <c r="AD16" s="4"/>
      <c r="AE16" s="4"/>
      <c r="AF16" s="4"/>
      <c r="AG16" s="4"/>
      <c r="AH16" s="4"/>
      <c r="AI16" s="4"/>
      <c r="AJ16" s="76" t="str">
        <f>IF(E16="○",IF(COUNTA(E$13:E16)=1,"",",")&amp;D16,"")</f>
        <v>,yakko_bunrui2_code</v>
      </c>
      <c r="AK16" s="4"/>
      <c r="AL16" s="4"/>
      <c r="AM16" s="4"/>
      <c r="AN16" s="4"/>
      <c r="AO16" s="4"/>
      <c r="AP16" s="4"/>
      <c r="AQ16" s="4"/>
      <c r="AR16" s="4"/>
      <c r="AS16" s="76" t="str">
        <f>"COMMENT ON COLUMN "&amp;エンティティ一覧!$O$2&amp;"."&amp;D$8&amp;"."&amp;D16&amp;" IS '"&amp;C16&amp;"';"</f>
        <v>COMMENT ON COLUMN milscm_2023_010.azn_202310_backup_mt_yakko_atc2.yakko_bunrui2_code IS '薬効分類2コード';</v>
      </c>
    </row>
    <row r="17" spans="1:52" s="25" customFormat="1">
      <c r="A17" s="4"/>
      <c r="B17" s="21">
        <f t="shared" si="2"/>
        <v>5</v>
      </c>
      <c r="C17" s="6" t="s">
        <v>2570</v>
      </c>
      <c r="D17" s="6" t="s">
        <v>3334</v>
      </c>
      <c r="E17" s="8"/>
      <c r="F17" s="7" t="s">
        <v>316</v>
      </c>
      <c r="G17" s="7" t="str">
        <f t="shared" si="3"/>
        <v>text</v>
      </c>
      <c r="H17" s="26"/>
      <c r="I17" s="10" t="s">
        <v>127</v>
      </c>
      <c r="J17" s="11"/>
      <c r="M17" s="4"/>
      <c r="N17" s="76"/>
      <c r="O17" s="76"/>
      <c r="P17" s="76" t="str">
        <f t="shared" si="4"/>
        <v>,yakko_bunrui2_name</v>
      </c>
      <c r="Q17" s="76" t="str">
        <f t="shared" si="0"/>
        <v>TEXT</v>
      </c>
      <c r="R17" s="76" t="str">
        <f t="shared" si="1"/>
        <v/>
      </c>
      <c r="S17" s="76" t="str">
        <f t="shared" si="5"/>
        <v>NOT NULL</v>
      </c>
      <c r="T17" s="76" t="str">
        <f t="shared" si="6"/>
        <v>-- 薬効分類2名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milscm_2023_010.azn_202310_backup_mt_yakko_atc2.yakko_bunrui2_name IS '薬効分類2名';</v>
      </c>
    </row>
    <row r="18" spans="1:52" s="25" customFormat="1">
      <c r="A18" s="4"/>
      <c r="B18" s="21">
        <f t="shared" si="2"/>
        <v>6</v>
      </c>
      <c r="C18" s="6" t="s">
        <v>3335</v>
      </c>
      <c r="D18" s="6" t="s">
        <v>2571</v>
      </c>
      <c r="E18" s="8"/>
      <c r="F18" s="7" t="s">
        <v>316</v>
      </c>
      <c r="G18" s="7" t="str">
        <f t="shared" ref="G18" si="7">IF(F18="フラグ","boolean",IF(F18="文字列","text",IF(F18="整数","integer",IF(F18="実数","numeric",""))))</f>
        <v>text</v>
      </c>
      <c r="H18" s="26"/>
      <c r="I18" s="10" t="s">
        <v>127</v>
      </c>
      <c r="J18" s="11"/>
      <c r="M18" s="4"/>
      <c r="N18" s="76"/>
      <c r="O18" s="76"/>
      <c r="P18" s="76" t="str">
        <f t="shared" ref="P18" si="8">IF(B18&lt;&gt;1,","&amp;D18,D18)</f>
        <v>,yakko_bunrui2_jpn_name</v>
      </c>
      <c r="Q18" s="76" t="str">
        <f t="shared" ref="Q18" si="9">UPPER(G18)</f>
        <v>TEXT</v>
      </c>
      <c r="R18" s="76" t="str">
        <f t="shared" ref="R18" si="10">IF(H18&lt;&gt;"","default "&amp;IF(G18="text","'"&amp;H18&amp;"'",H18),"")</f>
        <v/>
      </c>
      <c r="S18" s="76" t="str">
        <f t="shared" ref="S18" si="11">IF(I18="○","NOT NULL","")</f>
        <v>NOT NULL</v>
      </c>
      <c r="T18" s="76" t="str">
        <f t="shared" ref="T18" si="12">"-- "&amp;C18</f>
        <v>-- 薬効分類2日本語名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milscm_2023_010.azn_202310_backup_mt_yakko_atc2.yakko_bunrui2_jpn_name IS '薬効分類2日本語名';</v>
      </c>
    </row>
    <row r="19" spans="1:52" s="25" customFormat="1">
      <c r="A19" s="4"/>
      <c r="B19" s="21">
        <f t="shared" si="2"/>
        <v>7</v>
      </c>
      <c r="C19" s="6" t="s">
        <v>3307</v>
      </c>
      <c r="D19" s="6" t="s">
        <v>3308</v>
      </c>
      <c r="E19" s="8"/>
      <c r="F19" s="7" t="s">
        <v>316</v>
      </c>
      <c r="G19" s="7" t="str">
        <f t="shared" si="3"/>
        <v>text</v>
      </c>
      <c r="H19" s="26"/>
      <c r="I19" s="10" t="s">
        <v>127</v>
      </c>
      <c r="J19" s="11" t="s">
        <v>3315</v>
      </c>
      <c r="M19" s="4"/>
      <c r="N19" s="76"/>
      <c r="O19" s="76"/>
      <c r="P19" s="76" t="str">
        <f t="shared" si="4"/>
        <v>,nen</v>
      </c>
      <c r="Q19" s="76" t="str">
        <f t="shared" si="0"/>
        <v>TEXT</v>
      </c>
      <c r="R19" s="76" t="str">
        <f t="shared" si="1"/>
        <v/>
      </c>
      <c r="S19" s="76" t="str">
        <f t="shared" si="5"/>
        <v>NOT NULL</v>
      </c>
      <c r="T19" s="76" t="str">
        <f t="shared" si="6"/>
        <v>-- 年</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milscm_2023_010.azn_202310_backup_mt_yakko_atc2.nen IS '年';</v>
      </c>
    </row>
    <row r="20" spans="1:52" s="25" customFormat="1">
      <c r="A20" s="4"/>
      <c r="B20" s="21">
        <f t="shared" si="2"/>
        <v>8</v>
      </c>
      <c r="C20" s="6" t="s">
        <v>3309</v>
      </c>
      <c r="D20" s="6" t="s">
        <v>3310</v>
      </c>
      <c r="E20" s="8"/>
      <c r="F20" s="7" t="s">
        <v>316</v>
      </c>
      <c r="G20" s="7" t="str">
        <f t="shared" si="3"/>
        <v>text</v>
      </c>
      <c r="H20" s="26"/>
      <c r="I20" s="10" t="s">
        <v>127</v>
      </c>
      <c r="J20" s="11" t="s">
        <v>3316</v>
      </c>
      <c r="M20" s="4"/>
      <c r="N20" s="76"/>
      <c r="O20" s="76"/>
      <c r="P20" s="76" t="str">
        <f t="shared" si="4"/>
        <v>,nengetsu</v>
      </c>
      <c r="Q20" s="76" t="str">
        <f t="shared" si="0"/>
        <v>TEXT</v>
      </c>
      <c r="R20" s="76" t="str">
        <f t="shared" si="1"/>
        <v/>
      </c>
      <c r="S20" s="76" t="str">
        <f t="shared" si="5"/>
        <v>NOT NULL</v>
      </c>
      <c r="T20" s="76" t="str">
        <f t="shared" si="6"/>
        <v>-- 年月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milscm_2023_010.azn_202310_backup_mt_yakko_atc2.nengetsu IS '年月';</v>
      </c>
    </row>
    <row r="21" spans="1:52" s="25" customFormat="1" ht="19.5" thickBot="1">
      <c r="A21" s="4"/>
      <c r="B21" s="27">
        <f>ROW()-12</f>
        <v>9</v>
      </c>
      <c r="C21" s="57" t="s">
        <v>3311</v>
      </c>
      <c r="D21" s="57" t="s">
        <v>1879</v>
      </c>
      <c r="E21" s="56"/>
      <c r="F21" s="56" t="s">
        <v>316</v>
      </c>
      <c r="G21" s="56" t="str">
        <f t="shared" si="3"/>
        <v>text</v>
      </c>
      <c r="H21" s="59"/>
      <c r="I21" s="60" t="s">
        <v>127</v>
      </c>
      <c r="J21" s="63" t="s">
        <v>2397</v>
      </c>
      <c r="N21" s="76"/>
      <c r="O21" s="76"/>
      <c r="P21" s="76" t="str">
        <f t="shared" si="4"/>
        <v>,update_ymd</v>
      </c>
      <c r="Q21" s="76" t="str">
        <f t="shared" si="0"/>
        <v>TEXT</v>
      </c>
      <c r="R21" s="76" t="str">
        <f t="shared" si="1"/>
        <v/>
      </c>
      <c r="S21" s="76" t="str">
        <f t="shared" si="5"/>
        <v>NOT NULL</v>
      </c>
      <c r="T21" s="76" t="str">
        <f t="shared" si="6"/>
        <v>-- データ登録日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milscm_2023_010.azn_202310_backup_mt_yakko_atc2.update_ymd IS 'データ登録日';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ENT_01_A3-26</v>
      </c>
      <c r="E6" s="272"/>
      <c r="F6" s="272"/>
      <c r="G6" s="272"/>
      <c r="H6" s="272"/>
      <c r="I6" s="272"/>
      <c r="J6" s="273"/>
    </row>
    <row r="7" spans="1:45">
      <c r="B7" s="261" t="s">
        <v>115</v>
      </c>
      <c r="C7" s="262"/>
      <c r="D7" s="263" t="s">
        <v>3336</v>
      </c>
      <c r="E7" s="264"/>
      <c r="F7" s="264"/>
      <c r="G7" s="264"/>
      <c r="H7" s="264"/>
      <c r="I7" s="264"/>
      <c r="J7" s="265"/>
    </row>
    <row r="8" spans="1:45">
      <c r="B8" s="261" t="s">
        <v>116</v>
      </c>
      <c r="C8" s="262"/>
      <c r="D8" s="263" t="str">
        <f>エンティティ一覧!AE2&amp;"_"&amp;D5&amp;"_mt_yakko_atc3"</f>
        <v>azn_202310_backup_mt_yakko_atc3</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薬効ATC分類3マスタテーブルから組入れ条件の第一条件で絞り込んだ結果を格納するテーブル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milscm_2023_010.azn_202310_backup_mt_yakko_atc3;</v>
      </c>
      <c r="O10" s="76"/>
      <c r="P10" s="76"/>
      <c r="Q10" s="76"/>
      <c r="R10" s="76"/>
      <c r="S10" s="76"/>
      <c r="T10" s="76"/>
      <c r="AJ10" s="76" t="str">
        <f>"ALTER TABLE ONLY "&amp;エンティティ一覧!$O$2&amp;"."&amp;D$8</f>
        <v>ALTER TABLE ONLY milscm_2023_010.azn_202310_backup_mt_yakko_atc3</v>
      </c>
      <c r="AS10" s="76" t="str">
        <f>"ALTER TABLE "&amp;エンティティ一覧!$O$2&amp;"."&amp;D$8&amp;" OWNER TO pgmisgrp1;"</f>
        <v>ALTER TABLE milscm_2023_010.azn_202310_backup_mt_yakko_atc3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milscm_2023_010.azn_202310_backup_mt_yakko_atc3</v>
      </c>
      <c r="O11" s="76"/>
      <c r="P11" s="76"/>
      <c r="Q11" s="76"/>
      <c r="R11" s="76"/>
      <c r="S11" s="76"/>
      <c r="T11" s="76"/>
      <c r="AJ11" s="76" t="str">
        <f>"ADD CONSTRAINT "&amp;D$8&amp;"_pkey PRIMARY KEY"</f>
        <v>ADD CONSTRAINT azn_202310_backup_mt_yakko_atc3_pkey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milscm_2023_010.azn_202310_backup_mt_yakko_atc3 IS 'バックアップ_薬効ATC分類3マスタ';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22" si="0">UPPER(G13)</f>
        <v>TEXT</v>
      </c>
      <c r="R13" s="76" t="str">
        <f t="shared" ref="R13:R22"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milscm_2023_010.azn_202310_backup_mt_yakko_atc3.sekoubi IS '施行日';</v>
      </c>
    </row>
    <row r="14" spans="1:45" s="25" customFormat="1">
      <c r="A14" s="4"/>
      <c r="B14" s="21">
        <f t="shared" ref="B14:B21" si="2">ROW()-12</f>
        <v>2</v>
      </c>
      <c r="C14" s="6" t="s">
        <v>3288</v>
      </c>
      <c r="D14" s="6" t="s">
        <v>2045</v>
      </c>
      <c r="E14" s="8" t="s">
        <v>127</v>
      </c>
      <c r="F14" s="7" t="s">
        <v>316</v>
      </c>
      <c r="G14" s="7" t="str">
        <f t="shared" ref="G14:G22" si="3">IF(F14="フラグ","boolean",IF(F14="文字列","text",IF(F14="整数","integer",IF(F14="実数","numeric",""))))</f>
        <v>text</v>
      </c>
      <c r="H14" s="26"/>
      <c r="I14" s="10" t="s">
        <v>127</v>
      </c>
      <c r="J14" s="11" t="s">
        <v>3313</v>
      </c>
      <c r="M14" s="4"/>
      <c r="N14" s="76"/>
      <c r="O14" s="76"/>
      <c r="P14" s="76" t="str">
        <f t="shared" ref="P14:P22" si="4">IF(B14&lt;&gt;1,","&amp;D14,D14)</f>
        <v>,koshin_kubun</v>
      </c>
      <c r="Q14" s="76" t="str">
        <f t="shared" si="0"/>
        <v>TEXT</v>
      </c>
      <c r="R14" s="76" t="str">
        <f t="shared" si="1"/>
        <v/>
      </c>
      <c r="S14" s="76" t="str">
        <f t="shared" ref="S14:S22" si="5">IF(I14="○","NOT NULL","")</f>
        <v>NOT NULL</v>
      </c>
      <c r="T14" s="76" t="str">
        <f t="shared" ref="T14:T22"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milscm_2023_010.azn_202310_backup_mt_yakko_atc3.koshin_kubun IS '更新区分';</v>
      </c>
    </row>
    <row r="15" spans="1:45" s="25" customFormat="1">
      <c r="A15" s="4"/>
      <c r="B15" s="21">
        <f t="shared" si="2"/>
        <v>3</v>
      </c>
      <c r="C15" s="6" t="s">
        <v>2550</v>
      </c>
      <c r="D15" s="6" t="s">
        <v>3289</v>
      </c>
      <c r="E15" s="8" t="s">
        <v>127</v>
      </c>
      <c r="F15" s="7" t="s">
        <v>316</v>
      </c>
      <c r="G15" s="7" t="str">
        <f t="shared" si="3"/>
        <v>text</v>
      </c>
      <c r="H15" s="26"/>
      <c r="I15" s="10" t="s">
        <v>127</v>
      </c>
      <c r="J15" s="11"/>
      <c r="M15" s="4"/>
      <c r="N15" s="76"/>
      <c r="O15" s="76"/>
      <c r="P15" s="76" t="str">
        <f t="shared" si="4"/>
        <v>,yakko_bunrui1_code</v>
      </c>
      <c r="Q15" s="76" t="str">
        <f t="shared" si="0"/>
        <v>TEXT</v>
      </c>
      <c r="R15" s="76" t="str">
        <f t="shared" si="1"/>
        <v/>
      </c>
      <c r="S15" s="76" t="str">
        <f t="shared" si="5"/>
        <v>NOT NULL</v>
      </c>
      <c r="T15" s="76" t="str">
        <f t="shared" si="6"/>
        <v>-- 薬効分類1コード</v>
      </c>
      <c r="U15" s="4"/>
      <c r="AA15" s="4"/>
      <c r="AB15" s="4"/>
      <c r="AC15" s="4"/>
      <c r="AD15" s="4"/>
      <c r="AE15" s="4"/>
      <c r="AF15" s="4"/>
      <c r="AG15" s="4"/>
      <c r="AH15" s="4"/>
      <c r="AI15" s="4"/>
      <c r="AJ15" s="76" t="str">
        <f>IF(E15="○",IF(COUNTA(E$13:E15)=1,"",",")&amp;D15,"")</f>
        <v>,yakko_bunrui1_code</v>
      </c>
      <c r="AK15" s="4"/>
      <c r="AL15" s="4"/>
      <c r="AM15" s="4"/>
      <c r="AN15" s="4"/>
      <c r="AO15" s="4"/>
      <c r="AP15" s="4"/>
      <c r="AQ15" s="4"/>
      <c r="AR15" s="4"/>
      <c r="AS15" s="76" t="str">
        <f>"COMMENT ON COLUMN "&amp;エンティティ一覧!$O$2&amp;"."&amp;D$8&amp;"."&amp;D15&amp;" IS '"&amp;C15&amp;"';"</f>
        <v>COMMENT ON COLUMN milscm_2023_010.azn_202310_backup_mt_yakko_atc3.yakko_bunrui1_code IS '薬効分類1コード';</v>
      </c>
    </row>
    <row r="16" spans="1:45" s="25" customFormat="1">
      <c r="A16" s="4"/>
      <c r="B16" s="21">
        <f t="shared" si="2"/>
        <v>4</v>
      </c>
      <c r="C16" s="6" t="s">
        <v>2552</v>
      </c>
      <c r="D16" s="6" t="s">
        <v>3290</v>
      </c>
      <c r="E16" s="8" t="s">
        <v>127</v>
      </c>
      <c r="F16" s="7" t="s">
        <v>316</v>
      </c>
      <c r="G16" s="7" t="str">
        <f t="shared" si="3"/>
        <v>text</v>
      </c>
      <c r="H16" s="26"/>
      <c r="I16" s="10" t="s">
        <v>127</v>
      </c>
      <c r="J16" s="11"/>
      <c r="M16" s="4"/>
      <c r="N16" s="76"/>
      <c r="O16" s="76"/>
      <c r="P16" s="76" t="str">
        <f t="shared" si="4"/>
        <v>,yakko_bunrui2_code</v>
      </c>
      <c r="Q16" s="76" t="str">
        <f t="shared" si="0"/>
        <v>TEXT</v>
      </c>
      <c r="R16" s="76" t="str">
        <f t="shared" si="1"/>
        <v/>
      </c>
      <c r="S16" s="76" t="str">
        <f t="shared" si="5"/>
        <v>NOT NULL</v>
      </c>
      <c r="T16" s="76" t="str">
        <f t="shared" si="6"/>
        <v>-- 薬効分類2コード</v>
      </c>
      <c r="U16" s="4"/>
      <c r="AA16" s="4"/>
      <c r="AB16" s="4"/>
      <c r="AC16" s="4"/>
      <c r="AD16" s="4"/>
      <c r="AE16" s="4"/>
      <c r="AF16" s="4"/>
      <c r="AG16" s="4"/>
      <c r="AH16" s="4"/>
      <c r="AI16" s="4"/>
      <c r="AJ16" s="76" t="str">
        <f>IF(E16="○",IF(COUNTA(E$13:E16)=1,"",",")&amp;D16,"")</f>
        <v>,yakko_bunrui2_code</v>
      </c>
      <c r="AK16" s="4"/>
      <c r="AL16" s="4"/>
      <c r="AM16" s="4"/>
      <c r="AN16" s="4"/>
      <c r="AO16" s="4"/>
      <c r="AP16" s="4"/>
      <c r="AQ16" s="4"/>
      <c r="AR16" s="4"/>
      <c r="AS16" s="76" t="str">
        <f>"COMMENT ON COLUMN "&amp;エンティティ一覧!$O$2&amp;"."&amp;D$8&amp;"."&amp;D16&amp;" IS '"&amp;C16&amp;"';"</f>
        <v>COMMENT ON COLUMN milscm_2023_010.azn_202310_backup_mt_yakko_atc3.yakko_bunrui2_code IS '薬効分類2コード';</v>
      </c>
    </row>
    <row r="17" spans="1:52" s="25" customFormat="1">
      <c r="A17" s="4"/>
      <c r="B17" s="21">
        <f t="shared" si="2"/>
        <v>5</v>
      </c>
      <c r="C17" s="6" t="s">
        <v>2554</v>
      </c>
      <c r="D17" s="6" t="s">
        <v>3291</v>
      </c>
      <c r="E17" s="8" t="s">
        <v>127</v>
      </c>
      <c r="F17" s="7" t="s">
        <v>316</v>
      </c>
      <c r="G17" s="7" t="str">
        <f t="shared" si="3"/>
        <v>text</v>
      </c>
      <c r="H17" s="26"/>
      <c r="I17" s="10" t="s">
        <v>127</v>
      </c>
      <c r="J17" s="11"/>
      <c r="M17" s="4"/>
      <c r="N17" s="76"/>
      <c r="O17" s="76"/>
      <c r="P17" s="76" t="str">
        <f t="shared" si="4"/>
        <v>,yakko_bunrui3_code</v>
      </c>
      <c r="Q17" s="76" t="str">
        <f t="shared" si="0"/>
        <v>TEXT</v>
      </c>
      <c r="R17" s="76" t="str">
        <f t="shared" si="1"/>
        <v/>
      </c>
      <c r="S17" s="76" t="str">
        <f t="shared" si="5"/>
        <v>NOT NULL</v>
      </c>
      <c r="T17" s="76" t="str">
        <f t="shared" si="6"/>
        <v>-- 薬効分類3コード</v>
      </c>
      <c r="U17" s="4"/>
      <c r="AA17" s="4"/>
      <c r="AB17" s="4"/>
      <c r="AC17" s="4"/>
      <c r="AD17" s="4"/>
      <c r="AE17" s="4"/>
      <c r="AF17" s="4"/>
      <c r="AG17" s="4"/>
      <c r="AH17" s="4"/>
      <c r="AI17" s="4"/>
      <c r="AJ17" s="76" t="str">
        <f>IF(E17="○",IF(COUNTA(E$13:E17)=1,"",",")&amp;D17,"")</f>
        <v>,yakko_bunrui3_code</v>
      </c>
      <c r="AK17" s="4"/>
      <c r="AL17" s="4"/>
      <c r="AM17" s="4"/>
      <c r="AN17" s="4"/>
      <c r="AO17" s="4"/>
      <c r="AP17" s="4"/>
      <c r="AQ17" s="4"/>
      <c r="AR17" s="4"/>
      <c r="AS17" s="76" t="str">
        <f>"COMMENT ON COLUMN "&amp;エンティティ一覧!$O$2&amp;"."&amp;D$8&amp;"."&amp;D17&amp;" IS '"&amp;C17&amp;"';"</f>
        <v>COMMENT ON COLUMN milscm_2023_010.azn_202310_backup_mt_yakko_atc3.yakko_bunrui3_code IS '薬効分類3コード';</v>
      </c>
    </row>
    <row r="18" spans="1:52" s="25" customFormat="1">
      <c r="A18" s="4"/>
      <c r="B18" s="21">
        <f t="shared" si="2"/>
        <v>6</v>
      </c>
      <c r="C18" s="6" t="s">
        <v>2572</v>
      </c>
      <c r="D18" s="6" t="s">
        <v>3337</v>
      </c>
      <c r="E18" s="8"/>
      <c r="F18" s="7" t="s">
        <v>316</v>
      </c>
      <c r="G18" s="7" t="str">
        <f t="shared" si="3"/>
        <v>text</v>
      </c>
      <c r="H18" s="26"/>
      <c r="I18" s="10" t="s">
        <v>127</v>
      </c>
      <c r="J18" s="11"/>
      <c r="M18" s="4"/>
      <c r="N18" s="76"/>
      <c r="O18" s="76"/>
      <c r="P18" s="76" t="str">
        <f t="shared" si="4"/>
        <v>,yakko_bunrui3_name</v>
      </c>
      <c r="Q18" s="76" t="str">
        <f t="shared" si="0"/>
        <v>TEXT</v>
      </c>
      <c r="R18" s="76" t="str">
        <f t="shared" si="1"/>
        <v/>
      </c>
      <c r="S18" s="76" t="str">
        <f t="shared" si="5"/>
        <v>NOT NULL</v>
      </c>
      <c r="T18" s="76" t="str">
        <f t="shared" si="6"/>
        <v>-- 薬効分類3名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milscm_2023_010.azn_202310_backup_mt_yakko_atc3.yakko_bunrui3_name IS '薬効分類3名';</v>
      </c>
    </row>
    <row r="19" spans="1:52" s="25" customFormat="1">
      <c r="A19" s="4"/>
      <c r="B19" s="21">
        <f t="shared" si="2"/>
        <v>7</v>
      </c>
      <c r="C19" s="6" t="s">
        <v>3338</v>
      </c>
      <c r="D19" s="6" t="s">
        <v>2573</v>
      </c>
      <c r="E19" s="8"/>
      <c r="F19" s="7" t="s">
        <v>316</v>
      </c>
      <c r="G19" s="7" t="str">
        <f t="shared" si="3"/>
        <v>text</v>
      </c>
      <c r="H19" s="26"/>
      <c r="I19" s="10" t="s">
        <v>127</v>
      </c>
      <c r="J19" s="11"/>
      <c r="M19" s="4"/>
      <c r="N19" s="76"/>
      <c r="O19" s="76"/>
      <c r="P19" s="76" t="str">
        <f t="shared" si="4"/>
        <v>,yakko_bunrui3_jpn_name</v>
      </c>
      <c r="Q19" s="76" t="str">
        <f t="shared" si="0"/>
        <v>TEXT</v>
      </c>
      <c r="R19" s="76" t="str">
        <f t="shared" si="1"/>
        <v/>
      </c>
      <c r="S19" s="76" t="str">
        <f t="shared" si="5"/>
        <v>NOT NULL</v>
      </c>
      <c r="T19" s="76" t="str">
        <f t="shared" si="6"/>
        <v>-- 薬効分類3日本語名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milscm_2023_010.azn_202310_backup_mt_yakko_atc3.yakko_bunrui3_jpn_name IS '薬効分類3日本語名';</v>
      </c>
    </row>
    <row r="20" spans="1:52" s="25" customFormat="1">
      <c r="A20" s="4"/>
      <c r="B20" s="21">
        <f t="shared" si="2"/>
        <v>8</v>
      </c>
      <c r="C20" s="6" t="s">
        <v>3307</v>
      </c>
      <c r="D20" s="6" t="s">
        <v>3308</v>
      </c>
      <c r="E20" s="8"/>
      <c r="F20" s="7" t="s">
        <v>316</v>
      </c>
      <c r="G20" s="7" t="str">
        <f t="shared" ref="G20" si="7">IF(F20="フラグ","boolean",IF(F20="文字列","text",IF(F20="整数","integer",IF(F20="実数","numeric",""))))</f>
        <v>text</v>
      </c>
      <c r="H20" s="26"/>
      <c r="I20" s="10" t="s">
        <v>127</v>
      </c>
      <c r="J20" s="11" t="s">
        <v>3315</v>
      </c>
      <c r="M20" s="4"/>
      <c r="N20" s="76"/>
      <c r="O20" s="76"/>
      <c r="P20" s="76" t="str">
        <f t="shared" ref="P20" si="8">IF(B20&lt;&gt;1,","&amp;D20,D20)</f>
        <v>,nen</v>
      </c>
      <c r="Q20" s="76" t="str">
        <f t="shared" ref="Q20" si="9">UPPER(G20)</f>
        <v>TEXT</v>
      </c>
      <c r="R20" s="76" t="str">
        <f t="shared" ref="R20" si="10">IF(H20&lt;&gt;"","default "&amp;IF(G20="text","'"&amp;H20&amp;"'",H20),"")</f>
        <v/>
      </c>
      <c r="S20" s="76" t="str">
        <f t="shared" ref="S20" si="11">IF(I20="○","NOT NULL","")</f>
        <v>NOT NULL</v>
      </c>
      <c r="T20" s="76" t="str">
        <f t="shared" ref="T20" si="12">"-- "&amp;C20</f>
        <v>-- 年</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milscm_2023_010.azn_202310_backup_mt_yakko_atc3.nen IS '年';</v>
      </c>
    </row>
    <row r="21" spans="1:52" s="25" customFormat="1">
      <c r="A21" s="4"/>
      <c r="B21" s="21">
        <f t="shared" si="2"/>
        <v>9</v>
      </c>
      <c r="C21" s="6" t="s">
        <v>3309</v>
      </c>
      <c r="D21" s="6" t="s">
        <v>3310</v>
      </c>
      <c r="E21" s="8"/>
      <c r="F21" s="7" t="s">
        <v>316</v>
      </c>
      <c r="G21" s="7" t="str">
        <f t="shared" si="3"/>
        <v>text</v>
      </c>
      <c r="H21" s="26"/>
      <c r="I21" s="10" t="s">
        <v>127</v>
      </c>
      <c r="J21" s="11" t="s">
        <v>3316</v>
      </c>
      <c r="M21" s="4"/>
      <c r="N21" s="76"/>
      <c r="O21" s="76"/>
      <c r="P21" s="76" t="str">
        <f t="shared" si="4"/>
        <v>,nengetsu</v>
      </c>
      <c r="Q21" s="76" t="str">
        <f t="shared" si="0"/>
        <v>TEXT</v>
      </c>
      <c r="R21" s="76" t="str">
        <f t="shared" si="1"/>
        <v/>
      </c>
      <c r="S21" s="76" t="str">
        <f t="shared" si="5"/>
        <v>NOT NULL</v>
      </c>
      <c r="T21" s="76" t="str">
        <f t="shared" si="6"/>
        <v>-- 年月</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milscm_2023_010.azn_202310_backup_mt_yakko_atc3.nengetsu IS '年月';</v>
      </c>
    </row>
    <row r="22" spans="1:52" s="25" customFormat="1" ht="19.5" thickBot="1">
      <c r="A22" s="4"/>
      <c r="B22" s="27">
        <f>ROW()-12</f>
        <v>10</v>
      </c>
      <c r="C22" s="57" t="s">
        <v>3311</v>
      </c>
      <c r="D22" s="57" t="s">
        <v>1879</v>
      </c>
      <c r="E22" s="56"/>
      <c r="F22" s="56" t="s">
        <v>316</v>
      </c>
      <c r="G22" s="56" t="str">
        <f t="shared" si="3"/>
        <v>text</v>
      </c>
      <c r="H22" s="59"/>
      <c r="I22" s="60" t="s">
        <v>127</v>
      </c>
      <c r="J22" s="63" t="s">
        <v>2397</v>
      </c>
      <c r="N22" s="76"/>
      <c r="O22" s="76"/>
      <c r="P22" s="76" t="str">
        <f t="shared" si="4"/>
        <v>,update_ymd</v>
      </c>
      <c r="Q22" s="76" t="str">
        <f t="shared" si="0"/>
        <v>TEXT</v>
      </c>
      <c r="R22" s="76" t="str">
        <f t="shared" si="1"/>
        <v/>
      </c>
      <c r="S22" s="76" t="str">
        <f t="shared" si="5"/>
        <v>NOT NULL</v>
      </c>
      <c r="T22" s="76" t="str">
        <f t="shared" si="6"/>
        <v>-- データ登録日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milscm_2023_010.azn_202310_backup_mt_yakko_atc3.update_ymd IS 'データ登録日';</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ENT_01_A3-27</v>
      </c>
      <c r="E6" s="272"/>
      <c r="F6" s="272"/>
      <c r="G6" s="272"/>
      <c r="H6" s="272"/>
      <c r="I6" s="272"/>
      <c r="J6" s="273"/>
    </row>
    <row r="7" spans="1:45">
      <c r="B7" s="261" t="s">
        <v>115</v>
      </c>
      <c r="C7" s="262"/>
      <c r="D7" s="263" t="s">
        <v>3339</v>
      </c>
      <c r="E7" s="264"/>
      <c r="F7" s="264"/>
      <c r="G7" s="264"/>
      <c r="H7" s="264"/>
      <c r="I7" s="264"/>
      <c r="J7" s="265"/>
    </row>
    <row r="8" spans="1:45">
      <c r="B8" s="261" t="s">
        <v>116</v>
      </c>
      <c r="C8" s="262"/>
      <c r="D8" s="263" t="str">
        <f>エンティティ一覧!AE2&amp;"_"&amp;D5&amp;"_mt_yakko_atc4"</f>
        <v>azn_202310_backup_mt_yakko_atc4</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薬効ATC分類4マスタテーブルから組入れ条件の第一条件で絞り込んだ結果を格納するテーブル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milscm_2023_010.azn_202310_backup_mt_yakko_atc4;</v>
      </c>
      <c r="O10" s="76"/>
      <c r="P10" s="76"/>
      <c r="Q10" s="76"/>
      <c r="R10" s="76"/>
      <c r="S10" s="76"/>
      <c r="T10" s="76"/>
      <c r="AJ10" s="76" t="str">
        <f>"ALTER TABLE ONLY "&amp;エンティティ一覧!$O$2&amp;"."&amp;D$8</f>
        <v>ALTER TABLE ONLY milscm_2023_010.azn_202310_backup_mt_yakko_atc4</v>
      </c>
      <c r="AS10" s="76" t="str">
        <f>"ALTER TABLE "&amp;エンティティ一覧!$O$2&amp;"."&amp;D$8&amp;" OWNER TO pgmisgrp1;"</f>
        <v>ALTER TABLE milscm_2023_010.azn_202310_backup_mt_yakko_atc4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milscm_2023_010.azn_202310_backup_mt_yakko_atc4</v>
      </c>
      <c r="O11" s="76"/>
      <c r="P11" s="76"/>
      <c r="Q11" s="76"/>
      <c r="R11" s="76"/>
      <c r="S11" s="76"/>
      <c r="T11" s="76"/>
      <c r="AJ11" s="76" t="str">
        <f>"ADD CONSTRAINT "&amp;D$8&amp;"_pkey PRIMARY KEY"</f>
        <v>ADD CONSTRAINT azn_202310_backup_mt_yakko_atc4_pkey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milscm_2023_010.azn_202310_backup_mt_yakko_atc4 IS 'バックアップ_薬効ATC分類4マスタ';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23" si="0">UPPER(G13)</f>
        <v>TEXT</v>
      </c>
      <c r="R13" s="76" t="str">
        <f t="shared" ref="R13:R23"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milscm_2023_010.azn_202310_backup_mt_yakko_atc4.sekoubi IS '施行日';</v>
      </c>
    </row>
    <row r="14" spans="1:45" s="25" customFormat="1">
      <c r="A14" s="4"/>
      <c r="B14" s="21">
        <f t="shared" ref="B14:B22" si="2">ROW()-12</f>
        <v>2</v>
      </c>
      <c r="C14" s="6" t="s">
        <v>3288</v>
      </c>
      <c r="D14" s="6" t="s">
        <v>2045</v>
      </c>
      <c r="E14" s="8" t="s">
        <v>127</v>
      </c>
      <c r="F14" s="7" t="s">
        <v>316</v>
      </c>
      <c r="G14" s="7" t="str">
        <f t="shared" ref="G14:G23" si="3">IF(F14="フラグ","boolean",IF(F14="文字列","text",IF(F14="整数","integer",IF(F14="実数","numeric",""))))</f>
        <v>text</v>
      </c>
      <c r="H14" s="26"/>
      <c r="I14" s="10" t="s">
        <v>127</v>
      </c>
      <c r="J14" s="11" t="s">
        <v>3313</v>
      </c>
      <c r="M14" s="4"/>
      <c r="N14" s="76"/>
      <c r="O14" s="76"/>
      <c r="P14" s="76" t="str">
        <f t="shared" ref="P14:P23" si="4">IF(B14&lt;&gt;1,","&amp;D14,D14)</f>
        <v>,koshin_kubun</v>
      </c>
      <c r="Q14" s="76" t="str">
        <f t="shared" si="0"/>
        <v>TEXT</v>
      </c>
      <c r="R14" s="76" t="str">
        <f t="shared" si="1"/>
        <v/>
      </c>
      <c r="S14" s="76" t="str">
        <f t="shared" ref="S14:S23" si="5">IF(I14="○","NOT NULL","")</f>
        <v>NOT NULL</v>
      </c>
      <c r="T14" s="76" t="str">
        <f t="shared" ref="T14:T23"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milscm_2023_010.azn_202310_backup_mt_yakko_atc4.koshin_kubun IS '更新区分';</v>
      </c>
    </row>
    <row r="15" spans="1:45" s="25" customFormat="1">
      <c r="A15" s="4"/>
      <c r="B15" s="21">
        <f t="shared" si="2"/>
        <v>3</v>
      </c>
      <c r="C15" s="6" t="s">
        <v>2550</v>
      </c>
      <c r="D15" s="6" t="s">
        <v>3289</v>
      </c>
      <c r="E15" s="8" t="s">
        <v>127</v>
      </c>
      <c r="F15" s="7" t="s">
        <v>316</v>
      </c>
      <c r="G15" s="7" t="str">
        <f t="shared" si="3"/>
        <v>text</v>
      </c>
      <c r="H15" s="26"/>
      <c r="I15" s="10" t="s">
        <v>127</v>
      </c>
      <c r="J15" s="11"/>
      <c r="M15" s="4"/>
      <c r="N15" s="76"/>
      <c r="O15" s="76"/>
      <c r="P15" s="76" t="str">
        <f t="shared" si="4"/>
        <v>,yakko_bunrui1_code</v>
      </c>
      <c r="Q15" s="76" t="str">
        <f t="shared" si="0"/>
        <v>TEXT</v>
      </c>
      <c r="R15" s="76" t="str">
        <f t="shared" si="1"/>
        <v/>
      </c>
      <c r="S15" s="76" t="str">
        <f t="shared" si="5"/>
        <v>NOT NULL</v>
      </c>
      <c r="T15" s="76" t="str">
        <f t="shared" si="6"/>
        <v>-- 薬効分類1コード</v>
      </c>
      <c r="U15" s="4"/>
      <c r="AA15" s="4"/>
      <c r="AB15" s="4"/>
      <c r="AC15" s="4"/>
      <c r="AD15" s="4"/>
      <c r="AE15" s="4"/>
      <c r="AF15" s="4"/>
      <c r="AG15" s="4"/>
      <c r="AH15" s="4"/>
      <c r="AI15" s="4"/>
      <c r="AJ15" s="76" t="str">
        <f>IF(E15="○",IF(COUNTA(E$13:E15)=1,"",",")&amp;D15,"")</f>
        <v>,yakko_bunrui1_code</v>
      </c>
      <c r="AK15" s="4"/>
      <c r="AL15" s="4"/>
      <c r="AM15" s="4"/>
      <c r="AN15" s="4"/>
      <c r="AO15" s="4"/>
      <c r="AP15" s="4"/>
      <c r="AQ15" s="4"/>
      <c r="AR15" s="4"/>
      <c r="AS15" s="76" t="str">
        <f>"COMMENT ON COLUMN "&amp;エンティティ一覧!$O$2&amp;"."&amp;D$8&amp;"."&amp;D15&amp;" IS '"&amp;C15&amp;"';"</f>
        <v>COMMENT ON COLUMN milscm_2023_010.azn_202310_backup_mt_yakko_atc4.yakko_bunrui1_code IS '薬効分類1コード';</v>
      </c>
    </row>
    <row r="16" spans="1:45" s="25" customFormat="1">
      <c r="A16" s="4"/>
      <c r="B16" s="21">
        <f t="shared" si="2"/>
        <v>4</v>
      </c>
      <c r="C16" s="6" t="s">
        <v>2552</v>
      </c>
      <c r="D16" s="6" t="s">
        <v>3290</v>
      </c>
      <c r="E16" s="8" t="s">
        <v>127</v>
      </c>
      <c r="F16" s="7" t="s">
        <v>316</v>
      </c>
      <c r="G16" s="7" t="str">
        <f t="shared" si="3"/>
        <v>text</v>
      </c>
      <c r="H16" s="26"/>
      <c r="I16" s="10" t="s">
        <v>127</v>
      </c>
      <c r="J16" s="11"/>
      <c r="M16" s="4"/>
      <c r="N16" s="76"/>
      <c r="O16" s="76"/>
      <c r="P16" s="76" t="str">
        <f t="shared" si="4"/>
        <v>,yakko_bunrui2_code</v>
      </c>
      <c r="Q16" s="76" t="str">
        <f t="shared" si="0"/>
        <v>TEXT</v>
      </c>
      <c r="R16" s="76" t="str">
        <f t="shared" si="1"/>
        <v/>
      </c>
      <c r="S16" s="76" t="str">
        <f t="shared" si="5"/>
        <v>NOT NULL</v>
      </c>
      <c r="T16" s="76" t="str">
        <f t="shared" si="6"/>
        <v>-- 薬効分類2コード</v>
      </c>
      <c r="U16" s="4"/>
      <c r="AA16" s="4"/>
      <c r="AB16" s="4"/>
      <c r="AC16" s="4"/>
      <c r="AD16" s="4"/>
      <c r="AE16" s="4"/>
      <c r="AF16" s="4"/>
      <c r="AG16" s="4"/>
      <c r="AH16" s="4"/>
      <c r="AI16" s="4"/>
      <c r="AJ16" s="76" t="str">
        <f>IF(E16="○",IF(COUNTA(E$13:E16)=1,"",",")&amp;D16,"")</f>
        <v>,yakko_bunrui2_code</v>
      </c>
      <c r="AK16" s="4"/>
      <c r="AL16" s="4"/>
      <c r="AM16" s="4"/>
      <c r="AN16" s="4"/>
      <c r="AO16" s="4"/>
      <c r="AP16" s="4"/>
      <c r="AQ16" s="4"/>
      <c r="AR16" s="4"/>
      <c r="AS16" s="76" t="str">
        <f>"COMMENT ON COLUMN "&amp;エンティティ一覧!$O$2&amp;"."&amp;D$8&amp;"."&amp;D16&amp;" IS '"&amp;C16&amp;"';"</f>
        <v>COMMENT ON COLUMN milscm_2023_010.azn_202310_backup_mt_yakko_atc4.yakko_bunrui2_code IS '薬効分類2コード';</v>
      </c>
    </row>
    <row r="17" spans="1:52" s="25" customFormat="1">
      <c r="A17" s="4"/>
      <c r="B17" s="21">
        <f t="shared" si="2"/>
        <v>5</v>
      </c>
      <c r="C17" s="6" t="s">
        <v>2554</v>
      </c>
      <c r="D17" s="6" t="s">
        <v>3291</v>
      </c>
      <c r="E17" s="8" t="s">
        <v>127</v>
      </c>
      <c r="F17" s="7" t="s">
        <v>316</v>
      </c>
      <c r="G17" s="7" t="str">
        <f t="shared" si="3"/>
        <v>text</v>
      </c>
      <c r="H17" s="26"/>
      <c r="I17" s="10" t="s">
        <v>127</v>
      </c>
      <c r="J17" s="11"/>
      <c r="M17" s="4"/>
      <c r="N17" s="76"/>
      <c r="O17" s="76"/>
      <c r="P17" s="76" t="str">
        <f t="shared" si="4"/>
        <v>,yakko_bunrui3_code</v>
      </c>
      <c r="Q17" s="76" t="str">
        <f t="shared" si="0"/>
        <v>TEXT</v>
      </c>
      <c r="R17" s="76" t="str">
        <f t="shared" si="1"/>
        <v/>
      </c>
      <c r="S17" s="76" t="str">
        <f t="shared" si="5"/>
        <v>NOT NULL</v>
      </c>
      <c r="T17" s="76" t="str">
        <f t="shared" si="6"/>
        <v>-- 薬効分類3コード</v>
      </c>
      <c r="U17" s="4"/>
      <c r="AA17" s="4"/>
      <c r="AB17" s="4"/>
      <c r="AC17" s="4"/>
      <c r="AD17" s="4"/>
      <c r="AE17" s="4"/>
      <c r="AF17" s="4"/>
      <c r="AG17" s="4"/>
      <c r="AH17" s="4"/>
      <c r="AI17" s="4"/>
      <c r="AJ17" s="76" t="str">
        <f>IF(E17="○",IF(COUNTA(E$13:E17)=1,"",",")&amp;D17,"")</f>
        <v>,yakko_bunrui3_code</v>
      </c>
      <c r="AK17" s="4"/>
      <c r="AL17" s="4"/>
      <c r="AM17" s="4"/>
      <c r="AN17" s="4"/>
      <c r="AO17" s="4"/>
      <c r="AP17" s="4"/>
      <c r="AQ17" s="4"/>
      <c r="AR17" s="4"/>
      <c r="AS17" s="76" t="str">
        <f>"COMMENT ON COLUMN "&amp;エンティティ一覧!$O$2&amp;"."&amp;D$8&amp;"."&amp;D17&amp;" IS '"&amp;C17&amp;"';"</f>
        <v>COMMENT ON COLUMN milscm_2023_010.azn_202310_backup_mt_yakko_atc4.yakko_bunrui3_code IS '薬効分類3コード';</v>
      </c>
    </row>
    <row r="18" spans="1:52" s="25" customFormat="1">
      <c r="A18" s="4"/>
      <c r="B18" s="21">
        <f t="shared" si="2"/>
        <v>6</v>
      </c>
      <c r="C18" s="6" t="s">
        <v>2556</v>
      </c>
      <c r="D18" s="6" t="s">
        <v>3292</v>
      </c>
      <c r="E18" s="8" t="s">
        <v>127</v>
      </c>
      <c r="F18" s="7" t="s">
        <v>316</v>
      </c>
      <c r="G18" s="7" t="str">
        <f t="shared" si="3"/>
        <v>text</v>
      </c>
      <c r="H18" s="26"/>
      <c r="I18" s="10" t="s">
        <v>127</v>
      </c>
      <c r="J18" s="11"/>
      <c r="M18" s="4"/>
      <c r="N18" s="76"/>
      <c r="O18" s="76"/>
      <c r="P18" s="76" t="str">
        <f t="shared" si="4"/>
        <v>,yakko_bunrui4_code</v>
      </c>
      <c r="Q18" s="76" t="str">
        <f t="shared" si="0"/>
        <v>TEXT</v>
      </c>
      <c r="R18" s="76" t="str">
        <f t="shared" si="1"/>
        <v/>
      </c>
      <c r="S18" s="76" t="str">
        <f t="shared" si="5"/>
        <v>NOT NULL</v>
      </c>
      <c r="T18" s="76" t="str">
        <f t="shared" si="6"/>
        <v>-- 薬効分類4コード</v>
      </c>
      <c r="U18" s="4"/>
      <c r="AA18" s="4"/>
      <c r="AB18" s="4"/>
      <c r="AC18" s="4"/>
      <c r="AD18" s="4"/>
      <c r="AE18" s="4"/>
      <c r="AF18" s="4"/>
      <c r="AG18" s="4"/>
      <c r="AH18" s="4"/>
      <c r="AI18" s="4"/>
      <c r="AJ18" s="76" t="str">
        <f>IF(E18="○",IF(COUNTA(E$13:E18)=1,"",",")&amp;D18,"")</f>
        <v>,yakko_bunrui4_code</v>
      </c>
      <c r="AK18" s="4"/>
      <c r="AL18" s="4"/>
      <c r="AM18" s="4"/>
      <c r="AN18" s="4"/>
      <c r="AO18" s="4"/>
      <c r="AP18" s="4"/>
      <c r="AQ18" s="4"/>
      <c r="AR18" s="4"/>
      <c r="AS18" s="76" t="str">
        <f>"COMMENT ON COLUMN "&amp;エンティティ一覧!$O$2&amp;"."&amp;D$8&amp;"."&amp;D18&amp;" IS '"&amp;C18&amp;"';"</f>
        <v>COMMENT ON COLUMN milscm_2023_010.azn_202310_backup_mt_yakko_atc4.yakko_bunrui4_code IS '薬効分類4コード';</v>
      </c>
    </row>
    <row r="19" spans="1:52" s="25" customFormat="1">
      <c r="A19" s="4"/>
      <c r="B19" s="21">
        <f t="shared" si="2"/>
        <v>7</v>
      </c>
      <c r="C19" s="6" t="s">
        <v>2574</v>
      </c>
      <c r="D19" s="6" t="s">
        <v>3340</v>
      </c>
      <c r="E19" s="8"/>
      <c r="F19" s="7" t="s">
        <v>316</v>
      </c>
      <c r="G19" s="7" t="str">
        <f t="shared" ref="G19" si="7">IF(F19="フラグ","boolean",IF(F19="文字列","text",IF(F19="整数","integer",IF(F19="実数","numeric",""))))</f>
        <v>text</v>
      </c>
      <c r="H19" s="26"/>
      <c r="I19" s="10" t="s">
        <v>127</v>
      </c>
      <c r="J19" s="11"/>
      <c r="M19" s="4"/>
      <c r="N19" s="76"/>
      <c r="O19" s="76"/>
      <c r="P19" s="76" t="str">
        <f t="shared" ref="P19" si="8">IF(B19&lt;&gt;1,","&amp;D19,D19)</f>
        <v>,yakko_bunrui4_name</v>
      </c>
      <c r="Q19" s="76" t="str">
        <f t="shared" ref="Q19" si="9">UPPER(G19)</f>
        <v>TEXT</v>
      </c>
      <c r="R19" s="76" t="str">
        <f t="shared" ref="R19" si="10">IF(H19&lt;&gt;"","default "&amp;IF(G19="text","'"&amp;H19&amp;"'",H19),"")</f>
        <v/>
      </c>
      <c r="S19" s="76" t="str">
        <f t="shared" ref="S19" si="11">IF(I19="○","NOT NULL","")</f>
        <v>NOT NULL</v>
      </c>
      <c r="T19" s="76" t="str">
        <f t="shared" ref="T19" si="12">"-- "&amp;C19</f>
        <v>-- 薬効分類4名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milscm_2023_010.azn_202310_backup_mt_yakko_atc4.yakko_bunrui4_name IS '薬効分類4名';</v>
      </c>
    </row>
    <row r="20" spans="1:52" s="25" customFormat="1">
      <c r="A20" s="4"/>
      <c r="B20" s="21">
        <f t="shared" si="2"/>
        <v>8</v>
      </c>
      <c r="C20" s="6" t="s">
        <v>3341</v>
      </c>
      <c r="D20" s="6" t="s">
        <v>2575</v>
      </c>
      <c r="E20" s="8"/>
      <c r="F20" s="7" t="s">
        <v>316</v>
      </c>
      <c r="G20" s="7" t="str">
        <f t="shared" si="3"/>
        <v>text</v>
      </c>
      <c r="H20" s="26"/>
      <c r="I20" s="10" t="s">
        <v>127</v>
      </c>
      <c r="J20" s="11"/>
      <c r="M20" s="4"/>
      <c r="N20" s="76"/>
      <c r="O20" s="76"/>
      <c r="P20" s="76" t="str">
        <f t="shared" si="4"/>
        <v>,yakko_bunrui4_jpn_name</v>
      </c>
      <c r="Q20" s="76" t="str">
        <f t="shared" si="0"/>
        <v>TEXT</v>
      </c>
      <c r="R20" s="76" t="str">
        <f t="shared" si="1"/>
        <v/>
      </c>
      <c r="S20" s="76" t="str">
        <f t="shared" si="5"/>
        <v>NOT NULL</v>
      </c>
      <c r="T20" s="76" t="str">
        <f t="shared" si="6"/>
        <v>-- 薬効分類4日本語名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milscm_2023_010.azn_202310_backup_mt_yakko_atc4.yakko_bunrui4_jpn_name IS '薬効分類4日本語名';</v>
      </c>
    </row>
    <row r="21" spans="1:52" s="25" customFormat="1">
      <c r="A21" s="4"/>
      <c r="B21" s="21">
        <f t="shared" si="2"/>
        <v>9</v>
      </c>
      <c r="C21" s="6" t="s">
        <v>3307</v>
      </c>
      <c r="D21" s="6" t="s">
        <v>3308</v>
      </c>
      <c r="E21" s="8"/>
      <c r="F21" s="7" t="s">
        <v>316</v>
      </c>
      <c r="G21" s="7" t="str">
        <f t="shared" si="3"/>
        <v>text</v>
      </c>
      <c r="H21" s="26"/>
      <c r="I21" s="10" t="s">
        <v>127</v>
      </c>
      <c r="J21" s="11" t="s">
        <v>3315</v>
      </c>
      <c r="M21" s="4"/>
      <c r="N21" s="76"/>
      <c r="O21" s="76"/>
      <c r="P21" s="76" t="str">
        <f t="shared" si="4"/>
        <v>,nen</v>
      </c>
      <c r="Q21" s="76" t="str">
        <f t="shared" si="0"/>
        <v>TEXT</v>
      </c>
      <c r="R21" s="76" t="str">
        <f t="shared" si="1"/>
        <v/>
      </c>
      <c r="S21" s="76" t="str">
        <f t="shared" si="5"/>
        <v>NOT NULL</v>
      </c>
      <c r="T21" s="76" t="str">
        <f t="shared" si="6"/>
        <v>-- 年</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milscm_2023_010.azn_202310_backup_mt_yakko_atc4.nen IS '年';</v>
      </c>
    </row>
    <row r="22" spans="1:52" s="25" customFormat="1">
      <c r="A22" s="4"/>
      <c r="B22" s="21">
        <f t="shared" si="2"/>
        <v>10</v>
      </c>
      <c r="C22" s="6" t="s">
        <v>3309</v>
      </c>
      <c r="D22" s="6" t="s">
        <v>3310</v>
      </c>
      <c r="E22" s="8"/>
      <c r="F22" s="7" t="s">
        <v>316</v>
      </c>
      <c r="G22" s="7" t="str">
        <f t="shared" si="3"/>
        <v>text</v>
      </c>
      <c r="H22" s="26"/>
      <c r="I22" s="10" t="s">
        <v>127</v>
      </c>
      <c r="J22" s="11" t="s">
        <v>3316</v>
      </c>
      <c r="M22" s="4"/>
      <c r="N22" s="76"/>
      <c r="O22" s="76"/>
      <c r="P22" s="76" t="str">
        <f t="shared" si="4"/>
        <v>,nengetsu</v>
      </c>
      <c r="Q22" s="76" t="str">
        <f t="shared" si="0"/>
        <v>TEXT</v>
      </c>
      <c r="R22" s="76" t="str">
        <f t="shared" si="1"/>
        <v/>
      </c>
      <c r="S22" s="76" t="str">
        <f t="shared" si="5"/>
        <v>NOT NULL</v>
      </c>
      <c r="T22" s="76" t="str">
        <f t="shared" si="6"/>
        <v>-- 年月</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milscm_2023_010.azn_202310_backup_mt_yakko_atc4.nengetsu IS '年月';</v>
      </c>
    </row>
    <row r="23" spans="1:52" s="25" customFormat="1" ht="19.5" thickBot="1">
      <c r="A23" s="4"/>
      <c r="B23" s="27">
        <f>ROW()-12</f>
        <v>11</v>
      </c>
      <c r="C23" s="57" t="s">
        <v>3311</v>
      </c>
      <c r="D23" s="57" t="s">
        <v>1879</v>
      </c>
      <c r="E23" s="56"/>
      <c r="F23" s="56" t="s">
        <v>316</v>
      </c>
      <c r="G23" s="56" t="str">
        <f t="shared" si="3"/>
        <v>text</v>
      </c>
      <c r="H23" s="59"/>
      <c r="I23" s="60" t="s">
        <v>127</v>
      </c>
      <c r="J23" s="63" t="s">
        <v>2397</v>
      </c>
      <c r="N23" s="76"/>
      <c r="O23" s="76"/>
      <c r="P23" s="76" t="str">
        <f t="shared" si="4"/>
        <v>,update_ymd</v>
      </c>
      <c r="Q23" s="76" t="str">
        <f t="shared" si="0"/>
        <v>TEXT</v>
      </c>
      <c r="R23" s="76" t="str">
        <f t="shared" si="1"/>
        <v/>
      </c>
      <c r="S23" s="76" t="str">
        <f t="shared" si="5"/>
        <v>NOT NULL</v>
      </c>
      <c r="T23" s="76" t="str">
        <f t="shared" si="6"/>
        <v>-- データ登録日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milscm_2023_010.azn_202310_backup_mt_yakko_atc4.update_ymd IS 'データ登録日';</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ENT_01_A3-28</v>
      </c>
      <c r="E6" s="272"/>
      <c r="F6" s="272"/>
      <c r="G6" s="272"/>
      <c r="H6" s="272"/>
      <c r="I6" s="272"/>
      <c r="J6" s="273"/>
    </row>
    <row r="7" spans="1:45">
      <c r="B7" s="261" t="s">
        <v>115</v>
      </c>
      <c r="C7" s="262"/>
      <c r="D7" s="263" t="s">
        <v>3342</v>
      </c>
      <c r="E7" s="264"/>
      <c r="F7" s="264"/>
      <c r="G7" s="264"/>
      <c r="H7" s="264"/>
      <c r="I7" s="264"/>
      <c r="J7" s="265"/>
    </row>
    <row r="8" spans="1:45">
      <c r="B8" s="261" t="s">
        <v>116</v>
      </c>
      <c r="C8" s="262"/>
      <c r="D8" s="263" t="str">
        <f>エンティティ一覧!AE2&amp;"_"&amp;D5&amp;"_mt_yakko_atc5"</f>
        <v>azn_202310_backup_mt_yakko_atc5</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薬効ATC分類5マスタテーブルから組入れ条件の第一条件で絞り込んだ結果を格納するテーブル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milscm_2023_010.azn_202310_backup_mt_yakko_atc5;</v>
      </c>
      <c r="O10" s="76"/>
      <c r="P10" s="76"/>
      <c r="Q10" s="76"/>
      <c r="R10" s="76"/>
      <c r="S10" s="76"/>
      <c r="T10" s="76"/>
      <c r="AJ10" s="76" t="str">
        <f>"ALTER TABLE ONLY "&amp;エンティティ一覧!$O$2&amp;"."&amp;D$8</f>
        <v>ALTER TABLE ONLY milscm_2023_010.azn_202310_backup_mt_yakko_atc5</v>
      </c>
      <c r="AS10" s="76" t="str">
        <f>"ALTER TABLE "&amp;エンティティ一覧!$O$2&amp;"."&amp;D$8&amp;" OWNER TO pgmisgrp1;"</f>
        <v>ALTER TABLE milscm_2023_010.azn_202310_backup_mt_yakko_atc5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milscm_2023_010.azn_202310_backup_mt_yakko_atc5</v>
      </c>
      <c r="O11" s="76"/>
      <c r="P11" s="76"/>
      <c r="Q11" s="76"/>
      <c r="R11" s="76"/>
      <c r="S11" s="76"/>
      <c r="T11" s="76"/>
      <c r="AJ11" s="76" t="str">
        <f>"ADD CONSTRAINT "&amp;D$8&amp;"_pkey PRIMARY KEY"</f>
        <v>ADD CONSTRAINT azn_202310_backup_mt_yakko_atc5_pkey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milscm_2023_010.azn_202310_backup_mt_yakko_atc5 IS 'バックアップ_薬効ATC分類5マスタ';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24" si="0">UPPER(G13)</f>
        <v>TEXT</v>
      </c>
      <c r="R13" s="76" t="str">
        <f t="shared" ref="R13:R24"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milscm_2023_010.azn_202310_backup_mt_yakko_atc5.sekoubi IS '施行日';</v>
      </c>
    </row>
    <row r="14" spans="1:45" s="25" customFormat="1">
      <c r="A14" s="4"/>
      <c r="B14" s="21">
        <f t="shared" ref="B14:B23" si="2">ROW()-12</f>
        <v>2</v>
      </c>
      <c r="C14" s="6" t="s">
        <v>3288</v>
      </c>
      <c r="D14" s="6" t="s">
        <v>2045</v>
      </c>
      <c r="E14" s="8" t="s">
        <v>127</v>
      </c>
      <c r="F14" s="7" t="s">
        <v>316</v>
      </c>
      <c r="G14" s="7" t="str">
        <f t="shared" ref="G14:G24" si="3">IF(F14="フラグ","boolean",IF(F14="文字列","text",IF(F14="整数","integer",IF(F14="実数","numeric",""))))</f>
        <v>text</v>
      </c>
      <c r="H14" s="26"/>
      <c r="I14" s="10" t="s">
        <v>127</v>
      </c>
      <c r="J14" s="11" t="s">
        <v>3313</v>
      </c>
      <c r="M14" s="4"/>
      <c r="N14" s="76"/>
      <c r="O14" s="76"/>
      <c r="P14" s="76" t="str">
        <f t="shared" ref="P14:P24" si="4">IF(B14&lt;&gt;1,","&amp;D14,D14)</f>
        <v>,koshin_kubun</v>
      </c>
      <c r="Q14" s="76" t="str">
        <f t="shared" si="0"/>
        <v>TEXT</v>
      </c>
      <c r="R14" s="76" t="str">
        <f t="shared" si="1"/>
        <v/>
      </c>
      <c r="S14" s="76" t="str">
        <f t="shared" ref="S14:S24" si="5">IF(I14="○","NOT NULL","")</f>
        <v>NOT NULL</v>
      </c>
      <c r="T14" s="76" t="str">
        <f t="shared" ref="T14:T24"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milscm_2023_010.azn_202310_backup_mt_yakko_atc5.koshin_kubun IS '更新区分';</v>
      </c>
    </row>
    <row r="15" spans="1:45" s="25" customFormat="1">
      <c r="A15" s="4"/>
      <c r="B15" s="21">
        <f t="shared" si="2"/>
        <v>3</v>
      </c>
      <c r="C15" s="6" t="s">
        <v>2550</v>
      </c>
      <c r="D15" s="6" t="s">
        <v>3289</v>
      </c>
      <c r="E15" s="8" t="s">
        <v>127</v>
      </c>
      <c r="F15" s="7" t="s">
        <v>316</v>
      </c>
      <c r="G15" s="7" t="str">
        <f t="shared" si="3"/>
        <v>text</v>
      </c>
      <c r="H15" s="26"/>
      <c r="I15" s="10" t="s">
        <v>127</v>
      </c>
      <c r="J15" s="11"/>
      <c r="M15" s="4"/>
      <c r="N15" s="76"/>
      <c r="O15" s="76"/>
      <c r="P15" s="76" t="str">
        <f t="shared" si="4"/>
        <v>,yakko_bunrui1_code</v>
      </c>
      <c r="Q15" s="76" t="str">
        <f t="shared" si="0"/>
        <v>TEXT</v>
      </c>
      <c r="R15" s="76" t="str">
        <f t="shared" si="1"/>
        <v/>
      </c>
      <c r="S15" s="76" t="str">
        <f t="shared" si="5"/>
        <v>NOT NULL</v>
      </c>
      <c r="T15" s="76" t="str">
        <f t="shared" si="6"/>
        <v>-- 薬効分類1コード</v>
      </c>
      <c r="U15" s="4"/>
      <c r="AA15" s="4"/>
      <c r="AB15" s="4"/>
      <c r="AC15" s="4"/>
      <c r="AD15" s="4"/>
      <c r="AE15" s="4"/>
      <c r="AF15" s="4"/>
      <c r="AG15" s="4"/>
      <c r="AH15" s="4"/>
      <c r="AI15" s="4"/>
      <c r="AJ15" s="76" t="str">
        <f>IF(E15="○",IF(COUNTA(E$13:E15)=1,"",",")&amp;D15,"")</f>
        <v>,yakko_bunrui1_code</v>
      </c>
      <c r="AK15" s="4"/>
      <c r="AL15" s="4"/>
      <c r="AM15" s="4"/>
      <c r="AN15" s="4"/>
      <c r="AO15" s="4"/>
      <c r="AP15" s="4"/>
      <c r="AQ15" s="4"/>
      <c r="AR15" s="4"/>
      <c r="AS15" s="76" t="str">
        <f>"COMMENT ON COLUMN "&amp;エンティティ一覧!$O$2&amp;"."&amp;D$8&amp;"."&amp;D15&amp;" IS '"&amp;C15&amp;"';"</f>
        <v>COMMENT ON COLUMN milscm_2023_010.azn_202310_backup_mt_yakko_atc5.yakko_bunrui1_code IS '薬効分類1コード';</v>
      </c>
    </row>
    <row r="16" spans="1:45" s="25" customFormat="1">
      <c r="A16" s="4"/>
      <c r="B16" s="21">
        <f t="shared" si="2"/>
        <v>4</v>
      </c>
      <c r="C16" s="6" t="s">
        <v>2552</v>
      </c>
      <c r="D16" s="6" t="s">
        <v>3290</v>
      </c>
      <c r="E16" s="8" t="s">
        <v>127</v>
      </c>
      <c r="F16" s="7" t="s">
        <v>316</v>
      </c>
      <c r="G16" s="7" t="str">
        <f t="shared" si="3"/>
        <v>text</v>
      </c>
      <c r="H16" s="26"/>
      <c r="I16" s="10" t="s">
        <v>127</v>
      </c>
      <c r="J16" s="11"/>
      <c r="M16" s="4"/>
      <c r="N16" s="76"/>
      <c r="O16" s="76"/>
      <c r="P16" s="76" t="str">
        <f t="shared" si="4"/>
        <v>,yakko_bunrui2_code</v>
      </c>
      <c r="Q16" s="76" t="str">
        <f t="shared" si="0"/>
        <v>TEXT</v>
      </c>
      <c r="R16" s="76" t="str">
        <f t="shared" si="1"/>
        <v/>
      </c>
      <c r="S16" s="76" t="str">
        <f t="shared" si="5"/>
        <v>NOT NULL</v>
      </c>
      <c r="T16" s="76" t="str">
        <f t="shared" si="6"/>
        <v>-- 薬効分類2コード</v>
      </c>
      <c r="U16" s="4"/>
      <c r="AA16" s="4"/>
      <c r="AB16" s="4"/>
      <c r="AC16" s="4"/>
      <c r="AD16" s="4"/>
      <c r="AE16" s="4"/>
      <c r="AF16" s="4"/>
      <c r="AG16" s="4"/>
      <c r="AH16" s="4"/>
      <c r="AI16" s="4"/>
      <c r="AJ16" s="76" t="str">
        <f>IF(E16="○",IF(COUNTA(E$13:E16)=1,"",",")&amp;D16,"")</f>
        <v>,yakko_bunrui2_code</v>
      </c>
      <c r="AK16" s="4"/>
      <c r="AL16" s="4"/>
      <c r="AM16" s="4"/>
      <c r="AN16" s="4"/>
      <c r="AO16" s="4"/>
      <c r="AP16" s="4"/>
      <c r="AQ16" s="4"/>
      <c r="AR16" s="4"/>
      <c r="AS16" s="76" t="str">
        <f>"COMMENT ON COLUMN "&amp;エンティティ一覧!$O$2&amp;"."&amp;D$8&amp;"."&amp;D16&amp;" IS '"&amp;C16&amp;"';"</f>
        <v>COMMENT ON COLUMN milscm_2023_010.azn_202310_backup_mt_yakko_atc5.yakko_bunrui2_code IS '薬効分類2コード';</v>
      </c>
    </row>
    <row r="17" spans="1:52" s="25" customFormat="1">
      <c r="A17" s="4"/>
      <c r="B17" s="21">
        <f t="shared" si="2"/>
        <v>5</v>
      </c>
      <c r="C17" s="6" t="s">
        <v>2554</v>
      </c>
      <c r="D17" s="6" t="s">
        <v>3291</v>
      </c>
      <c r="E17" s="8" t="s">
        <v>127</v>
      </c>
      <c r="F17" s="7" t="s">
        <v>316</v>
      </c>
      <c r="G17" s="7" t="str">
        <f t="shared" si="3"/>
        <v>text</v>
      </c>
      <c r="H17" s="26"/>
      <c r="I17" s="10" t="s">
        <v>127</v>
      </c>
      <c r="J17" s="11"/>
      <c r="M17" s="4"/>
      <c r="N17" s="76"/>
      <c r="O17" s="76"/>
      <c r="P17" s="76" t="str">
        <f t="shared" si="4"/>
        <v>,yakko_bunrui3_code</v>
      </c>
      <c r="Q17" s="76" t="str">
        <f t="shared" si="0"/>
        <v>TEXT</v>
      </c>
      <c r="R17" s="76" t="str">
        <f t="shared" si="1"/>
        <v/>
      </c>
      <c r="S17" s="76" t="str">
        <f t="shared" si="5"/>
        <v>NOT NULL</v>
      </c>
      <c r="T17" s="76" t="str">
        <f t="shared" si="6"/>
        <v>-- 薬効分類3コード</v>
      </c>
      <c r="U17" s="4"/>
      <c r="AA17" s="4"/>
      <c r="AB17" s="4"/>
      <c r="AC17" s="4"/>
      <c r="AD17" s="4"/>
      <c r="AE17" s="4"/>
      <c r="AF17" s="4"/>
      <c r="AG17" s="4"/>
      <c r="AH17" s="4"/>
      <c r="AI17" s="4"/>
      <c r="AJ17" s="76" t="str">
        <f>IF(E17="○",IF(COUNTA(E$13:E17)=1,"",",")&amp;D17,"")</f>
        <v>,yakko_bunrui3_code</v>
      </c>
      <c r="AK17" s="4"/>
      <c r="AL17" s="4"/>
      <c r="AM17" s="4"/>
      <c r="AN17" s="4"/>
      <c r="AO17" s="4"/>
      <c r="AP17" s="4"/>
      <c r="AQ17" s="4"/>
      <c r="AR17" s="4"/>
      <c r="AS17" s="76" t="str">
        <f>"COMMENT ON COLUMN "&amp;エンティティ一覧!$O$2&amp;"."&amp;D$8&amp;"."&amp;D17&amp;" IS '"&amp;C17&amp;"';"</f>
        <v>COMMENT ON COLUMN milscm_2023_010.azn_202310_backup_mt_yakko_atc5.yakko_bunrui3_code IS '薬効分類3コード';</v>
      </c>
    </row>
    <row r="18" spans="1:52" s="25" customFormat="1">
      <c r="A18" s="4"/>
      <c r="B18" s="21">
        <f t="shared" si="2"/>
        <v>6</v>
      </c>
      <c r="C18" s="6" t="s">
        <v>2556</v>
      </c>
      <c r="D18" s="6" t="s">
        <v>3292</v>
      </c>
      <c r="E18" s="8" t="s">
        <v>127</v>
      </c>
      <c r="F18" s="7" t="s">
        <v>316</v>
      </c>
      <c r="G18" s="7" t="str">
        <f t="shared" si="3"/>
        <v>text</v>
      </c>
      <c r="H18" s="26"/>
      <c r="I18" s="10" t="s">
        <v>127</v>
      </c>
      <c r="J18" s="11"/>
      <c r="M18" s="4"/>
      <c r="N18" s="76"/>
      <c r="O18" s="76"/>
      <c r="P18" s="76" t="str">
        <f t="shared" si="4"/>
        <v>,yakko_bunrui4_code</v>
      </c>
      <c r="Q18" s="76" t="str">
        <f t="shared" si="0"/>
        <v>TEXT</v>
      </c>
      <c r="R18" s="76" t="str">
        <f t="shared" si="1"/>
        <v/>
      </c>
      <c r="S18" s="76" t="str">
        <f t="shared" si="5"/>
        <v>NOT NULL</v>
      </c>
      <c r="T18" s="76" t="str">
        <f t="shared" si="6"/>
        <v>-- 薬効分類4コード</v>
      </c>
      <c r="U18" s="4"/>
      <c r="AA18" s="4"/>
      <c r="AB18" s="4"/>
      <c r="AC18" s="4"/>
      <c r="AD18" s="4"/>
      <c r="AE18" s="4"/>
      <c r="AF18" s="4"/>
      <c r="AG18" s="4"/>
      <c r="AH18" s="4"/>
      <c r="AI18" s="4"/>
      <c r="AJ18" s="76" t="str">
        <f>IF(E18="○",IF(COUNTA(E$13:E18)=1,"",",")&amp;D18,"")</f>
        <v>,yakko_bunrui4_code</v>
      </c>
      <c r="AK18" s="4"/>
      <c r="AL18" s="4"/>
      <c r="AM18" s="4"/>
      <c r="AN18" s="4"/>
      <c r="AO18" s="4"/>
      <c r="AP18" s="4"/>
      <c r="AQ18" s="4"/>
      <c r="AR18" s="4"/>
      <c r="AS18" s="76" t="str">
        <f>"COMMENT ON COLUMN "&amp;エンティティ一覧!$O$2&amp;"."&amp;D$8&amp;"."&amp;D18&amp;" IS '"&amp;C18&amp;"';"</f>
        <v>COMMENT ON COLUMN milscm_2023_010.azn_202310_backup_mt_yakko_atc5.yakko_bunrui4_code IS '薬効分類4コード';</v>
      </c>
    </row>
    <row r="19" spans="1:52" s="25" customFormat="1">
      <c r="A19" s="4"/>
      <c r="B19" s="21">
        <f t="shared" si="2"/>
        <v>7</v>
      </c>
      <c r="C19" s="6" t="s">
        <v>2558</v>
      </c>
      <c r="D19" s="6" t="s">
        <v>3293</v>
      </c>
      <c r="E19" s="8" t="s">
        <v>127</v>
      </c>
      <c r="F19" s="7" t="s">
        <v>316</v>
      </c>
      <c r="G19" s="7" t="str">
        <f t="shared" si="3"/>
        <v>text</v>
      </c>
      <c r="H19" s="26"/>
      <c r="I19" s="10" t="s">
        <v>127</v>
      </c>
      <c r="J19" s="11"/>
      <c r="M19" s="4"/>
      <c r="N19" s="76"/>
      <c r="O19" s="76"/>
      <c r="P19" s="76" t="str">
        <f t="shared" si="4"/>
        <v>,yakko_bunrui5_code</v>
      </c>
      <c r="Q19" s="76" t="str">
        <f t="shared" si="0"/>
        <v>TEXT</v>
      </c>
      <c r="R19" s="76" t="str">
        <f t="shared" si="1"/>
        <v/>
      </c>
      <c r="S19" s="76" t="str">
        <f t="shared" si="5"/>
        <v>NOT NULL</v>
      </c>
      <c r="T19" s="76" t="str">
        <f t="shared" si="6"/>
        <v>-- 薬効分類5コード</v>
      </c>
      <c r="U19" s="4"/>
      <c r="AA19" s="4"/>
      <c r="AB19" s="4"/>
      <c r="AC19" s="4"/>
      <c r="AD19" s="4"/>
      <c r="AE19" s="4"/>
      <c r="AF19" s="4"/>
      <c r="AG19" s="4"/>
      <c r="AH19" s="4"/>
      <c r="AI19" s="4"/>
      <c r="AJ19" s="76" t="str">
        <f>IF(E19="○",IF(COUNTA(E$13:E19)=1,"",",")&amp;D19,"")</f>
        <v>,yakko_bunrui5_code</v>
      </c>
      <c r="AK19" s="4"/>
      <c r="AL19" s="4"/>
      <c r="AM19" s="4"/>
      <c r="AN19" s="4"/>
      <c r="AO19" s="4"/>
      <c r="AP19" s="4"/>
      <c r="AQ19" s="4"/>
      <c r="AR19" s="4"/>
      <c r="AS19" s="76" t="str">
        <f>"COMMENT ON COLUMN "&amp;エンティティ一覧!$O$2&amp;"."&amp;D$8&amp;"."&amp;D19&amp;" IS '"&amp;C19&amp;"';"</f>
        <v>COMMENT ON COLUMN milscm_2023_010.azn_202310_backup_mt_yakko_atc5.yakko_bunrui5_code IS '薬効分類5コード';</v>
      </c>
    </row>
    <row r="20" spans="1:52" s="25" customFormat="1">
      <c r="A20" s="4"/>
      <c r="B20" s="21">
        <f t="shared" si="2"/>
        <v>8</v>
      </c>
      <c r="C20" s="6" t="s">
        <v>2576</v>
      </c>
      <c r="D20" s="6" t="s">
        <v>3343</v>
      </c>
      <c r="E20" s="8"/>
      <c r="F20" s="7" t="s">
        <v>316</v>
      </c>
      <c r="G20" s="7" t="str">
        <f t="shared" si="3"/>
        <v>text</v>
      </c>
      <c r="H20" s="26"/>
      <c r="I20" s="10" t="s">
        <v>127</v>
      </c>
      <c r="J20" s="11"/>
      <c r="M20" s="4"/>
      <c r="N20" s="76"/>
      <c r="O20" s="76"/>
      <c r="P20" s="76" t="str">
        <f t="shared" si="4"/>
        <v>,yakko_bunrui5_name</v>
      </c>
      <c r="Q20" s="76" t="str">
        <f t="shared" si="0"/>
        <v>TEXT</v>
      </c>
      <c r="R20" s="76" t="str">
        <f t="shared" si="1"/>
        <v/>
      </c>
      <c r="S20" s="76" t="str">
        <f t="shared" si="5"/>
        <v>NOT NULL</v>
      </c>
      <c r="T20" s="76" t="str">
        <f t="shared" si="6"/>
        <v>-- 薬効分類5名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milscm_2023_010.azn_202310_backup_mt_yakko_atc5.yakko_bunrui5_name IS '薬効分類5名';</v>
      </c>
    </row>
    <row r="21" spans="1:52" s="25" customFormat="1">
      <c r="A21" s="4"/>
      <c r="B21" s="21">
        <f t="shared" si="2"/>
        <v>9</v>
      </c>
      <c r="C21" s="6" t="s">
        <v>3344</v>
      </c>
      <c r="D21" s="6" t="s">
        <v>2577</v>
      </c>
      <c r="E21" s="8"/>
      <c r="F21" s="7" t="s">
        <v>316</v>
      </c>
      <c r="G21" s="7" t="str">
        <f t="shared" ref="G21" si="7">IF(F21="フラグ","boolean",IF(F21="文字列","text",IF(F21="整数","integer",IF(F21="実数","numeric",""))))</f>
        <v>text</v>
      </c>
      <c r="H21" s="26"/>
      <c r="I21" s="10" t="s">
        <v>127</v>
      </c>
      <c r="J21" s="11"/>
      <c r="M21" s="4"/>
      <c r="N21" s="76"/>
      <c r="O21" s="76"/>
      <c r="P21" s="76" t="str">
        <f t="shared" ref="P21" si="8">IF(B21&lt;&gt;1,","&amp;D21,D21)</f>
        <v>,yakko_bunrui5_jpn_name</v>
      </c>
      <c r="Q21" s="76" t="str">
        <f t="shared" ref="Q21" si="9">UPPER(G21)</f>
        <v>TEXT</v>
      </c>
      <c r="R21" s="76" t="str">
        <f t="shared" ref="R21" si="10">IF(H21&lt;&gt;"","default "&amp;IF(G21="text","'"&amp;H21&amp;"'",H21),"")</f>
        <v/>
      </c>
      <c r="S21" s="76" t="str">
        <f t="shared" ref="S21" si="11">IF(I21="○","NOT NULL","")</f>
        <v>NOT NULL</v>
      </c>
      <c r="T21" s="76" t="str">
        <f t="shared" ref="T21" si="12">"-- "&amp;C21</f>
        <v>-- 薬効分類5日本語名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milscm_2023_010.azn_202310_backup_mt_yakko_atc5.yakko_bunrui5_jpn_name IS '薬効分類5日本語名';</v>
      </c>
    </row>
    <row r="22" spans="1:52" s="25" customFormat="1">
      <c r="A22" s="4"/>
      <c r="B22" s="21">
        <f t="shared" si="2"/>
        <v>10</v>
      </c>
      <c r="C22" s="6" t="s">
        <v>3307</v>
      </c>
      <c r="D22" s="6" t="s">
        <v>3308</v>
      </c>
      <c r="E22" s="8"/>
      <c r="F22" s="7" t="s">
        <v>316</v>
      </c>
      <c r="G22" s="7" t="str">
        <f t="shared" si="3"/>
        <v>text</v>
      </c>
      <c r="H22" s="26"/>
      <c r="I22" s="10" t="s">
        <v>127</v>
      </c>
      <c r="J22" s="11" t="s">
        <v>3315</v>
      </c>
      <c r="M22" s="4"/>
      <c r="N22" s="76"/>
      <c r="O22" s="76"/>
      <c r="P22" s="76" t="str">
        <f t="shared" si="4"/>
        <v>,nen</v>
      </c>
      <c r="Q22" s="76" t="str">
        <f t="shared" si="0"/>
        <v>TEXT</v>
      </c>
      <c r="R22" s="76" t="str">
        <f t="shared" si="1"/>
        <v/>
      </c>
      <c r="S22" s="76" t="str">
        <f t="shared" si="5"/>
        <v>NOT NULL</v>
      </c>
      <c r="T22" s="76" t="str">
        <f t="shared" si="6"/>
        <v>-- 年</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milscm_2023_010.azn_202310_backup_mt_yakko_atc5.nen IS '年';</v>
      </c>
    </row>
    <row r="23" spans="1:52" s="25" customFormat="1">
      <c r="A23" s="4"/>
      <c r="B23" s="21">
        <f t="shared" si="2"/>
        <v>11</v>
      </c>
      <c r="C23" s="6" t="s">
        <v>3309</v>
      </c>
      <c r="D23" s="6" t="s">
        <v>3310</v>
      </c>
      <c r="E23" s="8"/>
      <c r="F23" s="7" t="s">
        <v>316</v>
      </c>
      <c r="G23" s="7" t="str">
        <f t="shared" si="3"/>
        <v>text</v>
      </c>
      <c r="H23" s="26"/>
      <c r="I23" s="10" t="s">
        <v>127</v>
      </c>
      <c r="J23" s="11" t="s">
        <v>3316</v>
      </c>
      <c r="M23" s="4"/>
      <c r="N23" s="76"/>
      <c r="O23" s="76"/>
      <c r="P23" s="76" t="str">
        <f t="shared" si="4"/>
        <v>,nengetsu</v>
      </c>
      <c r="Q23" s="76" t="str">
        <f t="shared" si="0"/>
        <v>TEXT</v>
      </c>
      <c r="R23" s="76" t="str">
        <f t="shared" si="1"/>
        <v/>
      </c>
      <c r="S23" s="76" t="str">
        <f t="shared" si="5"/>
        <v>NOT NULL</v>
      </c>
      <c r="T23" s="76" t="str">
        <f t="shared" si="6"/>
        <v>-- 年月</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milscm_2023_010.azn_202310_backup_mt_yakko_atc5.nengetsu IS '年月';</v>
      </c>
    </row>
    <row r="24" spans="1:52" s="25" customFormat="1" ht="19.5" thickBot="1">
      <c r="A24" s="4"/>
      <c r="B24" s="27">
        <f>ROW()-12</f>
        <v>12</v>
      </c>
      <c r="C24" s="57" t="s">
        <v>3311</v>
      </c>
      <c r="D24" s="57" t="s">
        <v>1879</v>
      </c>
      <c r="E24" s="56"/>
      <c r="F24" s="56" t="s">
        <v>316</v>
      </c>
      <c r="G24" s="56" t="str">
        <f t="shared" si="3"/>
        <v>text</v>
      </c>
      <c r="H24" s="59"/>
      <c r="I24" s="60" t="s">
        <v>127</v>
      </c>
      <c r="J24" s="63" t="s">
        <v>2397</v>
      </c>
      <c r="N24" s="76"/>
      <c r="O24" s="76"/>
      <c r="P24" s="76" t="str">
        <f t="shared" si="4"/>
        <v>,update_ymd</v>
      </c>
      <c r="Q24" s="76" t="str">
        <f t="shared" si="0"/>
        <v>TEXT</v>
      </c>
      <c r="R24" s="76" t="str">
        <f t="shared" si="1"/>
        <v/>
      </c>
      <c r="S24" s="76" t="str">
        <f t="shared" si="5"/>
        <v>NOT NULL</v>
      </c>
      <c r="T24" s="76" t="str">
        <f t="shared" si="6"/>
        <v>-- データ登録日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milscm_2023_010.azn_202310_backup_mt_yakko_atc5.update_ymd IS 'データ登録日';</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ENT_01_A3-29</v>
      </c>
      <c r="E6" s="272"/>
      <c r="F6" s="272"/>
      <c r="G6" s="272"/>
      <c r="H6" s="272"/>
      <c r="I6" s="272"/>
      <c r="J6" s="273"/>
    </row>
    <row r="7" spans="1:45">
      <c r="B7" s="261" t="s">
        <v>115</v>
      </c>
      <c r="C7" s="262"/>
      <c r="D7" s="263" t="s">
        <v>3345</v>
      </c>
      <c r="E7" s="264"/>
      <c r="F7" s="264"/>
      <c r="G7" s="264"/>
      <c r="H7" s="264"/>
      <c r="I7" s="264"/>
      <c r="J7" s="265"/>
    </row>
    <row r="8" spans="1:45">
      <c r="B8" s="261" t="s">
        <v>116</v>
      </c>
      <c r="C8" s="262"/>
      <c r="D8" s="263" t="str">
        <f>エンティティ一覧!AE2&amp;"_"&amp;D5&amp;"_mt_shippei"</f>
        <v>azn_202310_backup_mt_shippei</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疾病マスタテーブルから組入れ条件の第一条件で絞り込んだ結果を格納するテーブル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milscm_2023_010.azn_202310_backup_mt_shippei;</v>
      </c>
      <c r="O10" s="76"/>
      <c r="P10" s="76"/>
      <c r="Q10" s="76"/>
      <c r="R10" s="76"/>
      <c r="S10" s="76"/>
      <c r="T10" s="76"/>
      <c r="AJ10" s="76" t="str">
        <f>"ALTER TABLE ONLY "&amp;エンティティ一覧!$O$2&amp;"."&amp;D$8</f>
        <v>ALTER TABLE ONLY milscm_2023_010.azn_202310_backup_mt_shippei</v>
      </c>
      <c r="AS10" s="76" t="str">
        <f>"ALTER TABLE "&amp;エンティティ一覧!$O$2&amp;"."&amp;D$8&amp;" OWNER TO pgmisgrp1;"</f>
        <v>ALTER TABLE milscm_2023_010.azn_202310_backup_mt_shippei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milscm_2023_010.azn_202310_backup_mt_shippei</v>
      </c>
      <c r="O11" s="76"/>
      <c r="P11" s="76"/>
      <c r="Q11" s="76"/>
      <c r="R11" s="76"/>
      <c r="S11" s="76"/>
      <c r="T11" s="76"/>
      <c r="AJ11" s="76" t="str">
        <f>"ADD CONSTRAINT "&amp;D$8&amp;"_pkey PRIMARY KEY"</f>
        <v>ADD CONSTRAINT azn_202310_backup_mt_shippei_pkey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milscm_2023_010.azn_202310_backup_mt_shippei IS 'バックアップ_疾病マスタ';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27" si="0">UPPER(G13)</f>
        <v>TEXT</v>
      </c>
      <c r="R13" s="76" t="str">
        <f t="shared" ref="R13:R27"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milscm_2023_010.azn_202310_backup_mt_shippei.sekoubi IS '施行日';</v>
      </c>
    </row>
    <row r="14" spans="1:45" s="25" customFormat="1">
      <c r="A14" s="4"/>
      <c r="B14" s="21">
        <f t="shared" ref="B14:B26" si="2">ROW()-12</f>
        <v>2</v>
      </c>
      <c r="C14" s="6" t="s">
        <v>3288</v>
      </c>
      <c r="D14" s="6" t="s">
        <v>2045</v>
      </c>
      <c r="E14" s="8" t="s">
        <v>127</v>
      </c>
      <c r="F14" s="7" t="s">
        <v>316</v>
      </c>
      <c r="G14" s="7" t="str">
        <f t="shared" ref="G14:G27" si="3">IF(F14="フラグ","boolean",IF(F14="文字列","text",IF(F14="整数","integer",IF(F14="実数","numeric",""))))</f>
        <v>text</v>
      </c>
      <c r="H14" s="26"/>
      <c r="I14" s="10" t="s">
        <v>127</v>
      </c>
      <c r="J14" s="11" t="s">
        <v>3313</v>
      </c>
      <c r="M14" s="4"/>
      <c r="N14" s="76"/>
      <c r="O14" s="76"/>
      <c r="P14" s="76" t="str">
        <f t="shared" ref="P14:P27" si="4">IF(B14&lt;&gt;1,","&amp;D14,D14)</f>
        <v>,koshin_kubun</v>
      </c>
      <c r="Q14" s="76" t="str">
        <f t="shared" si="0"/>
        <v>TEXT</v>
      </c>
      <c r="R14" s="76" t="str">
        <f t="shared" si="1"/>
        <v/>
      </c>
      <c r="S14" s="76" t="str">
        <f t="shared" ref="S14:S27" si="5">IF(I14="○","NOT NULL","")</f>
        <v>NOT NULL</v>
      </c>
      <c r="T14" s="76" t="str">
        <f t="shared" ref="T14:T27"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milscm_2023_010.azn_202310_backup_mt_shippei.koshin_kubun IS '更新区分';</v>
      </c>
    </row>
    <row r="15" spans="1:45" s="25" customFormat="1">
      <c r="A15" s="4"/>
      <c r="B15" s="21">
        <f t="shared" si="2"/>
        <v>3</v>
      </c>
      <c r="C15" s="6" t="s">
        <v>3346</v>
      </c>
      <c r="D15" s="6" t="s">
        <v>3347</v>
      </c>
      <c r="E15" s="8" t="s">
        <v>127</v>
      </c>
      <c r="F15" s="7" t="s">
        <v>316</v>
      </c>
      <c r="G15" s="7" t="str">
        <f t="shared" si="3"/>
        <v>text</v>
      </c>
      <c r="H15" s="26"/>
      <c r="I15" s="10" t="s">
        <v>127</v>
      </c>
      <c r="J15" s="11"/>
      <c r="M15" s="4"/>
      <c r="N15" s="76"/>
      <c r="O15" s="76"/>
      <c r="P15" s="76" t="str">
        <f t="shared" si="4"/>
        <v>,shippei_code</v>
      </c>
      <c r="Q15" s="76" t="str">
        <f t="shared" si="0"/>
        <v>TEXT</v>
      </c>
      <c r="R15" s="76" t="str">
        <f t="shared" si="1"/>
        <v/>
      </c>
      <c r="S15" s="76" t="str">
        <f t="shared" si="5"/>
        <v>NOT NULL</v>
      </c>
      <c r="T15" s="76" t="str">
        <f t="shared" si="6"/>
        <v>-- 疾病コード</v>
      </c>
      <c r="U15" s="4"/>
      <c r="AA15" s="4"/>
      <c r="AB15" s="4"/>
      <c r="AC15" s="4"/>
      <c r="AD15" s="4"/>
      <c r="AE15" s="4"/>
      <c r="AF15" s="4"/>
      <c r="AG15" s="4"/>
      <c r="AH15" s="4"/>
      <c r="AI15" s="4"/>
      <c r="AJ15" s="76" t="str">
        <f>IF(E15="○",IF(COUNTA(E$13:E15)=1,"",",")&amp;D15,"")</f>
        <v>,shippei_code</v>
      </c>
      <c r="AK15" s="4"/>
      <c r="AL15" s="4"/>
      <c r="AM15" s="4"/>
      <c r="AN15" s="4"/>
      <c r="AO15" s="4"/>
      <c r="AP15" s="4"/>
      <c r="AQ15" s="4"/>
      <c r="AR15" s="4"/>
      <c r="AS15" s="76" t="str">
        <f>"COMMENT ON COLUMN "&amp;エンティティ一覧!$O$2&amp;"."&amp;D$8&amp;"."&amp;D15&amp;" IS '"&amp;C15&amp;"';"</f>
        <v>COMMENT ON COLUMN milscm_2023_010.azn_202310_backup_mt_shippei.shippei_code IS '疾病コード';</v>
      </c>
    </row>
    <row r="16" spans="1:45" s="25" customFormat="1">
      <c r="A16" s="4"/>
      <c r="B16" s="21">
        <f t="shared" si="2"/>
        <v>4</v>
      </c>
      <c r="C16" s="6" t="s">
        <v>3348</v>
      </c>
      <c r="D16" s="6" t="s">
        <v>3349</v>
      </c>
      <c r="E16" s="8"/>
      <c r="F16" s="7" t="s">
        <v>316</v>
      </c>
      <c r="G16" s="7" t="str">
        <f t="shared" si="3"/>
        <v>text</v>
      </c>
      <c r="H16" s="26"/>
      <c r="I16" s="10"/>
      <c r="J16" s="11"/>
      <c r="M16" s="4"/>
      <c r="N16" s="76"/>
      <c r="O16" s="76"/>
      <c r="P16" s="76" t="str">
        <f t="shared" si="4"/>
        <v>,icd10_1_l_code</v>
      </c>
      <c r="Q16" s="76" t="str">
        <f t="shared" si="0"/>
        <v>TEXT</v>
      </c>
      <c r="R16" s="76" t="str">
        <f t="shared" si="1"/>
        <v/>
      </c>
      <c r="S16" s="76" t="str">
        <f t="shared" si="5"/>
        <v/>
      </c>
      <c r="T16" s="76" t="str">
        <f t="shared" si="6"/>
        <v>-- ICD10-1大分類コード</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milscm_2023_010.azn_202310_backup_mt_shippei.icd10_1_l_code IS 'ICD10-1大分類コード';</v>
      </c>
    </row>
    <row r="17" spans="1:52" s="25" customFormat="1">
      <c r="A17" s="4"/>
      <c r="B17" s="21">
        <f t="shared" si="2"/>
        <v>5</v>
      </c>
      <c r="C17" s="6" t="s">
        <v>3350</v>
      </c>
      <c r="D17" s="6" t="s">
        <v>3351</v>
      </c>
      <c r="E17" s="8"/>
      <c r="F17" s="7" t="s">
        <v>316</v>
      </c>
      <c r="G17" s="7" t="str">
        <f t="shared" si="3"/>
        <v>text</v>
      </c>
      <c r="H17" s="26"/>
      <c r="I17" s="10"/>
      <c r="J17" s="11"/>
      <c r="M17" s="4"/>
      <c r="N17" s="76"/>
      <c r="O17" s="76"/>
      <c r="P17" s="76" t="str">
        <f t="shared" si="4"/>
        <v>,icd10_1_m_code</v>
      </c>
      <c r="Q17" s="76" t="str">
        <f t="shared" si="0"/>
        <v>TEXT</v>
      </c>
      <c r="R17" s="76" t="str">
        <f t="shared" si="1"/>
        <v/>
      </c>
      <c r="S17" s="76" t="str">
        <f t="shared" si="5"/>
        <v/>
      </c>
      <c r="T17" s="76" t="str">
        <f t="shared" si="6"/>
        <v>-- ICD10-1中分類コード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milscm_2023_010.azn_202310_backup_mt_shippei.icd10_1_m_code IS 'ICD10-1中分類コード';</v>
      </c>
    </row>
    <row r="18" spans="1:52" s="25" customFormat="1">
      <c r="A18" s="4"/>
      <c r="B18" s="21">
        <f t="shared" si="2"/>
        <v>6</v>
      </c>
      <c r="C18" s="6" t="s">
        <v>3352</v>
      </c>
      <c r="D18" s="6" t="s">
        <v>3353</v>
      </c>
      <c r="E18" s="8"/>
      <c r="F18" s="7" t="s">
        <v>316</v>
      </c>
      <c r="G18" s="7" t="str">
        <f t="shared" si="3"/>
        <v>text</v>
      </c>
      <c r="H18" s="26"/>
      <c r="I18" s="10"/>
      <c r="J18" s="11"/>
      <c r="M18" s="4"/>
      <c r="N18" s="76"/>
      <c r="O18" s="76"/>
      <c r="P18" s="76" t="str">
        <f t="shared" si="4"/>
        <v>,icd10_1_s_code</v>
      </c>
      <c r="Q18" s="76" t="str">
        <f t="shared" si="0"/>
        <v>TEXT</v>
      </c>
      <c r="R18" s="76" t="str">
        <f t="shared" si="1"/>
        <v/>
      </c>
      <c r="S18" s="76" t="str">
        <f t="shared" si="5"/>
        <v/>
      </c>
      <c r="T18" s="76" t="str">
        <f t="shared" si="6"/>
        <v>-- ICD10-1小分類コード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milscm_2023_010.azn_202310_backup_mt_shippei.icd10_1_s_code IS 'ICD10-1小分類コード';</v>
      </c>
    </row>
    <row r="19" spans="1:52" s="25" customFormat="1">
      <c r="A19" s="4"/>
      <c r="B19" s="21">
        <f t="shared" si="2"/>
        <v>7</v>
      </c>
      <c r="C19" s="6" t="s">
        <v>3354</v>
      </c>
      <c r="D19" s="6" t="s">
        <v>3355</v>
      </c>
      <c r="E19" s="8"/>
      <c r="F19" s="7" t="s">
        <v>316</v>
      </c>
      <c r="G19" s="7" t="str">
        <f t="shared" si="3"/>
        <v>text</v>
      </c>
      <c r="H19" s="26"/>
      <c r="I19" s="10"/>
      <c r="J19" s="11"/>
      <c r="M19" s="4"/>
      <c r="N19" s="76"/>
      <c r="O19" s="76"/>
      <c r="P19" s="76" t="str">
        <f t="shared" si="4"/>
        <v>,icd10_1_ss_code</v>
      </c>
      <c r="Q19" s="76" t="str">
        <f t="shared" si="0"/>
        <v>TEXT</v>
      </c>
      <c r="R19" s="76" t="str">
        <f t="shared" si="1"/>
        <v/>
      </c>
      <c r="S19" s="76" t="str">
        <f t="shared" si="5"/>
        <v/>
      </c>
      <c r="T19" s="76" t="str">
        <f t="shared" si="6"/>
        <v>-- ICD10-1細分類コード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milscm_2023_010.azn_202310_backup_mt_shippei.icd10_1_ss_code IS 'ICD10-1細分類コード';</v>
      </c>
    </row>
    <row r="20" spans="1:52" s="25" customFormat="1">
      <c r="A20" s="4"/>
      <c r="B20" s="21">
        <f t="shared" si="2"/>
        <v>8</v>
      </c>
      <c r="C20" s="6" t="s">
        <v>3356</v>
      </c>
      <c r="D20" s="6" t="s">
        <v>3357</v>
      </c>
      <c r="E20" s="8"/>
      <c r="F20" s="7" t="s">
        <v>316</v>
      </c>
      <c r="G20" s="7" t="str">
        <f t="shared" si="3"/>
        <v>text</v>
      </c>
      <c r="H20" s="26"/>
      <c r="I20" s="10"/>
      <c r="J20" s="11"/>
      <c r="M20" s="4"/>
      <c r="N20" s="76"/>
      <c r="O20" s="76"/>
      <c r="P20" s="76" t="str">
        <f t="shared" si="4"/>
        <v>,icd10_2_l_code</v>
      </c>
      <c r="Q20" s="76" t="str">
        <f t="shared" si="0"/>
        <v>TEXT</v>
      </c>
      <c r="R20" s="76" t="str">
        <f t="shared" si="1"/>
        <v/>
      </c>
      <c r="S20" s="76" t="str">
        <f t="shared" si="5"/>
        <v/>
      </c>
      <c r="T20" s="76" t="str">
        <f t="shared" si="6"/>
        <v>-- ICD10-2大分類コード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milscm_2023_010.azn_202310_backup_mt_shippei.icd10_2_l_code IS 'ICD10-2大分類コード';</v>
      </c>
    </row>
    <row r="21" spans="1:52" s="25" customFormat="1">
      <c r="A21" s="4"/>
      <c r="B21" s="21">
        <f t="shared" si="2"/>
        <v>9</v>
      </c>
      <c r="C21" s="6" t="s">
        <v>3358</v>
      </c>
      <c r="D21" s="6" t="s">
        <v>3359</v>
      </c>
      <c r="E21" s="8"/>
      <c r="F21" s="7" t="s">
        <v>316</v>
      </c>
      <c r="G21" s="7" t="str">
        <f t="shared" ref="G21:G23" si="7">IF(F21="フラグ","boolean",IF(F21="文字列","text",IF(F21="整数","integer",IF(F21="実数","numeric",""))))</f>
        <v>text</v>
      </c>
      <c r="H21" s="26"/>
      <c r="I21" s="10"/>
      <c r="J21" s="11"/>
      <c r="M21" s="4"/>
      <c r="N21" s="76"/>
      <c r="O21" s="76"/>
      <c r="P21" s="76" t="str">
        <f t="shared" ref="P21:P23" si="8">IF(B21&lt;&gt;1,","&amp;D21,D21)</f>
        <v>,icd10_2_m_code</v>
      </c>
      <c r="Q21" s="76" t="str">
        <f t="shared" ref="Q21:Q23" si="9">UPPER(G21)</f>
        <v>TEXT</v>
      </c>
      <c r="R21" s="76" t="str">
        <f t="shared" ref="R21:R23" si="10">IF(H21&lt;&gt;"","default "&amp;IF(G21="text","'"&amp;H21&amp;"'",H21),"")</f>
        <v/>
      </c>
      <c r="S21" s="76" t="str">
        <f t="shared" ref="S21:S23" si="11">IF(I21="○","NOT NULL","")</f>
        <v/>
      </c>
      <c r="T21" s="76" t="str">
        <f t="shared" ref="T21:T23" si="12">"-- "&amp;C21</f>
        <v>-- ICD10-2中分類コード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milscm_2023_010.azn_202310_backup_mt_shippei.icd10_2_m_code IS 'ICD10-2中分類コード';</v>
      </c>
    </row>
    <row r="22" spans="1:52" s="25" customFormat="1">
      <c r="A22" s="4"/>
      <c r="B22" s="21">
        <f t="shared" si="2"/>
        <v>10</v>
      </c>
      <c r="C22" s="6" t="s">
        <v>3360</v>
      </c>
      <c r="D22" s="6" t="s">
        <v>3361</v>
      </c>
      <c r="E22" s="8"/>
      <c r="F22" s="7" t="s">
        <v>316</v>
      </c>
      <c r="G22" s="7" t="str">
        <f t="shared" si="7"/>
        <v>text</v>
      </c>
      <c r="H22" s="26"/>
      <c r="I22" s="10"/>
      <c r="J22" s="11"/>
      <c r="M22" s="4"/>
      <c r="N22" s="76"/>
      <c r="O22" s="76"/>
      <c r="P22" s="76" t="str">
        <f t="shared" si="8"/>
        <v>,icd10_2_s_code</v>
      </c>
      <c r="Q22" s="76" t="str">
        <f t="shared" si="9"/>
        <v>TEXT</v>
      </c>
      <c r="R22" s="76" t="str">
        <f t="shared" si="10"/>
        <v/>
      </c>
      <c r="S22" s="76" t="str">
        <f t="shared" si="11"/>
        <v/>
      </c>
      <c r="T22" s="76" t="str">
        <f t="shared" si="12"/>
        <v>-- ICD10-2小分類コード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milscm_2023_010.azn_202310_backup_mt_shippei.icd10_2_s_code IS 'ICD10-2小分類コード';</v>
      </c>
    </row>
    <row r="23" spans="1:52" s="25" customFormat="1">
      <c r="A23" s="4"/>
      <c r="B23" s="21">
        <f t="shared" si="2"/>
        <v>11</v>
      </c>
      <c r="C23" s="6" t="s">
        <v>3362</v>
      </c>
      <c r="D23" s="6" t="s">
        <v>3363</v>
      </c>
      <c r="E23" s="8"/>
      <c r="F23" s="7" t="s">
        <v>316</v>
      </c>
      <c r="G23" s="7" t="str">
        <f t="shared" si="7"/>
        <v>text</v>
      </c>
      <c r="H23" s="26"/>
      <c r="I23" s="10"/>
      <c r="J23" s="11"/>
      <c r="M23" s="4"/>
      <c r="N23" s="76"/>
      <c r="O23" s="76"/>
      <c r="P23" s="76" t="str">
        <f t="shared" si="8"/>
        <v>,icd10_2_ss_code</v>
      </c>
      <c r="Q23" s="76" t="str">
        <f t="shared" si="9"/>
        <v>TEXT</v>
      </c>
      <c r="R23" s="76" t="str">
        <f t="shared" si="10"/>
        <v/>
      </c>
      <c r="S23" s="76" t="str">
        <f t="shared" si="11"/>
        <v/>
      </c>
      <c r="T23" s="76" t="str">
        <f t="shared" si="12"/>
        <v>-- ICD10-2細分類コード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milscm_2023_010.azn_202310_backup_mt_shippei.icd10_2_ss_code IS 'ICD10-2細分類コード';</v>
      </c>
    </row>
    <row r="24" spans="1:52" s="25" customFormat="1">
      <c r="A24" s="4"/>
      <c r="B24" s="21">
        <f t="shared" si="2"/>
        <v>12</v>
      </c>
      <c r="C24" s="6" t="s">
        <v>3364</v>
      </c>
      <c r="D24" s="6" t="s">
        <v>3365</v>
      </c>
      <c r="E24" s="8"/>
      <c r="F24" s="7" t="s">
        <v>316</v>
      </c>
      <c r="G24" s="7" t="str">
        <f t="shared" si="3"/>
        <v>text</v>
      </c>
      <c r="H24" s="26"/>
      <c r="I24" s="10" t="s">
        <v>127</v>
      </c>
      <c r="J24" s="11"/>
      <c r="M24" s="4"/>
      <c r="N24" s="76"/>
      <c r="O24" s="76"/>
      <c r="P24" s="76" t="str">
        <f t="shared" si="4"/>
        <v>,shippei_name</v>
      </c>
      <c r="Q24" s="76" t="str">
        <f t="shared" si="0"/>
        <v>TEXT</v>
      </c>
      <c r="R24" s="76" t="str">
        <f t="shared" si="1"/>
        <v/>
      </c>
      <c r="S24" s="76" t="str">
        <f t="shared" si="5"/>
        <v>NOT NULL</v>
      </c>
      <c r="T24" s="76" t="str">
        <f t="shared" si="6"/>
        <v>-- 疾病名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milscm_2023_010.azn_202310_backup_mt_shippei.shippei_name IS '疾病名';</v>
      </c>
    </row>
    <row r="25" spans="1:52" s="25" customFormat="1">
      <c r="A25" s="4"/>
      <c r="B25" s="21">
        <f t="shared" si="2"/>
        <v>13</v>
      </c>
      <c r="C25" s="6" t="s">
        <v>3307</v>
      </c>
      <c r="D25" s="6" t="s">
        <v>3308</v>
      </c>
      <c r="E25" s="8"/>
      <c r="F25" s="7" t="s">
        <v>316</v>
      </c>
      <c r="G25" s="7" t="str">
        <f t="shared" si="3"/>
        <v>text</v>
      </c>
      <c r="H25" s="26"/>
      <c r="I25" s="10" t="s">
        <v>127</v>
      </c>
      <c r="J25" s="11" t="s">
        <v>3315</v>
      </c>
      <c r="M25" s="4"/>
      <c r="N25" s="76"/>
      <c r="O25" s="76"/>
      <c r="P25" s="76" t="str">
        <f t="shared" si="4"/>
        <v>,nen</v>
      </c>
      <c r="Q25" s="76" t="str">
        <f t="shared" si="0"/>
        <v>TEXT</v>
      </c>
      <c r="R25" s="76" t="str">
        <f t="shared" si="1"/>
        <v/>
      </c>
      <c r="S25" s="76" t="str">
        <f t="shared" si="5"/>
        <v>NOT NULL</v>
      </c>
      <c r="T25" s="76" t="str">
        <f t="shared" si="6"/>
        <v>-- 年</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milscm_2023_010.azn_202310_backup_mt_shippei.nen IS '年';</v>
      </c>
    </row>
    <row r="26" spans="1:52" s="25" customFormat="1">
      <c r="A26" s="4"/>
      <c r="B26" s="21">
        <f t="shared" si="2"/>
        <v>14</v>
      </c>
      <c r="C26" s="6" t="s">
        <v>3309</v>
      </c>
      <c r="D26" s="6" t="s">
        <v>3310</v>
      </c>
      <c r="E26" s="8"/>
      <c r="F26" s="7" t="s">
        <v>316</v>
      </c>
      <c r="G26" s="7" t="str">
        <f t="shared" si="3"/>
        <v>text</v>
      </c>
      <c r="H26" s="26"/>
      <c r="I26" s="10" t="s">
        <v>127</v>
      </c>
      <c r="J26" s="11" t="s">
        <v>3316</v>
      </c>
      <c r="M26" s="4"/>
      <c r="N26" s="76"/>
      <c r="O26" s="76"/>
      <c r="P26" s="76" t="str">
        <f t="shared" si="4"/>
        <v>,nengetsu</v>
      </c>
      <c r="Q26" s="76" t="str">
        <f t="shared" si="0"/>
        <v>TEXT</v>
      </c>
      <c r="R26" s="76" t="str">
        <f t="shared" si="1"/>
        <v/>
      </c>
      <c r="S26" s="76" t="str">
        <f t="shared" si="5"/>
        <v>NOT NULL</v>
      </c>
      <c r="T26" s="76" t="str">
        <f t="shared" si="6"/>
        <v>-- 年月</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milscm_2023_010.azn_202310_backup_mt_shippei.nengetsu IS '年月';</v>
      </c>
    </row>
    <row r="27" spans="1:52" s="25" customFormat="1" ht="19.5" thickBot="1">
      <c r="A27" s="4"/>
      <c r="B27" s="27">
        <f>ROW()-12</f>
        <v>15</v>
      </c>
      <c r="C27" s="57" t="s">
        <v>3311</v>
      </c>
      <c r="D27" s="57" t="s">
        <v>1879</v>
      </c>
      <c r="E27" s="56"/>
      <c r="F27" s="56" t="s">
        <v>316</v>
      </c>
      <c r="G27" s="56" t="str">
        <f t="shared" si="3"/>
        <v>text</v>
      </c>
      <c r="H27" s="59"/>
      <c r="I27" s="60" t="s">
        <v>127</v>
      </c>
      <c r="J27" s="63" t="s">
        <v>2397</v>
      </c>
      <c r="N27" s="76"/>
      <c r="O27" s="76"/>
      <c r="P27" s="76" t="str">
        <f t="shared" si="4"/>
        <v>,update_ymd</v>
      </c>
      <c r="Q27" s="76" t="str">
        <f t="shared" si="0"/>
        <v>TEXT</v>
      </c>
      <c r="R27" s="76" t="str">
        <f t="shared" si="1"/>
        <v/>
      </c>
      <c r="S27" s="76" t="str">
        <f t="shared" si="5"/>
        <v>NOT NULL</v>
      </c>
      <c r="T27" s="76" t="str">
        <f t="shared" si="6"/>
        <v>-- データ登録日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milscm_2023_010.azn_202310_backup_mt_shippei.update_ymd IS 'データ登録日';</v>
      </c>
    </row>
    <row r="28" spans="1:52">
      <c r="L28" s="25"/>
      <c r="M28" s="25"/>
      <c r="N28" s="76" t="s">
        <v>142</v>
      </c>
      <c r="O28" s="76"/>
      <c r="P28" s="76"/>
      <c r="Q28" s="76"/>
      <c r="R28" s="76"/>
      <c r="S28" s="76"/>
      <c r="T28" s="76"/>
      <c r="V28" s="25"/>
      <c r="W28" s="25"/>
      <c r="X28" s="25"/>
      <c r="Y28" s="25"/>
      <c r="Z28" s="25"/>
      <c r="AJ28" s="76"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ENT_01_A3-30</v>
      </c>
      <c r="E6" s="272"/>
      <c r="F6" s="272"/>
      <c r="G6" s="272"/>
      <c r="H6" s="272"/>
      <c r="I6" s="272"/>
      <c r="J6" s="273"/>
    </row>
    <row r="7" spans="1:45">
      <c r="B7" s="261" t="s">
        <v>115</v>
      </c>
      <c r="C7" s="262"/>
      <c r="D7" s="263" t="s">
        <v>3251</v>
      </c>
      <c r="E7" s="264"/>
      <c r="F7" s="264"/>
      <c r="G7" s="264"/>
      <c r="H7" s="264"/>
      <c r="I7" s="264"/>
      <c r="J7" s="265"/>
    </row>
    <row r="8" spans="1:45">
      <c r="B8" s="261" t="s">
        <v>116</v>
      </c>
      <c r="C8" s="262"/>
      <c r="D8" s="263" t="str">
        <f>エンティティ一覧!AE2&amp;"_"&amp;D5&amp;"_mt_icd10_l"</f>
        <v>azn_202310_backup_mt_icd10_l</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ICD10大分類マスタテーブルから組入れ条件の第一条件で絞り込んだ結果を格納するテーブル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milscm_2023_010.azn_202310_backup_mt_icd10_l;</v>
      </c>
      <c r="O10" s="76"/>
      <c r="P10" s="76"/>
      <c r="Q10" s="76"/>
      <c r="R10" s="76"/>
      <c r="S10" s="76"/>
      <c r="T10" s="76"/>
      <c r="AJ10" s="76" t="str">
        <f>"ALTER TABLE ONLY "&amp;エンティティ一覧!$O$2&amp;"."&amp;D$8</f>
        <v>ALTER TABLE ONLY milscm_2023_010.azn_202310_backup_mt_icd10_l</v>
      </c>
      <c r="AS10" s="76" t="str">
        <f>"ALTER TABLE "&amp;エンティティ一覧!$O$2&amp;"."&amp;D$8&amp;" OWNER TO pgmisgrp1;"</f>
        <v>ALTER TABLE milscm_2023_010.azn_202310_backup_mt_icd10_l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milscm_2023_010.azn_202310_backup_mt_icd10_l</v>
      </c>
      <c r="O11" s="76"/>
      <c r="P11" s="76"/>
      <c r="Q11" s="76"/>
      <c r="R11" s="76"/>
      <c r="S11" s="76"/>
      <c r="T11" s="76"/>
      <c r="AJ11" s="76" t="str">
        <f>"ADD CONSTRAINT "&amp;D$8&amp;"_pkey PRIMARY KEY"</f>
        <v>ADD CONSTRAINT azn_202310_backup_mt_icd10_l_pkey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milscm_2023_010.azn_202310_backup_mt_icd10_l IS 'バックアップ_ICD10大分類マスタ';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20" si="0">UPPER(G13)</f>
        <v>TEXT</v>
      </c>
      <c r="R13" s="76" t="str">
        <f t="shared" ref="R13:R20"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milscm_2023_010.azn_202310_backup_mt_icd10_l.sekoubi IS '施行日';</v>
      </c>
    </row>
    <row r="14" spans="1:45" s="25" customFormat="1">
      <c r="A14" s="4"/>
      <c r="B14" s="21">
        <f t="shared" ref="B14:B19" si="2">ROW()-12</f>
        <v>2</v>
      </c>
      <c r="C14" s="6" t="s">
        <v>3288</v>
      </c>
      <c r="D14" s="6" t="s">
        <v>2045</v>
      </c>
      <c r="E14" s="8" t="s">
        <v>127</v>
      </c>
      <c r="F14" s="7" t="s">
        <v>316</v>
      </c>
      <c r="G14" s="7" t="str">
        <f t="shared" ref="G14:G20" si="3">IF(F14="フラグ","boolean",IF(F14="文字列","text",IF(F14="整数","integer",IF(F14="実数","numeric",""))))</f>
        <v>text</v>
      </c>
      <c r="H14" s="26"/>
      <c r="I14" s="10" t="s">
        <v>127</v>
      </c>
      <c r="J14" s="11" t="s">
        <v>3313</v>
      </c>
      <c r="M14" s="4"/>
      <c r="N14" s="76"/>
      <c r="O14" s="76"/>
      <c r="P14" s="76" t="str">
        <f t="shared" ref="P14:P20" si="4">IF(B14&lt;&gt;1,","&amp;D14,D14)</f>
        <v>,koshin_kubun</v>
      </c>
      <c r="Q14" s="76" t="str">
        <f t="shared" si="0"/>
        <v>TEXT</v>
      </c>
      <c r="R14" s="76" t="str">
        <f t="shared" si="1"/>
        <v/>
      </c>
      <c r="S14" s="76" t="str">
        <f t="shared" ref="S14:S20" si="5">IF(I14="○","NOT NULL","")</f>
        <v>NOT NULL</v>
      </c>
      <c r="T14" s="76" t="str">
        <f t="shared" ref="T14:T20"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milscm_2023_010.azn_202310_backup_mt_icd10_l.koshin_kubun IS '更新区分';</v>
      </c>
    </row>
    <row r="15" spans="1:45" s="25" customFormat="1">
      <c r="A15" s="4"/>
      <c r="B15" s="21">
        <f t="shared" si="2"/>
        <v>3</v>
      </c>
      <c r="C15" s="6" t="s">
        <v>2651</v>
      </c>
      <c r="D15" s="6" t="s">
        <v>3366</v>
      </c>
      <c r="E15" s="8" t="s">
        <v>127</v>
      </c>
      <c r="F15" s="7" t="s">
        <v>316</v>
      </c>
      <c r="G15" s="7" t="str">
        <f t="shared" si="3"/>
        <v>text</v>
      </c>
      <c r="H15" s="26"/>
      <c r="I15" s="10" t="s">
        <v>127</v>
      </c>
      <c r="J15" s="11"/>
      <c r="M15" s="4"/>
      <c r="N15" s="76"/>
      <c r="O15" s="76"/>
      <c r="P15" s="76" t="str">
        <f t="shared" si="4"/>
        <v>,icd10_l_code</v>
      </c>
      <c r="Q15" s="76" t="str">
        <f t="shared" si="0"/>
        <v>TEXT</v>
      </c>
      <c r="R15" s="76" t="str">
        <f t="shared" si="1"/>
        <v/>
      </c>
      <c r="S15" s="76" t="str">
        <f t="shared" si="5"/>
        <v>NOT NULL</v>
      </c>
      <c r="T15" s="76" t="str">
        <f t="shared" si="6"/>
        <v>-- ICD10大分類コード</v>
      </c>
      <c r="U15" s="4"/>
      <c r="AA15" s="4"/>
      <c r="AB15" s="4"/>
      <c r="AC15" s="4"/>
      <c r="AD15" s="4"/>
      <c r="AE15" s="4"/>
      <c r="AF15" s="4"/>
      <c r="AG15" s="4"/>
      <c r="AH15" s="4"/>
      <c r="AI15" s="4"/>
      <c r="AJ15" s="76" t="str">
        <f>IF(E15="○",IF(COUNTA(E$13:E15)=1,"",",")&amp;D15,"")</f>
        <v>,icd10_l_code</v>
      </c>
      <c r="AK15" s="4"/>
      <c r="AL15" s="4"/>
      <c r="AM15" s="4"/>
      <c r="AN15" s="4"/>
      <c r="AO15" s="4"/>
      <c r="AP15" s="4"/>
      <c r="AQ15" s="4"/>
      <c r="AR15" s="4"/>
      <c r="AS15" s="76" t="str">
        <f>"COMMENT ON COLUMN "&amp;エンティティ一覧!$O$2&amp;"."&amp;D$8&amp;"."&amp;D15&amp;" IS '"&amp;C15&amp;"';"</f>
        <v>COMMENT ON COLUMN milscm_2023_010.azn_202310_backup_mt_icd10_l.icd10_l_code IS 'ICD10大分類コード';</v>
      </c>
    </row>
    <row r="16" spans="1:45" s="25" customFormat="1">
      <c r="A16" s="4"/>
      <c r="B16" s="21">
        <f t="shared" si="2"/>
        <v>4</v>
      </c>
      <c r="C16" s="6" t="s">
        <v>2658</v>
      </c>
      <c r="D16" s="6" t="s">
        <v>2659</v>
      </c>
      <c r="E16" s="8"/>
      <c r="F16" s="7" t="s">
        <v>316</v>
      </c>
      <c r="G16" s="7" t="str">
        <f t="shared" si="3"/>
        <v>text</v>
      </c>
      <c r="H16" s="26"/>
      <c r="I16" s="10" t="s">
        <v>127</v>
      </c>
      <c r="J16" s="11"/>
      <c r="M16" s="4"/>
      <c r="N16" s="76"/>
      <c r="O16" s="76"/>
      <c r="P16" s="76" t="str">
        <f t="shared" si="4"/>
        <v>,icd10_l_name</v>
      </c>
      <c r="Q16" s="76" t="str">
        <f t="shared" si="0"/>
        <v>TEXT</v>
      </c>
      <c r="R16" s="76" t="str">
        <f t="shared" si="1"/>
        <v/>
      </c>
      <c r="S16" s="76" t="str">
        <f t="shared" si="5"/>
        <v>NOT NULL</v>
      </c>
      <c r="T16" s="76" t="str">
        <f t="shared" si="6"/>
        <v>-- ICD10大分類名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milscm_2023_010.azn_202310_backup_mt_icd10_l.icd10_l_name IS 'ICD10大分類名';</v>
      </c>
    </row>
    <row r="17" spans="1:52" s="25" customFormat="1">
      <c r="A17" s="4"/>
      <c r="B17" s="21">
        <f t="shared" si="2"/>
        <v>5</v>
      </c>
      <c r="C17" s="6" t="s">
        <v>3305</v>
      </c>
      <c r="D17" s="6" t="s">
        <v>3306</v>
      </c>
      <c r="E17" s="8"/>
      <c r="F17" s="7" t="s">
        <v>316</v>
      </c>
      <c r="G17" s="7" t="str">
        <f t="shared" si="3"/>
        <v>text</v>
      </c>
      <c r="H17" s="26"/>
      <c r="I17" s="10"/>
      <c r="J17" s="11" t="s">
        <v>3314</v>
      </c>
      <c r="M17" s="4"/>
      <c r="N17" s="76"/>
      <c r="O17" s="76"/>
      <c r="P17" s="76" t="str">
        <f t="shared" si="4"/>
        <v>,ikosaki</v>
      </c>
      <c r="Q17" s="76" t="str">
        <f t="shared" si="0"/>
        <v>TEXT</v>
      </c>
      <c r="R17" s="76" t="str">
        <f t="shared" si="1"/>
        <v/>
      </c>
      <c r="S17" s="76" t="str">
        <f t="shared" si="5"/>
        <v/>
      </c>
      <c r="T17" s="76" t="str">
        <f t="shared" si="6"/>
        <v>-- 移行先</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milscm_2023_010.azn_202310_backup_mt_icd10_l.ikosaki IS '移行先';</v>
      </c>
    </row>
    <row r="18" spans="1:52" s="25" customFormat="1">
      <c r="A18" s="4"/>
      <c r="B18" s="21">
        <f t="shared" si="2"/>
        <v>6</v>
      </c>
      <c r="C18" s="6" t="s">
        <v>3307</v>
      </c>
      <c r="D18" s="6" t="s">
        <v>3308</v>
      </c>
      <c r="E18" s="8"/>
      <c r="F18" s="7" t="s">
        <v>316</v>
      </c>
      <c r="G18" s="7" t="str">
        <f t="shared" si="3"/>
        <v>text</v>
      </c>
      <c r="H18" s="26"/>
      <c r="I18" s="10" t="s">
        <v>127</v>
      </c>
      <c r="J18" s="11" t="s">
        <v>3315</v>
      </c>
      <c r="M18" s="4"/>
      <c r="N18" s="76"/>
      <c r="O18" s="76"/>
      <c r="P18" s="76" t="str">
        <f t="shared" si="4"/>
        <v>,nen</v>
      </c>
      <c r="Q18" s="76" t="str">
        <f t="shared" si="0"/>
        <v>TEXT</v>
      </c>
      <c r="R18" s="76" t="str">
        <f t="shared" si="1"/>
        <v/>
      </c>
      <c r="S18" s="76" t="str">
        <f t="shared" si="5"/>
        <v>NOT NULL</v>
      </c>
      <c r="T18" s="76" t="str">
        <f t="shared" si="6"/>
        <v>-- 年</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milscm_2023_010.azn_202310_backup_mt_icd10_l.nen IS '年';</v>
      </c>
    </row>
    <row r="19" spans="1:52" s="25" customFormat="1">
      <c r="A19" s="4"/>
      <c r="B19" s="21">
        <f t="shared" si="2"/>
        <v>7</v>
      </c>
      <c r="C19" s="6" t="s">
        <v>3309</v>
      </c>
      <c r="D19" s="6" t="s">
        <v>3310</v>
      </c>
      <c r="E19" s="8"/>
      <c r="F19" s="7" t="s">
        <v>316</v>
      </c>
      <c r="G19" s="7" t="str">
        <f t="shared" si="3"/>
        <v>text</v>
      </c>
      <c r="H19" s="26"/>
      <c r="I19" s="10" t="s">
        <v>127</v>
      </c>
      <c r="J19" s="11" t="s">
        <v>3316</v>
      </c>
      <c r="M19" s="4"/>
      <c r="N19" s="76"/>
      <c r="O19" s="76"/>
      <c r="P19" s="76" t="str">
        <f t="shared" si="4"/>
        <v>,nengetsu</v>
      </c>
      <c r="Q19" s="76" t="str">
        <f t="shared" si="0"/>
        <v>TEXT</v>
      </c>
      <c r="R19" s="76" t="str">
        <f t="shared" si="1"/>
        <v/>
      </c>
      <c r="S19" s="76" t="str">
        <f t="shared" si="5"/>
        <v>NOT NULL</v>
      </c>
      <c r="T19" s="76" t="str">
        <f t="shared" si="6"/>
        <v>-- 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milscm_2023_010.azn_202310_backup_mt_icd10_l.nengetsu IS '年月';</v>
      </c>
    </row>
    <row r="20" spans="1:52" s="25" customFormat="1" ht="19.5" thickBot="1">
      <c r="A20" s="4"/>
      <c r="B20" s="27">
        <f>ROW()-12</f>
        <v>8</v>
      </c>
      <c r="C20" s="57" t="s">
        <v>3311</v>
      </c>
      <c r="D20" s="57" t="s">
        <v>1879</v>
      </c>
      <c r="E20" s="56"/>
      <c r="F20" s="56" t="s">
        <v>316</v>
      </c>
      <c r="G20" s="56" t="str">
        <f t="shared" si="3"/>
        <v>text</v>
      </c>
      <c r="H20" s="59"/>
      <c r="I20" s="60" t="s">
        <v>127</v>
      </c>
      <c r="J20" s="63" t="s">
        <v>2397</v>
      </c>
      <c r="N20" s="76"/>
      <c r="O20" s="76"/>
      <c r="P20" s="76" t="str">
        <f t="shared" si="4"/>
        <v>,update_ymd</v>
      </c>
      <c r="Q20" s="76" t="str">
        <f t="shared" si="0"/>
        <v>TEXT</v>
      </c>
      <c r="R20" s="76" t="str">
        <f t="shared" si="1"/>
        <v/>
      </c>
      <c r="S20" s="76" t="str">
        <f t="shared" si="5"/>
        <v>NOT NULL</v>
      </c>
      <c r="T20" s="76" t="str">
        <f t="shared" si="6"/>
        <v>-- データ登録日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milscm_2023_010.azn_202310_backup_mt_icd10_l.update_ymd IS 'データ登録日';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ENT_01_A3-31</v>
      </c>
      <c r="E6" s="272"/>
      <c r="F6" s="272"/>
      <c r="G6" s="272"/>
      <c r="H6" s="272"/>
      <c r="I6" s="272"/>
      <c r="J6" s="273"/>
    </row>
    <row r="7" spans="1:45">
      <c r="B7" s="261" t="s">
        <v>115</v>
      </c>
      <c r="C7" s="262"/>
      <c r="D7" s="263" t="s">
        <v>3252</v>
      </c>
      <c r="E7" s="264"/>
      <c r="F7" s="264"/>
      <c r="G7" s="264"/>
      <c r="H7" s="264"/>
      <c r="I7" s="264"/>
      <c r="J7" s="265"/>
    </row>
    <row r="8" spans="1:45">
      <c r="B8" s="261" t="s">
        <v>116</v>
      </c>
      <c r="C8" s="262"/>
      <c r="D8" s="263" t="str">
        <f>エンティティ一覧!AE2&amp;"_"&amp;D5&amp;"_mt_icd10_m"</f>
        <v>azn_202310_backup_mt_icd10_m</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ICD10中分類マスタテーブルから組入れ条件の第一条件で絞り込んだ結果を格納するテーブル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milscm_2023_010.azn_202310_backup_mt_icd10_m;</v>
      </c>
      <c r="O10" s="76"/>
      <c r="P10" s="76"/>
      <c r="Q10" s="76"/>
      <c r="R10" s="76"/>
      <c r="S10" s="76"/>
      <c r="T10" s="76"/>
      <c r="AJ10" s="76" t="str">
        <f>"ALTER TABLE ONLY "&amp;エンティティ一覧!$O$2&amp;"."&amp;D$8</f>
        <v>ALTER TABLE ONLY milscm_2023_010.azn_202310_backup_mt_icd10_m</v>
      </c>
      <c r="AS10" s="76" t="str">
        <f>"ALTER TABLE "&amp;エンティティ一覧!$O$2&amp;"."&amp;D$8&amp;" OWNER TO pgmisgrp1;"</f>
        <v>ALTER TABLE milscm_2023_010.azn_202310_backup_mt_icd10_m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milscm_2023_010.azn_202310_backup_mt_icd10_m</v>
      </c>
      <c r="O11" s="76"/>
      <c r="P11" s="76"/>
      <c r="Q11" s="76"/>
      <c r="R11" s="76"/>
      <c r="S11" s="76"/>
      <c r="T11" s="76"/>
      <c r="AJ11" s="76" t="str">
        <f>"ADD CONSTRAINT "&amp;D$8&amp;"_pkey PRIMARY KEY"</f>
        <v>ADD CONSTRAINT azn_202310_backup_mt_icd10_m_pkey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milscm_2023_010.azn_202310_backup_mt_icd10_m IS 'バックアップ_ICD10中分類マスタ';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21" si="0">UPPER(G13)</f>
        <v>TEXT</v>
      </c>
      <c r="R13" s="76" t="str">
        <f t="shared" ref="R13:R21"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milscm_2023_010.azn_202310_backup_mt_icd10_m.sekoubi IS '施行日';</v>
      </c>
    </row>
    <row r="14" spans="1:45" s="25" customFormat="1">
      <c r="A14" s="4"/>
      <c r="B14" s="21">
        <f t="shared" ref="B14:B20" si="2">ROW()-12</f>
        <v>2</v>
      </c>
      <c r="C14" s="6" t="s">
        <v>3288</v>
      </c>
      <c r="D14" s="6" t="s">
        <v>2045</v>
      </c>
      <c r="E14" s="8" t="s">
        <v>127</v>
      </c>
      <c r="F14" s="7" t="s">
        <v>316</v>
      </c>
      <c r="G14" s="7" t="str">
        <f t="shared" ref="G14:G21" si="3">IF(F14="フラグ","boolean",IF(F14="文字列","text",IF(F14="整数","integer",IF(F14="実数","numeric",""))))</f>
        <v>text</v>
      </c>
      <c r="H14" s="26"/>
      <c r="I14" s="10" t="s">
        <v>127</v>
      </c>
      <c r="J14" s="11" t="s">
        <v>3313</v>
      </c>
      <c r="M14" s="4"/>
      <c r="N14" s="76"/>
      <c r="O14" s="76"/>
      <c r="P14" s="76" t="str">
        <f t="shared" ref="P14:P21" si="4">IF(B14&lt;&gt;1,","&amp;D14,D14)</f>
        <v>,koshin_kubun</v>
      </c>
      <c r="Q14" s="76" t="str">
        <f t="shared" si="0"/>
        <v>TEXT</v>
      </c>
      <c r="R14" s="76" t="str">
        <f t="shared" si="1"/>
        <v/>
      </c>
      <c r="S14" s="76" t="str">
        <f t="shared" ref="S14:S21" si="5">IF(I14="○","NOT NULL","")</f>
        <v>NOT NULL</v>
      </c>
      <c r="T14" s="76" t="str">
        <f t="shared" ref="T14:T21"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milscm_2023_010.azn_202310_backup_mt_icd10_m.koshin_kubun IS '更新区分';</v>
      </c>
    </row>
    <row r="15" spans="1:45" s="25" customFormat="1">
      <c r="A15" s="4"/>
      <c r="B15" s="21">
        <f t="shared" si="2"/>
        <v>3</v>
      </c>
      <c r="C15" s="6" t="s">
        <v>2653</v>
      </c>
      <c r="D15" s="6" t="s">
        <v>3367</v>
      </c>
      <c r="E15" s="8" t="s">
        <v>127</v>
      </c>
      <c r="F15" s="7" t="s">
        <v>316</v>
      </c>
      <c r="G15" s="7" t="str">
        <f t="shared" si="3"/>
        <v>text</v>
      </c>
      <c r="H15" s="26"/>
      <c r="I15" s="10" t="s">
        <v>127</v>
      </c>
      <c r="J15" s="11"/>
      <c r="M15" s="4"/>
      <c r="N15" s="76"/>
      <c r="O15" s="76"/>
      <c r="P15" s="76" t="str">
        <f t="shared" si="4"/>
        <v>,icd10_m_code</v>
      </c>
      <c r="Q15" s="76" t="str">
        <f t="shared" si="0"/>
        <v>TEXT</v>
      </c>
      <c r="R15" s="76" t="str">
        <f t="shared" si="1"/>
        <v/>
      </c>
      <c r="S15" s="76" t="str">
        <f t="shared" si="5"/>
        <v>NOT NULL</v>
      </c>
      <c r="T15" s="76" t="str">
        <f t="shared" si="6"/>
        <v>-- ICD10中分類コード</v>
      </c>
      <c r="U15" s="4"/>
      <c r="AA15" s="4"/>
      <c r="AB15" s="4"/>
      <c r="AC15" s="4"/>
      <c r="AD15" s="4"/>
      <c r="AE15" s="4"/>
      <c r="AF15" s="4"/>
      <c r="AG15" s="4"/>
      <c r="AH15" s="4"/>
      <c r="AI15" s="4"/>
      <c r="AJ15" s="76" t="str">
        <f>IF(E15="○",IF(COUNTA(E$13:E15)=1,"",",")&amp;D15,"")</f>
        <v>,icd10_m_code</v>
      </c>
      <c r="AK15" s="4"/>
      <c r="AL15" s="4"/>
      <c r="AM15" s="4"/>
      <c r="AN15" s="4"/>
      <c r="AO15" s="4"/>
      <c r="AP15" s="4"/>
      <c r="AQ15" s="4"/>
      <c r="AR15" s="4"/>
      <c r="AS15" s="76" t="str">
        <f>"COMMENT ON COLUMN "&amp;エンティティ一覧!$O$2&amp;"."&amp;D$8&amp;"."&amp;D15&amp;" IS '"&amp;C15&amp;"';"</f>
        <v>COMMENT ON COLUMN milscm_2023_010.azn_202310_backup_mt_icd10_m.icd10_m_code IS 'ICD10中分類コード';</v>
      </c>
    </row>
    <row r="16" spans="1:45" s="25" customFormat="1">
      <c r="A16" s="4"/>
      <c r="B16" s="21">
        <f t="shared" si="2"/>
        <v>4</v>
      </c>
      <c r="C16" s="6" t="s">
        <v>2660</v>
      </c>
      <c r="D16" s="6" t="s">
        <v>2661</v>
      </c>
      <c r="E16" s="8"/>
      <c r="F16" s="7" t="s">
        <v>316</v>
      </c>
      <c r="G16" s="7" t="str">
        <f t="shared" si="3"/>
        <v>text</v>
      </c>
      <c r="H16" s="26"/>
      <c r="I16" s="10" t="s">
        <v>127</v>
      </c>
      <c r="J16" s="11"/>
      <c r="M16" s="4"/>
      <c r="N16" s="76"/>
      <c r="O16" s="76"/>
      <c r="P16" s="76" t="str">
        <f t="shared" si="4"/>
        <v>,icd10_m_name</v>
      </c>
      <c r="Q16" s="76" t="str">
        <f t="shared" si="0"/>
        <v>TEXT</v>
      </c>
      <c r="R16" s="76" t="str">
        <f t="shared" si="1"/>
        <v/>
      </c>
      <c r="S16" s="76" t="str">
        <f t="shared" si="5"/>
        <v>NOT NULL</v>
      </c>
      <c r="T16" s="76" t="str">
        <f t="shared" si="6"/>
        <v>-- ICD10中分類名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milscm_2023_010.azn_202310_backup_mt_icd10_m.icd10_m_name IS 'ICD10中分類名';</v>
      </c>
    </row>
    <row r="17" spans="1:52" s="25" customFormat="1">
      <c r="A17" s="4"/>
      <c r="B17" s="21">
        <f t="shared" si="2"/>
        <v>5</v>
      </c>
      <c r="C17" s="6" t="s">
        <v>2651</v>
      </c>
      <c r="D17" s="6" t="s">
        <v>3366</v>
      </c>
      <c r="E17" s="8"/>
      <c r="F17" s="7" t="s">
        <v>316</v>
      </c>
      <c r="G17" s="7" t="str">
        <f t="shared" si="3"/>
        <v>text</v>
      </c>
      <c r="H17" s="26"/>
      <c r="I17" s="10" t="s">
        <v>127</v>
      </c>
      <c r="J17" s="11"/>
      <c r="M17" s="4"/>
      <c r="N17" s="76"/>
      <c r="O17" s="76"/>
      <c r="P17" s="76" t="str">
        <f t="shared" si="4"/>
        <v>,icd10_l_code</v>
      </c>
      <c r="Q17" s="76" t="str">
        <f t="shared" si="0"/>
        <v>TEXT</v>
      </c>
      <c r="R17" s="76" t="str">
        <f t="shared" si="1"/>
        <v/>
      </c>
      <c r="S17" s="76" t="str">
        <f t="shared" si="5"/>
        <v>NOT NULL</v>
      </c>
      <c r="T17" s="76" t="str">
        <f t="shared" si="6"/>
        <v>-- ICD10大分類コード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milscm_2023_010.azn_202310_backup_mt_icd10_m.icd10_l_code IS 'ICD10大分類コード';</v>
      </c>
    </row>
    <row r="18" spans="1:52" s="25" customFormat="1">
      <c r="A18" s="4"/>
      <c r="B18" s="21">
        <f t="shared" si="2"/>
        <v>6</v>
      </c>
      <c r="C18" s="6" t="s">
        <v>3305</v>
      </c>
      <c r="D18" s="6" t="s">
        <v>3306</v>
      </c>
      <c r="E18" s="8"/>
      <c r="F18" s="7" t="s">
        <v>316</v>
      </c>
      <c r="G18" s="7" t="str">
        <f t="shared" ref="G18" si="7">IF(F18="フラグ","boolean",IF(F18="文字列","text",IF(F18="整数","integer",IF(F18="実数","numeric",""))))</f>
        <v>text</v>
      </c>
      <c r="H18" s="26"/>
      <c r="I18" s="10"/>
      <c r="J18" s="11" t="s">
        <v>3314</v>
      </c>
      <c r="M18" s="4"/>
      <c r="N18" s="76"/>
      <c r="O18" s="76"/>
      <c r="P18" s="76" t="str">
        <f t="shared" ref="P18" si="8">IF(B18&lt;&gt;1,","&amp;D18,D18)</f>
        <v>,ikosaki</v>
      </c>
      <c r="Q18" s="76" t="str">
        <f t="shared" ref="Q18" si="9">UPPER(G18)</f>
        <v>TEXT</v>
      </c>
      <c r="R18" s="76" t="str">
        <f t="shared" ref="R18" si="10">IF(H18&lt;&gt;"","default "&amp;IF(G18="text","'"&amp;H18&amp;"'",H18),"")</f>
        <v/>
      </c>
      <c r="S18" s="76" t="str">
        <f t="shared" ref="S18" si="11">IF(I18="○","NOT NULL","")</f>
        <v/>
      </c>
      <c r="T18" s="76" t="str">
        <f t="shared" ref="T18" si="12">"-- "&amp;C18</f>
        <v>-- 移行先</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milscm_2023_010.azn_202310_backup_mt_icd10_m.ikosaki IS '移行先';</v>
      </c>
    </row>
    <row r="19" spans="1:52" s="25" customFormat="1">
      <c r="A19" s="4"/>
      <c r="B19" s="21">
        <f t="shared" si="2"/>
        <v>7</v>
      </c>
      <c r="C19" s="6" t="s">
        <v>3307</v>
      </c>
      <c r="D19" s="6" t="s">
        <v>3308</v>
      </c>
      <c r="E19" s="8"/>
      <c r="F19" s="7" t="s">
        <v>316</v>
      </c>
      <c r="G19" s="7" t="str">
        <f t="shared" si="3"/>
        <v>text</v>
      </c>
      <c r="H19" s="26"/>
      <c r="I19" s="10" t="s">
        <v>127</v>
      </c>
      <c r="J19" s="11" t="s">
        <v>3315</v>
      </c>
      <c r="M19" s="4"/>
      <c r="N19" s="76"/>
      <c r="O19" s="76"/>
      <c r="P19" s="76" t="str">
        <f t="shared" si="4"/>
        <v>,nen</v>
      </c>
      <c r="Q19" s="76" t="str">
        <f t="shared" si="0"/>
        <v>TEXT</v>
      </c>
      <c r="R19" s="76" t="str">
        <f t="shared" si="1"/>
        <v/>
      </c>
      <c r="S19" s="76" t="str">
        <f t="shared" si="5"/>
        <v>NOT NULL</v>
      </c>
      <c r="T19" s="76" t="str">
        <f t="shared" si="6"/>
        <v>-- 年</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milscm_2023_010.azn_202310_backup_mt_icd10_m.nen IS '年';</v>
      </c>
    </row>
    <row r="20" spans="1:52" s="25" customFormat="1">
      <c r="A20" s="4"/>
      <c r="B20" s="21">
        <f t="shared" si="2"/>
        <v>8</v>
      </c>
      <c r="C20" s="6" t="s">
        <v>3309</v>
      </c>
      <c r="D20" s="6" t="s">
        <v>3310</v>
      </c>
      <c r="E20" s="8"/>
      <c r="F20" s="7" t="s">
        <v>316</v>
      </c>
      <c r="G20" s="7" t="str">
        <f t="shared" si="3"/>
        <v>text</v>
      </c>
      <c r="H20" s="26"/>
      <c r="I20" s="10" t="s">
        <v>127</v>
      </c>
      <c r="J20" s="11" t="s">
        <v>3316</v>
      </c>
      <c r="M20" s="4"/>
      <c r="N20" s="76"/>
      <c r="O20" s="76"/>
      <c r="P20" s="76" t="str">
        <f t="shared" si="4"/>
        <v>,nengetsu</v>
      </c>
      <c r="Q20" s="76" t="str">
        <f t="shared" si="0"/>
        <v>TEXT</v>
      </c>
      <c r="R20" s="76" t="str">
        <f t="shared" si="1"/>
        <v/>
      </c>
      <c r="S20" s="76" t="str">
        <f t="shared" si="5"/>
        <v>NOT NULL</v>
      </c>
      <c r="T20" s="76" t="str">
        <f t="shared" si="6"/>
        <v>-- 年月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milscm_2023_010.azn_202310_backup_mt_icd10_m.nengetsu IS '年月';</v>
      </c>
    </row>
    <row r="21" spans="1:52" s="25" customFormat="1" ht="19.5" thickBot="1">
      <c r="A21" s="4"/>
      <c r="B21" s="27">
        <f>ROW()-12</f>
        <v>9</v>
      </c>
      <c r="C21" s="57" t="s">
        <v>3311</v>
      </c>
      <c r="D21" s="57" t="s">
        <v>1879</v>
      </c>
      <c r="E21" s="56"/>
      <c r="F21" s="56" t="s">
        <v>316</v>
      </c>
      <c r="G21" s="56" t="str">
        <f t="shared" si="3"/>
        <v>text</v>
      </c>
      <c r="H21" s="59"/>
      <c r="I21" s="60" t="s">
        <v>127</v>
      </c>
      <c r="J21" s="63" t="s">
        <v>2397</v>
      </c>
      <c r="N21" s="76"/>
      <c r="O21" s="76"/>
      <c r="P21" s="76" t="str">
        <f t="shared" si="4"/>
        <v>,update_ymd</v>
      </c>
      <c r="Q21" s="76" t="str">
        <f t="shared" si="0"/>
        <v>TEXT</v>
      </c>
      <c r="R21" s="76" t="str">
        <f t="shared" si="1"/>
        <v/>
      </c>
      <c r="S21" s="76" t="str">
        <f t="shared" si="5"/>
        <v>NOT NULL</v>
      </c>
      <c r="T21" s="76" t="str">
        <f t="shared" si="6"/>
        <v>-- データ登録日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milscm_2023_010.azn_202310_backup_mt_icd10_m.update_ymd IS 'データ登録日';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ENT_01_A3-32</v>
      </c>
      <c r="E6" s="272"/>
      <c r="F6" s="272"/>
      <c r="G6" s="272"/>
      <c r="H6" s="272"/>
      <c r="I6" s="272"/>
      <c r="J6" s="273"/>
    </row>
    <row r="7" spans="1:45">
      <c r="B7" s="261" t="s">
        <v>115</v>
      </c>
      <c r="C7" s="262"/>
      <c r="D7" s="263" t="s">
        <v>3253</v>
      </c>
      <c r="E7" s="264"/>
      <c r="F7" s="264"/>
      <c r="G7" s="264"/>
      <c r="H7" s="264"/>
      <c r="I7" s="264"/>
      <c r="J7" s="265"/>
    </row>
    <row r="8" spans="1:45">
      <c r="B8" s="261" t="s">
        <v>116</v>
      </c>
      <c r="C8" s="262"/>
      <c r="D8" s="263" t="str">
        <f>エンティティ一覧!AE2&amp;"_"&amp;D5&amp;"_mt_icd10_s"</f>
        <v>azn_202310_backup_mt_icd10_s</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ICD10小分類マスタテーブルから組入れ条件の第一条件で絞り込んだ結果を格納するテーブル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milscm_2023_010.azn_202310_backup_mt_icd10_s;</v>
      </c>
      <c r="O10" s="76"/>
      <c r="P10" s="76"/>
      <c r="Q10" s="76"/>
      <c r="R10" s="76"/>
      <c r="S10" s="76"/>
      <c r="T10" s="76"/>
      <c r="AJ10" s="76" t="str">
        <f>"ALTER TABLE ONLY "&amp;エンティティ一覧!$O$2&amp;"."&amp;D$8</f>
        <v>ALTER TABLE ONLY milscm_2023_010.azn_202310_backup_mt_icd10_s</v>
      </c>
      <c r="AS10" s="76" t="str">
        <f>"ALTER TABLE "&amp;エンティティ一覧!$O$2&amp;"."&amp;D$8&amp;" OWNER TO pgmisgrp1;"</f>
        <v>ALTER TABLE milscm_2023_010.azn_202310_backup_mt_icd10_s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milscm_2023_010.azn_202310_backup_mt_icd10_s</v>
      </c>
      <c r="O11" s="76"/>
      <c r="P11" s="76"/>
      <c r="Q11" s="76"/>
      <c r="R11" s="76"/>
      <c r="S11" s="76"/>
      <c r="T11" s="76"/>
      <c r="AJ11" s="76" t="str">
        <f>"ADD CONSTRAINT "&amp;D$8&amp;"_pkey PRIMARY KEY"</f>
        <v>ADD CONSTRAINT azn_202310_backup_mt_icd10_s_pkey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milscm_2023_010.azn_202310_backup_mt_icd10_s IS 'バックアップ_ICD10小分類マスタ';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22" si="0">UPPER(G13)</f>
        <v>TEXT</v>
      </c>
      <c r="R13" s="76" t="str">
        <f t="shared" ref="R13:R22"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milscm_2023_010.azn_202310_backup_mt_icd10_s.sekoubi IS '施行日';</v>
      </c>
    </row>
    <row r="14" spans="1:45" s="25" customFormat="1">
      <c r="A14" s="4"/>
      <c r="B14" s="21">
        <f t="shared" ref="B14:B21" si="2">ROW()-12</f>
        <v>2</v>
      </c>
      <c r="C14" s="6" t="s">
        <v>3288</v>
      </c>
      <c r="D14" s="6" t="s">
        <v>2045</v>
      </c>
      <c r="E14" s="8" t="s">
        <v>127</v>
      </c>
      <c r="F14" s="7" t="s">
        <v>316</v>
      </c>
      <c r="G14" s="7" t="str">
        <f t="shared" ref="G14:G22" si="3">IF(F14="フラグ","boolean",IF(F14="文字列","text",IF(F14="整数","integer",IF(F14="実数","numeric",""))))</f>
        <v>text</v>
      </c>
      <c r="H14" s="26"/>
      <c r="I14" s="10" t="s">
        <v>127</v>
      </c>
      <c r="J14" s="11" t="s">
        <v>3313</v>
      </c>
      <c r="M14" s="4"/>
      <c r="N14" s="76"/>
      <c r="O14" s="76"/>
      <c r="P14" s="76" t="str">
        <f t="shared" ref="P14:P22" si="4">IF(B14&lt;&gt;1,","&amp;D14,D14)</f>
        <v>,koshin_kubun</v>
      </c>
      <c r="Q14" s="76" t="str">
        <f t="shared" si="0"/>
        <v>TEXT</v>
      </c>
      <c r="R14" s="76" t="str">
        <f t="shared" si="1"/>
        <v/>
      </c>
      <c r="S14" s="76" t="str">
        <f t="shared" ref="S14:S22" si="5">IF(I14="○","NOT NULL","")</f>
        <v>NOT NULL</v>
      </c>
      <c r="T14" s="76" t="str">
        <f t="shared" ref="T14:T22"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milscm_2023_010.azn_202310_backup_mt_icd10_s.koshin_kubun IS '更新区分';</v>
      </c>
    </row>
    <row r="15" spans="1:45" s="25" customFormat="1">
      <c r="A15" s="4"/>
      <c r="B15" s="21">
        <f t="shared" si="2"/>
        <v>3</v>
      </c>
      <c r="C15" s="6" t="s">
        <v>2655</v>
      </c>
      <c r="D15" s="6" t="s">
        <v>3368</v>
      </c>
      <c r="E15" s="8" t="s">
        <v>127</v>
      </c>
      <c r="F15" s="7" t="s">
        <v>316</v>
      </c>
      <c r="G15" s="7" t="str">
        <f t="shared" si="3"/>
        <v>text</v>
      </c>
      <c r="H15" s="26"/>
      <c r="I15" s="10" t="s">
        <v>127</v>
      </c>
      <c r="J15" s="11"/>
      <c r="M15" s="4"/>
      <c r="N15" s="76"/>
      <c r="O15" s="76"/>
      <c r="P15" s="76" t="str">
        <f t="shared" si="4"/>
        <v>,icd10_s_code</v>
      </c>
      <c r="Q15" s="76" t="str">
        <f t="shared" si="0"/>
        <v>TEXT</v>
      </c>
      <c r="R15" s="76" t="str">
        <f t="shared" si="1"/>
        <v/>
      </c>
      <c r="S15" s="76" t="str">
        <f t="shared" si="5"/>
        <v>NOT NULL</v>
      </c>
      <c r="T15" s="76" t="str">
        <f t="shared" si="6"/>
        <v>-- ICD10小分類コード</v>
      </c>
      <c r="U15" s="4"/>
      <c r="AA15" s="4"/>
      <c r="AB15" s="4"/>
      <c r="AC15" s="4"/>
      <c r="AD15" s="4"/>
      <c r="AE15" s="4"/>
      <c r="AF15" s="4"/>
      <c r="AG15" s="4"/>
      <c r="AH15" s="4"/>
      <c r="AI15" s="4"/>
      <c r="AJ15" s="76" t="str">
        <f>IF(E15="○",IF(COUNTA(E$13:E15)=1,"",",")&amp;D15,"")</f>
        <v>,icd10_s_code</v>
      </c>
      <c r="AK15" s="4"/>
      <c r="AL15" s="4"/>
      <c r="AM15" s="4"/>
      <c r="AN15" s="4"/>
      <c r="AO15" s="4"/>
      <c r="AP15" s="4"/>
      <c r="AQ15" s="4"/>
      <c r="AR15" s="4"/>
      <c r="AS15" s="76" t="str">
        <f>"COMMENT ON COLUMN "&amp;エンティティ一覧!$O$2&amp;"."&amp;D$8&amp;"."&amp;D15&amp;" IS '"&amp;C15&amp;"';"</f>
        <v>COMMENT ON COLUMN milscm_2023_010.azn_202310_backup_mt_icd10_s.icd10_s_code IS 'ICD10小分類コード';</v>
      </c>
    </row>
    <row r="16" spans="1:45" s="25" customFormat="1">
      <c r="A16" s="4"/>
      <c r="B16" s="21">
        <f t="shared" si="2"/>
        <v>4</v>
      </c>
      <c r="C16" s="6" t="s">
        <v>2662</v>
      </c>
      <c r="D16" s="6" t="s">
        <v>894</v>
      </c>
      <c r="E16" s="8"/>
      <c r="F16" s="7" t="s">
        <v>316</v>
      </c>
      <c r="G16" s="7" t="str">
        <f t="shared" si="3"/>
        <v>text</v>
      </c>
      <c r="H16" s="26"/>
      <c r="I16" s="10" t="s">
        <v>127</v>
      </c>
      <c r="J16" s="11"/>
      <c r="M16" s="4"/>
      <c r="N16" s="76"/>
      <c r="O16" s="76"/>
      <c r="P16" s="76" t="str">
        <f t="shared" si="4"/>
        <v>,icd10_s_name</v>
      </c>
      <c r="Q16" s="76" t="str">
        <f t="shared" si="0"/>
        <v>TEXT</v>
      </c>
      <c r="R16" s="76" t="str">
        <f t="shared" si="1"/>
        <v/>
      </c>
      <c r="S16" s="76" t="str">
        <f t="shared" si="5"/>
        <v>NOT NULL</v>
      </c>
      <c r="T16" s="76" t="str">
        <f t="shared" si="6"/>
        <v>-- ICD10小分類名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milscm_2023_010.azn_202310_backup_mt_icd10_s.icd10_s_name IS 'ICD10小分類名';</v>
      </c>
    </row>
    <row r="17" spans="1:52" s="25" customFormat="1">
      <c r="A17" s="4"/>
      <c r="B17" s="21">
        <f t="shared" si="2"/>
        <v>5</v>
      </c>
      <c r="C17" s="6" t="s">
        <v>2651</v>
      </c>
      <c r="D17" s="6" t="s">
        <v>3366</v>
      </c>
      <c r="E17" s="8"/>
      <c r="F17" s="7" t="s">
        <v>316</v>
      </c>
      <c r="G17" s="7" t="str">
        <f t="shared" si="3"/>
        <v>text</v>
      </c>
      <c r="H17" s="26"/>
      <c r="I17" s="10" t="s">
        <v>127</v>
      </c>
      <c r="J17" s="11"/>
      <c r="M17" s="4"/>
      <c r="N17" s="76"/>
      <c r="O17" s="76"/>
      <c r="P17" s="76" t="str">
        <f t="shared" si="4"/>
        <v>,icd10_l_code</v>
      </c>
      <c r="Q17" s="76" t="str">
        <f t="shared" si="0"/>
        <v>TEXT</v>
      </c>
      <c r="R17" s="76" t="str">
        <f t="shared" si="1"/>
        <v/>
      </c>
      <c r="S17" s="76" t="str">
        <f t="shared" si="5"/>
        <v>NOT NULL</v>
      </c>
      <c r="T17" s="76" t="str">
        <f t="shared" si="6"/>
        <v>-- ICD10大分類コード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milscm_2023_010.azn_202310_backup_mt_icd10_s.icd10_l_code IS 'ICD10大分類コード';</v>
      </c>
    </row>
    <row r="18" spans="1:52" s="25" customFormat="1">
      <c r="A18" s="4"/>
      <c r="B18" s="21">
        <f t="shared" si="2"/>
        <v>6</v>
      </c>
      <c r="C18" s="6" t="s">
        <v>2653</v>
      </c>
      <c r="D18" s="6" t="s">
        <v>3367</v>
      </c>
      <c r="E18" s="8"/>
      <c r="F18" s="7" t="s">
        <v>316</v>
      </c>
      <c r="G18" s="7" t="str">
        <f t="shared" si="3"/>
        <v>text</v>
      </c>
      <c r="H18" s="26"/>
      <c r="I18" s="10" t="s">
        <v>127</v>
      </c>
      <c r="J18" s="11"/>
      <c r="M18" s="4"/>
      <c r="N18" s="76"/>
      <c r="O18" s="76"/>
      <c r="P18" s="76" t="str">
        <f t="shared" si="4"/>
        <v>,icd10_m_code</v>
      </c>
      <c r="Q18" s="76" t="str">
        <f t="shared" si="0"/>
        <v>TEXT</v>
      </c>
      <c r="R18" s="76" t="str">
        <f t="shared" si="1"/>
        <v/>
      </c>
      <c r="S18" s="76" t="str">
        <f t="shared" si="5"/>
        <v>NOT NULL</v>
      </c>
      <c r="T18" s="76" t="str">
        <f t="shared" si="6"/>
        <v>-- ICD10中分類コード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milscm_2023_010.azn_202310_backup_mt_icd10_s.icd10_m_code IS 'ICD10中分類コード';</v>
      </c>
    </row>
    <row r="19" spans="1:52" s="25" customFormat="1">
      <c r="A19" s="4"/>
      <c r="B19" s="21">
        <f t="shared" si="2"/>
        <v>7</v>
      </c>
      <c r="C19" s="6" t="s">
        <v>3305</v>
      </c>
      <c r="D19" s="6" t="s">
        <v>3306</v>
      </c>
      <c r="E19" s="8"/>
      <c r="F19" s="7" t="s">
        <v>316</v>
      </c>
      <c r="G19" s="7" t="str">
        <f t="shared" ref="G19" si="7">IF(F19="フラグ","boolean",IF(F19="文字列","text",IF(F19="整数","integer",IF(F19="実数","numeric",""))))</f>
        <v>text</v>
      </c>
      <c r="H19" s="26"/>
      <c r="I19" s="10"/>
      <c r="J19" s="11" t="s">
        <v>3314</v>
      </c>
      <c r="M19" s="4"/>
      <c r="N19" s="76"/>
      <c r="O19" s="76"/>
      <c r="P19" s="76" t="str">
        <f t="shared" ref="P19" si="8">IF(B19&lt;&gt;1,","&amp;D19,D19)</f>
        <v>,ikosaki</v>
      </c>
      <c r="Q19" s="76" t="str">
        <f t="shared" ref="Q19" si="9">UPPER(G19)</f>
        <v>TEXT</v>
      </c>
      <c r="R19" s="76" t="str">
        <f t="shared" ref="R19" si="10">IF(H19&lt;&gt;"","default "&amp;IF(G19="text","'"&amp;H19&amp;"'",H19),"")</f>
        <v/>
      </c>
      <c r="S19" s="76" t="str">
        <f t="shared" ref="S19" si="11">IF(I19="○","NOT NULL","")</f>
        <v/>
      </c>
      <c r="T19" s="76" t="str">
        <f t="shared" ref="T19" si="12">"-- "&amp;C19</f>
        <v>-- 移行先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milscm_2023_010.azn_202310_backup_mt_icd10_s.ikosaki IS '移行先';</v>
      </c>
    </row>
    <row r="20" spans="1:52" s="25" customFormat="1">
      <c r="A20" s="4"/>
      <c r="B20" s="21">
        <f t="shared" si="2"/>
        <v>8</v>
      </c>
      <c r="C20" s="6" t="s">
        <v>3307</v>
      </c>
      <c r="D20" s="6" t="s">
        <v>3308</v>
      </c>
      <c r="E20" s="8"/>
      <c r="F20" s="7" t="s">
        <v>316</v>
      </c>
      <c r="G20" s="7" t="str">
        <f t="shared" si="3"/>
        <v>text</v>
      </c>
      <c r="H20" s="26"/>
      <c r="I20" s="10" t="s">
        <v>127</v>
      </c>
      <c r="J20" s="11" t="s">
        <v>3315</v>
      </c>
      <c r="M20" s="4"/>
      <c r="N20" s="76"/>
      <c r="O20" s="76"/>
      <c r="P20" s="76" t="str">
        <f t="shared" si="4"/>
        <v>,nen</v>
      </c>
      <c r="Q20" s="76" t="str">
        <f t="shared" si="0"/>
        <v>TEXT</v>
      </c>
      <c r="R20" s="76" t="str">
        <f t="shared" si="1"/>
        <v/>
      </c>
      <c r="S20" s="76" t="str">
        <f t="shared" si="5"/>
        <v>NOT NULL</v>
      </c>
      <c r="T20" s="76" t="str">
        <f t="shared" si="6"/>
        <v>-- 年</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milscm_2023_010.azn_202310_backup_mt_icd10_s.nen IS '年';</v>
      </c>
    </row>
    <row r="21" spans="1:52" s="25" customFormat="1">
      <c r="A21" s="4"/>
      <c r="B21" s="21">
        <f t="shared" si="2"/>
        <v>9</v>
      </c>
      <c r="C21" s="6" t="s">
        <v>3309</v>
      </c>
      <c r="D21" s="6" t="s">
        <v>3310</v>
      </c>
      <c r="E21" s="8"/>
      <c r="F21" s="7" t="s">
        <v>316</v>
      </c>
      <c r="G21" s="7" t="str">
        <f t="shared" si="3"/>
        <v>text</v>
      </c>
      <c r="H21" s="26"/>
      <c r="I21" s="10" t="s">
        <v>127</v>
      </c>
      <c r="J21" s="11" t="s">
        <v>3316</v>
      </c>
      <c r="M21" s="4"/>
      <c r="N21" s="76"/>
      <c r="O21" s="76"/>
      <c r="P21" s="76" t="str">
        <f t="shared" si="4"/>
        <v>,nengetsu</v>
      </c>
      <c r="Q21" s="76" t="str">
        <f t="shared" si="0"/>
        <v>TEXT</v>
      </c>
      <c r="R21" s="76" t="str">
        <f t="shared" si="1"/>
        <v/>
      </c>
      <c r="S21" s="76" t="str">
        <f t="shared" si="5"/>
        <v>NOT NULL</v>
      </c>
      <c r="T21" s="76" t="str">
        <f t="shared" si="6"/>
        <v>-- 年月</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milscm_2023_010.azn_202310_backup_mt_icd10_s.nengetsu IS '年月';</v>
      </c>
    </row>
    <row r="22" spans="1:52" s="25" customFormat="1" ht="19.5" thickBot="1">
      <c r="A22" s="4"/>
      <c r="B22" s="27">
        <f>ROW()-12</f>
        <v>10</v>
      </c>
      <c r="C22" s="57" t="s">
        <v>3311</v>
      </c>
      <c r="D22" s="57" t="s">
        <v>1879</v>
      </c>
      <c r="E22" s="56"/>
      <c r="F22" s="56" t="s">
        <v>316</v>
      </c>
      <c r="G22" s="56" t="str">
        <f t="shared" si="3"/>
        <v>text</v>
      </c>
      <c r="H22" s="59"/>
      <c r="I22" s="60" t="s">
        <v>127</v>
      </c>
      <c r="J22" s="63" t="s">
        <v>2397</v>
      </c>
      <c r="N22" s="76"/>
      <c r="O22" s="76"/>
      <c r="P22" s="76" t="str">
        <f t="shared" si="4"/>
        <v>,update_ymd</v>
      </c>
      <c r="Q22" s="76" t="str">
        <f t="shared" si="0"/>
        <v>TEXT</v>
      </c>
      <c r="R22" s="76" t="str">
        <f t="shared" si="1"/>
        <v/>
      </c>
      <c r="S22" s="76" t="str">
        <f t="shared" si="5"/>
        <v>NOT NULL</v>
      </c>
      <c r="T22" s="76" t="str">
        <f t="shared" si="6"/>
        <v>-- データ登録日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milscm_2023_010.azn_202310_backup_mt_icd10_s.update_ymd IS 'データ登録日';</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ENT_01_A3-33</v>
      </c>
      <c r="E6" s="272"/>
      <c r="F6" s="272"/>
      <c r="G6" s="272"/>
      <c r="H6" s="272"/>
      <c r="I6" s="272"/>
      <c r="J6" s="273"/>
    </row>
    <row r="7" spans="1:45">
      <c r="B7" s="261" t="s">
        <v>115</v>
      </c>
      <c r="C7" s="262"/>
      <c r="D7" s="263" t="s">
        <v>3254</v>
      </c>
      <c r="E7" s="264"/>
      <c r="F7" s="264"/>
      <c r="G7" s="264"/>
      <c r="H7" s="264"/>
      <c r="I7" s="264"/>
      <c r="J7" s="265"/>
    </row>
    <row r="8" spans="1:45">
      <c r="B8" s="261" t="s">
        <v>116</v>
      </c>
      <c r="C8" s="262"/>
      <c r="D8" s="263" t="str">
        <f>エンティティ一覧!AE2&amp;"_"&amp;D5&amp;"_mt_icd10_ss"</f>
        <v>azn_202310_backup_mt_icd10_ss</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ICD10細分類マスタテーブルから組入れ条件の第一条件で絞り込んだ結果を格納するテーブル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milscm_2023_010.azn_202310_backup_mt_icd10_ss;</v>
      </c>
      <c r="O10" s="76"/>
      <c r="P10" s="76"/>
      <c r="Q10" s="76"/>
      <c r="R10" s="76"/>
      <c r="S10" s="76"/>
      <c r="T10" s="76"/>
      <c r="AJ10" s="76" t="str">
        <f>"ALTER TABLE ONLY "&amp;エンティティ一覧!$O$2&amp;"."&amp;D$8</f>
        <v>ALTER TABLE ONLY milscm_2023_010.azn_202310_backup_mt_icd10_ss</v>
      </c>
      <c r="AS10" s="76" t="str">
        <f>"ALTER TABLE "&amp;エンティティ一覧!$O$2&amp;"."&amp;D$8&amp;" OWNER TO pgmisgrp1;"</f>
        <v>ALTER TABLE milscm_2023_010.azn_202310_backup_mt_icd10_ss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milscm_2023_010.azn_202310_backup_mt_icd10_ss</v>
      </c>
      <c r="O11" s="76"/>
      <c r="P11" s="76"/>
      <c r="Q11" s="76"/>
      <c r="R11" s="76"/>
      <c r="S11" s="76"/>
      <c r="T11" s="76"/>
      <c r="AJ11" s="76" t="str">
        <f>"ADD CONSTRAINT "&amp;D$8&amp;"_pkey PRIMARY KEY"</f>
        <v>ADD CONSTRAINT azn_202310_backup_mt_icd10_ss_pkey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milscm_2023_010.azn_202310_backup_mt_icd10_ss IS 'バックアップ_ICD10細分類マスタ';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23" si="0">UPPER(G13)</f>
        <v>TEXT</v>
      </c>
      <c r="R13" s="76" t="str">
        <f t="shared" ref="R13:R23"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milscm_2023_010.azn_202310_backup_mt_icd10_ss.sekoubi IS '施行日';</v>
      </c>
    </row>
    <row r="14" spans="1:45" s="25" customFormat="1">
      <c r="A14" s="4"/>
      <c r="B14" s="21">
        <f t="shared" ref="B14:B22" si="2">ROW()-12</f>
        <v>2</v>
      </c>
      <c r="C14" s="6" t="s">
        <v>3288</v>
      </c>
      <c r="D14" s="6" t="s">
        <v>2045</v>
      </c>
      <c r="E14" s="8" t="s">
        <v>127</v>
      </c>
      <c r="F14" s="7" t="s">
        <v>316</v>
      </c>
      <c r="G14" s="7" t="str">
        <f t="shared" ref="G14:G23" si="3">IF(F14="フラグ","boolean",IF(F14="文字列","text",IF(F14="整数","integer",IF(F14="実数","numeric",""))))</f>
        <v>text</v>
      </c>
      <c r="H14" s="26"/>
      <c r="I14" s="10" t="s">
        <v>127</v>
      </c>
      <c r="J14" s="11" t="s">
        <v>3313</v>
      </c>
      <c r="M14" s="4"/>
      <c r="N14" s="76"/>
      <c r="O14" s="76"/>
      <c r="P14" s="76" t="str">
        <f t="shared" ref="P14:P23" si="4">IF(B14&lt;&gt;1,","&amp;D14,D14)</f>
        <v>,koshin_kubun</v>
      </c>
      <c r="Q14" s="76" t="str">
        <f t="shared" si="0"/>
        <v>TEXT</v>
      </c>
      <c r="R14" s="76" t="str">
        <f t="shared" si="1"/>
        <v/>
      </c>
      <c r="S14" s="76" t="str">
        <f t="shared" ref="S14:S23" si="5">IF(I14="○","NOT NULL","")</f>
        <v>NOT NULL</v>
      </c>
      <c r="T14" s="76" t="str">
        <f t="shared" ref="T14:T23"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milscm_2023_010.azn_202310_backup_mt_icd10_ss.koshin_kubun IS '更新区分';</v>
      </c>
    </row>
    <row r="15" spans="1:45" s="25" customFormat="1">
      <c r="A15" s="4"/>
      <c r="B15" s="21">
        <f t="shared" si="2"/>
        <v>3</v>
      </c>
      <c r="C15" s="6" t="s">
        <v>2656</v>
      </c>
      <c r="D15" s="6" t="s">
        <v>3369</v>
      </c>
      <c r="E15" s="8" t="s">
        <v>127</v>
      </c>
      <c r="F15" s="7" t="s">
        <v>316</v>
      </c>
      <c r="G15" s="7" t="str">
        <f t="shared" si="3"/>
        <v>text</v>
      </c>
      <c r="H15" s="26"/>
      <c r="I15" s="10" t="s">
        <v>127</v>
      </c>
      <c r="J15" s="11"/>
      <c r="M15" s="4"/>
      <c r="N15" s="76"/>
      <c r="O15" s="76"/>
      <c r="P15" s="76" t="str">
        <f t="shared" si="4"/>
        <v>,icd10_ss_code</v>
      </c>
      <c r="Q15" s="76" t="str">
        <f t="shared" si="0"/>
        <v>TEXT</v>
      </c>
      <c r="R15" s="76" t="str">
        <f t="shared" si="1"/>
        <v/>
      </c>
      <c r="S15" s="76" t="str">
        <f t="shared" si="5"/>
        <v>NOT NULL</v>
      </c>
      <c r="T15" s="76" t="str">
        <f t="shared" si="6"/>
        <v>-- ICD10細分類コード</v>
      </c>
      <c r="U15" s="4"/>
      <c r="AA15" s="4"/>
      <c r="AB15" s="4"/>
      <c r="AC15" s="4"/>
      <c r="AD15" s="4"/>
      <c r="AE15" s="4"/>
      <c r="AF15" s="4"/>
      <c r="AG15" s="4"/>
      <c r="AH15" s="4"/>
      <c r="AI15" s="4"/>
      <c r="AJ15" s="76" t="str">
        <f>IF(E15="○",IF(COUNTA(E$13:E15)=1,"",",")&amp;D15,"")</f>
        <v>,icd10_ss_code</v>
      </c>
      <c r="AK15" s="4"/>
      <c r="AL15" s="4"/>
      <c r="AM15" s="4"/>
      <c r="AN15" s="4"/>
      <c r="AO15" s="4"/>
      <c r="AP15" s="4"/>
      <c r="AQ15" s="4"/>
      <c r="AR15" s="4"/>
      <c r="AS15" s="76" t="str">
        <f>"COMMENT ON COLUMN "&amp;エンティティ一覧!$O$2&amp;"."&amp;D$8&amp;"."&amp;D15&amp;" IS '"&amp;C15&amp;"';"</f>
        <v>COMMENT ON COLUMN milscm_2023_010.azn_202310_backup_mt_icd10_ss.icd10_ss_code IS 'ICD10細分類コード';</v>
      </c>
    </row>
    <row r="16" spans="1:45" s="25" customFormat="1">
      <c r="A16" s="4"/>
      <c r="B16" s="21">
        <f t="shared" si="2"/>
        <v>4</v>
      </c>
      <c r="C16" s="6" t="s">
        <v>2663</v>
      </c>
      <c r="D16" s="6" t="s">
        <v>2664</v>
      </c>
      <c r="E16" s="8"/>
      <c r="F16" s="7" t="s">
        <v>316</v>
      </c>
      <c r="G16" s="7" t="str">
        <f t="shared" si="3"/>
        <v>text</v>
      </c>
      <c r="H16" s="26"/>
      <c r="I16" s="10" t="s">
        <v>127</v>
      </c>
      <c r="J16" s="11"/>
      <c r="M16" s="4"/>
      <c r="N16" s="76"/>
      <c r="O16" s="76"/>
      <c r="P16" s="76" t="str">
        <f t="shared" si="4"/>
        <v>,icd10_ss_name</v>
      </c>
      <c r="Q16" s="76" t="str">
        <f t="shared" si="0"/>
        <v>TEXT</v>
      </c>
      <c r="R16" s="76" t="str">
        <f t="shared" si="1"/>
        <v/>
      </c>
      <c r="S16" s="76" t="str">
        <f t="shared" si="5"/>
        <v>NOT NULL</v>
      </c>
      <c r="T16" s="76" t="str">
        <f t="shared" si="6"/>
        <v>-- ICD10細分類名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milscm_2023_010.azn_202310_backup_mt_icd10_ss.icd10_ss_name IS 'ICD10細分類名';</v>
      </c>
    </row>
    <row r="17" spans="1:52" s="25" customFormat="1">
      <c r="A17" s="4"/>
      <c r="B17" s="21">
        <f t="shared" si="2"/>
        <v>5</v>
      </c>
      <c r="C17" s="6" t="s">
        <v>2651</v>
      </c>
      <c r="D17" s="6" t="s">
        <v>3366</v>
      </c>
      <c r="E17" s="8"/>
      <c r="F17" s="7" t="s">
        <v>316</v>
      </c>
      <c r="G17" s="7" t="str">
        <f t="shared" ref="G17" si="7">IF(F17="フラグ","boolean",IF(F17="文字列","text",IF(F17="整数","integer",IF(F17="実数","numeric",""))))</f>
        <v>text</v>
      </c>
      <c r="H17" s="26"/>
      <c r="I17" s="10" t="s">
        <v>127</v>
      </c>
      <c r="J17" s="11"/>
      <c r="M17" s="4"/>
      <c r="N17" s="76"/>
      <c r="O17" s="76"/>
      <c r="P17" s="76" t="str">
        <f t="shared" ref="P17" si="8">IF(B17&lt;&gt;1,","&amp;D17,D17)</f>
        <v>,icd10_l_code</v>
      </c>
      <c r="Q17" s="76" t="str">
        <f t="shared" ref="Q17" si="9">UPPER(G17)</f>
        <v>TEXT</v>
      </c>
      <c r="R17" s="76" t="str">
        <f t="shared" ref="R17" si="10">IF(H17&lt;&gt;"","default "&amp;IF(G17="text","'"&amp;H17&amp;"'",H17),"")</f>
        <v/>
      </c>
      <c r="S17" s="76" t="str">
        <f t="shared" ref="S17" si="11">IF(I17="○","NOT NULL","")</f>
        <v>NOT NULL</v>
      </c>
      <c r="T17" s="76" t="str">
        <f t="shared" ref="T17" si="12">"-- "&amp;C17</f>
        <v>-- ICD10大分類コード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milscm_2023_010.azn_202310_backup_mt_icd10_ss.icd10_l_code IS 'ICD10大分類コード';</v>
      </c>
    </row>
    <row r="18" spans="1:52" s="25" customFormat="1">
      <c r="A18" s="4"/>
      <c r="B18" s="21">
        <f t="shared" si="2"/>
        <v>6</v>
      </c>
      <c r="C18" s="6" t="s">
        <v>2653</v>
      </c>
      <c r="D18" s="6" t="s">
        <v>3367</v>
      </c>
      <c r="E18" s="8"/>
      <c r="F18" s="7" t="s">
        <v>316</v>
      </c>
      <c r="G18" s="7" t="str">
        <f t="shared" si="3"/>
        <v>text</v>
      </c>
      <c r="H18" s="26"/>
      <c r="I18" s="10" t="s">
        <v>127</v>
      </c>
      <c r="J18" s="11"/>
      <c r="M18" s="4"/>
      <c r="N18" s="76"/>
      <c r="O18" s="76"/>
      <c r="P18" s="76" t="str">
        <f t="shared" si="4"/>
        <v>,icd10_m_code</v>
      </c>
      <c r="Q18" s="76" t="str">
        <f t="shared" si="0"/>
        <v>TEXT</v>
      </c>
      <c r="R18" s="76" t="str">
        <f t="shared" si="1"/>
        <v/>
      </c>
      <c r="S18" s="76" t="str">
        <f t="shared" si="5"/>
        <v>NOT NULL</v>
      </c>
      <c r="T18" s="76" t="str">
        <f t="shared" si="6"/>
        <v>-- ICD10中分類コード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milscm_2023_010.azn_202310_backup_mt_icd10_ss.icd10_m_code IS 'ICD10中分類コード';</v>
      </c>
    </row>
    <row r="19" spans="1:52" s="25" customFormat="1">
      <c r="A19" s="4"/>
      <c r="B19" s="21">
        <f t="shared" si="2"/>
        <v>7</v>
      </c>
      <c r="C19" s="6" t="s">
        <v>2655</v>
      </c>
      <c r="D19" s="6" t="s">
        <v>3368</v>
      </c>
      <c r="E19" s="8"/>
      <c r="F19" s="7" t="s">
        <v>316</v>
      </c>
      <c r="G19" s="7" t="str">
        <f t="shared" si="3"/>
        <v>text</v>
      </c>
      <c r="H19" s="26"/>
      <c r="I19" s="10" t="s">
        <v>127</v>
      </c>
      <c r="J19" s="11"/>
      <c r="M19" s="4"/>
      <c r="N19" s="76"/>
      <c r="O19" s="76"/>
      <c r="P19" s="76" t="str">
        <f t="shared" si="4"/>
        <v>,icd10_s_code</v>
      </c>
      <c r="Q19" s="76" t="str">
        <f t="shared" si="0"/>
        <v>TEXT</v>
      </c>
      <c r="R19" s="76" t="str">
        <f t="shared" si="1"/>
        <v/>
      </c>
      <c r="S19" s="76" t="str">
        <f t="shared" si="5"/>
        <v>NOT NULL</v>
      </c>
      <c r="T19" s="76" t="str">
        <f t="shared" si="6"/>
        <v>-- ICD10小分類コード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milscm_2023_010.azn_202310_backup_mt_icd10_ss.icd10_s_code IS 'ICD10小分類コード';</v>
      </c>
    </row>
    <row r="20" spans="1:52" s="25" customFormat="1">
      <c r="A20" s="4"/>
      <c r="B20" s="21">
        <f t="shared" si="2"/>
        <v>8</v>
      </c>
      <c r="C20" s="6" t="s">
        <v>3305</v>
      </c>
      <c r="D20" s="6" t="s">
        <v>3306</v>
      </c>
      <c r="E20" s="8"/>
      <c r="F20" s="7" t="s">
        <v>316</v>
      </c>
      <c r="G20" s="7" t="str">
        <f t="shared" si="3"/>
        <v>text</v>
      </c>
      <c r="H20" s="26"/>
      <c r="I20" s="10"/>
      <c r="J20" s="11" t="s">
        <v>3314</v>
      </c>
      <c r="M20" s="4"/>
      <c r="N20" s="76"/>
      <c r="O20" s="76"/>
      <c r="P20" s="76" t="str">
        <f t="shared" si="4"/>
        <v>,ikosaki</v>
      </c>
      <c r="Q20" s="76" t="str">
        <f t="shared" si="0"/>
        <v>TEXT</v>
      </c>
      <c r="R20" s="76" t="str">
        <f t="shared" si="1"/>
        <v/>
      </c>
      <c r="S20" s="76" t="str">
        <f t="shared" si="5"/>
        <v/>
      </c>
      <c r="T20" s="76" t="str">
        <f t="shared" si="6"/>
        <v>-- 移行先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milscm_2023_010.azn_202310_backup_mt_icd10_ss.ikosaki IS '移行先';</v>
      </c>
    </row>
    <row r="21" spans="1:52" s="25" customFormat="1">
      <c r="A21" s="4"/>
      <c r="B21" s="21">
        <f t="shared" si="2"/>
        <v>9</v>
      </c>
      <c r="C21" s="6" t="s">
        <v>3307</v>
      </c>
      <c r="D21" s="6" t="s">
        <v>3308</v>
      </c>
      <c r="E21" s="8"/>
      <c r="F21" s="7" t="s">
        <v>316</v>
      </c>
      <c r="G21" s="7" t="str">
        <f t="shared" si="3"/>
        <v>text</v>
      </c>
      <c r="H21" s="26"/>
      <c r="I21" s="10" t="s">
        <v>127</v>
      </c>
      <c r="J21" s="11" t="s">
        <v>3315</v>
      </c>
      <c r="M21" s="4"/>
      <c r="N21" s="76"/>
      <c r="O21" s="76"/>
      <c r="P21" s="76" t="str">
        <f t="shared" si="4"/>
        <v>,nen</v>
      </c>
      <c r="Q21" s="76" t="str">
        <f t="shared" si="0"/>
        <v>TEXT</v>
      </c>
      <c r="R21" s="76" t="str">
        <f t="shared" si="1"/>
        <v/>
      </c>
      <c r="S21" s="76" t="str">
        <f t="shared" si="5"/>
        <v>NOT NULL</v>
      </c>
      <c r="T21" s="76" t="str">
        <f t="shared" si="6"/>
        <v>-- 年</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milscm_2023_010.azn_202310_backup_mt_icd10_ss.nen IS '年';</v>
      </c>
    </row>
    <row r="22" spans="1:52" s="25" customFormat="1">
      <c r="A22" s="4"/>
      <c r="B22" s="21">
        <f t="shared" si="2"/>
        <v>10</v>
      </c>
      <c r="C22" s="6" t="s">
        <v>3309</v>
      </c>
      <c r="D22" s="6" t="s">
        <v>3310</v>
      </c>
      <c r="E22" s="8"/>
      <c r="F22" s="7" t="s">
        <v>316</v>
      </c>
      <c r="G22" s="7" t="str">
        <f t="shared" si="3"/>
        <v>text</v>
      </c>
      <c r="H22" s="26"/>
      <c r="I22" s="10" t="s">
        <v>127</v>
      </c>
      <c r="J22" s="11" t="s">
        <v>3316</v>
      </c>
      <c r="M22" s="4"/>
      <c r="N22" s="76"/>
      <c r="O22" s="76"/>
      <c r="P22" s="76" t="str">
        <f t="shared" si="4"/>
        <v>,nengetsu</v>
      </c>
      <c r="Q22" s="76" t="str">
        <f t="shared" si="0"/>
        <v>TEXT</v>
      </c>
      <c r="R22" s="76" t="str">
        <f t="shared" si="1"/>
        <v/>
      </c>
      <c r="S22" s="76" t="str">
        <f t="shared" si="5"/>
        <v>NOT NULL</v>
      </c>
      <c r="T22" s="76" t="str">
        <f t="shared" si="6"/>
        <v>-- 年月</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milscm_2023_010.azn_202310_backup_mt_icd10_ss.nengetsu IS '年月';</v>
      </c>
    </row>
    <row r="23" spans="1:52" s="25" customFormat="1" ht="19.5" thickBot="1">
      <c r="A23" s="4"/>
      <c r="B23" s="27">
        <f>ROW()-12</f>
        <v>11</v>
      </c>
      <c r="C23" s="57" t="s">
        <v>3311</v>
      </c>
      <c r="D23" s="57" t="s">
        <v>1879</v>
      </c>
      <c r="E23" s="56"/>
      <c r="F23" s="56" t="s">
        <v>316</v>
      </c>
      <c r="G23" s="56" t="str">
        <f t="shared" si="3"/>
        <v>text</v>
      </c>
      <c r="H23" s="59"/>
      <c r="I23" s="60" t="s">
        <v>127</v>
      </c>
      <c r="J23" s="63" t="s">
        <v>2397</v>
      </c>
      <c r="N23" s="76"/>
      <c r="O23" s="76"/>
      <c r="P23" s="76" t="str">
        <f t="shared" si="4"/>
        <v>,update_ymd</v>
      </c>
      <c r="Q23" s="76" t="str">
        <f t="shared" si="0"/>
        <v>TEXT</v>
      </c>
      <c r="R23" s="76" t="str">
        <f t="shared" si="1"/>
        <v/>
      </c>
      <c r="S23" s="76" t="str">
        <f t="shared" si="5"/>
        <v>NOT NULL</v>
      </c>
      <c r="T23" s="76" t="str">
        <f t="shared" si="6"/>
        <v>-- データ登録日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milscm_2023_010.azn_202310_backup_mt_icd10_ss.update_ymd IS 'データ登録日';</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ENT_01_A3-34</v>
      </c>
      <c r="E6" s="272"/>
      <c r="F6" s="272"/>
      <c r="G6" s="272"/>
      <c r="H6" s="272"/>
      <c r="I6" s="272"/>
      <c r="J6" s="273"/>
    </row>
    <row r="7" spans="1:45">
      <c r="B7" s="261" t="s">
        <v>115</v>
      </c>
      <c r="C7" s="262"/>
      <c r="D7" s="263" t="s">
        <v>3255</v>
      </c>
      <c r="E7" s="264"/>
      <c r="F7" s="264"/>
      <c r="G7" s="264"/>
      <c r="H7" s="264"/>
      <c r="I7" s="264"/>
      <c r="J7" s="265"/>
    </row>
    <row r="8" spans="1:45">
      <c r="B8" s="261" t="s">
        <v>116</v>
      </c>
      <c r="C8" s="262"/>
      <c r="D8" s="263" t="str">
        <f>エンティティ一覧!AE2&amp;"_"&amp;D5&amp;"_mt_dpc2"</f>
        <v>azn_202310_backup_mt_dpc2</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DPC2桁マスタテーブルから組入れ条件の第一条件で絞り込んだ結果を格納するテーブル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milscm_2023_010.azn_202310_backup_mt_dpc2;</v>
      </c>
      <c r="O10" s="76"/>
      <c r="P10" s="76"/>
      <c r="Q10" s="76"/>
      <c r="R10" s="76"/>
      <c r="S10" s="76"/>
      <c r="T10" s="76"/>
      <c r="AJ10" s="76" t="str">
        <f>"ALTER TABLE ONLY "&amp;エンティティ一覧!$O$2&amp;"."&amp;D$8</f>
        <v>ALTER TABLE ONLY milscm_2023_010.azn_202310_backup_mt_dpc2</v>
      </c>
      <c r="AS10" s="76" t="str">
        <f>"ALTER TABLE "&amp;エンティティ一覧!$O$2&amp;"."&amp;D$8&amp;" OWNER TO pgmisgrp1;"</f>
        <v>ALTER TABLE milscm_2023_010.azn_202310_backup_mt_dpc2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milscm_2023_010.azn_202310_backup_mt_dpc2</v>
      </c>
      <c r="O11" s="76"/>
      <c r="P11" s="76"/>
      <c r="Q11" s="76"/>
      <c r="R11" s="76"/>
      <c r="S11" s="76"/>
      <c r="T11" s="76"/>
      <c r="AJ11" s="76" t="str">
        <f>"ADD CONSTRAINT "&amp;D$8&amp;"_pkey PRIMARY KEY"</f>
        <v>ADD CONSTRAINT azn_202310_backup_mt_dpc2_pkey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milscm_2023_010.azn_202310_backup_mt_dpc2 IS 'バックアップ_DPC2桁マスタ';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20" si="0">UPPER(G13)</f>
        <v>TEXT</v>
      </c>
      <c r="R13" s="76" t="str">
        <f t="shared" ref="R13:R20"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milscm_2023_010.azn_202310_backup_mt_dpc2.sekoubi IS '施行日';</v>
      </c>
    </row>
    <row r="14" spans="1:45" s="25" customFormat="1">
      <c r="A14" s="4"/>
      <c r="B14" s="21">
        <f t="shared" ref="B14:B19" si="2">ROW()-12</f>
        <v>2</v>
      </c>
      <c r="C14" s="6" t="s">
        <v>3370</v>
      </c>
      <c r="D14" s="6" t="s">
        <v>1925</v>
      </c>
      <c r="E14" s="8"/>
      <c r="F14" s="7" t="s">
        <v>316</v>
      </c>
      <c r="G14" s="7" t="str">
        <f t="shared" ref="G14:G20" si="3">IF(F14="フラグ","boolean",IF(F14="文字列","text",IF(F14="整数","integer",IF(F14="実数","numeric",""))))</f>
        <v>text</v>
      </c>
      <c r="H14" s="26"/>
      <c r="I14" s="10" t="s">
        <v>127</v>
      </c>
      <c r="J14" s="11" t="s">
        <v>3313</v>
      </c>
      <c r="M14" s="4"/>
      <c r="N14" s="76"/>
      <c r="O14" s="76"/>
      <c r="P14" s="76" t="str">
        <f t="shared" ref="P14:P20" si="4">IF(B14&lt;&gt;1,","&amp;D14,D14)</f>
        <v>,henkou_kubun</v>
      </c>
      <c r="Q14" s="76" t="str">
        <f t="shared" si="0"/>
        <v>TEXT</v>
      </c>
      <c r="R14" s="76" t="str">
        <f t="shared" si="1"/>
        <v/>
      </c>
      <c r="S14" s="76" t="str">
        <f t="shared" ref="S14:S20" si="5">IF(I14="○","NOT NULL","")</f>
        <v>NOT NULL</v>
      </c>
      <c r="T14" s="76" t="str">
        <f t="shared" ref="T14:T20" si="6">"-- "&amp;C14</f>
        <v>-- 変更区分</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milscm_2023_010.azn_202310_backup_mt_dpc2.henkou_kubun IS '変更区分';</v>
      </c>
    </row>
    <row r="15" spans="1:45" s="25" customFormat="1">
      <c r="A15" s="4"/>
      <c r="B15" s="21">
        <f t="shared" si="2"/>
        <v>3</v>
      </c>
      <c r="C15" s="6" t="s">
        <v>1926</v>
      </c>
      <c r="D15" s="6" t="s">
        <v>3371</v>
      </c>
      <c r="E15" s="8" t="s">
        <v>127</v>
      </c>
      <c r="F15" s="7" t="s">
        <v>316</v>
      </c>
      <c r="G15" s="7" t="str">
        <f t="shared" si="3"/>
        <v>text</v>
      </c>
      <c r="H15" s="26"/>
      <c r="I15" s="10" t="s">
        <v>127</v>
      </c>
      <c r="J15" s="11"/>
      <c r="M15" s="4"/>
      <c r="N15" s="76"/>
      <c r="O15" s="76"/>
      <c r="P15" s="76" t="str">
        <f t="shared" si="4"/>
        <v>,dpc2_code</v>
      </c>
      <c r="Q15" s="76" t="str">
        <f t="shared" si="0"/>
        <v>TEXT</v>
      </c>
      <c r="R15" s="76" t="str">
        <f t="shared" si="1"/>
        <v/>
      </c>
      <c r="S15" s="76" t="str">
        <f t="shared" si="5"/>
        <v>NOT NULL</v>
      </c>
      <c r="T15" s="76" t="str">
        <f t="shared" si="6"/>
        <v>-- DPCコード2桁</v>
      </c>
      <c r="U15" s="4"/>
      <c r="AA15" s="4"/>
      <c r="AB15" s="4"/>
      <c r="AC15" s="4"/>
      <c r="AD15" s="4"/>
      <c r="AE15" s="4"/>
      <c r="AF15" s="4"/>
      <c r="AG15" s="4"/>
      <c r="AH15" s="4"/>
      <c r="AI15" s="4"/>
      <c r="AJ15" s="76" t="str">
        <f>IF(E15="○",IF(COUNTA(E$13:E15)=1,"",",")&amp;D15,"")</f>
        <v>,dpc2_code</v>
      </c>
      <c r="AK15" s="4"/>
      <c r="AL15" s="4"/>
      <c r="AM15" s="4"/>
      <c r="AN15" s="4"/>
      <c r="AO15" s="4"/>
      <c r="AP15" s="4"/>
      <c r="AQ15" s="4"/>
      <c r="AR15" s="4"/>
      <c r="AS15" s="76" t="str">
        <f>"COMMENT ON COLUMN "&amp;エンティティ一覧!$O$2&amp;"."&amp;D$8&amp;"."&amp;D15&amp;" IS '"&amp;C15&amp;"';"</f>
        <v>COMMENT ON COLUMN milscm_2023_010.azn_202310_backup_mt_dpc2.dpc2_code IS 'DPCコード2桁';</v>
      </c>
    </row>
    <row r="16" spans="1:45" s="25" customFormat="1">
      <c r="A16" s="4"/>
      <c r="B16" s="21">
        <f t="shared" si="2"/>
        <v>4</v>
      </c>
      <c r="C16" s="6" t="s">
        <v>2640</v>
      </c>
      <c r="D16" s="6" t="s">
        <v>2641</v>
      </c>
      <c r="E16" s="8"/>
      <c r="F16" s="7" t="s">
        <v>316</v>
      </c>
      <c r="G16" s="7" t="str">
        <f t="shared" si="3"/>
        <v>text</v>
      </c>
      <c r="H16" s="26"/>
      <c r="I16" s="10" t="s">
        <v>127</v>
      </c>
      <c r="J16" s="11"/>
      <c r="M16" s="4"/>
      <c r="N16" s="76"/>
      <c r="O16" s="76"/>
      <c r="P16" s="76" t="str">
        <f t="shared" si="4"/>
        <v>,dpc2_name</v>
      </c>
      <c r="Q16" s="76" t="str">
        <f t="shared" si="0"/>
        <v>TEXT</v>
      </c>
      <c r="R16" s="76" t="str">
        <f t="shared" si="1"/>
        <v/>
      </c>
      <c r="S16" s="76" t="str">
        <f t="shared" si="5"/>
        <v>NOT NULL</v>
      </c>
      <c r="T16" s="76" t="str">
        <f t="shared" si="6"/>
        <v>-- DPC2桁名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milscm_2023_010.azn_202310_backup_mt_dpc2.dpc2_name IS 'DPC2桁名';</v>
      </c>
    </row>
    <row r="17" spans="1:52" s="25" customFormat="1">
      <c r="A17" s="4"/>
      <c r="B17" s="21">
        <f t="shared" si="2"/>
        <v>5</v>
      </c>
      <c r="C17" s="6" t="s">
        <v>3305</v>
      </c>
      <c r="D17" s="6" t="s">
        <v>3306</v>
      </c>
      <c r="E17" s="8"/>
      <c r="F17" s="7" t="s">
        <v>316</v>
      </c>
      <c r="G17" s="7" t="str">
        <f t="shared" si="3"/>
        <v>text</v>
      </c>
      <c r="H17" s="26"/>
      <c r="I17" s="10"/>
      <c r="J17" s="11" t="s">
        <v>3314</v>
      </c>
      <c r="M17" s="4"/>
      <c r="N17" s="76"/>
      <c r="O17" s="76"/>
      <c r="P17" s="76" t="str">
        <f t="shared" si="4"/>
        <v>,ikosaki</v>
      </c>
      <c r="Q17" s="76" t="str">
        <f t="shared" si="0"/>
        <v>TEXT</v>
      </c>
      <c r="R17" s="76" t="str">
        <f t="shared" si="1"/>
        <v/>
      </c>
      <c r="S17" s="76" t="str">
        <f t="shared" si="5"/>
        <v/>
      </c>
      <c r="T17" s="76" t="str">
        <f t="shared" si="6"/>
        <v>-- 移行先</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milscm_2023_010.azn_202310_backup_mt_dpc2.ikosaki IS '移行先';</v>
      </c>
    </row>
    <row r="18" spans="1:52" s="25" customFormat="1">
      <c r="A18" s="4"/>
      <c r="B18" s="21">
        <f t="shared" si="2"/>
        <v>6</v>
      </c>
      <c r="C18" s="6" t="s">
        <v>3307</v>
      </c>
      <c r="D18" s="6" t="s">
        <v>3308</v>
      </c>
      <c r="E18" s="8"/>
      <c r="F18" s="7" t="s">
        <v>316</v>
      </c>
      <c r="G18" s="7" t="str">
        <f t="shared" si="3"/>
        <v>text</v>
      </c>
      <c r="H18" s="26"/>
      <c r="I18" s="10" t="s">
        <v>127</v>
      </c>
      <c r="J18" s="11" t="s">
        <v>3315</v>
      </c>
      <c r="M18" s="4"/>
      <c r="N18" s="76"/>
      <c r="O18" s="76"/>
      <c r="P18" s="76" t="str">
        <f t="shared" si="4"/>
        <v>,nen</v>
      </c>
      <c r="Q18" s="76" t="str">
        <f t="shared" si="0"/>
        <v>TEXT</v>
      </c>
      <c r="R18" s="76" t="str">
        <f t="shared" si="1"/>
        <v/>
      </c>
      <c r="S18" s="76" t="str">
        <f t="shared" si="5"/>
        <v>NOT NULL</v>
      </c>
      <c r="T18" s="76" t="str">
        <f t="shared" si="6"/>
        <v>-- 年</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milscm_2023_010.azn_202310_backup_mt_dpc2.nen IS '年';</v>
      </c>
    </row>
    <row r="19" spans="1:52" s="25" customFormat="1">
      <c r="A19" s="4"/>
      <c r="B19" s="21">
        <f t="shared" si="2"/>
        <v>7</v>
      </c>
      <c r="C19" s="6" t="s">
        <v>3309</v>
      </c>
      <c r="D19" s="6" t="s">
        <v>3310</v>
      </c>
      <c r="E19" s="8"/>
      <c r="F19" s="7" t="s">
        <v>316</v>
      </c>
      <c r="G19" s="7" t="str">
        <f t="shared" si="3"/>
        <v>text</v>
      </c>
      <c r="H19" s="26"/>
      <c r="I19" s="10" t="s">
        <v>127</v>
      </c>
      <c r="J19" s="11" t="s">
        <v>3316</v>
      </c>
      <c r="M19" s="4"/>
      <c r="N19" s="76"/>
      <c r="O19" s="76"/>
      <c r="P19" s="76" t="str">
        <f t="shared" si="4"/>
        <v>,nengetsu</v>
      </c>
      <c r="Q19" s="76" t="str">
        <f t="shared" si="0"/>
        <v>TEXT</v>
      </c>
      <c r="R19" s="76" t="str">
        <f t="shared" si="1"/>
        <v/>
      </c>
      <c r="S19" s="76" t="str">
        <f t="shared" si="5"/>
        <v>NOT NULL</v>
      </c>
      <c r="T19" s="76" t="str">
        <f t="shared" si="6"/>
        <v>-- 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milscm_2023_010.azn_202310_backup_mt_dpc2.nengetsu IS '年月';</v>
      </c>
    </row>
    <row r="20" spans="1:52" s="25" customFormat="1" ht="19.5" thickBot="1">
      <c r="A20" s="4"/>
      <c r="B20" s="27">
        <f>ROW()-12</f>
        <v>8</v>
      </c>
      <c r="C20" s="57" t="s">
        <v>3311</v>
      </c>
      <c r="D20" s="57" t="s">
        <v>1879</v>
      </c>
      <c r="E20" s="56"/>
      <c r="F20" s="56" t="s">
        <v>316</v>
      </c>
      <c r="G20" s="56" t="str">
        <f t="shared" si="3"/>
        <v>text</v>
      </c>
      <c r="H20" s="59"/>
      <c r="I20" s="60" t="s">
        <v>127</v>
      </c>
      <c r="J20" s="63" t="s">
        <v>2397</v>
      </c>
      <c r="N20" s="76"/>
      <c r="O20" s="76"/>
      <c r="P20" s="76" t="str">
        <f t="shared" si="4"/>
        <v>,update_ymd</v>
      </c>
      <c r="Q20" s="76" t="str">
        <f t="shared" si="0"/>
        <v>TEXT</v>
      </c>
      <c r="R20" s="76" t="str">
        <f t="shared" si="1"/>
        <v/>
      </c>
      <c r="S20" s="76" t="str">
        <f t="shared" si="5"/>
        <v>NOT NULL</v>
      </c>
      <c r="T20" s="76" t="str">
        <f t="shared" si="6"/>
        <v>-- データ登録日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milscm_2023_010.azn_202310_backup_mt_dpc2.update_ymd IS 'データ登録日';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ENT_01_A3-35</v>
      </c>
      <c r="E6" s="272"/>
      <c r="F6" s="272"/>
      <c r="G6" s="272"/>
      <c r="H6" s="272"/>
      <c r="I6" s="272"/>
      <c r="J6" s="273"/>
    </row>
    <row r="7" spans="1:45">
      <c r="B7" s="261" t="s">
        <v>115</v>
      </c>
      <c r="C7" s="262"/>
      <c r="D7" s="263" t="s">
        <v>3372</v>
      </c>
      <c r="E7" s="264"/>
      <c r="F7" s="264"/>
      <c r="G7" s="264"/>
      <c r="H7" s="264"/>
      <c r="I7" s="264"/>
      <c r="J7" s="265"/>
    </row>
    <row r="8" spans="1:45">
      <c r="B8" s="261" t="s">
        <v>116</v>
      </c>
      <c r="C8" s="262"/>
      <c r="D8" s="263" t="str">
        <f>エンティティ一覧!AE2&amp;"_"&amp;D5&amp;"_mt_dpc6"</f>
        <v>azn_202310_backup_mt_dpc6</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DPC6桁マスタテーブルから組入れ条件の第一条件で絞り込んだ結果を格納するテーブル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milscm_2023_010.azn_202310_backup_mt_dpc6;</v>
      </c>
      <c r="O10" s="76"/>
      <c r="P10" s="76"/>
      <c r="Q10" s="76"/>
      <c r="R10" s="76"/>
      <c r="S10" s="76"/>
      <c r="T10" s="76"/>
      <c r="AJ10" s="76" t="str">
        <f>"ALTER TABLE ONLY "&amp;エンティティ一覧!$O$2&amp;"."&amp;D$8</f>
        <v>ALTER TABLE ONLY milscm_2023_010.azn_202310_backup_mt_dpc6</v>
      </c>
      <c r="AS10" s="76" t="str">
        <f>"ALTER TABLE "&amp;エンティティ一覧!$O$2&amp;"."&amp;D$8&amp;" OWNER TO pgmisgrp1;"</f>
        <v>ALTER TABLE milscm_2023_010.azn_202310_backup_mt_dpc6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milscm_2023_010.azn_202310_backup_mt_dpc6</v>
      </c>
      <c r="O11" s="76"/>
      <c r="P11" s="76"/>
      <c r="Q11" s="76"/>
      <c r="R11" s="76"/>
      <c r="S11" s="76"/>
      <c r="T11" s="76"/>
      <c r="AJ11" s="76" t="str">
        <f>"ADD CONSTRAINT "&amp;D$8&amp;"_pkey PRIMARY KEY"</f>
        <v>ADD CONSTRAINT azn_202310_backup_mt_dpc6_pkey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milscm_2023_010.azn_202310_backup_mt_dpc6 IS 'バックアップ_DPC6桁マスタ';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21" si="0">UPPER(G13)</f>
        <v>TEXT</v>
      </c>
      <c r="R13" s="76" t="str">
        <f t="shared" ref="R13:R21"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milscm_2023_010.azn_202310_backup_mt_dpc6.sekoubi IS '施行日';</v>
      </c>
    </row>
    <row r="14" spans="1:45" s="25" customFormat="1">
      <c r="A14" s="4"/>
      <c r="B14" s="21">
        <f t="shared" ref="B14:B20" si="2">ROW()-12</f>
        <v>2</v>
      </c>
      <c r="C14" s="6" t="s">
        <v>3370</v>
      </c>
      <c r="D14" s="6" t="s">
        <v>1925</v>
      </c>
      <c r="E14" s="8"/>
      <c r="F14" s="7" t="s">
        <v>316</v>
      </c>
      <c r="G14" s="7" t="str">
        <f t="shared" ref="G14:G21" si="3">IF(F14="フラグ","boolean",IF(F14="文字列","text",IF(F14="整数","integer",IF(F14="実数","numeric",""))))</f>
        <v>text</v>
      </c>
      <c r="H14" s="26"/>
      <c r="I14" s="10" t="s">
        <v>127</v>
      </c>
      <c r="J14" s="11" t="s">
        <v>3313</v>
      </c>
      <c r="M14" s="4"/>
      <c r="N14" s="76"/>
      <c r="O14" s="76"/>
      <c r="P14" s="76" t="str">
        <f t="shared" ref="P14:P21" si="4">IF(B14&lt;&gt;1,","&amp;D14,D14)</f>
        <v>,henkou_kubun</v>
      </c>
      <c r="Q14" s="76" t="str">
        <f t="shared" si="0"/>
        <v>TEXT</v>
      </c>
      <c r="R14" s="76" t="str">
        <f t="shared" si="1"/>
        <v/>
      </c>
      <c r="S14" s="76" t="str">
        <f t="shared" ref="S14:S21" si="5">IF(I14="○","NOT NULL","")</f>
        <v>NOT NULL</v>
      </c>
      <c r="T14" s="76" t="str">
        <f t="shared" ref="T14:T21" si="6">"-- "&amp;C14</f>
        <v>-- 変更区分</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milscm_2023_010.azn_202310_backup_mt_dpc6.henkou_kubun IS '変更区分';</v>
      </c>
    </row>
    <row r="15" spans="1:45" s="25" customFormat="1">
      <c r="A15" s="4"/>
      <c r="B15" s="21">
        <f t="shared" si="2"/>
        <v>3</v>
      </c>
      <c r="C15" s="6" t="s">
        <v>1926</v>
      </c>
      <c r="D15" s="6" t="s">
        <v>3371</v>
      </c>
      <c r="E15" s="8" t="s">
        <v>127</v>
      </c>
      <c r="F15" s="7" t="s">
        <v>316</v>
      </c>
      <c r="G15" s="7" t="str">
        <f t="shared" si="3"/>
        <v>text</v>
      </c>
      <c r="H15" s="26"/>
      <c r="I15" s="10" t="s">
        <v>127</v>
      </c>
      <c r="J15" s="11"/>
      <c r="M15" s="4"/>
      <c r="N15" s="76"/>
      <c r="O15" s="76"/>
      <c r="P15" s="76" t="str">
        <f t="shared" si="4"/>
        <v>,dpc2_code</v>
      </c>
      <c r="Q15" s="76" t="str">
        <f t="shared" si="0"/>
        <v>TEXT</v>
      </c>
      <c r="R15" s="76" t="str">
        <f t="shared" si="1"/>
        <v/>
      </c>
      <c r="S15" s="76" t="str">
        <f t="shared" si="5"/>
        <v>NOT NULL</v>
      </c>
      <c r="T15" s="76" t="str">
        <f t="shared" si="6"/>
        <v>-- DPCコード2桁</v>
      </c>
      <c r="U15" s="4"/>
      <c r="AA15" s="4"/>
      <c r="AB15" s="4"/>
      <c r="AC15" s="4"/>
      <c r="AD15" s="4"/>
      <c r="AE15" s="4"/>
      <c r="AF15" s="4"/>
      <c r="AG15" s="4"/>
      <c r="AH15" s="4"/>
      <c r="AI15" s="4"/>
      <c r="AJ15" s="76" t="str">
        <f>IF(E15="○",IF(COUNTA(E$13:E15)=1,"",",")&amp;D15,"")</f>
        <v>,dpc2_code</v>
      </c>
      <c r="AK15" s="4"/>
      <c r="AL15" s="4"/>
      <c r="AM15" s="4"/>
      <c r="AN15" s="4"/>
      <c r="AO15" s="4"/>
      <c r="AP15" s="4"/>
      <c r="AQ15" s="4"/>
      <c r="AR15" s="4"/>
      <c r="AS15" s="76" t="str">
        <f>"COMMENT ON COLUMN "&amp;エンティティ一覧!$O$2&amp;"."&amp;D$8&amp;"."&amp;D15&amp;" IS '"&amp;C15&amp;"';"</f>
        <v>COMMENT ON COLUMN milscm_2023_010.azn_202310_backup_mt_dpc6.dpc2_code IS 'DPCコード2桁';</v>
      </c>
    </row>
    <row r="16" spans="1:45" s="25" customFormat="1">
      <c r="A16" s="4"/>
      <c r="B16" s="21">
        <f t="shared" si="2"/>
        <v>4</v>
      </c>
      <c r="C16" s="6" t="s">
        <v>3373</v>
      </c>
      <c r="D16" s="6" t="s">
        <v>3374</v>
      </c>
      <c r="E16" s="8" t="s">
        <v>127</v>
      </c>
      <c r="F16" s="7" t="s">
        <v>316</v>
      </c>
      <c r="G16" s="7" t="str">
        <f t="shared" si="3"/>
        <v>text</v>
      </c>
      <c r="H16" s="26"/>
      <c r="I16" s="10" t="s">
        <v>127</v>
      </c>
      <c r="J16" s="11"/>
      <c r="M16" s="4"/>
      <c r="N16" s="76"/>
      <c r="O16" s="76"/>
      <c r="P16" s="76" t="str">
        <f t="shared" si="4"/>
        <v>,dpc4_code</v>
      </c>
      <c r="Q16" s="76" t="str">
        <f t="shared" si="0"/>
        <v>TEXT</v>
      </c>
      <c r="R16" s="76" t="str">
        <f t="shared" si="1"/>
        <v/>
      </c>
      <c r="S16" s="76" t="str">
        <f t="shared" si="5"/>
        <v>NOT NULL</v>
      </c>
      <c r="T16" s="76" t="str">
        <f t="shared" si="6"/>
        <v>-- DPCコード4桁</v>
      </c>
      <c r="U16" s="4"/>
      <c r="AA16" s="4"/>
      <c r="AB16" s="4"/>
      <c r="AC16" s="4"/>
      <c r="AD16" s="4"/>
      <c r="AE16" s="4"/>
      <c r="AF16" s="4"/>
      <c r="AG16" s="4"/>
      <c r="AH16" s="4"/>
      <c r="AI16" s="4"/>
      <c r="AJ16" s="76" t="str">
        <f>IF(E16="○",IF(COUNTA(E$13:E16)=1,"",",")&amp;D16,"")</f>
        <v>,dpc4_code</v>
      </c>
      <c r="AK16" s="4"/>
      <c r="AL16" s="4"/>
      <c r="AM16" s="4"/>
      <c r="AN16" s="4"/>
      <c r="AO16" s="4"/>
      <c r="AP16" s="4"/>
      <c r="AQ16" s="4"/>
      <c r="AR16" s="4"/>
      <c r="AS16" s="76" t="str">
        <f>"COMMENT ON COLUMN "&amp;エンティティ一覧!$O$2&amp;"."&amp;D$8&amp;"."&amp;D16&amp;" IS '"&amp;C16&amp;"';"</f>
        <v>COMMENT ON COLUMN milscm_2023_010.azn_202310_backup_mt_dpc6.dpc4_code IS 'DPCコード4桁';</v>
      </c>
    </row>
    <row r="17" spans="1:52" s="25" customFormat="1">
      <c r="A17" s="4"/>
      <c r="B17" s="21">
        <f t="shared" si="2"/>
        <v>5</v>
      </c>
      <c r="C17" s="6" t="s">
        <v>2642</v>
      </c>
      <c r="D17" s="6" t="s">
        <v>2643</v>
      </c>
      <c r="E17" s="8"/>
      <c r="F17" s="7" t="s">
        <v>316</v>
      </c>
      <c r="G17" s="7" t="str">
        <f t="shared" ref="G17" si="7">IF(F17="フラグ","boolean",IF(F17="文字列","text",IF(F17="整数","integer",IF(F17="実数","numeric",""))))</f>
        <v>text</v>
      </c>
      <c r="H17" s="26"/>
      <c r="I17" s="10" t="s">
        <v>127</v>
      </c>
      <c r="J17" s="11"/>
      <c r="M17" s="4"/>
      <c r="N17" s="76"/>
      <c r="O17" s="76"/>
      <c r="P17" s="76" t="str">
        <f t="shared" ref="P17" si="8">IF(B17&lt;&gt;1,","&amp;D17,D17)</f>
        <v>,dpc6_name</v>
      </c>
      <c r="Q17" s="76" t="str">
        <f t="shared" ref="Q17" si="9">UPPER(G17)</f>
        <v>TEXT</v>
      </c>
      <c r="R17" s="76" t="str">
        <f t="shared" ref="R17" si="10">IF(H17&lt;&gt;"","default "&amp;IF(G17="text","'"&amp;H17&amp;"'",H17),"")</f>
        <v/>
      </c>
      <c r="S17" s="76" t="str">
        <f t="shared" ref="S17" si="11">IF(I17="○","NOT NULL","")</f>
        <v>NOT NULL</v>
      </c>
      <c r="T17" s="76" t="str">
        <f t="shared" ref="T17" si="12">"-- "&amp;C17</f>
        <v>-- DPC6桁名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milscm_2023_010.azn_202310_backup_mt_dpc6.dpc6_name IS 'DPC6桁名';</v>
      </c>
    </row>
    <row r="18" spans="1:52" s="25" customFormat="1">
      <c r="A18" s="4"/>
      <c r="B18" s="21">
        <f t="shared" si="2"/>
        <v>6</v>
      </c>
      <c r="C18" s="6" t="s">
        <v>3305</v>
      </c>
      <c r="D18" s="6" t="s">
        <v>3306</v>
      </c>
      <c r="E18" s="8"/>
      <c r="F18" s="7" t="s">
        <v>316</v>
      </c>
      <c r="G18" s="7" t="str">
        <f t="shared" si="3"/>
        <v>text</v>
      </c>
      <c r="H18" s="26"/>
      <c r="I18" s="10"/>
      <c r="J18" s="11" t="s">
        <v>3314</v>
      </c>
      <c r="M18" s="4"/>
      <c r="N18" s="76"/>
      <c r="O18" s="76"/>
      <c r="P18" s="76" t="str">
        <f t="shared" si="4"/>
        <v>,ikosaki</v>
      </c>
      <c r="Q18" s="76" t="str">
        <f t="shared" si="0"/>
        <v>TEXT</v>
      </c>
      <c r="R18" s="76" t="str">
        <f t="shared" si="1"/>
        <v/>
      </c>
      <c r="S18" s="76" t="str">
        <f t="shared" si="5"/>
        <v/>
      </c>
      <c r="T18" s="76" t="str">
        <f t="shared" si="6"/>
        <v>-- 移行先</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milscm_2023_010.azn_202310_backup_mt_dpc6.ikosaki IS '移行先';</v>
      </c>
    </row>
    <row r="19" spans="1:52" s="25" customFormat="1">
      <c r="A19" s="4"/>
      <c r="B19" s="21">
        <f t="shared" si="2"/>
        <v>7</v>
      </c>
      <c r="C19" s="6" t="s">
        <v>3307</v>
      </c>
      <c r="D19" s="6" t="s">
        <v>3308</v>
      </c>
      <c r="E19" s="8"/>
      <c r="F19" s="7" t="s">
        <v>316</v>
      </c>
      <c r="G19" s="7" t="str">
        <f t="shared" si="3"/>
        <v>text</v>
      </c>
      <c r="H19" s="26"/>
      <c r="I19" s="10" t="s">
        <v>127</v>
      </c>
      <c r="J19" s="11" t="s">
        <v>3315</v>
      </c>
      <c r="M19" s="4"/>
      <c r="N19" s="76"/>
      <c r="O19" s="76"/>
      <c r="P19" s="76" t="str">
        <f t="shared" si="4"/>
        <v>,nen</v>
      </c>
      <c r="Q19" s="76" t="str">
        <f t="shared" si="0"/>
        <v>TEXT</v>
      </c>
      <c r="R19" s="76" t="str">
        <f t="shared" si="1"/>
        <v/>
      </c>
      <c r="S19" s="76" t="str">
        <f t="shared" si="5"/>
        <v>NOT NULL</v>
      </c>
      <c r="T19" s="76" t="str">
        <f t="shared" si="6"/>
        <v>-- 年</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milscm_2023_010.azn_202310_backup_mt_dpc6.nen IS '年';</v>
      </c>
    </row>
    <row r="20" spans="1:52" s="25" customFormat="1">
      <c r="A20" s="4"/>
      <c r="B20" s="21">
        <f t="shared" si="2"/>
        <v>8</v>
      </c>
      <c r="C20" s="6" t="s">
        <v>3309</v>
      </c>
      <c r="D20" s="6" t="s">
        <v>3310</v>
      </c>
      <c r="E20" s="8"/>
      <c r="F20" s="7" t="s">
        <v>316</v>
      </c>
      <c r="G20" s="7" t="str">
        <f t="shared" si="3"/>
        <v>text</v>
      </c>
      <c r="H20" s="26"/>
      <c r="I20" s="10" t="s">
        <v>127</v>
      </c>
      <c r="J20" s="11" t="s">
        <v>3316</v>
      </c>
      <c r="M20" s="4"/>
      <c r="N20" s="76"/>
      <c r="O20" s="76"/>
      <c r="P20" s="76" t="str">
        <f t="shared" si="4"/>
        <v>,nengetsu</v>
      </c>
      <c r="Q20" s="76" t="str">
        <f t="shared" si="0"/>
        <v>TEXT</v>
      </c>
      <c r="R20" s="76" t="str">
        <f t="shared" si="1"/>
        <v/>
      </c>
      <c r="S20" s="76" t="str">
        <f t="shared" si="5"/>
        <v>NOT NULL</v>
      </c>
      <c r="T20" s="76" t="str">
        <f t="shared" si="6"/>
        <v>-- 年月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milscm_2023_010.azn_202310_backup_mt_dpc6.nengetsu IS '年月';</v>
      </c>
    </row>
    <row r="21" spans="1:52" s="25" customFormat="1" ht="19.5" thickBot="1">
      <c r="A21" s="4"/>
      <c r="B21" s="27">
        <f>ROW()-12</f>
        <v>9</v>
      </c>
      <c r="C21" s="57" t="s">
        <v>3311</v>
      </c>
      <c r="D21" s="57" t="s">
        <v>1879</v>
      </c>
      <c r="E21" s="56"/>
      <c r="F21" s="56" t="s">
        <v>316</v>
      </c>
      <c r="G21" s="56" t="str">
        <f t="shared" si="3"/>
        <v>text</v>
      </c>
      <c r="H21" s="59"/>
      <c r="I21" s="60" t="s">
        <v>127</v>
      </c>
      <c r="J21" s="63" t="s">
        <v>2397</v>
      </c>
      <c r="N21" s="76"/>
      <c r="O21" s="76"/>
      <c r="P21" s="76" t="str">
        <f t="shared" si="4"/>
        <v>,update_ymd</v>
      </c>
      <c r="Q21" s="76" t="str">
        <f t="shared" si="0"/>
        <v>TEXT</v>
      </c>
      <c r="R21" s="76" t="str">
        <f t="shared" si="1"/>
        <v/>
      </c>
      <c r="S21" s="76" t="str">
        <f t="shared" si="5"/>
        <v>NOT NULL</v>
      </c>
      <c r="T21" s="76" t="str">
        <f t="shared" si="6"/>
        <v>-- データ登録日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milscm_2023_010.azn_202310_backup_mt_dpc6.update_ymd IS 'データ登録日';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ENT_01_A3-36</v>
      </c>
      <c r="E6" s="272"/>
      <c r="F6" s="272"/>
      <c r="G6" s="272"/>
      <c r="H6" s="272"/>
      <c r="I6" s="272"/>
      <c r="J6" s="273"/>
    </row>
    <row r="7" spans="1:45">
      <c r="B7" s="261" t="s">
        <v>115</v>
      </c>
      <c r="C7" s="262"/>
      <c r="D7" s="263" t="s">
        <v>3375</v>
      </c>
      <c r="E7" s="264"/>
      <c r="F7" s="264"/>
      <c r="G7" s="264"/>
      <c r="H7" s="264"/>
      <c r="I7" s="264"/>
      <c r="J7" s="265"/>
    </row>
    <row r="8" spans="1:45">
      <c r="B8" s="261" t="s">
        <v>116</v>
      </c>
      <c r="C8" s="262"/>
      <c r="D8" s="263" t="str">
        <f>エンティティ一覧!AE2&amp;"_"&amp;D5&amp;"_mt_postal"</f>
        <v>azn_202310_backup_mt_postal</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郵便番号マスタテーブルから組入れ条件の第一条件で絞り込んだ結果を格納するテーブル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milscm_2023_010.azn_202310_backup_mt_postal;</v>
      </c>
      <c r="O10" s="76"/>
      <c r="P10" s="76"/>
      <c r="Q10" s="76"/>
      <c r="R10" s="76"/>
      <c r="S10" s="76"/>
      <c r="T10" s="76"/>
      <c r="AJ10" s="76" t="str">
        <f>"ALTER TABLE ONLY "&amp;エンティティ一覧!$O$2&amp;"."&amp;D$8</f>
        <v>ALTER TABLE ONLY milscm_2023_010.azn_202310_backup_mt_postal</v>
      </c>
      <c r="AS10" s="76" t="str">
        <f>"ALTER TABLE "&amp;エンティティ一覧!$O$2&amp;"."&amp;D$8&amp;" OWNER TO pgmisgrp1;"</f>
        <v>ALTER TABLE milscm_2023_010.azn_202310_backup_mt_postal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milscm_2023_010.azn_202310_backup_mt_postal</v>
      </c>
      <c r="O11" s="76"/>
      <c r="P11" s="76"/>
      <c r="Q11" s="76"/>
      <c r="R11" s="76"/>
      <c r="S11" s="76"/>
      <c r="T11" s="76"/>
      <c r="AJ11" s="76" t="str">
        <f>"ADD CONSTRAINT "&amp;D$8&amp;"_pkey PRIMARY KEY"</f>
        <v>ADD CONSTRAINT azn_202310_backup_mt_postal_pkey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milscm_2023_010.azn_202310_backup_mt_postal IS 'バックアップ_郵便番号マスタ';</v>
      </c>
    </row>
    <row r="13" spans="1:45" s="25" customFormat="1">
      <c r="A13" s="4"/>
      <c r="B13" s="21">
        <f>ROW()-12</f>
        <v>1</v>
      </c>
      <c r="C13" s="6" t="s">
        <v>3286</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32" si="0">UPPER(G13)</f>
        <v>TEXT</v>
      </c>
      <c r="R13" s="76" t="str">
        <f t="shared" ref="R13:R32"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milscm_2023_010.azn_202310_backup_mt_postal.sekoubi IS '施行日';</v>
      </c>
    </row>
    <row r="14" spans="1:45" s="25" customFormat="1">
      <c r="A14" s="4"/>
      <c r="B14" s="21">
        <f t="shared" ref="B14:B31" si="2">ROW()-12</f>
        <v>2</v>
      </c>
      <c r="C14" s="6" t="s">
        <v>3288</v>
      </c>
      <c r="D14" s="6" t="s">
        <v>2045</v>
      </c>
      <c r="E14" s="8" t="s">
        <v>127</v>
      </c>
      <c r="F14" s="7" t="s">
        <v>316</v>
      </c>
      <c r="G14" s="7" t="str">
        <f t="shared" ref="G14:G32" si="3">IF(F14="フラグ","boolean",IF(F14="文字列","text",IF(F14="整数","integer",IF(F14="実数","numeric",""))))</f>
        <v>text</v>
      </c>
      <c r="H14" s="26"/>
      <c r="I14" s="10" t="s">
        <v>127</v>
      </c>
      <c r="J14" s="11" t="s">
        <v>3313</v>
      </c>
      <c r="M14" s="4"/>
      <c r="N14" s="76"/>
      <c r="O14" s="76"/>
      <c r="P14" s="76" t="str">
        <f t="shared" ref="P14:P32" si="4">IF(B14&lt;&gt;1,","&amp;D14,D14)</f>
        <v>,koshin_kubun</v>
      </c>
      <c r="Q14" s="76" t="str">
        <f t="shared" si="0"/>
        <v>TEXT</v>
      </c>
      <c r="R14" s="76" t="str">
        <f t="shared" si="1"/>
        <v/>
      </c>
      <c r="S14" s="76" t="str">
        <f t="shared" ref="S14:S32" si="5">IF(I14="○","NOT NULL","")</f>
        <v>NOT NULL</v>
      </c>
      <c r="T14" s="76" t="str">
        <f t="shared" ref="T14:T32"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milscm_2023_010.azn_202310_backup_mt_postal.koshin_kubun IS '更新区分';</v>
      </c>
    </row>
    <row r="15" spans="1:45" s="25" customFormat="1">
      <c r="A15" s="4"/>
      <c r="B15" s="21">
        <f t="shared" si="2"/>
        <v>3</v>
      </c>
      <c r="C15" s="6" t="s">
        <v>3065</v>
      </c>
      <c r="D15" s="6" t="s">
        <v>3376</v>
      </c>
      <c r="E15" s="8" t="s">
        <v>127</v>
      </c>
      <c r="F15" s="7" t="s">
        <v>316</v>
      </c>
      <c r="G15" s="7" t="str">
        <f t="shared" si="3"/>
        <v>text</v>
      </c>
      <c r="H15" s="26"/>
      <c r="I15" s="10" t="s">
        <v>127</v>
      </c>
      <c r="J15" s="11" t="s">
        <v>3394</v>
      </c>
      <c r="M15" s="4"/>
      <c r="N15" s="76"/>
      <c r="O15" s="76"/>
      <c r="P15" s="76" t="str">
        <f t="shared" si="4"/>
        <v>,postal_code</v>
      </c>
      <c r="Q15" s="76" t="str">
        <f t="shared" si="0"/>
        <v>TEXT</v>
      </c>
      <c r="R15" s="76" t="str">
        <f t="shared" si="1"/>
        <v/>
      </c>
      <c r="S15" s="76" t="str">
        <f t="shared" si="5"/>
        <v>NOT NULL</v>
      </c>
      <c r="T15" s="76" t="str">
        <f t="shared" si="6"/>
        <v>-- 郵便番号</v>
      </c>
      <c r="U15" s="4"/>
      <c r="AA15" s="4"/>
      <c r="AB15" s="4"/>
      <c r="AC15" s="4"/>
      <c r="AD15" s="4"/>
      <c r="AE15" s="4"/>
      <c r="AF15" s="4"/>
      <c r="AG15" s="4"/>
      <c r="AH15" s="4"/>
      <c r="AI15" s="4"/>
      <c r="AJ15" s="76" t="str">
        <f>IF(E15="○",IF(COUNTA(E$13:E15)=1,"",",")&amp;D15,"")</f>
        <v>,postal_code</v>
      </c>
      <c r="AK15" s="4"/>
      <c r="AL15" s="4"/>
      <c r="AM15" s="4"/>
      <c r="AN15" s="4"/>
      <c r="AO15" s="4"/>
      <c r="AP15" s="4"/>
      <c r="AQ15" s="4"/>
      <c r="AR15" s="4"/>
      <c r="AS15" s="76" t="str">
        <f>"COMMENT ON COLUMN "&amp;エンティティ一覧!$O$2&amp;"."&amp;D$8&amp;"."&amp;D15&amp;" IS '"&amp;C15&amp;"';"</f>
        <v>COMMENT ON COLUMN milscm_2023_010.azn_202310_backup_mt_postal.postal_code IS '郵便番号';</v>
      </c>
    </row>
    <row r="16" spans="1:45" s="25" customFormat="1">
      <c r="A16" s="4"/>
      <c r="B16" s="21">
        <f t="shared" si="2"/>
        <v>4</v>
      </c>
      <c r="C16" s="6" t="s">
        <v>1894</v>
      </c>
      <c r="D16" s="6" t="s">
        <v>3377</v>
      </c>
      <c r="E16" s="8" t="s">
        <v>127</v>
      </c>
      <c r="F16" s="7" t="s">
        <v>316</v>
      </c>
      <c r="G16" s="7" t="str">
        <f t="shared" si="3"/>
        <v>text</v>
      </c>
      <c r="H16" s="26"/>
      <c r="I16" s="10" t="s">
        <v>127</v>
      </c>
      <c r="J16" s="11"/>
      <c r="M16" s="4"/>
      <c r="N16" s="76"/>
      <c r="O16" s="76"/>
      <c r="P16" s="76" t="str">
        <f t="shared" si="4"/>
        <v>,prefecture_code</v>
      </c>
      <c r="Q16" s="76" t="str">
        <f t="shared" si="0"/>
        <v>TEXT</v>
      </c>
      <c r="R16" s="76" t="str">
        <f t="shared" si="1"/>
        <v/>
      </c>
      <c r="S16" s="76" t="str">
        <f t="shared" si="5"/>
        <v>NOT NULL</v>
      </c>
      <c r="T16" s="76" t="str">
        <f t="shared" si="6"/>
        <v>-- 都道府県コード</v>
      </c>
      <c r="U16" s="4"/>
      <c r="AA16" s="4"/>
      <c r="AB16" s="4"/>
      <c r="AC16" s="4"/>
      <c r="AD16" s="4"/>
      <c r="AE16" s="4"/>
      <c r="AF16" s="4"/>
      <c r="AG16" s="4"/>
      <c r="AH16" s="4"/>
      <c r="AI16" s="4"/>
      <c r="AJ16" s="76" t="str">
        <f>IF(E16="○",IF(COUNTA(E$13:E16)=1,"",",")&amp;D16,"")</f>
        <v>,prefecture_code</v>
      </c>
      <c r="AK16" s="4"/>
      <c r="AL16" s="4"/>
      <c r="AM16" s="4"/>
      <c r="AN16" s="4"/>
      <c r="AO16" s="4"/>
      <c r="AP16" s="4"/>
      <c r="AQ16" s="4"/>
      <c r="AR16" s="4"/>
      <c r="AS16" s="76" t="str">
        <f>"COMMENT ON COLUMN "&amp;エンティティ一覧!$O$2&amp;"."&amp;D$8&amp;"."&amp;D16&amp;" IS '"&amp;C16&amp;"';"</f>
        <v>COMMENT ON COLUMN milscm_2023_010.azn_202310_backup_mt_postal.prefecture_code IS '都道府県コード';</v>
      </c>
    </row>
    <row r="17" spans="1:45" s="25" customFormat="1">
      <c r="A17" s="4"/>
      <c r="B17" s="21">
        <f t="shared" si="2"/>
        <v>5</v>
      </c>
      <c r="C17" s="6" t="s">
        <v>1897</v>
      </c>
      <c r="D17" s="6" t="s">
        <v>1898</v>
      </c>
      <c r="E17" s="8" t="s">
        <v>127</v>
      </c>
      <c r="F17" s="7" t="s">
        <v>316</v>
      </c>
      <c r="G17" s="7" t="str">
        <f t="shared" si="3"/>
        <v>text</v>
      </c>
      <c r="H17" s="26"/>
      <c r="I17" s="10" t="s">
        <v>127</v>
      </c>
      <c r="J17" s="11"/>
      <c r="M17" s="4"/>
      <c r="N17" s="76"/>
      <c r="O17" s="76"/>
      <c r="P17" s="76" t="str">
        <f t="shared" si="4"/>
        <v>,city_code</v>
      </c>
      <c r="Q17" s="76" t="str">
        <f t="shared" si="0"/>
        <v>TEXT</v>
      </c>
      <c r="R17" s="76" t="str">
        <f t="shared" si="1"/>
        <v/>
      </c>
      <c r="S17" s="76" t="str">
        <f t="shared" si="5"/>
        <v>NOT NULL</v>
      </c>
      <c r="T17" s="76" t="str">
        <f t="shared" si="6"/>
        <v>-- 市区町村コード</v>
      </c>
      <c r="U17" s="4"/>
      <c r="AA17" s="4"/>
      <c r="AB17" s="4"/>
      <c r="AC17" s="4"/>
      <c r="AD17" s="4"/>
      <c r="AE17" s="4"/>
      <c r="AF17" s="4"/>
      <c r="AG17" s="4"/>
      <c r="AH17" s="4"/>
      <c r="AI17" s="4"/>
      <c r="AJ17" s="76" t="str">
        <f>IF(E17="○",IF(COUNTA(E$13:E17)=1,"",",")&amp;D17,"")</f>
        <v>,city_code</v>
      </c>
      <c r="AK17" s="4"/>
      <c r="AL17" s="4"/>
      <c r="AM17" s="4"/>
      <c r="AN17" s="4"/>
      <c r="AO17" s="4"/>
      <c r="AP17" s="4"/>
      <c r="AQ17" s="4"/>
      <c r="AR17" s="4"/>
      <c r="AS17" s="76" t="str">
        <f>"COMMENT ON COLUMN "&amp;エンティティ一覧!$O$2&amp;"."&amp;D$8&amp;"."&amp;D17&amp;" IS '"&amp;C17&amp;"';"</f>
        <v>COMMENT ON COLUMN milscm_2023_010.azn_202310_backup_mt_postal.city_code IS '市区町村コード';</v>
      </c>
    </row>
    <row r="18" spans="1:45" s="25" customFormat="1">
      <c r="A18" s="4"/>
      <c r="B18" s="21">
        <f t="shared" si="2"/>
        <v>6</v>
      </c>
      <c r="C18" s="6" t="s">
        <v>3378</v>
      </c>
      <c r="D18" s="6" t="s">
        <v>3379</v>
      </c>
      <c r="E18" s="8"/>
      <c r="F18" s="7" t="s">
        <v>316</v>
      </c>
      <c r="G18" s="7" t="str">
        <f t="shared" ref="G18:G28" si="7">IF(F18="フラグ","boolean",IF(F18="文字列","text",IF(F18="整数","integer",IF(F18="実数","numeric",""))))</f>
        <v>text</v>
      </c>
      <c r="H18" s="26"/>
      <c r="I18" s="10" t="s">
        <v>127</v>
      </c>
      <c r="J18" s="11" t="s">
        <v>3395</v>
      </c>
      <c r="M18" s="4"/>
      <c r="N18" s="76"/>
      <c r="O18" s="76"/>
      <c r="P18" s="76" t="str">
        <f t="shared" ref="P18:P28" si="8">IF(B18&lt;&gt;1,","&amp;D18,D18)</f>
        <v>,town_code</v>
      </c>
      <c r="Q18" s="76" t="str">
        <f t="shared" ref="Q18:Q28" si="9">UPPER(G18)</f>
        <v>TEXT</v>
      </c>
      <c r="R18" s="76" t="str">
        <f t="shared" ref="R18:R28" si="10">IF(H18&lt;&gt;"","default "&amp;IF(G18="text","'"&amp;H18&amp;"'",H18),"")</f>
        <v/>
      </c>
      <c r="S18" s="76" t="str">
        <f t="shared" ref="S18:S28" si="11">IF(I18="○","NOT NULL","")</f>
        <v>NOT NULL</v>
      </c>
      <c r="T18" s="76" t="str">
        <f t="shared" ref="T18:T28" si="12">"-- "&amp;C18</f>
        <v>-- 町域コード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milscm_2023_010.azn_202310_backup_mt_postal.town_code IS '町域コード';</v>
      </c>
    </row>
    <row r="19" spans="1:45" s="25" customFormat="1">
      <c r="A19" s="4"/>
      <c r="B19" s="21">
        <f t="shared" si="2"/>
        <v>7</v>
      </c>
      <c r="C19" s="6" t="s">
        <v>914</v>
      </c>
      <c r="D19" s="6" t="s">
        <v>915</v>
      </c>
      <c r="E19" s="8"/>
      <c r="F19" s="7" t="s">
        <v>316</v>
      </c>
      <c r="G19" s="7" t="str">
        <f t="shared" si="7"/>
        <v>text</v>
      </c>
      <c r="H19" s="26"/>
      <c r="I19" s="10" t="s">
        <v>127</v>
      </c>
      <c r="J19" s="11"/>
      <c r="M19" s="4"/>
      <c r="N19" s="76"/>
      <c r="O19" s="76"/>
      <c r="P19" s="76" t="str">
        <f t="shared" si="8"/>
        <v>,prefecture</v>
      </c>
      <c r="Q19" s="76" t="str">
        <f t="shared" si="9"/>
        <v>TEXT</v>
      </c>
      <c r="R19" s="76" t="str">
        <f t="shared" si="10"/>
        <v/>
      </c>
      <c r="S19" s="76" t="str">
        <f t="shared" si="11"/>
        <v>NOT NULL</v>
      </c>
      <c r="T19" s="76" t="str">
        <f t="shared" si="12"/>
        <v>-- 都道府県</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milscm_2023_010.azn_202310_backup_mt_postal.prefecture IS '都道府県';</v>
      </c>
    </row>
    <row r="20" spans="1:45" s="25" customFormat="1">
      <c r="A20" s="4"/>
      <c r="B20" s="21">
        <f t="shared" si="2"/>
        <v>8</v>
      </c>
      <c r="C20" s="6" t="s">
        <v>3380</v>
      </c>
      <c r="D20" s="6" t="s">
        <v>3381</v>
      </c>
      <c r="E20" s="8"/>
      <c r="F20" s="7" t="s">
        <v>316</v>
      </c>
      <c r="G20" s="7" t="str">
        <f t="shared" si="7"/>
        <v>text</v>
      </c>
      <c r="H20" s="26"/>
      <c r="I20" s="10" t="s">
        <v>127</v>
      </c>
      <c r="J20" s="11"/>
      <c r="M20" s="4"/>
      <c r="N20" s="76"/>
      <c r="O20" s="76"/>
      <c r="P20" s="76" t="str">
        <f t="shared" si="8"/>
        <v>,prefecture_kana</v>
      </c>
      <c r="Q20" s="76" t="str">
        <f t="shared" si="9"/>
        <v>TEXT</v>
      </c>
      <c r="R20" s="76" t="str">
        <f t="shared" si="10"/>
        <v/>
      </c>
      <c r="S20" s="76" t="str">
        <f t="shared" si="11"/>
        <v>NOT NULL</v>
      </c>
      <c r="T20" s="76" t="str">
        <f t="shared" si="12"/>
        <v>-- 都道府県カナ</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milscm_2023_010.azn_202310_backup_mt_postal.prefecture_kana IS '都道府県カナ';</v>
      </c>
    </row>
    <row r="21" spans="1:45" s="25" customFormat="1">
      <c r="A21" s="4"/>
      <c r="B21" s="21">
        <f t="shared" si="2"/>
        <v>9</v>
      </c>
      <c r="C21" s="6" t="s">
        <v>1899</v>
      </c>
      <c r="D21" s="6" t="s">
        <v>1900</v>
      </c>
      <c r="E21" s="8"/>
      <c r="F21" s="7" t="s">
        <v>316</v>
      </c>
      <c r="G21" s="7" t="str">
        <f t="shared" si="7"/>
        <v>text</v>
      </c>
      <c r="H21" s="26"/>
      <c r="I21" s="10" t="s">
        <v>127</v>
      </c>
      <c r="J21" s="11"/>
      <c r="M21" s="4"/>
      <c r="N21" s="76"/>
      <c r="O21" s="76"/>
      <c r="P21" s="76" t="str">
        <f t="shared" si="8"/>
        <v>,city</v>
      </c>
      <c r="Q21" s="76" t="str">
        <f t="shared" si="9"/>
        <v>TEXT</v>
      </c>
      <c r="R21" s="76" t="str">
        <f t="shared" si="10"/>
        <v/>
      </c>
      <c r="S21" s="76" t="str">
        <f t="shared" si="11"/>
        <v>NOT NULL</v>
      </c>
      <c r="T21" s="76" t="str">
        <f t="shared" si="12"/>
        <v>-- 市区町村</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milscm_2023_010.azn_202310_backup_mt_postal.city IS '市区町村';</v>
      </c>
    </row>
    <row r="22" spans="1:45" s="25" customFormat="1">
      <c r="A22" s="4"/>
      <c r="B22" s="21">
        <f t="shared" si="2"/>
        <v>10</v>
      </c>
      <c r="C22" s="6" t="s">
        <v>3382</v>
      </c>
      <c r="D22" s="6" t="s">
        <v>3383</v>
      </c>
      <c r="E22" s="8"/>
      <c r="F22" s="7" t="s">
        <v>316</v>
      </c>
      <c r="G22" s="7" t="str">
        <f t="shared" si="7"/>
        <v>text</v>
      </c>
      <c r="H22" s="26"/>
      <c r="I22" s="10" t="s">
        <v>127</v>
      </c>
      <c r="J22" s="11"/>
      <c r="M22" s="4"/>
      <c r="N22" s="76"/>
      <c r="O22" s="76"/>
      <c r="P22" s="76" t="str">
        <f t="shared" si="8"/>
        <v>,city_kana</v>
      </c>
      <c r="Q22" s="76" t="str">
        <f t="shared" si="9"/>
        <v>TEXT</v>
      </c>
      <c r="R22" s="76" t="str">
        <f t="shared" si="10"/>
        <v/>
      </c>
      <c r="S22" s="76" t="str">
        <f t="shared" si="11"/>
        <v>NOT NULL</v>
      </c>
      <c r="T22" s="76" t="str">
        <f t="shared" si="12"/>
        <v>-- 市区町村カナ</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milscm_2023_010.azn_202310_backup_mt_postal.city_kana IS '市区町村カナ';</v>
      </c>
    </row>
    <row r="23" spans="1:45" s="25" customFormat="1">
      <c r="A23" s="4"/>
      <c r="B23" s="21">
        <f t="shared" si="2"/>
        <v>11</v>
      </c>
      <c r="C23" s="6" t="s">
        <v>3384</v>
      </c>
      <c r="D23" s="6" t="s">
        <v>3062</v>
      </c>
      <c r="E23" s="8"/>
      <c r="F23" s="7" t="s">
        <v>316</v>
      </c>
      <c r="G23" s="7" t="str">
        <f t="shared" si="7"/>
        <v>text</v>
      </c>
      <c r="H23" s="26"/>
      <c r="I23" s="10"/>
      <c r="J23" s="11"/>
      <c r="M23" s="4"/>
      <c r="N23" s="76"/>
      <c r="O23" s="76"/>
      <c r="P23" s="76" t="str">
        <f t="shared" si="8"/>
        <v>,town</v>
      </c>
      <c r="Q23" s="76" t="str">
        <f t="shared" si="9"/>
        <v>TEXT</v>
      </c>
      <c r="R23" s="76" t="str">
        <f t="shared" si="10"/>
        <v/>
      </c>
      <c r="S23" s="76" t="str">
        <f t="shared" si="11"/>
        <v/>
      </c>
      <c r="T23" s="76" t="str">
        <f t="shared" si="12"/>
        <v>-- 町域</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milscm_2023_010.azn_202310_backup_mt_postal.town IS '町域';</v>
      </c>
    </row>
    <row r="24" spans="1:45" s="25" customFormat="1">
      <c r="A24" s="4"/>
      <c r="B24" s="21">
        <f t="shared" si="2"/>
        <v>12</v>
      </c>
      <c r="C24" s="6" t="s">
        <v>3385</v>
      </c>
      <c r="D24" s="6" t="s">
        <v>3386</v>
      </c>
      <c r="E24" s="8"/>
      <c r="F24" s="7" t="s">
        <v>316</v>
      </c>
      <c r="G24" s="7" t="str">
        <f t="shared" si="7"/>
        <v>text</v>
      </c>
      <c r="H24" s="26"/>
      <c r="I24" s="10"/>
      <c r="J24" s="11"/>
      <c r="M24" s="4"/>
      <c r="N24" s="76"/>
      <c r="O24" s="76"/>
      <c r="P24" s="76" t="str">
        <f t="shared" si="8"/>
        <v>,town_kana</v>
      </c>
      <c r="Q24" s="76" t="str">
        <f t="shared" si="9"/>
        <v>TEXT</v>
      </c>
      <c r="R24" s="76" t="str">
        <f t="shared" si="10"/>
        <v/>
      </c>
      <c r="S24" s="76" t="str">
        <f t="shared" si="11"/>
        <v/>
      </c>
      <c r="T24" s="76" t="str">
        <f t="shared" si="12"/>
        <v>-- 町域カナ</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milscm_2023_010.azn_202310_backup_mt_postal.town_kana IS '町域カナ';</v>
      </c>
    </row>
    <row r="25" spans="1:45" s="25" customFormat="1">
      <c r="A25" s="4"/>
      <c r="B25" s="21">
        <f t="shared" si="2"/>
        <v>13</v>
      </c>
      <c r="C25" s="6" t="s">
        <v>3387</v>
      </c>
      <c r="D25" s="6" t="s">
        <v>3388</v>
      </c>
      <c r="E25" s="8"/>
      <c r="F25" s="7" t="s">
        <v>316</v>
      </c>
      <c r="G25" s="7" t="str">
        <f t="shared" si="7"/>
        <v>text</v>
      </c>
      <c r="H25" s="26"/>
      <c r="I25" s="10"/>
      <c r="J25" s="11"/>
      <c r="M25" s="4"/>
      <c r="N25" s="76"/>
      <c r="O25" s="76"/>
      <c r="P25" s="76" t="str">
        <f t="shared" si="8"/>
        <v>,town_hosoku</v>
      </c>
      <c r="Q25" s="76" t="str">
        <f t="shared" si="9"/>
        <v>TEXT</v>
      </c>
      <c r="R25" s="76" t="str">
        <f t="shared" si="10"/>
        <v/>
      </c>
      <c r="S25" s="76" t="str">
        <f t="shared" si="11"/>
        <v/>
      </c>
      <c r="T25" s="76" t="str">
        <f t="shared" si="12"/>
        <v>-- 町域補足</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milscm_2023_010.azn_202310_backup_mt_postal.town_hosoku IS '町域補足';</v>
      </c>
    </row>
    <row r="26" spans="1:45" s="25" customFormat="1">
      <c r="A26" s="4"/>
      <c r="B26" s="21">
        <f t="shared" si="2"/>
        <v>14</v>
      </c>
      <c r="C26" s="6" t="s">
        <v>3389</v>
      </c>
      <c r="D26" s="6" t="s">
        <v>3390</v>
      </c>
      <c r="E26" s="8"/>
      <c r="F26" s="7" t="s">
        <v>316</v>
      </c>
      <c r="G26" s="7" t="str">
        <f t="shared" si="7"/>
        <v>text</v>
      </c>
      <c r="H26" s="26"/>
      <c r="I26" s="10"/>
      <c r="J26" s="11"/>
      <c r="M26" s="4"/>
      <c r="N26" s="76"/>
      <c r="O26" s="76"/>
      <c r="P26" s="76" t="str">
        <f t="shared" si="8"/>
        <v>,kyoto_street</v>
      </c>
      <c r="Q26" s="76" t="str">
        <f t="shared" si="9"/>
        <v>TEXT</v>
      </c>
      <c r="R26" s="76" t="str">
        <f t="shared" si="10"/>
        <v/>
      </c>
      <c r="S26" s="76" t="str">
        <f t="shared" si="11"/>
        <v/>
      </c>
      <c r="T26" s="76" t="str">
        <f t="shared" si="12"/>
        <v>-- 京都通り名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milscm_2023_010.azn_202310_backup_mt_postal.kyoto_street IS '京都通り名';</v>
      </c>
    </row>
    <row r="27" spans="1:45" s="25" customFormat="1">
      <c r="A27" s="4"/>
      <c r="B27" s="21">
        <f t="shared" si="2"/>
        <v>15</v>
      </c>
      <c r="C27" s="6" t="s">
        <v>3391</v>
      </c>
      <c r="D27" s="6" t="s">
        <v>3064</v>
      </c>
      <c r="E27" s="8"/>
      <c r="F27" s="7" t="s">
        <v>316</v>
      </c>
      <c r="G27" s="7" t="str">
        <f t="shared" si="7"/>
        <v>text</v>
      </c>
      <c r="H27" s="26"/>
      <c r="I27" s="10"/>
      <c r="J27" s="11"/>
      <c r="M27" s="4"/>
      <c r="N27" s="76"/>
      <c r="O27" s="76"/>
      <c r="P27" s="76" t="str">
        <f t="shared" si="8"/>
        <v>,home_number</v>
      </c>
      <c r="Q27" s="76" t="str">
        <f t="shared" si="9"/>
        <v>TEXT</v>
      </c>
      <c r="R27" s="76" t="str">
        <f t="shared" si="10"/>
        <v/>
      </c>
      <c r="S27" s="76" t="str">
        <f t="shared" si="11"/>
        <v/>
      </c>
      <c r="T27" s="76" t="str">
        <f t="shared" si="12"/>
        <v>-- 字丁目</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milscm_2023_010.azn_202310_backup_mt_postal.home_number IS '字丁目';</v>
      </c>
    </row>
    <row r="28" spans="1:45" s="25" customFormat="1">
      <c r="A28" s="4"/>
      <c r="B28" s="21">
        <f t="shared" si="2"/>
        <v>16</v>
      </c>
      <c r="C28" s="6" t="s">
        <v>3392</v>
      </c>
      <c r="D28" s="6" t="s">
        <v>3393</v>
      </c>
      <c r="E28" s="8"/>
      <c r="F28" s="7" t="s">
        <v>316</v>
      </c>
      <c r="G28" s="7" t="str">
        <f t="shared" si="7"/>
        <v>text</v>
      </c>
      <c r="H28" s="26"/>
      <c r="I28" s="10"/>
      <c r="J28" s="11"/>
      <c r="M28" s="4"/>
      <c r="N28" s="76"/>
      <c r="O28" s="76"/>
      <c r="P28" s="76" t="str">
        <f t="shared" si="8"/>
        <v>,home_number_kana</v>
      </c>
      <c r="Q28" s="76" t="str">
        <f t="shared" si="9"/>
        <v>TEXT</v>
      </c>
      <c r="R28" s="76" t="str">
        <f t="shared" si="10"/>
        <v/>
      </c>
      <c r="S28" s="76" t="str">
        <f t="shared" si="11"/>
        <v/>
      </c>
      <c r="T28" s="76" t="str">
        <f t="shared" si="12"/>
        <v>-- 字丁目カナ</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milscm_2023_010.azn_202310_backup_mt_postal.home_number_kana IS '字丁目カナ';</v>
      </c>
    </row>
    <row r="29" spans="1:45" s="25" customFormat="1" ht="37.5">
      <c r="A29" s="4"/>
      <c r="B29" s="21">
        <f t="shared" si="2"/>
        <v>17</v>
      </c>
      <c r="C29" s="6" t="s">
        <v>3305</v>
      </c>
      <c r="D29" s="6" t="s">
        <v>3306</v>
      </c>
      <c r="E29" s="8"/>
      <c r="F29" s="7" t="s">
        <v>316</v>
      </c>
      <c r="G29" s="7" t="str">
        <f t="shared" si="3"/>
        <v>text</v>
      </c>
      <c r="H29" s="26"/>
      <c r="I29" s="10"/>
      <c r="J29" s="11" t="s">
        <v>3396</v>
      </c>
      <c r="M29" s="4"/>
      <c r="N29" s="76"/>
      <c r="O29" s="76"/>
      <c r="P29" s="76" t="str">
        <f t="shared" si="4"/>
        <v>,ikosaki</v>
      </c>
      <c r="Q29" s="76" t="str">
        <f t="shared" si="0"/>
        <v>TEXT</v>
      </c>
      <c r="R29" s="76" t="str">
        <f t="shared" si="1"/>
        <v/>
      </c>
      <c r="S29" s="76" t="str">
        <f t="shared" si="5"/>
        <v/>
      </c>
      <c r="T29" s="76" t="str">
        <f t="shared" si="6"/>
        <v>-- 移行先</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milscm_2023_010.azn_202310_backup_mt_postal.ikosaki IS '移行先';</v>
      </c>
    </row>
    <row r="30" spans="1:45" s="25" customFormat="1">
      <c r="A30" s="4"/>
      <c r="B30" s="21">
        <f t="shared" si="2"/>
        <v>18</v>
      </c>
      <c r="C30" s="6" t="s">
        <v>3307</v>
      </c>
      <c r="D30" s="6" t="s">
        <v>3308</v>
      </c>
      <c r="E30" s="8"/>
      <c r="F30" s="7" t="s">
        <v>316</v>
      </c>
      <c r="G30" s="7" t="str">
        <f t="shared" si="3"/>
        <v>text</v>
      </c>
      <c r="H30" s="26"/>
      <c r="I30" s="10" t="s">
        <v>127</v>
      </c>
      <c r="J30" s="11" t="s">
        <v>3315</v>
      </c>
      <c r="M30" s="4"/>
      <c r="N30" s="76"/>
      <c r="O30" s="76"/>
      <c r="P30" s="76" t="str">
        <f t="shared" si="4"/>
        <v>,nen</v>
      </c>
      <c r="Q30" s="76" t="str">
        <f t="shared" si="0"/>
        <v>TEXT</v>
      </c>
      <c r="R30" s="76" t="str">
        <f t="shared" si="1"/>
        <v/>
      </c>
      <c r="S30" s="76" t="str">
        <f t="shared" si="5"/>
        <v>NOT NULL</v>
      </c>
      <c r="T30" s="76" t="str">
        <f t="shared" si="6"/>
        <v>-- 年</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milscm_2023_010.azn_202310_backup_mt_postal.nen IS '年';</v>
      </c>
    </row>
    <row r="31" spans="1:45" s="25" customFormat="1">
      <c r="A31" s="4"/>
      <c r="B31" s="21">
        <f t="shared" si="2"/>
        <v>19</v>
      </c>
      <c r="C31" s="6" t="s">
        <v>3309</v>
      </c>
      <c r="D31" s="6" t="s">
        <v>3310</v>
      </c>
      <c r="E31" s="8"/>
      <c r="F31" s="7" t="s">
        <v>316</v>
      </c>
      <c r="G31" s="7" t="str">
        <f t="shared" si="3"/>
        <v>text</v>
      </c>
      <c r="H31" s="26"/>
      <c r="I31" s="10" t="s">
        <v>127</v>
      </c>
      <c r="J31" s="11" t="s">
        <v>3316</v>
      </c>
      <c r="M31" s="4"/>
      <c r="N31" s="76"/>
      <c r="O31" s="76"/>
      <c r="P31" s="76" t="str">
        <f t="shared" si="4"/>
        <v>,nengetsu</v>
      </c>
      <c r="Q31" s="76" t="str">
        <f t="shared" si="0"/>
        <v>TEXT</v>
      </c>
      <c r="R31" s="76" t="str">
        <f t="shared" si="1"/>
        <v/>
      </c>
      <c r="S31" s="76" t="str">
        <f t="shared" si="5"/>
        <v>NOT NULL</v>
      </c>
      <c r="T31" s="76" t="str">
        <f t="shared" si="6"/>
        <v>-- 年月</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milscm_2023_010.azn_202310_backup_mt_postal.nengetsu IS '年月';</v>
      </c>
    </row>
    <row r="32" spans="1:45" s="25" customFormat="1" ht="19.5" thickBot="1">
      <c r="A32" s="4"/>
      <c r="B32" s="27">
        <f>ROW()-12</f>
        <v>20</v>
      </c>
      <c r="C32" s="57" t="s">
        <v>3311</v>
      </c>
      <c r="D32" s="57" t="s">
        <v>1879</v>
      </c>
      <c r="E32" s="56"/>
      <c r="F32" s="56" t="s">
        <v>316</v>
      </c>
      <c r="G32" s="56" t="str">
        <f t="shared" si="3"/>
        <v>text</v>
      </c>
      <c r="H32" s="59"/>
      <c r="I32" s="60" t="s">
        <v>127</v>
      </c>
      <c r="J32" s="63" t="s">
        <v>2397</v>
      </c>
      <c r="N32" s="76"/>
      <c r="O32" s="76"/>
      <c r="P32" s="76" t="str">
        <f t="shared" si="4"/>
        <v>,update_ymd</v>
      </c>
      <c r="Q32" s="76" t="str">
        <f t="shared" si="0"/>
        <v>TEXT</v>
      </c>
      <c r="R32" s="76" t="str">
        <f t="shared" si="1"/>
        <v/>
      </c>
      <c r="S32" s="76" t="str">
        <f t="shared" si="5"/>
        <v>NOT NULL</v>
      </c>
      <c r="T32" s="76" t="str">
        <f t="shared" si="6"/>
        <v>-- データ登録日</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milscm_2023_010.azn_202310_backup_mt_postal.update_ymd IS 'データ登録日';</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ENT_01_A3-37</v>
      </c>
      <c r="E6" s="272"/>
      <c r="F6" s="272"/>
      <c r="G6" s="272"/>
      <c r="H6" s="272"/>
      <c r="I6" s="272"/>
      <c r="J6" s="273"/>
    </row>
    <row r="7" spans="1:45">
      <c r="B7" s="261" t="s">
        <v>115</v>
      </c>
      <c r="C7" s="262"/>
      <c r="D7" s="263" t="s">
        <v>3397</v>
      </c>
      <c r="E7" s="264"/>
      <c r="F7" s="264"/>
      <c r="G7" s="264"/>
      <c r="H7" s="264"/>
      <c r="I7" s="264"/>
      <c r="J7" s="265"/>
    </row>
    <row r="8" spans="1:45">
      <c r="B8" s="261" t="s">
        <v>116</v>
      </c>
      <c r="C8" s="262"/>
      <c r="D8" s="263" t="str">
        <f>エンティティ一覧!AE2&amp;"_"&amp;D5&amp;"_mt_tokutei_kizai"</f>
        <v>azn_202310_backup_mt_tokutei_kizai</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特定機材マスタテーブルから組入れ条件の第一条件で絞り込んだ結果を格納するテーブル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milscm_2023_010.azn_202310_backup_mt_tokutei_kizai;</v>
      </c>
      <c r="O10" s="76"/>
      <c r="P10" s="76"/>
      <c r="Q10" s="76"/>
      <c r="R10" s="76"/>
      <c r="S10" s="76"/>
      <c r="T10" s="76"/>
      <c r="AJ10" s="76" t="str">
        <f>"ALTER TABLE ONLY "&amp;エンティティ一覧!$O$2&amp;"."&amp;D$8</f>
        <v>ALTER TABLE ONLY milscm_2023_010.azn_202310_backup_mt_tokutei_kizai</v>
      </c>
      <c r="AS10" s="76" t="str">
        <f>"ALTER TABLE "&amp;エンティティ一覧!$O$2&amp;"."&amp;D$8&amp;" OWNER TO pgmisgrp1;"</f>
        <v>ALTER TABLE milscm_2023_010.azn_202310_backup_mt_tokutei_kizai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milscm_2023_010.azn_202310_backup_mt_tokutei_kizai</v>
      </c>
      <c r="O11" s="76"/>
      <c r="P11" s="76"/>
      <c r="Q11" s="76"/>
      <c r="R11" s="76"/>
      <c r="S11" s="76"/>
      <c r="T11" s="76"/>
      <c r="AJ11" s="76" t="str">
        <f>"ADD CONSTRAINT "&amp;D$8&amp;"_pkey PRIMARY KEY"</f>
        <v>ADD CONSTRAINT azn_202310_backup_mt_tokutei_kizai_pkey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milscm_2023_010.azn_202310_backup_mt_tokutei_kizai IS 'バックアップ_特定機材マスタ';</v>
      </c>
    </row>
    <row r="13" spans="1:45" s="25" customFormat="1">
      <c r="A13" s="4"/>
      <c r="B13" s="21">
        <f>ROW()-12</f>
        <v>1</v>
      </c>
      <c r="C13" s="6" t="s">
        <v>3398</v>
      </c>
      <c r="D13" s="6" t="s">
        <v>3287</v>
      </c>
      <c r="E13" s="8" t="s">
        <v>127</v>
      </c>
      <c r="F13" s="8" t="s">
        <v>316</v>
      </c>
      <c r="G13" s="7" t="str">
        <f>IF(F13="フラグ","boolean",IF(F13="文字列","text",IF(F13="整数","integer",IF(F13="実数","numeric",""))))</f>
        <v>text</v>
      </c>
      <c r="H13" s="9"/>
      <c r="I13" s="10" t="s">
        <v>127</v>
      </c>
      <c r="J13" s="11" t="s">
        <v>3312</v>
      </c>
      <c r="M13" s="4"/>
      <c r="N13" s="76"/>
      <c r="O13" s="76"/>
      <c r="P13" s="76" t="str">
        <f>IF(B13&lt;&gt;1,","&amp;D13,D13)</f>
        <v>sekoubi</v>
      </c>
      <c r="Q13" s="76" t="str">
        <f t="shared" ref="Q13:Q21" si="0">UPPER(G13)</f>
        <v>TEXT</v>
      </c>
      <c r="R13" s="76" t="str">
        <f t="shared" ref="R13:R21"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milscm_2023_010.azn_202310_backup_mt_tokutei_kizai.sekoubi IS '施行日';</v>
      </c>
    </row>
    <row r="14" spans="1:45" s="25" customFormat="1">
      <c r="A14" s="4"/>
      <c r="B14" s="21">
        <f t="shared" ref="B14:B20" si="2">ROW()-12</f>
        <v>2</v>
      </c>
      <c r="C14" s="6" t="s">
        <v>3288</v>
      </c>
      <c r="D14" s="6" t="s">
        <v>2045</v>
      </c>
      <c r="E14" s="8" t="s">
        <v>127</v>
      </c>
      <c r="F14" s="7" t="s">
        <v>316</v>
      </c>
      <c r="G14" s="7" t="str">
        <f t="shared" ref="G14:G21" si="3">IF(F14="フラグ","boolean",IF(F14="文字列","text",IF(F14="整数","integer",IF(F14="実数","numeric",""))))</f>
        <v>text</v>
      </c>
      <c r="H14" s="26"/>
      <c r="I14" s="10" t="s">
        <v>127</v>
      </c>
      <c r="J14" s="11" t="s">
        <v>3401</v>
      </c>
      <c r="M14" s="4"/>
      <c r="N14" s="76"/>
      <c r="O14" s="76"/>
      <c r="P14" s="76" t="str">
        <f t="shared" ref="P14:P21" si="4">IF(B14&lt;&gt;1,","&amp;D14,D14)</f>
        <v>,koshin_kubun</v>
      </c>
      <c r="Q14" s="76" t="str">
        <f t="shared" si="0"/>
        <v>TEXT</v>
      </c>
      <c r="R14" s="76" t="str">
        <f t="shared" si="1"/>
        <v/>
      </c>
      <c r="S14" s="76" t="str">
        <f t="shared" ref="S14:S21" si="5">IF(I14="○","NOT NULL","")</f>
        <v>NOT NULL</v>
      </c>
      <c r="T14" s="76" t="str">
        <f t="shared" ref="T14:T21"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milscm_2023_010.azn_202310_backup_mt_tokutei_kizai.koshin_kubun IS '更新区分';</v>
      </c>
    </row>
    <row r="15" spans="1:45" s="25" customFormat="1">
      <c r="A15" s="4"/>
      <c r="B15" s="21">
        <f t="shared" si="2"/>
        <v>3</v>
      </c>
      <c r="C15" s="6" t="s">
        <v>2628</v>
      </c>
      <c r="D15" s="6" t="s">
        <v>2629</v>
      </c>
      <c r="E15" s="8" t="s">
        <v>127</v>
      </c>
      <c r="F15" s="7" t="s">
        <v>316</v>
      </c>
      <c r="G15" s="7" t="str">
        <f t="shared" si="3"/>
        <v>text</v>
      </c>
      <c r="H15" s="26"/>
      <c r="I15" s="10" t="s">
        <v>127</v>
      </c>
      <c r="J15" s="11"/>
      <c r="M15" s="4"/>
      <c r="N15" s="76"/>
      <c r="O15" s="76"/>
      <c r="P15" s="76" t="str">
        <f t="shared" si="4"/>
        <v>,tokutei_kizai_cd</v>
      </c>
      <c r="Q15" s="76" t="str">
        <f t="shared" si="0"/>
        <v>TEXT</v>
      </c>
      <c r="R15" s="76" t="str">
        <f t="shared" si="1"/>
        <v/>
      </c>
      <c r="S15" s="76" t="str">
        <f t="shared" si="5"/>
        <v>NOT NULL</v>
      </c>
      <c r="T15" s="76" t="str">
        <f t="shared" si="6"/>
        <v>-- 特定器材コード</v>
      </c>
      <c r="U15" s="4"/>
      <c r="AA15" s="4"/>
      <c r="AB15" s="4"/>
      <c r="AC15" s="4"/>
      <c r="AD15" s="4"/>
      <c r="AE15" s="4"/>
      <c r="AF15" s="4"/>
      <c r="AG15" s="4"/>
      <c r="AH15" s="4"/>
      <c r="AI15" s="4"/>
      <c r="AJ15" s="76" t="str">
        <f>IF(E15="○",IF(COUNTA(E$13:E15)=1,"",",")&amp;D15,"")</f>
        <v>,tokutei_kizai_cd</v>
      </c>
      <c r="AK15" s="4"/>
      <c r="AL15" s="4"/>
      <c r="AM15" s="4"/>
      <c r="AN15" s="4"/>
      <c r="AO15" s="4"/>
      <c r="AP15" s="4"/>
      <c r="AQ15" s="4"/>
      <c r="AR15" s="4"/>
      <c r="AS15" s="76" t="str">
        <f>"COMMENT ON COLUMN "&amp;エンティティ一覧!$O$2&amp;"."&amp;D$8&amp;"."&amp;D15&amp;" IS '"&amp;C15&amp;"';"</f>
        <v>COMMENT ON COLUMN milscm_2023_010.azn_202310_backup_mt_tokutei_kizai.tokutei_kizai_cd IS '特定器材コード';</v>
      </c>
    </row>
    <row r="16" spans="1:45" s="25" customFormat="1">
      <c r="A16" s="4"/>
      <c r="B16" s="21">
        <f t="shared" si="2"/>
        <v>4</v>
      </c>
      <c r="C16" s="6" t="s">
        <v>2630</v>
      </c>
      <c r="D16" s="6" t="s">
        <v>2631</v>
      </c>
      <c r="E16" s="8"/>
      <c r="F16" s="7" t="s">
        <v>316</v>
      </c>
      <c r="G16" s="7" t="str">
        <f t="shared" si="3"/>
        <v>text</v>
      </c>
      <c r="H16" s="26"/>
      <c r="I16" s="10" t="s">
        <v>127</v>
      </c>
      <c r="J16" s="11"/>
      <c r="M16" s="4"/>
      <c r="N16" s="76"/>
      <c r="O16" s="76"/>
      <c r="P16" s="76" t="str">
        <f t="shared" si="4"/>
        <v>,tokutei_kizai_name</v>
      </c>
      <c r="Q16" s="76" t="str">
        <f t="shared" si="0"/>
        <v>TEXT</v>
      </c>
      <c r="R16" s="76" t="str">
        <f t="shared" si="1"/>
        <v/>
      </c>
      <c r="S16" s="76" t="str">
        <f t="shared" si="5"/>
        <v>NOT NULL</v>
      </c>
      <c r="T16" s="76" t="str">
        <f t="shared" si="6"/>
        <v>-- 特定器材名・規格名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milscm_2023_010.azn_202310_backup_mt_tokutei_kizai.tokutei_kizai_name IS '特定器材名・規格名';</v>
      </c>
    </row>
    <row r="17" spans="1:52" s="25" customFormat="1">
      <c r="A17" s="4"/>
      <c r="B17" s="21">
        <f t="shared" si="2"/>
        <v>5</v>
      </c>
      <c r="C17" s="6" t="s">
        <v>1649</v>
      </c>
      <c r="D17" s="6" t="s">
        <v>2632</v>
      </c>
      <c r="E17" s="8"/>
      <c r="F17" s="7" t="s">
        <v>316</v>
      </c>
      <c r="G17" s="7" t="str">
        <f t="shared" si="3"/>
        <v>text</v>
      </c>
      <c r="H17" s="26"/>
      <c r="I17" s="10"/>
      <c r="J17" s="11"/>
      <c r="M17" s="4"/>
      <c r="N17" s="76"/>
      <c r="O17" s="76"/>
      <c r="P17" s="76" t="str">
        <f t="shared" si="4"/>
        <v>,tokutei_kizai_tani</v>
      </c>
      <c r="Q17" s="76" t="str">
        <f t="shared" si="0"/>
        <v>TEXT</v>
      </c>
      <c r="R17" s="76" t="str">
        <f t="shared" si="1"/>
        <v/>
      </c>
      <c r="S17" s="76" t="str">
        <f t="shared" si="5"/>
        <v/>
      </c>
      <c r="T17" s="76" t="str">
        <f t="shared" si="6"/>
        <v>-- 単位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milscm_2023_010.azn_202310_backup_mt_tokutei_kizai.tokutei_kizai_tani IS '単位';</v>
      </c>
    </row>
    <row r="18" spans="1:52" s="25" customFormat="1" ht="37.5">
      <c r="A18" s="4"/>
      <c r="B18" s="21">
        <f t="shared" si="2"/>
        <v>6</v>
      </c>
      <c r="C18" s="6" t="s">
        <v>2633</v>
      </c>
      <c r="D18" s="6" t="s">
        <v>3399</v>
      </c>
      <c r="E18" s="8"/>
      <c r="F18" s="7" t="s">
        <v>331</v>
      </c>
      <c r="G18" s="7" t="str">
        <f t="shared" si="3"/>
        <v>numeric</v>
      </c>
      <c r="H18" s="26"/>
      <c r="I18" s="10" t="s">
        <v>127</v>
      </c>
      <c r="J18" s="11" t="s">
        <v>2393</v>
      </c>
      <c r="M18" s="4"/>
      <c r="N18" s="76"/>
      <c r="O18" s="76"/>
      <c r="P18" s="76" t="str">
        <f t="shared" si="4"/>
        <v>,tokutei_kizai_kingaku</v>
      </c>
      <c r="Q18" s="76" t="str">
        <f t="shared" si="0"/>
        <v>NUMERIC</v>
      </c>
      <c r="R18" s="76" t="str">
        <f t="shared" si="1"/>
        <v/>
      </c>
      <c r="S18" s="76" t="str">
        <f t="shared" si="5"/>
        <v>NOT NULL</v>
      </c>
      <c r="T18" s="76" t="str">
        <f t="shared" si="6"/>
        <v>-- 金額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milscm_2023_010.azn_202310_backup_mt_tokutei_kizai.tokutei_kizai_kingaku IS '金額';</v>
      </c>
    </row>
    <row r="19" spans="1:52" s="25" customFormat="1">
      <c r="A19" s="4"/>
      <c r="B19" s="21">
        <f t="shared" si="2"/>
        <v>7</v>
      </c>
      <c r="C19" s="6" t="s">
        <v>3400</v>
      </c>
      <c r="D19" s="6" t="s">
        <v>3308</v>
      </c>
      <c r="E19" s="8"/>
      <c r="F19" s="7" t="s">
        <v>316</v>
      </c>
      <c r="G19" s="7" t="str">
        <f t="shared" si="3"/>
        <v>text</v>
      </c>
      <c r="H19" s="26"/>
      <c r="I19" s="10" t="s">
        <v>127</v>
      </c>
      <c r="J19" s="11" t="s">
        <v>3315</v>
      </c>
      <c r="M19" s="4"/>
      <c r="N19" s="76"/>
      <c r="O19" s="76"/>
      <c r="P19" s="76" t="str">
        <f t="shared" si="4"/>
        <v>,nen</v>
      </c>
      <c r="Q19" s="76" t="str">
        <f t="shared" si="0"/>
        <v>TEXT</v>
      </c>
      <c r="R19" s="76" t="str">
        <f t="shared" si="1"/>
        <v/>
      </c>
      <c r="S19" s="76" t="str">
        <f t="shared" si="5"/>
        <v>NOT NULL</v>
      </c>
      <c r="T19" s="76" t="str">
        <f t="shared" si="6"/>
        <v>-- 年</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milscm_2023_010.azn_202310_backup_mt_tokutei_kizai.nen IS '年';</v>
      </c>
    </row>
    <row r="20" spans="1:52" s="25" customFormat="1">
      <c r="A20" s="4"/>
      <c r="B20" s="21">
        <f t="shared" si="2"/>
        <v>8</v>
      </c>
      <c r="C20" s="6" t="s">
        <v>2431</v>
      </c>
      <c r="D20" s="6" t="s">
        <v>3310</v>
      </c>
      <c r="E20" s="8"/>
      <c r="F20" s="7" t="s">
        <v>316</v>
      </c>
      <c r="G20" s="7" t="str">
        <f t="shared" si="3"/>
        <v>text</v>
      </c>
      <c r="H20" s="26"/>
      <c r="I20" s="10" t="s">
        <v>127</v>
      </c>
      <c r="J20" s="11" t="s">
        <v>3316</v>
      </c>
      <c r="M20" s="4"/>
      <c r="N20" s="76"/>
      <c r="O20" s="76"/>
      <c r="P20" s="76" t="str">
        <f t="shared" si="4"/>
        <v>,nengetsu</v>
      </c>
      <c r="Q20" s="76" t="str">
        <f t="shared" si="0"/>
        <v>TEXT</v>
      </c>
      <c r="R20" s="76" t="str">
        <f t="shared" si="1"/>
        <v/>
      </c>
      <c r="S20" s="76" t="str">
        <f t="shared" si="5"/>
        <v>NOT NULL</v>
      </c>
      <c r="T20" s="76" t="str">
        <f t="shared" si="6"/>
        <v>-- 年月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milscm_2023_010.azn_202310_backup_mt_tokutei_kizai.nengetsu IS '年月';</v>
      </c>
    </row>
    <row r="21" spans="1:52" s="25" customFormat="1" ht="19.5" thickBot="1">
      <c r="A21" s="4"/>
      <c r="B21" s="27">
        <f>ROW()-12</f>
        <v>9</v>
      </c>
      <c r="C21" s="57" t="s">
        <v>2397</v>
      </c>
      <c r="D21" s="57" t="s">
        <v>1879</v>
      </c>
      <c r="E21" s="56"/>
      <c r="F21" s="56" t="s">
        <v>316</v>
      </c>
      <c r="G21" s="56" t="str">
        <f t="shared" si="3"/>
        <v>text</v>
      </c>
      <c r="H21" s="59"/>
      <c r="I21" s="60" t="s">
        <v>127</v>
      </c>
      <c r="J21" s="63" t="s">
        <v>2397</v>
      </c>
      <c r="N21" s="76"/>
      <c r="O21" s="76"/>
      <c r="P21" s="76" t="str">
        <f t="shared" si="4"/>
        <v>,update_ymd</v>
      </c>
      <c r="Q21" s="76" t="str">
        <f t="shared" si="0"/>
        <v>TEXT</v>
      </c>
      <c r="R21" s="76" t="str">
        <f t="shared" si="1"/>
        <v/>
      </c>
      <c r="S21" s="76" t="str">
        <f t="shared" si="5"/>
        <v>NOT NULL</v>
      </c>
      <c r="T21" s="76" t="str">
        <f t="shared" si="6"/>
        <v>-- データ登録日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milscm_2023_010.azn_202310_backup_mt_tokutei_kizai.update_ymd IS 'データ登録日';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ENT_01_A4-01</v>
      </c>
      <c r="E6" s="272"/>
      <c r="F6" s="272"/>
      <c r="G6" s="272"/>
      <c r="H6" s="272"/>
      <c r="I6" s="272"/>
      <c r="J6" s="273"/>
    </row>
    <row r="7" spans="1:45">
      <c r="B7" s="261" t="s">
        <v>115</v>
      </c>
      <c r="C7" s="262"/>
      <c r="D7" s="263" t="s">
        <v>2428</v>
      </c>
      <c r="E7" s="264"/>
      <c r="F7" s="264"/>
      <c r="G7" s="264"/>
      <c r="H7" s="264"/>
      <c r="I7" s="264"/>
      <c r="J7" s="265"/>
    </row>
    <row r="8" spans="1:45">
      <c r="B8" s="261" t="s">
        <v>116</v>
      </c>
      <c r="C8" s="262"/>
      <c r="D8" s="263" t="str">
        <f>エンティティ一覧!AE2&amp;"_"&amp;D5&amp;"_mt2_nendo"</f>
        <v>azn_202310_backup_mt2_nendo</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年度マスタテーブルから組入れ条件の第一条件で絞り込んだ結果を格納するテーブル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milscm_2023_010.azn_202310_backup_mt2_nendo;</v>
      </c>
      <c r="O10" s="76"/>
      <c r="P10" s="76"/>
      <c r="Q10" s="76"/>
      <c r="R10" s="76"/>
      <c r="S10" s="76"/>
      <c r="T10" s="76"/>
      <c r="AJ10" s="76" t="str">
        <f>"ALTER TABLE ONLY "&amp;エンティティ一覧!$O$2&amp;"."&amp;D$8</f>
        <v>ALTER TABLE ONLY milscm_2023_010.azn_202310_backup_mt2_nendo</v>
      </c>
      <c r="AS10" s="76" t="str">
        <f>"ALTER TABLE "&amp;エンティティ一覧!$O$2&amp;"."&amp;D$8&amp;" OWNER TO pgmisgrp1;"</f>
        <v>ALTER TABLE milscm_2023_010.azn_202310_backup_mt2_nendo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milscm_2023_010.azn_202310_backup_mt2_nendo</v>
      </c>
      <c r="O11" s="76"/>
      <c r="P11" s="76"/>
      <c r="Q11" s="76"/>
      <c r="R11" s="76"/>
      <c r="S11" s="76"/>
      <c r="T11" s="76"/>
      <c r="AJ11" s="76" t="str">
        <f>"ADD CONSTRAINT "&amp;D$8&amp;"_pkey PRIMARY KEY"</f>
        <v>ADD CONSTRAINT azn_202310_backup_mt2_nendo_pkey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milscm_2023_010.azn_202310_backup_mt2_nendo IS 'バックアップ_年度マスタ';</v>
      </c>
    </row>
    <row r="13" spans="1:45" s="25" customFormat="1">
      <c r="A13" s="4"/>
      <c r="B13" s="21">
        <f>ROW()-12</f>
        <v>1</v>
      </c>
      <c r="C13" s="6" t="s">
        <v>2429</v>
      </c>
      <c r="D13" s="6" t="s">
        <v>2430</v>
      </c>
      <c r="E13" s="8"/>
      <c r="F13" s="8" t="s">
        <v>203</v>
      </c>
      <c r="G13" s="7" t="str">
        <f>IF(F13="フラグ","boolean",IF(F13="文字列","text",IF(F13="整数","integer",IF(F13="実数","numeric",""))))</f>
        <v>integer</v>
      </c>
      <c r="H13" s="9"/>
      <c r="I13" s="10" t="s">
        <v>127</v>
      </c>
      <c r="J13" s="11" t="s">
        <v>2443</v>
      </c>
      <c r="M13" s="4"/>
      <c r="N13" s="76"/>
      <c r="O13" s="76"/>
      <c r="P13" s="76" t="str">
        <f>IF(B13&lt;&gt;1,","&amp;D13,D13)</f>
        <v>num</v>
      </c>
      <c r="Q13" s="76" t="str">
        <f t="shared" ref="Q13:Q19" si="0">UPPER(G13)</f>
        <v>INTEGER</v>
      </c>
      <c r="R13" s="76" t="str">
        <f t="shared" ref="R13:R19" si="1">IF(H13&lt;&gt;"","default "&amp;IF(G13="text","'"&amp;H13&amp;"'",H13),"")</f>
        <v/>
      </c>
      <c r="S13" s="76" t="str">
        <f>IF(I13="○","NOT NULL","")</f>
        <v>NOT NULL</v>
      </c>
      <c r="T13" s="76" t="str">
        <f>"-- "&amp;C13</f>
        <v>-- 項番</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milscm_2023_010.azn_202310_backup_mt2_nendo.num IS '項番';</v>
      </c>
    </row>
    <row r="14" spans="1:45" s="25" customFormat="1">
      <c r="A14" s="4"/>
      <c r="B14" s="21">
        <f t="shared" ref="B14:B18" si="2">ROW()-12</f>
        <v>2</v>
      </c>
      <c r="C14" s="6" t="s">
        <v>2431</v>
      </c>
      <c r="D14" s="6" t="s">
        <v>2432</v>
      </c>
      <c r="E14" s="8" t="s">
        <v>127</v>
      </c>
      <c r="F14" s="7" t="s">
        <v>735</v>
      </c>
      <c r="G14" s="7" t="str">
        <f t="shared" ref="G14:G19" si="3">IF(F14="フラグ","boolean",IF(F14="文字列","text",IF(F14="整数","integer",IF(F14="実数","numeric",""))))</f>
        <v>text</v>
      </c>
      <c r="H14" s="26" t="s">
        <v>2444</v>
      </c>
      <c r="I14" s="10" t="s">
        <v>127</v>
      </c>
      <c r="J14" s="11" t="s">
        <v>2431</v>
      </c>
      <c r="M14" s="4"/>
      <c r="N14" s="76"/>
      <c r="O14" s="76"/>
      <c r="P14" s="76" t="str">
        <f t="shared" ref="P14:P19" si="4">IF(B14&lt;&gt;1,","&amp;D14,D14)</f>
        <v>,ym</v>
      </c>
      <c r="Q14" s="76" t="str">
        <f t="shared" si="0"/>
        <v>TEXT</v>
      </c>
      <c r="R14" s="76" t="str">
        <f t="shared" si="1"/>
        <v>default '999999'</v>
      </c>
      <c r="S14" s="76" t="str">
        <f t="shared" ref="S14:S19" si="5">IF(I14="○","NOT NULL","")</f>
        <v>NOT NULL</v>
      </c>
      <c r="T14" s="76" t="str">
        <f t="shared" ref="T14:T19" si="6">"-- "&amp;C14</f>
        <v>-- 年月</v>
      </c>
      <c r="U14" s="4"/>
      <c r="AA14" s="4"/>
      <c r="AB14" s="4"/>
      <c r="AC14" s="4"/>
      <c r="AD14" s="4"/>
      <c r="AE14" s="4"/>
      <c r="AF14" s="4"/>
      <c r="AG14" s="4"/>
      <c r="AH14" s="4"/>
      <c r="AI14" s="4"/>
      <c r="AJ14" s="76" t="str">
        <f>IF(E14="○",IF(COUNTA(E$13:E14)=1,"",",")&amp;D14,"")</f>
        <v>ym</v>
      </c>
      <c r="AK14" s="4"/>
      <c r="AL14" s="4"/>
      <c r="AM14" s="4"/>
      <c r="AN14" s="4"/>
      <c r="AO14" s="4"/>
      <c r="AP14" s="4"/>
      <c r="AQ14" s="4"/>
      <c r="AR14" s="4"/>
      <c r="AS14" s="76" t="str">
        <f>"COMMENT ON COLUMN "&amp;エンティティ一覧!$O$2&amp;"."&amp;D$8&amp;"."&amp;D14&amp;" IS '"&amp;C14&amp;"';"</f>
        <v>COMMENT ON COLUMN milscm_2023_010.azn_202310_backup_mt2_nendo.ym IS '年月';</v>
      </c>
    </row>
    <row r="15" spans="1:45" s="25" customFormat="1">
      <c r="A15" s="4"/>
      <c r="B15" s="21">
        <f t="shared" si="2"/>
        <v>3</v>
      </c>
      <c r="C15" s="6" t="s">
        <v>2433</v>
      </c>
      <c r="D15" s="6" t="s">
        <v>2434</v>
      </c>
      <c r="E15" s="8"/>
      <c r="F15" s="7" t="s">
        <v>735</v>
      </c>
      <c r="G15" s="7" t="str">
        <f t="shared" ref="G15" si="7">IF(F15="フラグ","boolean",IF(F15="文字列","text",IF(F15="整数","integer",IF(F15="実数","numeric",""))))</f>
        <v>text</v>
      </c>
      <c r="H15" s="26" t="s">
        <v>2445</v>
      </c>
      <c r="I15" s="10" t="s">
        <v>127</v>
      </c>
      <c r="J15" s="11" t="s">
        <v>2446</v>
      </c>
      <c r="M15" s="4"/>
      <c r="N15" s="76"/>
      <c r="O15" s="76"/>
      <c r="P15" s="76" t="str">
        <f t="shared" ref="P15" si="8">IF(B15&lt;&gt;1,","&amp;D15,D15)</f>
        <v>,nendo_1</v>
      </c>
      <c r="Q15" s="76" t="str">
        <f t="shared" ref="Q15" si="9">UPPER(G15)</f>
        <v>TEXT</v>
      </c>
      <c r="R15" s="76" t="str">
        <f t="shared" ref="R15" si="10">IF(H15&lt;&gt;"","default "&amp;IF(G15="text","'"&amp;H15&amp;"'",H15),"")</f>
        <v>default '9999'</v>
      </c>
      <c r="S15" s="76" t="str">
        <f t="shared" ref="S15" si="11">IF(I15="○","NOT NULL","")</f>
        <v>NOT NULL</v>
      </c>
      <c r="T15" s="76" t="str">
        <f t="shared" ref="T15" si="12">"-- "&amp;C15</f>
        <v>-- 年度（1月始まり）</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milscm_2023_010.azn_202310_backup_mt2_nendo.nendo_1 IS '年度（1月始まり）';</v>
      </c>
    </row>
    <row r="16" spans="1:45" s="25" customFormat="1">
      <c r="A16" s="4"/>
      <c r="B16" s="21">
        <f t="shared" si="2"/>
        <v>4</v>
      </c>
      <c r="C16" s="6" t="s">
        <v>2435</v>
      </c>
      <c r="D16" s="6" t="s">
        <v>2436</v>
      </c>
      <c r="E16" s="8"/>
      <c r="F16" s="7" t="s">
        <v>735</v>
      </c>
      <c r="G16" s="7" t="str">
        <f t="shared" si="3"/>
        <v>text</v>
      </c>
      <c r="H16" s="26" t="s">
        <v>2445</v>
      </c>
      <c r="I16" s="10" t="s">
        <v>127</v>
      </c>
      <c r="J16" s="11" t="s">
        <v>2447</v>
      </c>
      <c r="M16" s="4"/>
      <c r="N16" s="76"/>
      <c r="O16" s="76"/>
      <c r="P16" s="76" t="str">
        <f t="shared" si="4"/>
        <v>,nendo_4</v>
      </c>
      <c r="Q16" s="76" t="str">
        <f t="shared" si="0"/>
        <v>TEXT</v>
      </c>
      <c r="R16" s="76" t="str">
        <f t="shared" si="1"/>
        <v>default '9999'</v>
      </c>
      <c r="S16" s="76" t="str">
        <f t="shared" si="5"/>
        <v>NOT NULL</v>
      </c>
      <c r="T16" s="76" t="str">
        <f t="shared" si="6"/>
        <v>-- 年度（4月始まり）</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milscm_2023_010.azn_202310_backup_mt2_nendo.nendo_4 IS '年度（4月始まり）';</v>
      </c>
    </row>
    <row r="17" spans="1:52" s="25" customFormat="1" ht="37.5">
      <c r="A17" s="4"/>
      <c r="B17" s="21">
        <f t="shared" si="2"/>
        <v>5</v>
      </c>
      <c r="C17" s="6" t="s">
        <v>2437</v>
      </c>
      <c r="D17" s="6" t="s">
        <v>2438</v>
      </c>
      <c r="E17" s="8"/>
      <c r="F17" s="7" t="s">
        <v>735</v>
      </c>
      <c r="G17" s="7" t="str">
        <f t="shared" si="3"/>
        <v>text</v>
      </c>
      <c r="H17" s="26" t="s">
        <v>2448</v>
      </c>
      <c r="I17" s="10" t="s">
        <v>127</v>
      </c>
      <c r="J17" s="11" t="s">
        <v>2449</v>
      </c>
      <c r="M17" s="4"/>
      <c r="N17" s="76"/>
      <c r="O17" s="76"/>
      <c r="P17" s="76" t="str">
        <f t="shared" si="4"/>
        <v>,q1</v>
      </c>
      <c r="Q17" s="76" t="str">
        <f t="shared" si="0"/>
        <v>TEXT</v>
      </c>
      <c r="R17" s="76" t="str">
        <f t="shared" si="1"/>
        <v>default '9999-9Q'</v>
      </c>
      <c r="S17" s="76" t="str">
        <f t="shared" si="5"/>
        <v>NOT NULL</v>
      </c>
      <c r="T17" s="76" t="str">
        <f t="shared" si="6"/>
        <v>-- 四半期（1月始まり）</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milscm_2023_010.azn_202310_backup_mt2_nendo.q1 IS '四半期（1月始まり）';</v>
      </c>
    </row>
    <row r="18" spans="1:52" s="25" customFormat="1" ht="37.5">
      <c r="A18" s="4"/>
      <c r="B18" s="21">
        <f t="shared" si="2"/>
        <v>6</v>
      </c>
      <c r="C18" s="6" t="s">
        <v>2439</v>
      </c>
      <c r="D18" s="6" t="s">
        <v>2440</v>
      </c>
      <c r="E18" s="8"/>
      <c r="F18" s="7" t="s">
        <v>735</v>
      </c>
      <c r="G18" s="7" t="str">
        <f t="shared" si="3"/>
        <v>text</v>
      </c>
      <c r="H18" s="26" t="s">
        <v>2448</v>
      </c>
      <c r="I18" s="10" t="s">
        <v>127</v>
      </c>
      <c r="J18" s="11" t="s">
        <v>2450</v>
      </c>
      <c r="M18" s="4"/>
      <c r="N18" s="76"/>
      <c r="O18" s="76"/>
      <c r="P18" s="76" t="str">
        <f t="shared" si="4"/>
        <v>,q4</v>
      </c>
      <c r="Q18" s="76" t="str">
        <f t="shared" si="0"/>
        <v>TEXT</v>
      </c>
      <c r="R18" s="76" t="str">
        <f t="shared" si="1"/>
        <v>default '9999-9Q'</v>
      </c>
      <c r="S18" s="76" t="str">
        <f t="shared" si="5"/>
        <v>NOT NULL</v>
      </c>
      <c r="T18" s="76" t="str">
        <f t="shared" si="6"/>
        <v>-- 四半期（4月始まり）</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milscm_2023_010.azn_202310_backup_mt2_nendo.q4 IS '四半期（4月始まり）';</v>
      </c>
    </row>
    <row r="19" spans="1:52" s="25" customFormat="1" ht="19.5" thickBot="1">
      <c r="A19" s="4"/>
      <c r="B19" s="27">
        <f>ROW()-12</f>
        <v>7</v>
      </c>
      <c r="C19" s="57" t="s">
        <v>2441</v>
      </c>
      <c r="D19" s="57" t="s">
        <v>2442</v>
      </c>
      <c r="E19" s="56"/>
      <c r="F19" s="56" t="s">
        <v>203</v>
      </c>
      <c r="G19" s="56" t="str">
        <f t="shared" si="3"/>
        <v>integer</v>
      </c>
      <c r="H19" s="59">
        <v>0</v>
      </c>
      <c r="I19" s="60" t="s">
        <v>127</v>
      </c>
      <c r="J19" s="63" t="s">
        <v>2451</v>
      </c>
      <c r="N19" s="76"/>
      <c r="O19" s="76"/>
      <c r="P19" s="76" t="str">
        <f t="shared" si="4"/>
        <v>,nissu</v>
      </c>
      <c r="Q19" s="76" t="str">
        <f t="shared" si="0"/>
        <v>INTEGER</v>
      </c>
      <c r="R19" s="76" t="str">
        <f t="shared" si="1"/>
        <v>default 0</v>
      </c>
      <c r="S19" s="76" t="str">
        <f t="shared" si="5"/>
        <v>NOT NULL</v>
      </c>
      <c r="T19" s="76" t="str">
        <f t="shared" si="6"/>
        <v>-- 日数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milscm_2023_010.azn_202310_backup_mt2_nendo.nissu IS '日数';</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ENT_01_A4-02</v>
      </c>
      <c r="E6" s="272"/>
      <c r="F6" s="272"/>
      <c r="G6" s="272"/>
      <c r="H6" s="272"/>
      <c r="I6" s="272"/>
      <c r="J6" s="273"/>
    </row>
    <row r="7" spans="1:45">
      <c r="B7" s="261" t="s">
        <v>115</v>
      </c>
      <c r="C7" s="262"/>
      <c r="D7" s="263" t="s">
        <v>2452</v>
      </c>
      <c r="E7" s="264"/>
      <c r="F7" s="264"/>
      <c r="G7" s="264"/>
      <c r="H7" s="264"/>
      <c r="I7" s="264"/>
      <c r="J7" s="265"/>
    </row>
    <row r="8" spans="1:45">
      <c r="B8" s="261" t="s">
        <v>116</v>
      </c>
      <c r="C8" s="262"/>
      <c r="D8" s="263" t="str">
        <f>エンティティ一覧!AE2&amp;"_"&amp;D5&amp;"_mt2_prefecture_region"</f>
        <v>azn_202310_backup_mt2_prefecture_region</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都道府県地方コードマスタテーブルから組入れ条件の第一条件で絞り込んだ結果を格納するテーブル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milscm_2023_010.azn_202310_backup_mt2_prefecture_region;</v>
      </c>
      <c r="O10" s="76"/>
      <c r="P10" s="76"/>
      <c r="Q10" s="76"/>
      <c r="R10" s="76"/>
      <c r="S10" s="76"/>
      <c r="T10" s="76"/>
      <c r="AJ10" s="76" t="str">
        <f>"ALTER TABLE ONLY "&amp;エンティティ一覧!$O$2&amp;"."&amp;D$8</f>
        <v>ALTER TABLE ONLY milscm_2023_010.azn_202310_backup_mt2_prefecture_region</v>
      </c>
      <c r="AS10" s="76" t="str">
        <f>"ALTER TABLE "&amp;エンティティ一覧!$O$2&amp;"."&amp;D$8&amp;" OWNER TO pgmisgrp1;"</f>
        <v>ALTER TABLE milscm_2023_010.azn_202310_backup_mt2_prefecture_region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milscm_2023_010.azn_202310_backup_mt2_prefecture_region</v>
      </c>
      <c r="O11" s="76"/>
      <c r="P11" s="76"/>
      <c r="Q11" s="76"/>
      <c r="R11" s="76"/>
      <c r="S11" s="76"/>
      <c r="T11" s="76"/>
      <c r="AJ11" s="76" t="str">
        <f>"ADD CONSTRAINT "&amp;D$8&amp;"_pkey PRIMARY KEY"</f>
        <v>ADD CONSTRAINT azn_202310_backup_mt2_prefecture_region_pkey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milscm_2023_010.azn_202310_backup_mt2_prefecture_region IS 'バックアップ_都道府県地方コードマスタ';</v>
      </c>
    </row>
    <row r="13" spans="1:45" s="25" customFormat="1">
      <c r="A13" s="4"/>
      <c r="B13" s="21">
        <f>ROW()-12</f>
        <v>1</v>
      </c>
      <c r="C13" s="6" t="s">
        <v>2453</v>
      </c>
      <c r="D13" s="6" t="s">
        <v>1895</v>
      </c>
      <c r="E13" s="8" t="s">
        <v>127</v>
      </c>
      <c r="F13" s="8" t="s">
        <v>735</v>
      </c>
      <c r="G13" s="7" t="str">
        <f>IF(F13="フラグ","boolean",IF(F13="文字列","text",IF(F13="整数","integer",IF(F13="実数","numeric",""))))</f>
        <v>text</v>
      </c>
      <c r="H13" s="9"/>
      <c r="I13" s="10" t="s">
        <v>127</v>
      </c>
      <c r="J13" s="11"/>
      <c r="M13" s="4"/>
      <c r="N13" s="76"/>
      <c r="O13" s="76"/>
      <c r="P13" s="76" t="str">
        <f>IF(B13&lt;&gt;1,","&amp;D13,D13)</f>
        <v>prefecture_cd</v>
      </c>
      <c r="Q13" s="76" t="str">
        <f t="shared" ref="Q13:Q16" si="0">UPPER(G13)</f>
        <v>TEXT</v>
      </c>
      <c r="R13" s="76" t="str">
        <f t="shared" ref="R13:R16" si="1">IF(H13&lt;&gt;"","default "&amp;IF(G13="text","'"&amp;H13&amp;"'",H13),"")</f>
        <v/>
      </c>
      <c r="S13" s="76" t="str">
        <f>IF(I13="○","NOT NULL","")</f>
        <v>NOT NULL</v>
      </c>
      <c r="T13" s="76" t="str">
        <f>"-- "&amp;C13</f>
        <v>-- 都道府県コード</v>
      </c>
      <c r="U13" s="4"/>
      <c r="AA13" s="4"/>
      <c r="AB13" s="4"/>
      <c r="AC13" s="4"/>
      <c r="AD13" s="4"/>
      <c r="AE13" s="4"/>
      <c r="AF13" s="4"/>
      <c r="AG13" s="4"/>
      <c r="AH13" s="4"/>
      <c r="AI13" s="4"/>
      <c r="AJ13" s="76" t="str">
        <f>IF(E13="○",IF(COUNTA(E$13:E13)=1,"",",")&amp;D13,"")</f>
        <v>prefecture_cd</v>
      </c>
      <c r="AK13" s="4"/>
      <c r="AL13" s="4"/>
      <c r="AM13" s="4"/>
      <c r="AN13" s="4"/>
      <c r="AO13" s="4"/>
      <c r="AP13" s="4"/>
      <c r="AQ13" s="4"/>
      <c r="AR13" s="4"/>
      <c r="AS13" s="76" t="str">
        <f>"COMMENT ON COLUMN "&amp;エンティティ一覧!$O$2&amp;"."&amp;D$8&amp;"."&amp;D13&amp;" IS '"&amp;C13&amp;"';"</f>
        <v>COMMENT ON COLUMN milscm_2023_010.azn_202310_backup_mt2_prefecture_region.prefecture_cd IS '都道府県コード';</v>
      </c>
    </row>
    <row r="14" spans="1:45" s="25" customFormat="1">
      <c r="A14" s="4"/>
      <c r="B14" s="21">
        <f t="shared" ref="B14:B15" si="2">ROW()-12</f>
        <v>2</v>
      </c>
      <c r="C14" s="6" t="s">
        <v>2454</v>
      </c>
      <c r="D14" s="6" t="s">
        <v>915</v>
      </c>
      <c r="E14" s="8"/>
      <c r="F14" s="7" t="s">
        <v>735</v>
      </c>
      <c r="G14" s="7" t="str">
        <f t="shared" ref="G14:G16" si="3">IF(F14="フラグ","boolean",IF(F14="文字列","text",IF(F14="整数","integer",IF(F14="実数","numeric",""))))</f>
        <v>text</v>
      </c>
      <c r="H14" s="26"/>
      <c r="I14" s="10" t="s">
        <v>127</v>
      </c>
      <c r="J14" s="11"/>
      <c r="M14" s="4"/>
      <c r="N14" s="76"/>
      <c r="O14" s="76"/>
      <c r="P14" s="76" t="str">
        <f t="shared" ref="P14:P16" si="4">IF(B14&lt;&gt;1,","&amp;D14,D14)</f>
        <v>,prefecture</v>
      </c>
      <c r="Q14" s="76" t="str">
        <f t="shared" si="0"/>
        <v>TEXT</v>
      </c>
      <c r="R14" s="76" t="str">
        <f t="shared" si="1"/>
        <v/>
      </c>
      <c r="S14" s="76" t="str">
        <f t="shared" ref="S14:S16" si="5">IF(I14="○","NOT NULL","")</f>
        <v>NOT NULL</v>
      </c>
      <c r="T14" s="76" t="str">
        <f t="shared" ref="T14:T16" si="6">"-- "&amp;C14</f>
        <v>-- 都道府県名</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milscm_2023_010.azn_202310_backup_mt2_prefecture_region.prefecture IS '都道府県名';</v>
      </c>
    </row>
    <row r="15" spans="1:45" s="25" customFormat="1">
      <c r="A15" s="4"/>
      <c r="B15" s="21">
        <f t="shared" si="2"/>
        <v>3</v>
      </c>
      <c r="C15" s="6" t="s">
        <v>2455</v>
      </c>
      <c r="D15" s="6" t="s">
        <v>2456</v>
      </c>
      <c r="E15" s="8"/>
      <c r="F15" s="7" t="s">
        <v>735</v>
      </c>
      <c r="G15" s="7" t="str">
        <f t="shared" si="3"/>
        <v>text</v>
      </c>
      <c r="H15" s="26"/>
      <c r="I15" s="10" t="s">
        <v>127</v>
      </c>
      <c r="J15" s="11"/>
      <c r="M15" s="4"/>
      <c r="N15" s="76"/>
      <c r="O15" s="76"/>
      <c r="P15" s="76" t="str">
        <f t="shared" si="4"/>
        <v>,region_cd</v>
      </c>
      <c r="Q15" s="76" t="str">
        <f t="shared" si="0"/>
        <v>TEXT</v>
      </c>
      <c r="R15" s="76" t="str">
        <f t="shared" si="1"/>
        <v/>
      </c>
      <c r="S15" s="76" t="str">
        <f t="shared" si="5"/>
        <v>NOT NULL</v>
      </c>
      <c r="T15" s="76" t="str">
        <f t="shared" si="6"/>
        <v>-- 地方コード</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milscm_2023_010.azn_202310_backup_mt2_prefecture_region.region_cd IS '地方コード';</v>
      </c>
    </row>
    <row r="16" spans="1:45" s="25" customFormat="1" ht="19.5" thickBot="1">
      <c r="A16" s="4"/>
      <c r="B16" s="27">
        <f>ROW()-12</f>
        <v>4</v>
      </c>
      <c r="C16" s="57" t="s">
        <v>2457</v>
      </c>
      <c r="D16" s="57" t="s">
        <v>2458</v>
      </c>
      <c r="E16" s="56"/>
      <c r="F16" s="56" t="s">
        <v>735</v>
      </c>
      <c r="G16" s="56" t="str">
        <f t="shared" si="3"/>
        <v>text</v>
      </c>
      <c r="H16" s="59"/>
      <c r="I16" s="60" t="s">
        <v>127</v>
      </c>
      <c r="J16" s="63"/>
      <c r="N16" s="76"/>
      <c r="O16" s="76"/>
      <c r="P16" s="76" t="str">
        <f t="shared" si="4"/>
        <v>,region</v>
      </c>
      <c r="Q16" s="76" t="str">
        <f t="shared" si="0"/>
        <v>TEXT</v>
      </c>
      <c r="R16" s="76" t="str">
        <f t="shared" si="1"/>
        <v/>
      </c>
      <c r="S16" s="76" t="str">
        <f t="shared" si="5"/>
        <v>NOT NULL</v>
      </c>
      <c r="T16" s="76" t="str">
        <f t="shared" si="6"/>
        <v>-- 地方名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milscm_2023_010.azn_202310_backup_mt2_prefecture_region.region IS '地方名';</v>
      </c>
    </row>
    <row r="17" spans="2:52">
      <c r="L17" s="25"/>
      <c r="M17" s="25"/>
      <c r="N17" s="76" t="s">
        <v>142</v>
      </c>
      <c r="O17" s="76"/>
      <c r="P17" s="76"/>
      <c r="Q17" s="76"/>
      <c r="R17" s="76"/>
      <c r="S17" s="76"/>
      <c r="T17" s="76"/>
      <c r="V17" s="25"/>
      <c r="W17" s="25"/>
      <c r="X17" s="25"/>
      <c r="Y17" s="25"/>
      <c r="Z17" s="25"/>
      <c r="AJ17" s="76" t="s">
        <v>142</v>
      </c>
      <c r="AT17" s="25"/>
      <c r="AU17" s="25"/>
      <c r="AV17" s="25"/>
      <c r="AW17" s="25"/>
      <c r="AX17" s="25"/>
      <c r="AY17" s="25"/>
      <c r="AZ17" s="25"/>
    </row>
    <row r="18" spans="2:52">
      <c r="B18" s="81" t="s">
        <v>2459</v>
      </c>
      <c r="L18" s="25"/>
      <c r="M18" s="25"/>
      <c r="V18" s="25"/>
      <c r="W18" s="25"/>
      <c r="X18" s="25"/>
      <c r="Y18" s="25"/>
      <c r="Z18" s="25"/>
      <c r="AT18" s="25"/>
      <c r="AU18" s="25"/>
      <c r="AV18" s="25"/>
      <c r="AW18" s="25"/>
      <c r="AX18" s="25"/>
      <c r="AY18" s="25"/>
      <c r="AZ18" s="25"/>
    </row>
    <row r="19" spans="2:52">
      <c r="B19" s="82" t="s">
        <v>2460</v>
      </c>
      <c r="L19" s="25"/>
      <c r="M19" s="25"/>
      <c r="V19" s="25"/>
      <c r="W19" s="25"/>
      <c r="X19" s="25"/>
      <c r="Y19" s="25"/>
      <c r="Z19" s="25"/>
      <c r="AT19" s="25"/>
      <c r="AU19" s="25"/>
      <c r="AV19" s="25"/>
      <c r="AW19" s="25"/>
      <c r="AX19" s="25"/>
      <c r="AY19" s="25"/>
      <c r="AZ19" s="25"/>
    </row>
    <row r="20" spans="2:52">
      <c r="S20" s="25"/>
      <c r="T20" s="25"/>
      <c r="U20" s="25"/>
      <c r="V20" s="25"/>
      <c r="W20" s="25"/>
      <c r="AQ20" s="25"/>
      <c r="AR20" s="25"/>
      <c r="AS20" s="25"/>
      <c r="AT20" s="25"/>
      <c r="AU20" s="25"/>
      <c r="AV20" s="25"/>
      <c r="AW20" s="25"/>
    </row>
    <row r="21" spans="2:52">
      <c r="B21" s="82"/>
      <c r="C21" s="83" t="s">
        <v>2461</v>
      </c>
      <c r="D21" s="83" t="s">
        <v>2462</v>
      </c>
      <c r="E21" s="277" t="s">
        <v>2463</v>
      </c>
      <c r="F21" s="278"/>
      <c r="G21" s="278"/>
      <c r="H21" s="278"/>
      <c r="I21" s="278"/>
      <c r="J21" s="279"/>
    </row>
    <row r="22" spans="2:52">
      <c r="B22" s="82"/>
      <c r="C22" s="84" t="s">
        <v>2464</v>
      </c>
      <c r="D22" s="84" t="s">
        <v>2465</v>
      </c>
      <c r="E22" s="274" t="s">
        <v>2466</v>
      </c>
      <c r="F22" s="275"/>
      <c r="G22" s="275"/>
      <c r="H22" s="275"/>
      <c r="I22" s="275"/>
      <c r="J22" s="276"/>
    </row>
    <row r="23" spans="2:52">
      <c r="B23" s="82"/>
      <c r="C23" s="84" t="s">
        <v>2467</v>
      </c>
      <c r="D23" s="84" t="s">
        <v>2468</v>
      </c>
      <c r="E23" s="274" t="s">
        <v>2469</v>
      </c>
      <c r="F23" s="275"/>
      <c r="G23" s="275"/>
      <c r="H23" s="275"/>
      <c r="I23" s="275"/>
      <c r="J23" s="276"/>
    </row>
    <row r="24" spans="2:52">
      <c r="B24" s="82"/>
      <c r="C24" s="84" t="s">
        <v>2470</v>
      </c>
      <c r="D24" s="84" t="s">
        <v>2471</v>
      </c>
      <c r="E24" s="274" t="s">
        <v>2472</v>
      </c>
      <c r="F24" s="275"/>
      <c r="G24" s="275"/>
      <c r="H24" s="275"/>
      <c r="I24" s="275"/>
      <c r="J24" s="276"/>
    </row>
    <row r="25" spans="2:52">
      <c r="B25" s="82"/>
      <c r="C25" s="84" t="s">
        <v>2473</v>
      </c>
      <c r="D25" s="84" t="s">
        <v>2474</v>
      </c>
      <c r="E25" s="274" t="s">
        <v>2475</v>
      </c>
      <c r="F25" s="275"/>
      <c r="G25" s="275"/>
      <c r="H25" s="275"/>
      <c r="I25" s="275"/>
      <c r="J25" s="276"/>
    </row>
    <row r="26" spans="2:52">
      <c r="B26" s="82"/>
      <c r="C26" s="84" t="s">
        <v>2476</v>
      </c>
      <c r="D26" s="84" t="s">
        <v>2477</v>
      </c>
      <c r="E26" s="274" t="s">
        <v>2478</v>
      </c>
      <c r="F26" s="275"/>
      <c r="G26" s="275"/>
      <c r="H26" s="275"/>
      <c r="I26" s="275"/>
      <c r="J26" s="276"/>
    </row>
    <row r="27" spans="2:52">
      <c r="B27" s="82"/>
      <c r="C27" s="84" t="s">
        <v>2479</v>
      </c>
      <c r="D27" s="84" t="s">
        <v>2480</v>
      </c>
      <c r="E27" s="274" t="s">
        <v>2481</v>
      </c>
      <c r="F27" s="275"/>
      <c r="G27" s="275"/>
      <c r="H27" s="275"/>
      <c r="I27" s="275"/>
      <c r="J27" s="276"/>
    </row>
    <row r="28" spans="2:52">
      <c r="B28" s="82"/>
      <c r="C28" s="84" t="s">
        <v>2482</v>
      </c>
      <c r="D28" s="84" t="s">
        <v>2483</v>
      </c>
      <c r="E28" s="274" t="s">
        <v>2484</v>
      </c>
      <c r="F28" s="275"/>
      <c r="G28" s="275"/>
      <c r="H28" s="275"/>
      <c r="I28" s="275"/>
      <c r="J28" s="276"/>
    </row>
    <row r="29" spans="2:52">
      <c r="B29" s="82"/>
      <c r="C29" s="84" t="s">
        <v>2485</v>
      </c>
      <c r="D29" s="84" t="s">
        <v>2486</v>
      </c>
      <c r="E29" s="274" t="s">
        <v>2487</v>
      </c>
      <c r="F29" s="275"/>
      <c r="G29" s="275"/>
      <c r="H29" s="275"/>
      <c r="I29" s="275"/>
      <c r="J29" s="276"/>
    </row>
    <row r="30" spans="2:52">
      <c r="S30" s="25"/>
      <c r="T30" s="25"/>
      <c r="U30" s="25"/>
      <c r="V30" s="25"/>
      <c r="W30" s="25"/>
      <c r="AQ30" s="25"/>
      <c r="AR30" s="25"/>
      <c r="AS30" s="25"/>
      <c r="AT30" s="25"/>
      <c r="AU30" s="25"/>
      <c r="AV30" s="25"/>
      <c r="AW30" s="25"/>
    </row>
    <row r="31" spans="2:52">
      <c r="L31" s="25"/>
      <c r="M31" s="25"/>
      <c r="V31" s="25"/>
      <c r="W31" s="25"/>
      <c r="X31" s="25"/>
      <c r="Y31" s="25"/>
      <c r="Z31" s="25"/>
      <c r="AT31" s="25"/>
      <c r="AU31" s="25"/>
      <c r="AV31" s="25"/>
      <c r="AW31" s="25"/>
      <c r="AX31" s="25"/>
      <c r="AY31" s="25"/>
      <c r="AZ31" s="25"/>
    </row>
    <row r="32" spans="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26">
    <mergeCell ref="B4:C4"/>
    <mergeCell ref="D4:J4"/>
    <mergeCell ref="B1:C2"/>
    <mergeCell ref="D1:G1"/>
    <mergeCell ref="H1:I1"/>
    <mergeCell ref="D2:G2"/>
    <mergeCell ref="H2:I2"/>
    <mergeCell ref="B5:C5"/>
    <mergeCell ref="D5:J5"/>
    <mergeCell ref="B6:C6"/>
    <mergeCell ref="D6:J6"/>
    <mergeCell ref="B7:C7"/>
    <mergeCell ref="D7:J7"/>
    <mergeCell ref="E26:J26"/>
    <mergeCell ref="E27:J27"/>
    <mergeCell ref="E28:J28"/>
    <mergeCell ref="E29:J29"/>
    <mergeCell ref="B8:C8"/>
    <mergeCell ref="D8:J8"/>
    <mergeCell ref="B9:C9"/>
    <mergeCell ref="D9:J9"/>
    <mergeCell ref="E21:J21"/>
    <mergeCell ref="E22:J22"/>
    <mergeCell ref="E23:J23"/>
    <mergeCell ref="E24:J24"/>
    <mergeCell ref="E25:J25"/>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ENT_01_A4-03</v>
      </c>
      <c r="E6" s="272"/>
      <c r="F6" s="272"/>
      <c r="G6" s="272"/>
      <c r="H6" s="272"/>
      <c r="I6" s="272"/>
      <c r="J6" s="273"/>
    </row>
    <row r="7" spans="1:45">
      <c r="B7" s="261" t="s">
        <v>115</v>
      </c>
      <c r="C7" s="262"/>
      <c r="D7" s="263" t="s">
        <v>2488</v>
      </c>
      <c r="E7" s="264"/>
      <c r="F7" s="264"/>
      <c r="G7" s="264"/>
      <c r="H7" s="264"/>
      <c r="I7" s="264"/>
      <c r="J7" s="265"/>
    </row>
    <row r="8" spans="1:45">
      <c r="B8" s="261" t="s">
        <v>116</v>
      </c>
      <c r="C8" s="262"/>
      <c r="D8" s="263" t="str">
        <f>エンティティ一覧!AE2&amp;"_"&amp;D5&amp;"_mt2_shisetsu_zokusei"</f>
        <v>azn_202310_backup_mt2_shisetsu_zokusei</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施設属性マスタテーブルから組入れ条件の第一条件で絞り込んだ結果を格納するテーブル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milscm_2023_010.azn_202310_backup_mt2_shisetsu_zokusei;</v>
      </c>
      <c r="O10" s="76"/>
      <c r="P10" s="76"/>
      <c r="Q10" s="76"/>
      <c r="R10" s="76"/>
      <c r="S10" s="76"/>
      <c r="T10" s="76"/>
      <c r="AJ10" s="76" t="str">
        <f>"ALTER TABLE ONLY "&amp;エンティティ一覧!$O$2&amp;"."&amp;D$8</f>
        <v>ALTER TABLE ONLY milscm_2023_010.azn_202310_backup_mt2_shisetsu_zokusei</v>
      </c>
      <c r="AS10" s="76" t="str">
        <f>"ALTER TABLE "&amp;エンティティ一覧!$O$2&amp;"."&amp;D$8&amp;" OWNER TO pgmisgrp1;"</f>
        <v>ALTER TABLE milscm_2023_010.azn_202310_backup_mt2_shisetsu_zokusei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milscm_2023_010.azn_202310_backup_mt2_shisetsu_zokusei</v>
      </c>
      <c r="O11" s="76"/>
      <c r="P11" s="76"/>
      <c r="Q11" s="76"/>
      <c r="R11" s="76"/>
      <c r="S11" s="76"/>
      <c r="T11" s="76"/>
      <c r="AJ11" s="76" t="str">
        <f>"ADD CONSTRAINT "&amp;D$8&amp;"_pkey PRIMARY KEY"</f>
        <v>ADD CONSTRAINT azn_202310_backup_mt2_shisetsu_zokusei_pkey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milscm_2023_010.azn_202310_backup_mt2_shisetsu_zokusei IS 'バックアップ_施設属性マスタ';</v>
      </c>
    </row>
    <row r="13" spans="1:45" s="25" customFormat="1">
      <c r="A13" s="4"/>
      <c r="B13" s="21">
        <f>ROW()-12</f>
        <v>1</v>
      </c>
      <c r="C13" s="6" t="s">
        <v>137</v>
      </c>
      <c r="D13" s="6" t="s">
        <v>128</v>
      </c>
      <c r="E13" s="8" t="s">
        <v>127</v>
      </c>
      <c r="F13" s="8" t="s">
        <v>735</v>
      </c>
      <c r="G13" s="7" t="str">
        <f>IF(F13="フラグ","boolean",IF(F13="文字列","text",IF(F13="整数","integer",IF(F13="実数","numeric",""))))</f>
        <v>text</v>
      </c>
      <c r="H13" s="9"/>
      <c r="I13" s="10" t="s">
        <v>127</v>
      </c>
      <c r="J13" s="11" t="s">
        <v>2516</v>
      </c>
      <c r="M13" s="4"/>
      <c r="N13" s="76"/>
      <c r="O13" s="76"/>
      <c r="P13" s="76" t="str">
        <f>IF(B13&lt;&gt;1,","&amp;D13,D13)</f>
        <v>facility_id</v>
      </c>
      <c r="Q13" s="76" t="str">
        <f t="shared" ref="Q13:Q44" si="0">UPPER(G13)</f>
        <v>TEXT</v>
      </c>
      <c r="R13" s="76" t="str">
        <f t="shared" ref="R13:R44"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milscm_2023_010.azn_202310_backup_mt2_shisetsu_zokusei.facility_id IS '施設ID';</v>
      </c>
    </row>
    <row r="14" spans="1:45" s="25" customFormat="1" ht="37.5">
      <c r="A14" s="4"/>
      <c r="B14" s="21">
        <f t="shared" ref="B14:B43" si="2">ROW()-12</f>
        <v>2</v>
      </c>
      <c r="C14" s="6" t="s">
        <v>2489</v>
      </c>
      <c r="D14" s="6" t="s">
        <v>2490</v>
      </c>
      <c r="E14" s="8" t="s">
        <v>127</v>
      </c>
      <c r="F14" s="7" t="s">
        <v>735</v>
      </c>
      <c r="G14" s="7" t="str">
        <f t="shared" ref="G14:G44" si="3">IF(F14="フラグ","boolean",IF(F14="文字列","text",IF(F14="整数","integer",IF(F14="実数","numeric",""))))</f>
        <v>text</v>
      </c>
      <c r="H14" s="26">
        <v>999999</v>
      </c>
      <c r="I14" s="10" t="s">
        <v>127</v>
      </c>
      <c r="J14" s="11" t="s">
        <v>2517</v>
      </c>
      <c r="M14" s="4"/>
      <c r="N14" s="76"/>
      <c r="O14" s="76"/>
      <c r="P14" s="76" t="str">
        <f t="shared" ref="P14:P44" si="4">IF(B14&lt;&gt;1,","&amp;D14,D14)</f>
        <v>,kijun_ym</v>
      </c>
      <c r="Q14" s="76" t="str">
        <f t="shared" si="0"/>
        <v>TEXT</v>
      </c>
      <c r="R14" s="76" t="str">
        <f t="shared" si="1"/>
        <v>default '999999'</v>
      </c>
      <c r="S14" s="76" t="str">
        <f t="shared" ref="S14:S44" si="5">IF(I14="○","NOT NULL","")</f>
        <v>NOT NULL</v>
      </c>
      <c r="T14" s="76" t="str">
        <f t="shared" ref="T14:T44" si="6">"-- "&amp;C14</f>
        <v>-- 基準年月</v>
      </c>
      <c r="U14" s="4"/>
      <c r="AA14" s="4"/>
      <c r="AB14" s="4"/>
      <c r="AC14" s="4"/>
      <c r="AD14" s="4"/>
      <c r="AE14" s="4"/>
      <c r="AF14" s="4"/>
      <c r="AG14" s="4"/>
      <c r="AH14" s="4"/>
      <c r="AI14" s="4"/>
      <c r="AJ14" s="76" t="str">
        <f>IF(E14="○",IF(COUNTA(E$13:E14)=1,"",",")&amp;D14,"")</f>
        <v>,kijun_ym</v>
      </c>
      <c r="AK14" s="4"/>
      <c r="AL14" s="4"/>
      <c r="AM14" s="4"/>
      <c r="AN14" s="4"/>
      <c r="AO14" s="4"/>
      <c r="AP14" s="4"/>
      <c r="AQ14" s="4"/>
      <c r="AR14" s="4"/>
      <c r="AS14" s="76" t="str">
        <f>"COMMENT ON COLUMN "&amp;エンティティ一覧!$O$2&amp;"."&amp;D$8&amp;"."&amp;D14&amp;" IS '"&amp;C14&amp;"';"</f>
        <v>COMMENT ON COLUMN milscm_2023_010.azn_202310_backup_mt2_shisetsu_zokusei.kijun_ym IS '基準年月';</v>
      </c>
    </row>
    <row r="15" spans="1:45" s="25" customFormat="1">
      <c r="A15" s="4"/>
      <c r="B15" s="21">
        <f t="shared" si="2"/>
        <v>3</v>
      </c>
      <c r="C15" s="6" t="s">
        <v>2491</v>
      </c>
      <c r="D15" s="6" t="s">
        <v>2403</v>
      </c>
      <c r="E15" s="8"/>
      <c r="F15" s="7" t="s">
        <v>735</v>
      </c>
      <c r="G15" s="7" t="str">
        <f t="shared" si="3"/>
        <v>text</v>
      </c>
      <c r="H15" s="26"/>
      <c r="I15" s="10" t="s">
        <v>127</v>
      </c>
      <c r="J15" s="11" t="s">
        <v>2518</v>
      </c>
      <c r="M15" s="4"/>
      <c r="N15" s="76"/>
      <c r="O15" s="76"/>
      <c r="P15" s="76" t="str">
        <f t="shared" si="4"/>
        <v>,facility_name</v>
      </c>
      <c r="Q15" s="76" t="str">
        <f t="shared" si="0"/>
        <v>TEXT</v>
      </c>
      <c r="R15" s="76" t="str">
        <f t="shared" si="1"/>
        <v/>
      </c>
      <c r="S15" s="76" t="str">
        <f t="shared" si="5"/>
        <v>NOT NULL</v>
      </c>
      <c r="T15" s="76" t="str">
        <f t="shared" si="6"/>
        <v>-- 施設名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milscm_2023_010.azn_202310_backup_mt2_shisetsu_zokusei.facility_name IS '施設名';</v>
      </c>
    </row>
    <row r="16" spans="1:45" s="25" customFormat="1">
      <c r="A16" s="4"/>
      <c r="B16" s="21">
        <f t="shared" si="2"/>
        <v>4</v>
      </c>
      <c r="C16" s="6" t="s">
        <v>2492</v>
      </c>
      <c r="D16" s="6" t="s">
        <v>2405</v>
      </c>
      <c r="E16" s="8"/>
      <c r="F16" s="7" t="s">
        <v>735</v>
      </c>
      <c r="G16" s="7" t="str">
        <f t="shared" si="3"/>
        <v>text</v>
      </c>
      <c r="H16" s="26"/>
      <c r="I16" s="10"/>
      <c r="J16" s="11" t="s">
        <v>2518</v>
      </c>
      <c r="M16" s="4"/>
      <c r="N16" s="76"/>
      <c r="O16" s="76"/>
      <c r="P16" s="76" t="str">
        <f t="shared" si="4"/>
        <v>,opt_out_ymd</v>
      </c>
      <c r="Q16" s="76" t="str">
        <f t="shared" si="0"/>
        <v>TEXT</v>
      </c>
      <c r="R16" s="76" t="str">
        <f t="shared" si="1"/>
        <v/>
      </c>
      <c r="S16" s="76" t="str">
        <f t="shared" si="5"/>
        <v/>
      </c>
      <c r="T16" s="76" t="str">
        <f t="shared" si="6"/>
        <v>-- 通知開始年月日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milscm_2023_010.azn_202310_backup_mt2_shisetsu_zokusei.opt_out_ymd IS '通知開始年月日';</v>
      </c>
    </row>
    <row r="17" spans="1:45" s="25" customFormat="1">
      <c r="A17" s="4"/>
      <c r="B17" s="21">
        <f t="shared" si="2"/>
        <v>5</v>
      </c>
      <c r="C17" s="6" t="s">
        <v>1894</v>
      </c>
      <c r="D17" s="6" t="s">
        <v>1895</v>
      </c>
      <c r="E17" s="8"/>
      <c r="F17" s="7" t="s">
        <v>735</v>
      </c>
      <c r="G17" s="7" t="str">
        <f t="shared" si="3"/>
        <v>text</v>
      </c>
      <c r="H17" s="26"/>
      <c r="I17" s="10" t="s">
        <v>127</v>
      </c>
      <c r="J17" s="11" t="s">
        <v>2518</v>
      </c>
      <c r="M17" s="4"/>
      <c r="N17" s="76"/>
      <c r="O17" s="76"/>
      <c r="P17" s="76" t="str">
        <f t="shared" si="4"/>
        <v>,prefecture_cd</v>
      </c>
      <c r="Q17" s="76" t="str">
        <f t="shared" si="0"/>
        <v>TEXT</v>
      </c>
      <c r="R17" s="76" t="str">
        <f t="shared" si="1"/>
        <v/>
      </c>
      <c r="S17" s="76" t="str">
        <f t="shared" si="5"/>
        <v>NOT NULL</v>
      </c>
      <c r="T17" s="76" t="str">
        <f t="shared" si="6"/>
        <v>-- 都道府県コード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milscm_2023_010.azn_202310_backup_mt2_shisetsu_zokusei.prefecture_cd IS '都道府県コード';</v>
      </c>
    </row>
    <row r="18" spans="1:45" s="25" customFormat="1">
      <c r="A18" s="4"/>
      <c r="B18" s="21">
        <f t="shared" si="2"/>
        <v>6</v>
      </c>
      <c r="C18" s="6" t="s">
        <v>2493</v>
      </c>
      <c r="D18" s="6" t="s">
        <v>915</v>
      </c>
      <c r="E18" s="8"/>
      <c r="F18" s="7" t="s">
        <v>735</v>
      </c>
      <c r="G18" s="7" t="str">
        <f t="shared" ref="G18:G42" si="7">IF(F18="フラグ","boolean",IF(F18="文字列","text",IF(F18="整数","integer",IF(F18="実数","numeric",""))))</f>
        <v>text</v>
      </c>
      <c r="H18" s="26"/>
      <c r="I18" s="10" t="s">
        <v>127</v>
      </c>
      <c r="J18" s="11" t="s">
        <v>2530</v>
      </c>
      <c r="M18" s="4"/>
      <c r="N18" s="76"/>
      <c r="O18" s="76"/>
      <c r="P18" s="76" t="str">
        <f t="shared" ref="P18:P42" si="8">IF(B18&lt;&gt;1,","&amp;D18,D18)</f>
        <v>,prefecture</v>
      </c>
      <c r="Q18" s="76" t="str">
        <f t="shared" ref="Q18:Q42" si="9">UPPER(G18)</f>
        <v>TEXT</v>
      </c>
      <c r="R18" s="76" t="str">
        <f t="shared" ref="R18:R42" si="10">IF(H18&lt;&gt;"","default "&amp;IF(G18="text","'"&amp;H18&amp;"'",H18),"")</f>
        <v/>
      </c>
      <c r="S18" s="76" t="str">
        <f t="shared" ref="S18:S42" si="11">IF(I18="○","NOT NULL","")</f>
        <v>NOT NULL</v>
      </c>
      <c r="T18" s="76" t="str">
        <f t="shared" ref="T18:T42" si="12">"-- "&amp;C18</f>
        <v>-- 都道府県名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milscm_2023_010.azn_202310_backup_mt2_shisetsu_zokusei.prefecture IS '都道府県名';</v>
      </c>
    </row>
    <row r="19" spans="1:45" s="25" customFormat="1">
      <c r="A19" s="4"/>
      <c r="B19" s="21">
        <f t="shared" si="2"/>
        <v>7</v>
      </c>
      <c r="C19" s="6" t="s">
        <v>2494</v>
      </c>
      <c r="D19" s="6" t="s">
        <v>2456</v>
      </c>
      <c r="E19" s="8"/>
      <c r="F19" s="7" t="s">
        <v>735</v>
      </c>
      <c r="G19" s="7" t="str">
        <f t="shared" si="7"/>
        <v>text</v>
      </c>
      <c r="H19" s="26"/>
      <c r="I19" s="10" t="s">
        <v>127</v>
      </c>
      <c r="J19" s="11" t="s">
        <v>2530</v>
      </c>
      <c r="M19" s="4"/>
      <c r="N19" s="76"/>
      <c r="O19" s="76"/>
      <c r="P19" s="76" t="str">
        <f t="shared" si="8"/>
        <v>,region_cd</v>
      </c>
      <c r="Q19" s="76" t="str">
        <f t="shared" si="9"/>
        <v>TEXT</v>
      </c>
      <c r="R19" s="76" t="str">
        <f t="shared" si="10"/>
        <v/>
      </c>
      <c r="S19" s="76" t="str">
        <f t="shared" si="11"/>
        <v>NOT NULL</v>
      </c>
      <c r="T19" s="76" t="str">
        <f t="shared" si="12"/>
        <v>-- 地方コード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milscm_2023_010.azn_202310_backup_mt2_shisetsu_zokusei.region_cd IS '地方コード';</v>
      </c>
    </row>
    <row r="20" spans="1:45" s="25" customFormat="1">
      <c r="A20" s="4"/>
      <c r="B20" s="21">
        <f t="shared" si="2"/>
        <v>8</v>
      </c>
      <c r="C20" s="6" t="s">
        <v>2495</v>
      </c>
      <c r="D20" s="6" t="s">
        <v>2458</v>
      </c>
      <c r="E20" s="8"/>
      <c r="F20" s="7" t="s">
        <v>735</v>
      </c>
      <c r="G20" s="7" t="str">
        <f t="shared" si="7"/>
        <v>text</v>
      </c>
      <c r="H20" s="26"/>
      <c r="I20" s="10" t="s">
        <v>127</v>
      </c>
      <c r="J20" s="11" t="s">
        <v>2530</v>
      </c>
      <c r="M20" s="4"/>
      <c r="N20" s="76"/>
      <c r="O20" s="76"/>
      <c r="P20" s="76" t="str">
        <f t="shared" si="8"/>
        <v>,region</v>
      </c>
      <c r="Q20" s="76" t="str">
        <f t="shared" si="9"/>
        <v>TEXT</v>
      </c>
      <c r="R20" s="76" t="str">
        <f t="shared" si="10"/>
        <v/>
      </c>
      <c r="S20" s="76" t="str">
        <f t="shared" si="11"/>
        <v>NOT NULL</v>
      </c>
      <c r="T20" s="76" t="str">
        <f t="shared" si="12"/>
        <v>-- 地方名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milscm_2023_010.azn_202310_backup_mt2_shisetsu_zokusei.region IS '地方名';</v>
      </c>
    </row>
    <row r="21" spans="1:45" s="25" customFormat="1">
      <c r="A21" s="4"/>
      <c r="B21" s="21">
        <f t="shared" si="2"/>
        <v>9</v>
      </c>
      <c r="C21" s="6" t="s">
        <v>1897</v>
      </c>
      <c r="D21" s="6" t="s">
        <v>2496</v>
      </c>
      <c r="E21" s="8"/>
      <c r="F21" s="7" t="s">
        <v>735</v>
      </c>
      <c r="G21" s="7" t="str">
        <f t="shared" si="7"/>
        <v>text</v>
      </c>
      <c r="H21" s="26"/>
      <c r="I21" s="10" t="s">
        <v>127</v>
      </c>
      <c r="J21" s="11" t="s">
        <v>2519</v>
      </c>
      <c r="M21" s="4"/>
      <c r="N21" s="76"/>
      <c r="O21" s="76"/>
      <c r="P21" s="76" t="str">
        <f t="shared" si="8"/>
        <v>,city_cd</v>
      </c>
      <c r="Q21" s="76" t="str">
        <f t="shared" si="9"/>
        <v>TEXT</v>
      </c>
      <c r="R21" s="76" t="str">
        <f t="shared" si="10"/>
        <v/>
      </c>
      <c r="S21" s="76" t="str">
        <f t="shared" si="11"/>
        <v>NOT NULL</v>
      </c>
      <c r="T21" s="76" t="str">
        <f t="shared" si="12"/>
        <v>-- 市区町村コード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milscm_2023_010.azn_202310_backup_mt2_shisetsu_zokusei.city_cd IS '市区町村コード';</v>
      </c>
    </row>
    <row r="22" spans="1:45" s="25" customFormat="1">
      <c r="A22" s="4"/>
      <c r="B22" s="21">
        <f t="shared" si="2"/>
        <v>10</v>
      </c>
      <c r="C22" s="6" t="s">
        <v>1899</v>
      </c>
      <c r="D22" s="6" t="s">
        <v>1900</v>
      </c>
      <c r="E22" s="8"/>
      <c r="F22" s="7" t="s">
        <v>735</v>
      </c>
      <c r="G22" s="7" t="str">
        <f t="shared" si="7"/>
        <v>text</v>
      </c>
      <c r="H22" s="26"/>
      <c r="I22" s="10" t="s">
        <v>127</v>
      </c>
      <c r="J22" s="11" t="s">
        <v>2518</v>
      </c>
      <c r="M22" s="4"/>
      <c r="N22" s="76"/>
      <c r="O22" s="76"/>
      <c r="P22" s="76" t="str">
        <f t="shared" si="8"/>
        <v>,city</v>
      </c>
      <c r="Q22" s="76" t="str">
        <f t="shared" si="9"/>
        <v>TEXT</v>
      </c>
      <c r="R22" s="76" t="str">
        <f t="shared" si="10"/>
        <v/>
      </c>
      <c r="S22" s="76" t="str">
        <f t="shared" si="11"/>
        <v>NOT NULL</v>
      </c>
      <c r="T22" s="76" t="str">
        <f t="shared" si="12"/>
        <v>-- 市区町村</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milscm_2023_010.azn_202310_backup_mt2_shisetsu_zokusei.city IS '市区町村';</v>
      </c>
    </row>
    <row r="23" spans="1:45" s="25" customFormat="1">
      <c r="A23" s="4"/>
      <c r="B23" s="21">
        <f t="shared" si="2"/>
        <v>11</v>
      </c>
      <c r="C23" s="6" t="s">
        <v>2497</v>
      </c>
      <c r="D23" s="6" t="s">
        <v>2498</v>
      </c>
      <c r="E23" s="8"/>
      <c r="F23" s="7" t="s">
        <v>735</v>
      </c>
      <c r="G23" s="7" t="str">
        <f t="shared" si="7"/>
        <v>text</v>
      </c>
      <c r="H23" s="26"/>
      <c r="I23" s="10" t="s">
        <v>127</v>
      </c>
      <c r="J23" s="11" t="s">
        <v>2518</v>
      </c>
      <c r="M23" s="4"/>
      <c r="N23" s="76"/>
      <c r="O23" s="76"/>
      <c r="P23" s="76" t="str">
        <f t="shared" si="8"/>
        <v>,address</v>
      </c>
      <c r="Q23" s="76" t="str">
        <f t="shared" si="9"/>
        <v>TEXT</v>
      </c>
      <c r="R23" s="76" t="str">
        <f t="shared" si="10"/>
        <v/>
      </c>
      <c r="S23" s="76" t="str">
        <f t="shared" si="11"/>
        <v>NOT NULL</v>
      </c>
      <c r="T23" s="76" t="str">
        <f t="shared" si="12"/>
        <v>-- 住所</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milscm_2023_010.azn_202310_backup_mt2_shisetsu_zokusei.address IS '住所';</v>
      </c>
    </row>
    <row r="24" spans="1:45" s="25" customFormat="1">
      <c r="A24" s="4"/>
      <c r="B24" s="21">
        <f t="shared" si="2"/>
        <v>12</v>
      </c>
      <c r="C24" s="6" t="s">
        <v>2499</v>
      </c>
      <c r="D24" s="6" t="s">
        <v>1891</v>
      </c>
      <c r="E24" s="8"/>
      <c r="F24" s="7" t="s">
        <v>735</v>
      </c>
      <c r="G24" s="7" t="str">
        <f t="shared" si="7"/>
        <v>text</v>
      </c>
      <c r="H24" s="26"/>
      <c r="I24" s="10" t="s">
        <v>127</v>
      </c>
      <c r="J24" s="11" t="s">
        <v>2520</v>
      </c>
      <c r="M24" s="4"/>
      <c r="N24" s="76"/>
      <c r="O24" s="76"/>
      <c r="P24" s="76" t="str">
        <f t="shared" si="8"/>
        <v>,iryouken2_cd</v>
      </c>
      <c r="Q24" s="76" t="str">
        <f t="shared" si="9"/>
        <v>TEXT</v>
      </c>
      <c r="R24" s="76" t="str">
        <f t="shared" si="10"/>
        <v/>
      </c>
      <c r="S24" s="76" t="str">
        <f t="shared" si="11"/>
        <v>NOT NULL</v>
      </c>
      <c r="T24" s="76" t="str">
        <f t="shared" si="12"/>
        <v>-- 二次医療圏コード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milscm_2023_010.azn_202310_backup_mt2_shisetsu_zokusei.iryouken2_cd IS '二次医療圏コード';</v>
      </c>
    </row>
    <row r="25" spans="1:45" s="25" customFormat="1">
      <c r="A25" s="4"/>
      <c r="B25" s="21">
        <f t="shared" si="2"/>
        <v>13</v>
      </c>
      <c r="C25" s="6" t="s">
        <v>2500</v>
      </c>
      <c r="D25" s="6" t="s">
        <v>1893</v>
      </c>
      <c r="E25" s="8"/>
      <c r="F25" s="7" t="s">
        <v>735</v>
      </c>
      <c r="G25" s="7" t="str">
        <f t="shared" si="7"/>
        <v>text</v>
      </c>
      <c r="H25" s="26"/>
      <c r="I25" s="10" t="s">
        <v>127</v>
      </c>
      <c r="J25" s="11" t="s">
        <v>2520</v>
      </c>
      <c r="M25" s="4"/>
      <c r="N25" s="76"/>
      <c r="O25" s="76"/>
      <c r="P25" s="76" t="str">
        <f t="shared" si="8"/>
        <v>,iryouken2</v>
      </c>
      <c r="Q25" s="76" t="str">
        <f t="shared" si="9"/>
        <v>TEXT</v>
      </c>
      <c r="R25" s="76" t="str">
        <f t="shared" si="10"/>
        <v/>
      </c>
      <c r="S25" s="76" t="str">
        <f t="shared" si="11"/>
        <v>NOT NULL</v>
      </c>
      <c r="T25" s="76" t="str">
        <f t="shared" si="12"/>
        <v>-- 二次医療圏</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milscm_2023_010.azn_202310_backup_mt2_shisetsu_zokusei.iryouken2 IS '二次医療圏';</v>
      </c>
    </row>
    <row r="26" spans="1:45" s="25" customFormat="1">
      <c r="A26" s="4"/>
      <c r="B26" s="21">
        <f t="shared" si="2"/>
        <v>14</v>
      </c>
      <c r="C26" s="6" t="s">
        <v>1854</v>
      </c>
      <c r="D26" s="6" t="s">
        <v>1855</v>
      </c>
      <c r="E26" s="8"/>
      <c r="F26" s="7" t="s">
        <v>203</v>
      </c>
      <c r="G26" s="7" t="str">
        <f t="shared" si="7"/>
        <v>integer</v>
      </c>
      <c r="H26" s="26"/>
      <c r="I26" s="10"/>
      <c r="J26" s="11" t="s">
        <v>2516</v>
      </c>
      <c r="M26" s="4"/>
      <c r="N26" s="76"/>
      <c r="O26" s="76"/>
      <c r="P26" s="76" t="str">
        <f t="shared" si="8"/>
        <v>,ippan_bed</v>
      </c>
      <c r="Q26" s="76" t="str">
        <f t="shared" si="9"/>
        <v>INTEGER</v>
      </c>
      <c r="R26" s="76" t="str">
        <f t="shared" si="10"/>
        <v/>
      </c>
      <c r="S26" s="76" t="str">
        <f t="shared" si="11"/>
        <v/>
      </c>
      <c r="T26" s="76" t="str">
        <f t="shared" si="12"/>
        <v>-- 一般病床</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milscm_2023_010.azn_202310_backup_mt2_shisetsu_zokusei.ippan_bed IS '一般病床';</v>
      </c>
    </row>
    <row r="27" spans="1:45" s="25" customFormat="1">
      <c r="A27" s="4"/>
      <c r="B27" s="21">
        <f t="shared" si="2"/>
        <v>15</v>
      </c>
      <c r="C27" s="6" t="s">
        <v>1856</v>
      </c>
      <c r="D27" s="6" t="s">
        <v>1857</v>
      </c>
      <c r="E27" s="8"/>
      <c r="F27" s="7" t="s">
        <v>203</v>
      </c>
      <c r="G27" s="7" t="str">
        <f t="shared" si="7"/>
        <v>integer</v>
      </c>
      <c r="H27" s="26"/>
      <c r="I27" s="10"/>
      <c r="J27" s="11" t="s">
        <v>2516</v>
      </c>
      <c r="M27" s="4"/>
      <c r="N27" s="76"/>
      <c r="O27" s="76"/>
      <c r="P27" s="76" t="str">
        <f t="shared" si="8"/>
        <v>,seishin_bed</v>
      </c>
      <c r="Q27" s="76" t="str">
        <f t="shared" si="9"/>
        <v>INTEGER</v>
      </c>
      <c r="R27" s="76" t="str">
        <f t="shared" si="10"/>
        <v/>
      </c>
      <c r="S27" s="76" t="str">
        <f t="shared" si="11"/>
        <v/>
      </c>
      <c r="T27" s="76" t="str">
        <f t="shared" si="12"/>
        <v>-- 精神病床</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milscm_2023_010.azn_202310_backup_mt2_shisetsu_zokusei.seishin_bed IS '精神病床';</v>
      </c>
    </row>
    <row r="28" spans="1:45" s="25" customFormat="1">
      <c r="A28" s="4"/>
      <c r="B28" s="21">
        <f t="shared" si="2"/>
        <v>16</v>
      </c>
      <c r="C28" s="6" t="s">
        <v>1858</v>
      </c>
      <c r="D28" s="6" t="s">
        <v>1859</v>
      </c>
      <c r="E28" s="8"/>
      <c r="F28" s="7" t="s">
        <v>203</v>
      </c>
      <c r="G28" s="7" t="str">
        <f t="shared" si="7"/>
        <v>integer</v>
      </c>
      <c r="H28" s="26"/>
      <c r="I28" s="10"/>
      <c r="J28" s="11" t="s">
        <v>2516</v>
      </c>
      <c r="M28" s="4"/>
      <c r="N28" s="76"/>
      <c r="O28" s="76"/>
      <c r="P28" s="76" t="str">
        <f t="shared" si="8"/>
        <v>,kansen_bed</v>
      </c>
      <c r="Q28" s="76" t="str">
        <f t="shared" si="9"/>
        <v>INTEGER</v>
      </c>
      <c r="R28" s="76" t="str">
        <f t="shared" si="10"/>
        <v/>
      </c>
      <c r="S28" s="76" t="str">
        <f t="shared" si="11"/>
        <v/>
      </c>
      <c r="T28" s="76" t="str">
        <f t="shared" si="12"/>
        <v>-- 感染症病床</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milscm_2023_010.azn_202310_backup_mt2_shisetsu_zokusei.kansen_bed IS '感染症病床';</v>
      </c>
    </row>
    <row r="29" spans="1:45" s="25" customFormat="1">
      <c r="A29" s="4"/>
      <c r="B29" s="21">
        <f t="shared" si="2"/>
        <v>17</v>
      </c>
      <c r="C29" s="6" t="s">
        <v>1860</v>
      </c>
      <c r="D29" s="6" t="s">
        <v>1861</v>
      </c>
      <c r="E29" s="8"/>
      <c r="F29" s="7" t="s">
        <v>203</v>
      </c>
      <c r="G29" s="7" t="str">
        <f t="shared" si="7"/>
        <v>integer</v>
      </c>
      <c r="H29" s="26"/>
      <c r="I29" s="10"/>
      <c r="J29" s="11" t="s">
        <v>2516</v>
      </c>
      <c r="M29" s="4"/>
      <c r="N29" s="76"/>
      <c r="O29" s="76"/>
      <c r="P29" s="76" t="str">
        <f t="shared" si="8"/>
        <v>,kekkaku_bed</v>
      </c>
      <c r="Q29" s="76" t="str">
        <f t="shared" si="9"/>
        <v>INTEGER</v>
      </c>
      <c r="R29" s="76" t="str">
        <f t="shared" si="10"/>
        <v/>
      </c>
      <c r="S29" s="76" t="str">
        <f t="shared" si="11"/>
        <v/>
      </c>
      <c r="T29" s="76" t="str">
        <f t="shared" si="12"/>
        <v>-- 結核病床</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milscm_2023_010.azn_202310_backup_mt2_shisetsu_zokusei.kekkaku_bed IS '結核病床';</v>
      </c>
    </row>
    <row r="30" spans="1:45" s="25" customFormat="1">
      <c r="A30" s="4"/>
      <c r="B30" s="21">
        <f t="shared" si="2"/>
        <v>18</v>
      </c>
      <c r="C30" s="6" t="s">
        <v>1862</v>
      </c>
      <c r="D30" s="6" t="s">
        <v>1863</v>
      </c>
      <c r="E30" s="8"/>
      <c r="F30" s="7" t="s">
        <v>203</v>
      </c>
      <c r="G30" s="7" t="str">
        <f t="shared" si="7"/>
        <v>integer</v>
      </c>
      <c r="H30" s="26"/>
      <c r="I30" s="10"/>
      <c r="J30" s="11" t="s">
        <v>2516</v>
      </c>
      <c r="M30" s="4"/>
      <c r="N30" s="76"/>
      <c r="O30" s="76"/>
      <c r="P30" s="76" t="str">
        <f t="shared" si="8"/>
        <v>,ryouyou_bed</v>
      </c>
      <c r="Q30" s="76" t="str">
        <f t="shared" si="9"/>
        <v>INTEGER</v>
      </c>
      <c r="R30" s="76" t="str">
        <f t="shared" si="10"/>
        <v/>
      </c>
      <c r="S30" s="76" t="str">
        <f t="shared" si="11"/>
        <v/>
      </c>
      <c r="T30" s="76" t="str">
        <f t="shared" si="12"/>
        <v>-- 療養病床</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milscm_2023_010.azn_202310_backup_mt2_shisetsu_zokusei.ryouyou_bed IS '療養病床';</v>
      </c>
    </row>
    <row r="31" spans="1:45" s="25" customFormat="1">
      <c r="A31" s="4"/>
      <c r="B31" s="21">
        <f t="shared" si="2"/>
        <v>19</v>
      </c>
      <c r="C31" s="6" t="s">
        <v>2501</v>
      </c>
      <c r="D31" s="6" t="s">
        <v>2502</v>
      </c>
      <c r="E31" s="8"/>
      <c r="F31" s="7" t="s">
        <v>203</v>
      </c>
      <c r="G31" s="7" t="str">
        <f t="shared" si="7"/>
        <v>integer</v>
      </c>
      <c r="H31" s="26"/>
      <c r="I31" s="10"/>
      <c r="J31" s="11" t="s">
        <v>2521</v>
      </c>
      <c r="M31" s="4"/>
      <c r="N31" s="76"/>
      <c r="O31" s="76"/>
      <c r="P31" s="76" t="str">
        <f t="shared" si="8"/>
        <v>,all_bed</v>
      </c>
      <c r="Q31" s="76" t="str">
        <f t="shared" si="9"/>
        <v>INTEGER</v>
      </c>
      <c r="R31" s="76" t="str">
        <f t="shared" si="10"/>
        <v/>
      </c>
      <c r="S31" s="76" t="str">
        <f t="shared" si="11"/>
        <v/>
      </c>
      <c r="T31" s="76" t="str">
        <f t="shared" si="12"/>
        <v>-- 総病床数</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milscm_2023_010.azn_202310_backup_mt2_shisetsu_zokusei.all_bed IS '総病床数';</v>
      </c>
    </row>
    <row r="32" spans="1:45" s="25" customFormat="1">
      <c r="A32" s="4"/>
      <c r="B32" s="21">
        <f t="shared" si="2"/>
        <v>20</v>
      </c>
      <c r="C32" s="6" t="s">
        <v>1864</v>
      </c>
      <c r="D32" s="6" t="s">
        <v>1865</v>
      </c>
      <c r="E32" s="8"/>
      <c r="F32" s="7" t="s">
        <v>735</v>
      </c>
      <c r="G32" s="7" t="str">
        <f t="shared" si="7"/>
        <v>text</v>
      </c>
      <c r="H32" s="26"/>
      <c r="I32" s="10"/>
      <c r="J32" s="11" t="s">
        <v>2516</v>
      </c>
      <c r="M32" s="4"/>
      <c r="N32" s="76"/>
      <c r="O32" s="76"/>
      <c r="P32" s="76" t="str">
        <f t="shared" si="8"/>
        <v>,univ_hp_f</v>
      </c>
      <c r="Q32" s="76" t="str">
        <f t="shared" si="9"/>
        <v>TEXT</v>
      </c>
      <c r="R32" s="76" t="str">
        <f t="shared" si="10"/>
        <v/>
      </c>
      <c r="S32" s="76" t="str">
        <f t="shared" si="11"/>
        <v/>
      </c>
      <c r="T32" s="76" t="str">
        <f t="shared" si="12"/>
        <v>-- 大学病院F</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milscm_2023_010.azn_202310_backup_mt2_shisetsu_zokusei.univ_hp_f IS '大学病院F';</v>
      </c>
    </row>
    <row r="33" spans="1:52" s="25" customFormat="1">
      <c r="A33" s="4"/>
      <c r="B33" s="21">
        <f t="shared" si="2"/>
        <v>21</v>
      </c>
      <c r="C33" s="6" t="s">
        <v>1866</v>
      </c>
      <c r="D33" s="6" t="s">
        <v>1867</v>
      </c>
      <c r="E33" s="8"/>
      <c r="F33" s="7" t="s">
        <v>735</v>
      </c>
      <c r="G33" s="7" t="str">
        <f t="shared" si="7"/>
        <v>text</v>
      </c>
      <c r="H33" s="26"/>
      <c r="I33" s="10"/>
      <c r="J33" s="11" t="s">
        <v>2516</v>
      </c>
      <c r="M33" s="4"/>
      <c r="N33" s="76"/>
      <c r="O33" s="76"/>
      <c r="P33" s="76" t="str">
        <f t="shared" si="8"/>
        <v>,tokutei_hp_f</v>
      </c>
      <c r="Q33" s="76" t="str">
        <f t="shared" si="9"/>
        <v>TEXT</v>
      </c>
      <c r="R33" s="76" t="str">
        <f t="shared" si="10"/>
        <v/>
      </c>
      <c r="S33" s="76" t="str">
        <f t="shared" si="11"/>
        <v/>
      </c>
      <c r="T33" s="76" t="str">
        <f t="shared" si="12"/>
        <v>-- 特定機能病院F</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milscm_2023_010.azn_202310_backup_mt2_shisetsu_zokusei.tokutei_hp_f IS '特定機能病院F';</v>
      </c>
    </row>
    <row r="34" spans="1:52" s="25" customFormat="1" ht="112.5">
      <c r="A34" s="4"/>
      <c r="B34" s="21">
        <f t="shared" si="2"/>
        <v>22</v>
      </c>
      <c r="C34" s="6" t="s">
        <v>1868</v>
      </c>
      <c r="D34" s="6" t="s">
        <v>1869</v>
      </c>
      <c r="E34" s="8"/>
      <c r="F34" s="7" t="s">
        <v>203</v>
      </c>
      <c r="G34" s="7" t="str">
        <f t="shared" si="7"/>
        <v>integer</v>
      </c>
      <c r="H34" s="26"/>
      <c r="I34" s="10"/>
      <c r="J34" s="11" t="s">
        <v>2522</v>
      </c>
      <c r="M34" s="4"/>
      <c r="N34" s="76"/>
      <c r="O34" s="76"/>
      <c r="P34" s="76" t="str">
        <f t="shared" si="8"/>
        <v>,cancer_hp_f</v>
      </c>
      <c r="Q34" s="76" t="str">
        <f t="shared" si="9"/>
        <v>INTEGER</v>
      </c>
      <c r="R34" s="76" t="str">
        <f t="shared" si="10"/>
        <v/>
      </c>
      <c r="S34" s="76" t="str">
        <f t="shared" si="11"/>
        <v/>
      </c>
      <c r="T34" s="76" t="str">
        <f t="shared" si="12"/>
        <v>-- がん拠点病院F</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milscm_2023_010.azn_202310_backup_mt2_shisetsu_zokusei.cancer_hp_f IS 'がん拠点病院F';</v>
      </c>
    </row>
    <row r="35" spans="1:52" s="25" customFormat="1">
      <c r="A35" s="4"/>
      <c r="B35" s="21">
        <f t="shared" si="2"/>
        <v>23</v>
      </c>
      <c r="C35" s="6" t="s">
        <v>1870</v>
      </c>
      <c r="D35" s="6" t="s">
        <v>2503</v>
      </c>
      <c r="E35" s="8"/>
      <c r="F35" s="7" t="s">
        <v>735</v>
      </c>
      <c r="G35" s="7" t="str">
        <f t="shared" si="7"/>
        <v>text</v>
      </c>
      <c r="H35" s="26"/>
      <c r="I35" s="10"/>
      <c r="J35" s="11" t="s">
        <v>2516</v>
      </c>
      <c r="M35" s="4"/>
      <c r="N35" s="76"/>
      <c r="O35" s="76"/>
      <c r="P35" s="76" t="str">
        <f t="shared" si="8"/>
        <v>,high_Acute_care_hp_f</v>
      </c>
      <c r="Q35" s="76" t="str">
        <f t="shared" si="9"/>
        <v>TEXT</v>
      </c>
      <c r="R35" s="76" t="str">
        <f t="shared" si="10"/>
        <v/>
      </c>
      <c r="S35" s="76" t="str">
        <f t="shared" si="11"/>
        <v/>
      </c>
      <c r="T35" s="76" t="str">
        <f t="shared" si="12"/>
        <v>-- 高度急性期病院F</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milscm_2023_010.azn_202310_backup_mt2_shisetsu_zokusei.high_Acute_care_hp_f IS '高度急性期病院F';</v>
      </c>
    </row>
    <row r="36" spans="1:52" s="25" customFormat="1">
      <c r="A36" s="4"/>
      <c r="B36" s="21">
        <f t="shared" si="2"/>
        <v>24</v>
      </c>
      <c r="C36" s="6" t="s">
        <v>1872</v>
      </c>
      <c r="D36" s="6" t="s">
        <v>2504</v>
      </c>
      <c r="E36" s="8"/>
      <c r="F36" s="7" t="s">
        <v>735</v>
      </c>
      <c r="G36" s="7" t="str">
        <f t="shared" si="7"/>
        <v>text</v>
      </c>
      <c r="H36" s="26"/>
      <c r="I36" s="10"/>
      <c r="J36" s="11" t="s">
        <v>2516</v>
      </c>
      <c r="M36" s="4"/>
      <c r="N36" s="76"/>
      <c r="O36" s="76"/>
      <c r="P36" s="76" t="str">
        <f t="shared" si="8"/>
        <v>,Acute_care_hp_f</v>
      </c>
      <c r="Q36" s="76" t="str">
        <f t="shared" si="9"/>
        <v>TEXT</v>
      </c>
      <c r="R36" s="76" t="str">
        <f t="shared" si="10"/>
        <v/>
      </c>
      <c r="S36" s="76" t="str">
        <f t="shared" si="11"/>
        <v/>
      </c>
      <c r="T36" s="76" t="str">
        <f t="shared" si="12"/>
        <v>-- 急性期病院F</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milscm_2023_010.azn_202310_backup_mt2_shisetsu_zokusei.Acute_care_hp_f IS '急性期病院F';</v>
      </c>
    </row>
    <row r="37" spans="1:52" s="25" customFormat="1">
      <c r="A37" s="4"/>
      <c r="B37" s="21">
        <f t="shared" si="2"/>
        <v>25</v>
      </c>
      <c r="C37" s="6" t="s">
        <v>1874</v>
      </c>
      <c r="D37" s="6" t="s">
        <v>1875</v>
      </c>
      <c r="E37" s="8"/>
      <c r="F37" s="7" t="s">
        <v>735</v>
      </c>
      <c r="G37" s="7" t="str">
        <f t="shared" si="7"/>
        <v>text</v>
      </c>
      <c r="H37" s="26"/>
      <c r="I37" s="10"/>
      <c r="J37" s="11" t="s">
        <v>1887</v>
      </c>
      <c r="M37" s="4"/>
      <c r="N37" s="76"/>
      <c r="O37" s="76"/>
      <c r="P37" s="76" t="str">
        <f t="shared" si="8"/>
        <v>,mil_exit_f</v>
      </c>
      <c r="Q37" s="76" t="str">
        <f t="shared" si="9"/>
        <v>TEXT</v>
      </c>
      <c r="R37" s="76" t="str">
        <f t="shared" si="10"/>
        <v/>
      </c>
      <c r="S37" s="76" t="str">
        <f t="shared" si="11"/>
        <v/>
      </c>
      <c r="T37" s="76" t="str">
        <f t="shared" si="12"/>
        <v>-- 千年カルテ離脱施設フラグ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milscm_2023_010.azn_202310_backup_mt2_shisetsu_zokusei.mil_exit_f IS '千年カルテ離脱施設フラグ';</v>
      </c>
    </row>
    <row r="38" spans="1:52" s="25" customFormat="1">
      <c r="A38" s="4"/>
      <c r="B38" s="21">
        <f t="shared" si="2"/>
        <v>26</v>
      </c>
      <c r="C38" s="6" t="s">
        <v>2505</v>
      </c>
      <c r="D38" s="6" t="s">
        <v>2506</v>
      </c>
      <c r="E38" s="8"/>
      <c r="F38" s="7" t="s">
        <v>735</v>
      </c>
      <c r="G38" s="7" t="str">
        <f t="shared" si="7"/>
        <v>text</v>
      </c>
      <c r="H38" s="26">
        <v>0</v>
      </c>
      <c r="I38" s="10" t="s">
        <v>127</v>
      </c>
      <c r="J38" s="11" t="s">
        <v>2523</v>
      </c>
      <c r="M38" s="4"/>
      <c r="N38" s="76"/>
      <c r="O38" s="76"/>
      <c r="P38" s="76" t="str">
        <f t="shared" si="8"/>
        <v>,new_f</v>
      </c>
      <c r="Q38" s="76" t="str">
        <f t="shared" si="9"/>
        <v>TEXT</v>
      </c>
      <c r="R38" s="76" t="str">
        <f t="shared" si="10"/>
        <v>default '0'</v>
      </c>
      <c r="S38" s="76" t="str">
        <f t="shared" si="11"/>
        <v>NOT NULL</v>
      </c>
      <c r="T38" s="76" t="str">
        <f t="shared" si="12"/>
        <v>-- 最新フラグ</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milscm_2023_010.azn_202310_backup_mt2_shisetsu_zokusei.new_f IS '最新フラグ';</v>
      </c>
    </row>
    <row r="39" spans="1:52" s="25" customFormat="1">
      <c r="A39" s="4"/>
      <c r="B39" s="21">
        <f t="shared" si="2"/>
        <v>27</v>
      </c>
      <c r="C39" s="6" t="s">
        <v>2507</v>
      </c>
      <c r="D39" s="6" t="s">
        <v>1902</v>
      </c>
      <c r="E39" s="8"/>
      <c r="F39" s="7" t="s">
        <v>735</v>
      </c>
      <c r="G39" s="7" t="str">
        <f t="shared" si="7"/>
        <v>text</v>
      </c>
      <c r="H39" s="26">
        <v>0</v>
      </c>
      <c r="I39" s="10" t="s">
        <v>127</v>
      </c>
      <c r="J39" s="11" t="s">
        <v>2524</v>
      </c>
      <c r="M39" s="4"/>
      <c r="N39" s="76"/>
      <c r="O39" s="76"/>
      <c r="P39" s="76" t="str">
        <f t="shared" si="8"/>
        <v>,del_f</v>
      </c>
      <c r="Q39" s="76" t="str">
        <f t="shared" si="9"/>
        <v>TEXT</v>
      </c>
      <c r="R39" s="76" t="str">
        <f t="shared" si="10"/>
        <v>default '0'</v>
      </c>
      <c r="S39" s="76" t="str">
        <f t="shared" si="11"/>
        <v>NOT NULL</v>
      </c>
      <c r="T39" s="76" t="str">
        <f t="shared" si="12"/>
        <v>-- 削除フラグ</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milscm_2023_010.azn_202310_backup_mt2_shisetsu_zokusei.del_f IS '削除フラグ';</v>
      </c>
    </row>
    <row r="40" spans="1:52" s="25" customFormat="1" ht="37.5">
      <c r="A40" s="4"/>
      <c r="B40" s="21">
        <f t="shared" si="2"/>
        <v>28</v>
      </c>
      <c r="C40" s="6" t="s">
        <v>1905</v>
      </c>
      <c r="D40" s="6" t="s">
        <v>1906</v>
      </c>
      <c r="E40" s="8"/>
      <c r="F40" s="7" t="s">
        <v>735</v>
      </c>
      <c r="G40" s="7" t="str">
        <f t="shared" si="7"/>
        <v>text</v>
      </c>
      <c r="H40" s="26">
        <v>99999999</v>
      </c>
      <c r="I40" s="10" t="s">
        <v>127</v>
      </c>
      <c r="J40" s="11" t="s">
        <v>2525</v>
      </c>
      <c r="M40" s="4"/>
      <c r="N40" s="76"/>
      <c r="O40" s="76"/>
      <c r="P40" s="76" t="str">
        <f t="shared" si="8"/>
        <v>,del_ymd</v>
      </c>
      <c r="Q40" s="76" t="str">
        <f t="shared" si="9"/>
        <v>TEXT</v>
      </c>
      <c r="R40" s="76" t="str">
        <f t="shared" si="10"/>
        <v>default '99999999'</v>
      </c>
      <c r="S40" s="76" t="str">
        <f t="shared" si="11"/>
        <v>NOT NULL</v>
      </c>
      <c r="T40" s="76" t="str">
        <f t="shared" si="12"/>
        <v>-- 廃止年月日</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milscm_2023_010.azn_202310_backup_mt2_shisetsu_zokusei.del_ymd IS '廃止年月日';</v>
      </c>
    </row>
    <row r="41" spans="1:52" s="25" customFormat="1" ht="56.25">
      <c r="A41" s="4"/>
      <c r="B41" s="21">
        <f t="shared" si="2"/>
        <v>29</v>
      </c>
      <c r="C41" s="6" t="s">
        <v>2508</v>
      </c>
      <c r="D41" s="6" t="s">
        <v>2509</v>
      </c>
      <c r="E41" s="8"/>
      <c r="F41" s="7" t="s">
        <v>735</v>
      </c>
      <c r="G41" s="7" t="str">
        <f t="shared" si="7"/>
        <v>text</v>
      </c>
      <c r="H41" s="26">
        <v>99999999</v>
      </c>
      <c r="I41" s="10" t="s">
        <v>127</v>
      </c>
      <c r="J41" s="11" t="s">
        <v>2526</v>
      </c>
      <c r="M41" s="4"/>
      <c r="N41" s="76"/>
      <c r="O41" s="76"/>
      <c r="P41" s="76" t="str">
        <f t="shared" si="8"/>
        <v>,shisetsu_update_ymd</v>
      </c>
      <c r="Q41" s="76" t="str">
        <f t="shared" si="9"/>
        <v>TEXT</v>
      </c>
      <c r="R41" s="76" t="str">
        <f t="shared" si="10"/>
        <v>default '99999999'</v>
      </c>
      <c r="S41" s="76" t="str">
        <f t="shared" si="11"/>
        <v>NOT NULL</v>
      </c>
      <c r="T41" s="76" t="str">
        <f t="shared" si="12"/>
        <v>-- 施設マスタデータ登録日</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milscm_2023_010.azn_202310_backup_mt2_shisetsu_zokusei.shisetsu_update_ymd IS '施設マスタデータ登録日';</v>
      </c>
    </row>
    <row r="42" spans="1:52" s="25" customFormat="1" ht="56.25">
      <c r="A42" s="4"/>
      <c r="B42" s="21">
        <f t="shared" si="2"/>
        <v>30</v>
      </c>
      <c r="C42" s="6" t="s">
        <v>2510</v>
      </c>
      <c r="D42" s="6" t="s">
        <v>2511</v>
      </c>
      <c r="E42" s="8"/>
      <c r="F42" s="7" t="s">
        <v>735</v>
      </c>
      <c r="G42" s="7" t="str">
        <f t="shared" si="7"/>
        <v>text</v>
      </c>
      <c r="H42" s="26"/>
      <c r="I42" s="10"/>
      <c r="J42" s="11" t="s">
        <v>2527</v>
      </c>
      <c r="M42" s="4"/>
      <c r="N42" s="76"/>
      <c r="O42" s="76"/>
      <c r="P42" s="76" t="str">
        <f t="shared" si="8"/>
        <v>,zokusei_update_ymd</v>
      </c>
      <c r="Q42" s="76" t="str">
        <f t="shared" si="9"/>
        <v>TEXT</v>
      </c>
      <c r="R42" s="76" t="str">
        <f t="shared" si="10"/>
        <v/>
      </c>
      <c r="S42" s="76" t="str">
        <f t="shared" si="11"/>
        <v/>
      </c>
      <c r="T42" s="76" t="str">
        <f t="shared" si="12"/>
        <v>-- 施設属性マスタ取込用データ登録日</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milscm_2023_010.azn_202310_backup_mt2_shisetsu_zokusei.zokusei_update_ymd IS '施設属性マスタ取込用データ登録日';</v>
      </c>
    </row>
    <row r="43" spans="1:52" s="25" customFormat="1" ht="56.25">
      <c r="A43" s="4"/>
      <c r="B43" s="21">
        <f t="shared" si="2"/>
        <v>31</v>
      </c>
      <c r="C43" s="6" t="s">
        <v>2512</v>
      </c>
      <c r="D43" s="6" t="s">
        <v>2513</v>
      </c>
      <c r="E43" s="8"/>
      <c r="F43" s="7" t="s">
        <v>735</v>
      </c>
      <c r="G43" s="7" t="str">
        <f t="shared" si="3"/>
        <v>text</v>
      </c>
      <c r="H43" s="26"/>
      <c r="I43" s="10"/>
      <c r="J43" s="11" t="s">
        <v>2528</v>
      </c>
      <c r="M43" s="4"/>
      <c r="N43" s="76"/>
      <c r="O43" s="76"/>
      <c r="P43" s="76" t="str">
        <f t="shared" si="4"/>
        <v>,zokusei_torikomi_kijun_ym</v>
      </c>
      <c r="Q43" s="76" t="str">
        <f t="shared" si="0"/>
        <v>TEXT</v>
      </c>
      <c r="R43" s="76" t="str">
        <f t="shared" si="1"/>
        <v/>
      </c>
      <c r="S43" s="76" t="str">
        <f t="shared" si="5"/>
        <v/>
      </c>
      <c r="T43" s="76" t="str">
        <f t="shared" si="6"/>
        <v>-- 施設属性マスタ取込用取込基準年月</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milscm_2023_010.azn_202310_backup_mt2_shisetsu_zokusei.zokusei_torikomi_kijun_ym IS '施設属性マスタ取込用取込基準年月';</v>
      </c>
    </row>
    <row r="44" spans="1:52" s="25" customFormat="1" ht="169.5" thickBot="1">
      <c r="A44" s="4"/>
      <c r="B44" s="27">
        <f>ROW()-12</f>
        <v>32</v>
      </c>
      <c r="C44" s="57" t="s">
        <v>2514</v>
      </c>
      <c r="D44" s="57" t="s">
        <v>2515</v>
      </c>
      <c r="E44" s="56"/>
      <c r="F44" s="56" t="s">
        <v>735</v>
      </c>
      <c r="G44" s="56" t="str">
        <f t="shared" si="3"/>
        <v>text</v>
      </c>
      <c r="H44" s="59">
        <v>0</v>
      </c>
      <c r="I44" s="60" t="s">
        <v>127</v>
      </c>
      <c r="J44" s="63" t="s">
        <v>2529</v>
      </c>
      <c r="N44" s="76"/>
      <c r="O44" s="76"/>
      <c r="P44" s="76" t="str">
        <f t="shared" si="4"/>
        <v>,mainte_f</v>
      </c>
      <c r="Q44" s="76" t="str">
        <f t="shared" si="0"/>
        <v>TEXT</v>
      </c>
      <c r="R44" s="76" t="str">
        <f t="shared" si="1"/>
        <v>default '0'</v>
      </c>
      <c r="S44" s="76" t="str">
        <f t="shared" si="5"/>
        <v>NOT NULL</v>
      </c>
      <c r="T44" s="76" t="str">
        <f t="shared" si="6"/>
        <v>-- メンテナンスフラグ</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milscm_2023_010.azn_202310_backup_mt2_shisetsu_zokusei.mainte_f IS 'メンテナンスフラグ';</v>
      </c>
    </row>
    <row r="45" spans="1:52">
      <c r="L45" s="25"/>
      <c r="M45" s="25"/>
      <c r="N45" s="76" t="s">
        <v>142</v>
      </c>
      <c r="O45" s="76"/>
      <c r="P45" s="76"/>
      <c r="Q45" s="76"/>
      <c r="R45" s="76"/>
      <c r="S45" s="76"/>
      <c r="T45" s="76"/>
      <c r="V45" s="25"/>
      <c r="W45" s="25"/>
      <c r="X45" s="25"/>
      <c r="Y45" s="25"/>
      <c r="Z45" s="25"/>
      <c r="AJ45" s="76" t="s">
        <v>142</v>
      </c>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V47" s="25"/>
      <c r="W47" s="25"/>
      <c r="X47" s="25"/>
      <c r="Y47" s="25"/>
      <c r="Z47" s="25"/>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V60" s="25"/>
      <c r="AW60" s="25"/>
      <c r="AX60" s="25"/>
      <c r="AY60" s="25"/>
      <c r="AZ60" s="25"/>
    </row>
    <row r="61" spans="12:52">
      <c r="M61" s="25"/>
    </row>
    <row r="62" spans="12:52">
      <c r="M62" s="25"/>
    </row>
    <row r="63" spans="12:52">
      <c r="M63" s="25"/>
    </row>
    <row r="64" spans="12:52">
      <c r="M64" s="25"/>
    </row>
    <row r="65" spans="13:13">
      <c r="M65" s="25"/>
    </row>
    <row r="66" spans="13:13">
      <c r="M6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ENT_01_A4-04</v>
      </c>
      <c r="E6" s="272"/>
      <c r="F6" s="272"/>
      <c r="G6" s="272"/>
      <c r="H6" s="272"/>
      <c r="I6" s="272"/>
      <c r="J6" s="273"/>
    </row>
    <row r="7" spans="1:45">
      <c r="B7" s="261" t="s">
        <v>115</v>
      </c>
      <c r="C7" s="262"/>
      <c r="D7" s="263" t="s">
        <v>2531</v>
      </c>
      <c r="E7" s="264"/>
      <c r="F7" s="264"/>
      <c r="G7" s="264"/>
      <c r="H7" s="264"/>
      <c r="I7" s="264"/>
      <c r="J7" s="265"/>
    </row>
    <row r="8" spans="1:45">
      <c r="B8" s="261" t="s">
        <v>116</v>
      </c>
      <c r="C8" s="262"/>
      <c r="D8" s="263" t="str">
        <f>エンティティ一覧!AE2&amp;"_"&amp;D5&amp;"_mt2_iryouken2"</f>
        <v>azn_202310_backup_mt2_iryouken2</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二次医療圏マスタテーブルから組入れ条件の第一条件で絞り込んだ結果を格納するテーブル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milscm_2023_010.azn_202310_backup_mt2_iryouken2;</v>
      </c>
      <c r="O10" s="76"/>
      <c r="P10" s="76"/>
      <c r="Q10" s="76"/>
      <c r="R10" s="76"/>
      <c r="S10" s="76"/>
      <c r="T10" s="76"/>
      <c r="AJ10" s="76" t="str">
        <f>"ALTER TABLE ONLY "&amp;エンティティ一覧!$O$2&amp;"."&amp;D$8</f>
        <v>ALTER TABLE ONLY milscm_2023_010.azn_202310_backup_mt2_iryouken2</v>
      </c>
      <c r="AS10" s="76" t="str">
        <f>"ALTER TABLE "&amp;エンティティ一覧!$O$2&amp;"."&amp;D$8&amp;" OWNER TO pgmisgrp1;"</f>
        <v>ALTER TABLE milscm_2023_010.azn_202310_backup_mt2_iryouken2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milscm_2023_010.azn_202310_backup_mt2_iryouken2</v>
      </c>
      <c r="O11" s="76"/>
      <c r="P11" s="76"/>
      <c r="Q11" s="76"/>
      <c r="R11" s="76"/>
      <c r="S11" s="76"/>
      <c r="T11" s="76"/>
      <c r="AJ11" s="76" t="str">
        <f>"ADD CONSTRAINT "&amp;D$8&amp;"_pkey PRIMARY KEY"</f>
        <v>ADD CONSTRAINT azn_202310_backup_mt2_iryouken2_pkey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milscm_2023_010.azn_202310_backup_mt2_iryouken2 IS 'バックアップ_二次医療圏マスタ';</v>
      </c>
    </row>
    <row r="13" spans="1:45" s="25" customFormat="1" ht="56.25">
      <c r="A13" s="4"/>
      <c r="B13" s="21">
        <f>ROW()-12</f>
        <v>1</v>
      </c>
      <c r="C13" s="6" t="s">
        <v>2499</v>
      </c>
      <c r="D13" s="6" t="s">
        <v>1891</v>
      </c>
      <c r="E13" s="8"/>
      <c r="F13" s="8" t="s">
        <v>735</v>
      </c>
      <c r="G13" s="7" t="str">
        <f>IF(F13="フラグ","boolean",IF(F13="文字列","text",IF(F13="整数","integer",IF(F13="実数","numeric",""))))</f>
        <v>text</v>
      </c>
      <c r="H13" s="9"/>
      <c r="I13" s="10" t="s">
        <v>127</v>
      </c>
      <c r="J13" s="11" t="s">
        <v>2533</v>
      </c>
      <c r="M13" s="4"/>
      <c r="N13" s="76"/>
      <c r="O13" s="76"/>
      <c r="P13" s="76" t="str">
        <f>IF(B13&lt;&gt;1,","&amp;D13,D13)</f>
        <v>iryouken2_cd</v>
      </c>
      <c r="Q13" s="76" t="str">
        <f t="shared" ref="Q13:Q20" si="0">UPPER(G13)</f>
        <v>TEXT</v>
      </c>
      <c r="R13" s="76" t="str">
        <f t="shared" ref="R13:R20" si="1">IF(H13&lt;&gt;"","default "&amp;IF(G13="text","'"&amp;H13&amp;"'",H13),"")</f>
        <v/>
      </c>
      <c r="S13" s="76" t="str">
        <f>IF(I13="○","NOT NULL","")</f>
        <v>NOT NULL</v>
      </c>
      <c r="T13" s="76" t="str">
        <f>"-- "&amp;C13</f>
        <v>-- 二次医療圏コード</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milscm_2023_010.azn_202310_backup_mt2_iryouken2.iryouken2_cd IS '二次医療圏コード';</v>
      </c>
    </row>
    <row r="14" spans="1:45" s="25" customFormat="1" ht="56.25">
      <c r="A14" s="4"/>
      <c r="B14" s="21">
        <f t="shared" ref="B14:B19" si="2">ROW()-12</f>
        <v>2</v>
      </c>
      <c r="C14" s="6" t="s">
        <v>2500</v>
      </c>
      <c r="D14" s="6" t="s">
        <v>1893</v>
      </c>
      <c r="E14" s="8"/>
      <c r="F14" s="7" t="s">
        <v>735</v>
      </c>
      <c r="G14" s="7" t="str">
        <f t="shared" ref="G14:G20" si="3">IF(F14="フラグ","boolean",IF(F14="文字列","text",IF(F14="整数","integer",IF(F14="実数","numeric",""))))</f>
        <v>text</v>
      </c>
      <c r="H14" s="26"/>
      <c r="I14" s="10" t="s">
        <v>127</v>
      </c>
      <c r="J14" s="11" t="s">
        <v>2533</v>
      </c>
      <c r="M14" s="4"/>
      <c r="N14" s="76"/>
      <c r="O14" s="76"/>
      <c r="P14" s="76" t="str">
        <f t="shared" ref="P14:P20" si="4">IF(B14&lt;&gt;1,","&amp;D14,D14)</f>
        <v>,iryouken2</v>
      </c>
      <c r="Q14" s="76" t="str">
        <f t="shared" si="0"/>
        <v>TEXT</v>
      </c>
      <c r="R14" s="76" t="str">
        <f t="shared" si="1"/>
        <v/>
      </c>
      <c r="S14" s="76" t="str">
        <f t="shared" ref="S14:S20" si="5">IF(I14="○","NOT NULL","")</f>
        <v>NOT NULL</v>
      </c>
      <c r="T14" s="76" t="str">
        <f t="shared" ref="T14:T20" si="6">"-- "&amp;C14</f>
        <v>-- 二次医療圏</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milscm_2023_010.azn_202310_backup_mt2_iryouken2.iryouken2 IS '二次医療圏';</v>
      </c>
    </row>
    <row r="15" spans="1:45" s="25" customFormat="1" ht="56.25">
      <c r="A15" s="4"/>
      <c r="B15" s="21">
        <f t="shared" si="2"/>
        <v>3</v>
      </c>
      <c r="C15" s="6" t="s">
        <v>1894</v>
      </c>
      <c r="D15" s="6" t="s">
        <v>1895</v>
      </c>
      <c r="E15" s="8"/>
      <c r="F15" s="7" t="s">
        <v>735</v>
      </c>
      <c r="G15" s="7" t="str">
        <f t="shared" si="3"/>
        <v>text</v>
      </c>
      <c r="H15" s="26"/>
      <c r="I15" s="10" t="s">
        <v>127</v>
      </c>
      <c r="J15" s="11" t="s">
        <v>2533</v>
      </c>
      <c r="M15" s="4"/>
      <c r="N15" s="76"/>
      <c r="O15" s="76"/>
      <c r="P15" s="76" t="str">
        <f t="shared" si="4"/>
        <v>,prefecture_cd</v>
      </c>
      <c r="Q15" s="76" t="str">
        <f t="shared" si="0"/>
        <v>TEXT</v>
      </c>
      <c r="R15" s="76" t="str">
        <f t="shared" si="1"/>
        <v/>
      </c>
      <c r="S15" s="76" t="str">
        <f t="shared" si="5"/>
        <v>NOT NULL</v>
      </c>
      <c r="T15" s="76" t="str">
        <f t="shared" si="6"/>
        <v>-- 都道府県コード</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milscm_2023_010.azn_202310_backup_mt2_iryouken2.prefecture_cd IS '都道府県コード';</v>
      </c>
    </row>
    <row r="16" spans="1:45" s="25" customFormat="1" ht="56.25">
      <c r="A16" s="4"/>
      <c r="B16" s="21">
        <f t="shared" si="2"/>
        <v>4</v>
      </c>
      <c r="C16" s="6" t="s">
        <v>1897</v>
      </c>
      <c r="D16" s="6" t="s">
        <v>1898</v>
      </c>
      <c r="E16" s="8" t="s">
        <v>127</v>
      </c>
      <c r="F16" s="7" t="s">
        <v>735</v>
      </c>
      <c r="G16" s="7" t="str">
        <f t="shared" si="3"/>
        <v>text</v>
      </c>
      <c r="H16" s="26"/>
      <c r="I16" s="10" t="s">
        <v>127</v>
      </c>
      <c r="J16" s="11" t="s">
        <v>2533</v>
      </c>
      <c r="M16" s="4"/>
      <c r="N16" s="76"/>
      <c r="O16" s="76"/>
      <c r="P16" s="76" t="str">
        <f t="shared" si="4"/>
        <v>,city_code</v>
      </c>
      <c r="Q16" s="76" t="str">
        <f t="shared" si="0"/>
        <v>TEXT</v>
      </c>
      <c r="R16" s="76" t="str">
        <f t="shared" si="1"/>
        <v/>
      </c>
      <c r="S16" s="76" t="str">
        <f t="shared" si="5"/>
        <v>NOT NULL</v>
      </c>
      <c r="T16" s="76" t="str">
        <f t="shared" si="6"/>
        <v>-- 市区町村コード</v>
      </c>
      <c r="U16" s="4"/>
      <c r="AA16" s="4"/>
      <c r="AB16" s="4"/>
      <c r="AC16" s="4"/>
      <c r="AD16" s="4"/>
      <c r="AE16" s="4"/>
      <c r="AF16" s="4"/>
      <c r="AG16" s="4"/>
      <c r="AH16" s="4"/>
      <c r="AI16" s="4"/>
      <c r="AJ16" s="76" t="str">
        <f>IF(E16="○",IF(COUNTA(E$13:E16)=1,"",",")&amp;D16,"")</f>
        <v>city_code</v>
      </c>
      <c r="AK16" s="4"/>
      <c r="AL16" s="4"/>
      <c r="AM16" s="4"/>
      <c r="AN16" s="4"/>
      <c r="AO16" s="4"/>
      <c r="AP16" s="4"/>
      <c r="AQ16" s="4"/>
      <c r="AR16" s="4"/>
      <c r="AS16" s="76" t="str">
        <f>"COMMENT ON COLUMN "&amp;エンティティ一覧!$O$2&amp;"."&amp;D$8&amp;"."&amp;D16&amp;" IS '"&amp;C16&amp;"';"</f>
        <v>COMMENT ON COLUMN milscm_2023_010.azn_202310_backup_mt2_iryouken2.city_code IS '市区町村コード';</v>
      </c>
    </row>
    <row r="17" spans="1:52" s="25" customFormat="1">
      <c r="A17" s="4"/>
      <c r="B17" s="21">
        <f t="shared" si="2"/>
        <v>5</v>
      </c>
      <c r="C17" s="6" t="s">
        <v>2505</v>
      </c>
      <c r="D17" s="6" t="s">
        <v>2506</v>
      </c>
      <c r="E17" s="8"/>
      <c r="F17" s="7" t="s">
        <v>735</v>
      </c>
      <c r="G17" s="7" t="str">
        <f t="shared" si="3"/>
        <v>text</v>
      </c>
      <c r="H17" s="26">
        <v>0</v>
      </c>
      <c r="I17" s="10" t="s">
        <v>127</v>
      </c>
      <c r="J17" s="11"/>
      <c r="M17" s="4"/>
      <c r="N17" s="76"/>
      <c r="O17" s="76"/>
      <c r="P17" s="76" t="str">
        <f t="shared" si="4"/>
        <v>,new_f</v>
      </c>
      <c r="Q17" s="76" t="str">
        <f t="shared" si="0"/>
        <v>TEXT</v>
      </c>
      <c r="R17" s="76" t="str">
        <f t="shared" si="1"/>
        <v>default '0'</v>
      </c>
      <c r="S17" s="76" t="str">
        <f t="shared" si="5"/>
        <v>NOT NULL</v>
      </c>
      <c r="T17" s="76" t="str">
        <f t="shared" si="6"/>
        <v>-- 最新フラグ</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milscm_2023_010.azn_202310_backup_mt2_iryouken2.new_f IS '最新フラグ';</v>
      </c>
    </row>
    <row r="18" spans="1:52" s="25" customFormat="1">
      <c r="A18" s="4"/>
      <c r="B18" s="21">
        <f t="shared" si="2"/>
        <v>6</v>
      </c>
      <c r="C18" s="6" t="s">
        <v>2532</v>
      </c>
      <c r="D18" s="6" t="s">
        <v>1902</v>
      </c>
      <c r="E18" s="8"/>
      <c r="F18" s="7" t="s">
        <v>735</v>
      </c>
      <c r="G18" s="7" t="str">
        <f t="shared" ref="G18" si="7">IF(F18="フラグ","boolean",IF(F18="文字列","text",IF(F18="整数","integer",IF(F18="実数","numeric",""))))</f>
        <v>text</v>
      </c>
      <c r="H18" s="26">
        <v>0</v>
      </c>
      <c r="I18" s="10" t="s">
        <v>127</v>
      </c>
      <c r="J18" s="11"/>
      <c r="M18" s="4"/>
      <c r="N18" s="76"/>
      <c r="O18" s="76"/>
      <c r="P18" s="76" t="str">
        <f t="shared" ref="P18" si="8">IF(B18&lt;&gt;1,","&amp;D18,D18)</f>
        <v>,del_f</v>
      </c>
      <c r="Q18" s="76" t="str">
        <f t="shared" ref="Q18" si="9">UPPER(G18)</f>
        <v>TEXT</v>
      </c>
      <c r="R18" s="76" t="str">
        <f t="shared" ref="R18" si="10">IF(H18&lt;&gt;"","default "&amp;IF(G18="text","'"&amp;H18&amp;"'",H18),"")</f>
        <v>default '0'</v>
      </c>
      <c r="S18" s="76" t="str">
        <f t="shared" ref="S18" si="11">IF(I18="○","NOT NULL","")</f>
        <v>NOT NULL</v>
      </c>
      <c r="T18" s="76" t="str">
        <f t="shared" ref="T18" si="12">"-- "&amp;C18</f>
        <v>-- 削除フラグ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milscm_2023_010.azn_202310_backup_mt2_iryouken2.del_f IS '削除フラグ';</v>
      </c>
    </row>
    <row r="19" spans="1:52" s="25" customFormat="1" ht="37.5">
      <c r="A19" s="4"/>
      <c r="B19" s="21">
        <f t="shared" si="2"/>
        <v>7</v>
      </c>
      <c r="C19" s="6" t="s">
        <v>1965</v>
      </c>
      <c r="D19" s="6" t="s">
        <v>1904</v>
      </c>
      <c r="E19" s="8" t="s">
        <v>127</v>
      </c>
      <c r="F19" s="7" t="s">
        <v>735</v>
      </c>
      <c r="G19" s="7" t="str">
        <f t="shared" si="3"/>
        <v>text</v>
      </c>
      <c r="H19" s="26">
        <v>99999999</v>
      </c>
      <c r="I19" s="10" t="s">
        <v>127</v>
      </c>
      <c r="J19" s="11" t="s">
        <v>2534</v>
      </c>
      <c r="M19" s="4"/>
      <c r="N19" s="76"/>
      <c r="O19" s="76"/>
      <c r="P19" s="76" t="str">
        <f t="shared" si="4"/>
        <v>,henkou_ymd</v>
      </c>
      <c r="Q19" s="76" t="str">
        <f t="shared" si="0"/>
        <v>TEXT</v>
      </c>
      <c r="R19" s="76" t="str">
        <f t="shared" si="1"/>
        <v>default '99999999'</v>
      </c>
      <c r="S19" s="76" t="str">
        <f t="shared" si="5"/>
        <v>NOT NULL</v>
      </c>
      <c r="T19" s="76" t="str">
        <f t="shared" si="6"/>
        <v>-- 変更年月日</v>
      </c>
      <c r="U19" s="4"/>
      <c r="AA19" s="4"/>
      <c r="AB19" s="4"/>
      <c r="AC19" s="4"/>
      <c r="AD19" s="4"/>
      <c r="AE19" s="4"/>
      <c r="AF19" s="4"/>
      <c r="AG19" s="4"/>
      <c r="AH19" s="4"/>
      <c r="AI19" s="4"/>
      <c r="AJ19" s="76" t="str">
        <f>IF(E19="○",IF(COUNTA(E$13:E19)=1,"",",")&amp;D19,"")</f>
        <v>,henkou_ymd</v>
      </c>
      <c r="AK19" s="4"/>
      <c r="AL19" s="4"/>
      <c r="AM19" s="4"/>
      <c r="AN19" s="4"/>
      <c r="AO19" s="4"/>
      <c r="AP19" s="4"/>
      <c r="AQ19" s="4"/>
      <c r="AR19" s="4"/>
      <c r="AS19" s="76" t="str">
        <f>"COMMENT ON COLUMN "&amp;エンティティ一覧!$O$2&amp;"."&amp;D$8&amp;"."&amp;D19&amp;" IS '"&amp;C19&amp;"';"</f>
        <v>COMMENT ON COLUMN milscm_2023_010.azn_202310_backup_mt2_iryouken2.henkou_ymd IS '変更年月日';</v>
      </c>
    </row>
    <row r="20" spans="1:52" s="25" customFormat="1" ht="38.25" thickBot="1">
      <c r="A20" s="4"/>
      <c r="B20" s="27">
        <f>ROW()-12</f>
        <v>8</v>
      </c>
      <c r="C20" s="57" t="s">
        <v>1905</v>
      </c>
      <c r="D20" s="57" t="s">
        <v>1906</v>
      </c>
      <c r="E20" s="56" t="s">
        <v>127</v>
      </c>
      <c r="F20" s="56" t="s">
        <v>735</v>
      </c>
      <c r="G20" s="56" t="str">
        <f t="shared" si="3"/>
        <v>text</v>
      </c>
      <c r="H20" s="59">
        <v>99999999</v>
      </c>
      <c r="I20" s="60" t="s">
        <v>127</v>
      </c>
      <c r="J20" s="63" t="s">
        <v>2535</v>
      </c>
      <c r="N20" s="76"/>
      <c r="O20" s="76"/>
      <c r="P20" s="76" t="str">
        <f t="shared" si="4"/>
        <v>,del_ymd</v>
      </c>
      <c r="Q20" s="76" t="str">
        <f t="shared" si="0"/>
        <v>TEXT</v>
      </c>
      <c r="R20" s="76" t="str">
        <f t="shared" si="1"/>
        <v>default '99999999'</v>
      </c>
      <c r="S20" s="76" t="str">
        <f t="shared" si="5"/>
        <v>NOT NULL</v>
      </c>
      <c r="T20" s="76" t="str">
        <f t="shared" si="6"/>
        <v>-- 廃止年月日</v>
      </c>
      <c r="U20" s="4"/>
      <c r="AA20" s="4"/>
      <c r="AB20" s="4"/>
      <c r="AC20" s="4"/>
      <c r="AD20" s="4"/>
      <c r="AE20" s="4"/>
      <c r="AF20" s="4"/>
      <c r="AG20" s="4"/>
      <c r="AH20" s="4"/>
      <c r="AI20" s="4"/>
      <c r="AJ20" s="76" t="str">
        <f>IF(E20="○",IF(COUNTA(E$13:E20)=1,"",",")&amp;D20,"")</f>
        <v>,del_ymd</v>
      </c>
      <c r="AK20" s="4"/>
      <c r="AL20" s="4"/>
      <c r="AM20" s="4"/>
      <c r="AN20" s="4"/>
      <c r="AO20" s="4"/>
      <c r="AP20" s="4"/>
      <c r="AQ20" s="4"/>
      <c r="AR20" s="4"/>
      <c r="AS20" s="76" t="str">
        <f>"COMMENT ON COLUMN "&amp;エンティティ一覧!$O$2&amp;"."&amp;D$8&amp;"."&amp;D20&amp;" IS '"&amp;C20&amp;"';"</f>
        <v>COMMENT ON COLUMN milscm_2023_010.azn_202310_backup_mt2_iryouken2.del_ymd IS '廃止年月日';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1910</v>
      </c>
      <c r="B1" s="250" t="s">
        <v>110</v>
      </c>
      <c r="C1" s="251"/>
      <c r="D1" s="254" t="s">
        <v>111</v>
      </c>
      <c r="E1" s="255"/>
      <c r="F1" s="255"/>
      <c r="G1" s="246"/>
      <c r="H1" s="254" t="s">
        <v>112</v>
      </c>
      <c r="I1" s="246"/>
      <c r="J1" s="15" t="s">
        <v>113</v>
      </c>
    </row>
    <row r="2" spans="1:52" ht="19.5" thickBot="1">
      <c r="B2" s="252"/>
      <c r="C2" s="253"/>
      <c r="D2" s="256" t="s">
        <v>114</v>
      </c>
      <c r="E2" s="257"/>
      <c r="F2" s="257"/>
      <c r="G2" s="258"/>
      <c r="H2" s="259"/>
      <c r="I2" s="260"/>
      <c r="J2" s="17"/>
    </row>
    <row r="3" spans="1:52" ht="19.5" thickBot="1">
      <c r="B3" s="5"/>
      <c r="C3" s="5"/>
      <c r="D3" s="5"/>
      <c r="E3" s="5"/>
      <c r="F3" s="5"/>
      <c r="G3" s="5"/>
      <c r="H3" s="5"/>
      <c r="I3" s="5"/>
      <c r="J3" s="18"/>
    </row>
    <row r="4" spans="1:52">
      <c r="B4" s="245" t="s">
        <v>3703</v>
      </c>
      <c r="C4" s="246"/>
      <c r="D4" s="247" t="str">
        <f>VLOOKUP(D7,エンティティ一覧!A1:'エンティティ一覧'!AM10203,2,FALSE)</f>
        <v>01</v>
      </c>
      <c r="E4" s="248"/>
      <c r="F4" s="248"/>
      <c r="G4" s="248"/>
      <c r="H4" s="248"/>
      <c r="I4" s="248"/>
      <c r="J4" s="249"/>
    </row>
    <row r="5" spans="1:52">
      <c r="B5" s="261" t="s">
        <v>3704</v>
      </c>
      <c r="C5" s="262"/>
      <c r="D5" s="271" t="str">
        <f>VLOOKUP(D7,エンティティ一覧!A1:'エンティティ一覧'!AM10203,7,FALSE)</f>
        <v>backup</v>
      </c>
      <c r="E5" s="272"/>
      <c r="F5" s="272"/>
      <c r="G5" s="272"/>
      <c r="H5" s="272"/>
      <c r="I5" s="272"/>
      <c r="J5" s="273"/>
    </row>
    <row r="6" spans="1:52">
      <c r="B6" s="261" t="s">
        <v>3705</v>
      </c>
      <c r="C6" s="262"/>
      <c r="D6" s="271" t="str">
        <f>VLOOKUP(D7,エンティティ一覧!A1:'エンティティ一覧'!AM10203,15,FALSE)</f>
        <v>ENT_01_A4-05</v>
      </c>
      <c r="E6" s="272"/>
      <c r="F6" s="272"/>
      <c r="G6" s="272"/>
      <c r="H6" s="272"/>
      <c r="I6" s="272"/>
      <c r="J6" s="273"/>
    </row>
    <row r="7" spans="1:52">
      <c r="B7" s="261" t="s">
        <v>115</v>
      </c>
      <c r="C7" s="262"/>
      <c r="D7" s="263" t="s">
        <v>2536</v>
      </c>
      <c r="E7" s="264"/>
      <c r="F7" s="264"/>
      <c r="G7" s="264"/>
      <c r="H7" s="264"/>
      <c r="I7" s="264"/>
      <c r="J7" s="265"/>
    </row>
    <row r="8" spans="1:52">
      <c r="B8" s="261" t="s">
        <v>116</v>
      </c>
      <c r="C8" s="262"/>
      <c r="D8" s="263" t="str">
        <f>エンティティ一覧!AE2&amp;"_"&amp;D5&amp;"_mt2_old_new_shisetsu"</f>
        <v>azn_202310_backup_mt2_old_new_shisetsu</v>
      </c>
      <c r="E8" s="264"/>
      <c r="F8" s="264"/>
      <c r="G8" s="264"/>
      <c r="H8" s="264"/>
      <c r="I8" s="264"/>
      <c r="J8" s="265"/>
    </row>
    <row r="9" spans="1:52" ht="19.5" customHeight="1" thickBot="1">
      <c r="B9" s="266" t="s">
        <v>117</v>
      </c>
      <c r="C9" s="267"/>
      <c r="D9" s="268" t="str">
        <f>SUBSTITUTE(D7,"バックアップ_","")&amp;"テーブルから組入れ条件の第一条件で絞り込んだ結果を格納するテーブル"</f>
        <v>施設ID対応マスタテーブルから組入れ条件の第一条件で絞り込んだ結果を格納するテーブル</v>
      </c>
      <c r="E9" s="269"/>
      <c r="F9" s="269"/>
      <c r="G9" s="269"/>
      <c r="H9" s="269"/>
      <c r="I9" s="269"/>
      <c r="J9" s="270"/>
    </row>
    <row r="10" spans="1:52">
      <c r="B10" s="19"/>
      <c r="C10" s="19"/>
      <c r="D10" s="5"/>
      <c r="E10" s="5"/>
      <c r="F10" s="5"/>
      <c r="G10" s="5"/>
      <c r="H10" s="5"/>
      <c r="I10" s="5"/>
      <c r="J10" s="18"/>
      <c r="N10" s="76" t="str">
        <f>"--DROP TABLE  "&amp;エンティティ一覧!$O$2&amp;"."&amp;D$8&amp;";"</f>
        <v>--DROP TABLE  milscm_2023_010.azn_202310_backup_mt2_old_new_shisetsu;</v>
      </c>
      <c r="O10" s="76"/>
      <c r="P10" s="76"/>
      <c r="Q10" s="76"/>
      <c r="R10" s="76"/>
      <c r="S10" s="76"/>
      <c r="T10" s="76"/>
      <c r="AJ10" s="76" t="str">
        <f>"ALTER TABLE ONLY "&amp;エンティティ一覧!$O$2&amp;"."&amp;D$8</f>
        <v>ALTER TABLE ONLY milscm_2023_010.azn_202310_backup_mt2_old_new_shisetsu</v>
      </c>
      <c r="AS10" s="76" t="str">
        <f>"ALTER TABLE "&amp;エンティティ一覧!$O$2&amp;"."&amp;D$8&amp;" OWNER TO pgmisgrp1;"</f>
        <v>ALTER TABLE milscm_2023_010.azn_202310_backup_mt2_old_new_shisetsu OWNER TO pgmisgrp1;</v>
      </c>
    </row>
    <row r="11" spans="1:52" ht="19.5" thickBot="1">
      <c r="B11" s="20" t="s">
        <v>118</v>
      </c>
      <c r="C11" s="19"/>
      <c r="D11" s="5"/>
      <c r="E11" s="5"/>
      <c r="F11" s="5"/>
      <c r="G11" s="5"/>
      <c r="H11" s="5"/>
      <c r="I11" s="5"/>
      <c r="J11" s="18"/>
      <c r="N11" s="76" t="str">
        <f>"CREATE TABLE  "&amp;エンティティ一覧!$O$2&amp;"."&amp;D$8</f>
        <v>CREATE TABLE  milscm_2023_010.azn_202310_backup_mt2_old_new_shisetsu</v>
      </c>
      <c r="O11" s="76"/>
      <c r="P11" s="76"/>
      <c r="Q11" s="76"/>
      <c r="R11" s="76"/>
      <c r="S11" s="76"/>
      <c r="T11" s="76"/>
      <c r="AJ11" s="76" t="str">
        <f>"ADD CONSTRAINT "&amp;D$8&amp;"_pkey PRIMARY KEY"</f>
        <v>ADD CONSTRAINT azn_202310_backup_mt2_old_new_shisetsu_pkey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milscm_2023_010.azn_202310_backup_mt2_old_new_shisetsu IS 'バックアップ_施設ID対応マスタ';</v>
      </c>
    </row>
    <row r="13" spans="1:52" s="25" customFormat="1">
      <c r="A13" s="4"/>
      <c r="B13" s="21">
        <f>ROW()-12</f>
        <v>1</v>
      </c>
      <c r="C13" s="6" t="s">
        <v>2537</v>
      </c>
      <c r="D13" s="6" t="s">
        <v>2538</v>
      </c>
      <c r="E13" s="8" t="s">
        <v>127</v>
      </c>
      <c r="F13" s="8" t="s">
        <v>735</v>
      </c>
      <c r="G13" s="7" t="str">
        <f>IF(F13="フラグ","boolean",IF(F13="文字列","text",IF(F13="整数","integer",IF(F13="実数","numeric",""))))</f>
        <v>text</v>
      </c>
      <c r="H13" s="9"/>
      <c r="I13" s="10" t="s">
        <v>127</v>
      </c>
      <c r="J13" s="11"/>
      <c r="M13" s="4"/>
      <c r="N13" s="76"/>
      <c r="O13" s="76"/>
      <c r="P13" s="76" t="str">
        <f>IF(B13&lt;&gt;1,","&amp;D13,D13)</f>
        <v>old_facility_id</v>
      </c>
      <c r="Q13" s="76" t="str">
        <f t="shared" ref="Q13:Q15" si="0">UPPER(G13)</f>
        <v>TEXT</v>
      </c>
      <c r="R13" s="76" t="str">
        <f t="shared" ref="R13:R15" si="1">IF(H13&lt;&gt;"","default "&amp;IF(G13="text","'"&amp;H13&amp;"'",H13),"")</f>
        <v/>
      </c>
      <c r="S13" s="76" t="str">
        <f>IF(I13="○","NOT NULL","")</f>
        <v>NOT NULL</v>
      </c>
      <c r="T13" s="76" t="str">
        <f>"-- "&amp;C13</f>
        <v>-- 旧施設ID</v>
      </c>
      <c r="U13" s="4"/>
      <c r="AA13" s="4"/>
      <c r="AB13" s="4"/>
      <c r="AC13" s="4"/>
      <c r="AD13" s="4"/>
      <c r="AE13" s="4"/>
      <c r="AF13" s="4"/>
      <c r="AG13" s="4"/>
      <c r="AH13" s="4"/>
      <c r="AI13" s="4"/>
      <c r="AJ13" s="76" t="str">
        <f>IF(E13="○",IF(COUNTA(E$13:E13)=1,"",",")&amp;D13,"")</f>
        <v>old_facility_id</v>
      </c>
      <c r="AK13" s="4"/>
      <c r="AL13" s="4"/>
      <c r="AM13" s="4"/>
      <c r="AN13" s="4"/>
      <c r="AO13" s="4"/>
      <c r="AP13" s="4"/>
      <c r="AQ13" s="4"/>
      <c r="AR13" s="4"/>
      <c r="AS13" s="76" t="str">
        <f>"COMMENT ON COLUMN "&amp;エンティティ一覧!$O$2&amp;"."&amp;D$8&amp;"."&amp;D13&amp;" IS '"&amp;C13&amp;"';"</f>
        <v>COMMENT ON COLUMN milscm_2023_010.azn_202310_backup_mt2_old_new_shisetsu.old_facility_id IS '旧施設ID';</v>
      </c>
    </row>
    <row r="14" spans="1:52" s="25" customFormat="1">
      <c r="A14" s="4"/>
      <c r="B14" s="21">
        <f t="shared" ref="B14" si="2">ROW()-12</f>
        <v>2</v>
      </c>
      <c r="C14" s="6" t="s">
        <v>2539</v>
      </c>
      <c r="D14" s="6" t="s">
        <v>2540</v>
      </c>
      <c r="E14" s="8"/>
      <c r="F14" s="7" t="s">
        <v>735</v>
      </c>
      <c r="G14" s="7" t="str">
        <f t="shared" ref="G14:G15" si="3">IF(F14="フラグ","boolean",IF(F14="文字列","text",IF(F14="整数","integer",IF(F14="実数","numeric",""))))</f>
        <v>text</v>
      </c>
      <c r="H14" s="26"/>
      <c r="I14" s="10" t="s">
        <v>127</v>
      </c>
      <c r="J14" s="11"/>
      <c r="M14" s="4"/>
      <c r="N14" s="76"/>
      <c r="O14" s="76"/>
      <c r="P14" s="76" t="str">
        <f t="shared" ref="P14:P15" si="4">IF(B14&lt;&gt;1,","&amp;D14,D14)</f>
        <v>,new_facility_id</v>
      </c>
      <c r="Q14" s="76" t="str">
        <f t="shared" si="0"/>
        <v>TEXT</v>
      </c>
      <c r="R14" s="76" t="str">
        <f t="shared" si="1"/>
        <v/>
      </c>
      <c r="S14" s="76" t="str">
        <f t="shared" ref="S14:S15" si="5">IF(I14="○","NOT NULL","")</f>
        <v>NOT NULL</v>
      </c>
      <c r="T14" s="76" t="str">
        <f t="shared" ref="T14:T15" si="6">"-- "&amp;C14</f>
        <v>-- 新施設ID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milscm_2023_010.azn_202310_backup_mt2_old_new_shisetsu.new_facility_id IS '新施設ID';</v>
      </c>
    </row>
    <row r="15" spans="1:52" s="25" customFormat="1" ht="19.5" thickBot="1">
      <c r="A15" s="4"/>
      <c r="B15" s="27">
        <f>ROW()-12</f>
        <v>3</v>
      </c>
      <c r="C15" s="57" t="s">
        <v>2541</v>
      </c>
      <c r="D15" s="57" t="s">
        <v>1934</v>
      </c>
      <c r="E15" s="56"/>
      <c r="F15" s="56" t="s">
        <v>735</v>
      </c>
      <c r="G15" s="56" t="str">
        <f t="shared" si="3"/>
        <v>text</v>
      </c>
      <c r="H15" s="59">
        <v>99999999</v>
      </c>
      <c r="I15" s="60" t="s">
        <v>127</v>
      </c>
      <c r="J15" s="63" t="s">
        <v>1792</v>
      </c>
      <c r="N15" s="76"/>
      <c r="O15" s="76"/>
      <c r="P15" s="76" t="str">
        <f t="shared" si="4"/>
        <v>,start_ymd</v>
      </c>
      <c r="Q15" s="76" t="str">
        <f t="shared" si="0"/>
        <v>TEXT</v>
      </c>
      <c r="R15" s="76" t="str">
        <f t="shared" si="1"/>
        <v>default '99999999'</v>
      </c>
      <c r="S15" s="76" t="str">
        <f t="shared" si="5"/>
        <v>NOT NULL</v>
      </c>
      <c r="T15" s="76" t="str">
        <f t="shared" si="6"/>
        <v>-- 適用開始日</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milscm_2023_010.azn_202310_backup_mt2_old_new_shisetsu.start_ymd IS '適用開始日';</v>
      </c>
    </row>
    <row r="16" spans="1:52">
      <c r="L16" s="25"/>
      <c r="M16" s="25"/>
      <c r="N16" s="76" t="s">
        <v>142</v>
      </c>
      <c r="O16" s="76"/>
      <c r="P16" s="76"/>
      <c r="Q16" s="76"/>
      <c r="R16" s="76"/>
      <c r="S16" s="76"/>
      <c r="T16" s="76"/>
      <c r="V16" s="25"/>
      <c r="W16" s="25"/>
      <c r="X16" s="25"/>
      <c r="Y16" s="25"/>
      <c r="Z16" s="25"/>
      <c r="AJ16" s="76"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ENT_01_A4-07</v>
      </c>
      <c r="E6" s="272"/>
      <c r="F6" s="272"/>
      <c r="G6" s="272"/>
      <c r="H6" s="272"/>
      <c r="I6" s="272"/>
      <c r="J6" s="273"/>
    </row>
    <row r="7" spans="1:45">
      <c r="B7" s="261" t="s">
        <v>115</v>
      </c>
      <c r="C7" s="262"/>
      <c r="D7" s="263" t="s">
        <v>2544</v>
      </c>
      <c r="E7" s="264"/>
      <c r="F7" s="264"/>
      <c r="G7" s="264"/>
      <c r="H7" s="264"/>
      <c r="I7" s="264"/>
      <c r="J7" s="265"/>
    </row>
    <row r="8" spans="1:45">
      <c r="B8" s="261" t="s">
        <v>116</v>
      </c>
      <c r="C8" s="262"/>
      <c r="D8" s="263" t="str">
        <f>エンティティ一覧!AE2&amp;"_"&amp;D5&amp;"_mt2_iyakuhin_kanren"</f>
        <v>azn_202310_backup_mt2_iyakuhin_kanren</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医薬品関連マスタテーブルから組入れ条件の第一条件で絞り込んだ結果を格納するテーブル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milscm_2023_010.azn_202310_backup_mt2_iyakuhin_kanren;</v>
      </c>
      <c r="O10" s="76"/>
      <c r="P10" s="76"/>
      <c r="Q10" s="76"/>
      <c r="R10" s="76"/>
      <c r="S10" s="76"/>
      <c r="T10" s="76"/>
      <c r="AJ10" s="76" t="str">
        <f>"ALTER TABLE ONLY "&amp;エンティティ一覧!$O$2&amp;"."&amp;D$8</f>
        <v>ALTER TABLE ONLY milscm_2023_010.azn_202310_backup_mt2_iyakuhin_kanren</v>
      </c>
      <c r="AS10" s="76" t="str">
        <f>"ALTER TABLE "&amp;エンティティ一覧!$O$2&amp;"."&amp;D$8&amp;" OWNER TO pgmisgrp1;"</f>
        <v>ALTER TABLE milscm_2023_010.azn_202310_backup_mt2_iyakuhin_kanren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milscm_2023_010.azn_202310_backup_mt2_iyakuhin_kanren</v>
      </c>
      <c r="O11" s="76"/>
      <c r="P11" s="76"/>
      <c r="Q11" s="76"/>
      <c r="R11" s="76"/>
      <c r="S11" s="76"/>
      <c r="T11" s="76"/>
      <c r="AJ11" s="76" t="str">
        <f>"ADD CONSTRAINT "&amp;D$8&amp;"_pkey PRIMARY KEY"</f>
        <v>ADD CONSTRAINT azn_202310_backup_mt2_iyakuhin_kanren_pkey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milscm_2023_010.azn_202310_backup_mt2_iyakuhin_kanren IS 'バックアップ_医薬品関連マスタ';</v>
      </c>
    </row>
    <row r="13" spans="1:45" s="25" customFormat="1">
      <c r="A13" s="4"/>
      <c r="B13" s="21">
        <f>ROW()-12</f>
        <v>1</v>
      </c>
      <c r="C13" s="6" t="s">
        <v>1155</v>
      </c>
      <c r="D13" s="6" t="s">
        <v>2545</v>
      </c>
      <c r="E13" s="8" t="s">
        <v>127</v>
      </c>
      <c r="F13" s="8" t="s">
        <v>735</v>
      </c>
      <c r="G13" s="7" t="str">
        <f>IF(F13="フラグ","boolean",IF(F13="文字列","text",IF(F13="整数","integer",IF(F13="実数","numeric",""))))</f>
        <v>text</v>
      </c>
      <c r="H13" s="9"/>
      <c r="I13" s="10" t="s">
        <v>127</v>
      </c>
      <c r="J13" s="11" t="s">
        <v>2585</v>
      </c>
      <c r="M13" s="4"/>
      <c r="N13" s="76"/>
      <c r="O13" s="76"/>
      <c r="P13" s="76" t="str">
        <f>IF(B13&lt;&gt;1,","&amp;D13,D13)</f>
        <v>iyakuhin_cd</v>
      </c>
      <c r="Q13" s="76" t="str">
        <f t="shared" ref="Q13:Q38" si="0">UPPER(G13)</f>
        <v>TEXT</v>
      </c>
      <c r="R13" s="76" t="str">
        <f t="shared" ref="R13:R38" si="1">IF(H13&lt;&gt;"","default "&amp;IF(G13="text","'"&amp;H13&amp;"'",H13),"")</f>
        <v/>
      </c>
      <c r="S13" s="76" t="str">
        <f>IF(I13="○","NOT NULL","")</f>
        <v>NOT NULL</v>
      </c>
      <c r="T13" s="76" t="str">
        <f>"-- "&amp;C13</f>
        <v>-- 医薬品コード</v>
      </c>
      <c r="U13" s="4"/>
      <c r="AA13" s="4"/>
      <c r="AB13" s="4"/>
      <c r="AC13" s="4"/>
      <c r="AD13" s="4"/>
      <c r="AE13" s="4"/>
      <c r="AF13" s="4"/>
      <c r="AG13" s="4"/>
      <c r="AH13" s="4"/>
      <c r="AI13" s="4"/>
      <c r="AJ13" s="76" t="str">
        <f>IF(E13="○",IF(COUNTA(E$13:E13)=1,"",",")&amp;D13,"")</f>
        <v>iyakuhin_cd</v>
      </c>
      <c r="AK13" s="4"/>
      <c r="AL13" s="4"/>
      <c r="AM13" s="4"/>
      <c r="AN13" s="4"/>
      <c r="AO13" s="4"/>
      <c r="AP13" s="4"/>
      <c r="AQ13" s="4"/>
      <c r="AR13" s="4"/>
      <c r="AS13" s="76" t="str">
        <f>"COMMENT ON COLUMN "&amp;エンティティ一覧!$O$2&amp;"."&amp;D$8&amp;"."&amp;D13&amp;" IS '"&amp;C13&amp;"';"</f>
        <v>COMMENT ON COLUMN milscm_2023_010.azn_202310_backup_mt2_iyakuhin_kanren.iyakuhin_cd IS '医薬品コード';</v>
      </c>
    </row>
    <row r="14" spans="1:45" s="25" customFormat="1">
      <c r="A14" s="4"/>
      <c r="B14" s="21">
        <f t="shared" ref="B14:B37" si="2">ROW()-12</f>
        <v>2</v>
      </c>
      <c r="C14" s="6" t="s">
        <v>2546</v>
      </c>
      <c r="D14" s="6" t="s">
        <v>2547</v>
      </c>
      <c r="E14" s="8"/>
      <c r="F14" s="7" t="s">
        <v>735</v>
      </c>
      <c r="G14" s="7" t="str">
        <f t="shared" ref="G14:G38" si="3">IF(F14="フラグ","boolean",IF(F14="文字列","text",IF(F14="整数","integer",IF(F14="実数","numeric",""))))</f>
        <v>text</v>
      </c>
      <c r="H14" s="26"/>
      <c r="I14" s="10" t="s">
        <v>127</v>
      </c>
      <c r="J14" s="11" t="s">
        <v>2586</v>
      </c>
      <c r="M14" s="4"/>
      <c r="N14" s="76"/>
      <c r="O14" s="76"/>
      <c r="P14" s="76" t="str">
        <f t="shared" ref="P14:P38" si="4">IF(B14&lt;&gt;1,","&amp;D14,D14)</f>
        <v>,iyakuhin_brand_cd</v>
      </c>
      <c r="Q14" s="76" t="str">
        <f t="shared" si="0"/>
        <v>TEXT</v>
      </c>
      <c r="R14" s="76" t="str">
        <f t="shared" si="1"/>
        <v/>
      </c>
      <c r="S14" s="76" t="str">
        <f t="shared" ref="S14:S38" si="5">IF(I14="○","NOT NULL","")</f>
        <v>NOT NULL</v>
      </c>
      <c r="T14" s="76" t="str">
        <f t="shared" ref="T14:T38" si="6">"-- "&amp;C14</f>
        <v>-- 医薬品ブランドコード</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milscm_2023_010.azn_202310_backup_mt2_iyakuhin_kanren.iyakuhin_brand_cd IS '医薬品ブランドコード';</v>
      </c>
    </row>
    <row r="15" spans="1:45" s="25" customFormat="1">
      <c r="A15" s="4"/>
      <c r="B15" s="21">
        <f t="shared" si="2"/>
        <v>3</v>
      </c>
      <c r="C15" s="6" t="s">
        <v>2548</v>
      </c>
      <c r="D15" s="6" t="s">
        <v>2549</v>
      </c>
      <c r="E15" s="8"/>
      <c r="F15" s="7" t="s">
        <v>735</v>
      </c>
      <c r="G15" s="7" t="str">
        <f t="shared" si="3"/>
        <v>text</v>
      </c>
      <c r="H15" s="26"/>
      <c r="I15" s="10" t="s">
        <v>127</v>
      </c>
      <c r="J15" s="11" t="s">
        <v>2586</v>
      </c>
      <c r="M15" s="4"/>
      <c r="N15" s="76"/>
      <c r="O15" s="76"/>
      <c r="P15" s="76" t="str">
        <f t="shared" si="4"/>
        <v>,iyakuhin_ippan_name_cd</v>
      </c>
      <c r="Q15" s="76" t="str">
        <f t="shared" si="0"/>
        <v>TEXT</v>
      </c>
      <c r="R15" s="76" t="str">
        <f t="shared" si="1"/>
        <v/>
      </c>
      <c r="S15" s="76" t="str">
        <f t="shared" si="5"/>
        <v>NOT NULL</v>
      </c>
      <c r="T15" s="76" t="str">
        <f t="shared" si="6"/>
        <v>-- 医薬品一般名コード</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milscm_2023_010.azn_202310_backup_mt2_iyakuhin_kanren.iyakuhin_ippan_name_cd IS '医薬品一般名コード';</v>
      </c>
    </row>
    <row r="16" spans="1:45" s="25" customFormat="1">
      <c r="A16" s="4"/>
      <c r="B16" s="21">
        <f t="shared" si="2"/>
        <v>4</v>
      </c>
      <c r="C16" s="6" t="s">
        <v>2550</v>
      </c>
      <c r="D16" s="6" t="s">
        <v>2551</v>
      </c>
      <c r="E16" s="8"/>
      <c r="F16" s="7" t="s">
        <v>735</v>
      </c>
      <c r="G16" s="7" t="str">
        <f t="shared" si="3"/>
        <v>text</v>
      </c>
      <c r="H16" s="26"/>
      <c r="I16" s="10" t="s">
        <v>127</v>
      </c>
      <c r="J16" s="11" t="s">
        <v>2586</v>
      </c>
      <c r="M16" s="4"/>
      <c r="N16" s="76"/>
      <c r="O16" s="76"/>
      <c r="P16" s="76" t="str">
        <f t="shared" si="4"/>
        <v>,yakko_bunrui1_cd</v>
      </c>
      <c r="Q16" s="76" t="str">
        <f t="shared" si="0"/>
        <v>TEXT</v>
      </c>
      <c r="R16" s="76" t="str">
        <f t="shared" si="1"/>
        <v/>
      </c>
      <c r="S16" s="76" t="str">
        <f t="shared" si="5"/>
        <v>NOT NULL</v>
      </c>
      <c r="T16" s="76" t="str">
        <f t="shared" si="6"/>
        <v>-- 薬効分類1コード</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milscm_2023_010.azn_202310_backup_mt2_iyakuhin_kanren.yakko_bunrui1_cd IS '薬効分類1コード';</v>
      </c>
    </row>
    <row r="17" spans="1:45" s="25" customFormat="1">
      <c r="A17" s="4"/>
      <c r="B17" s="21">
        <f t="shared" si="2"/>
        <v>5</v>
      </c>
      <c r="C17" s="6" t="s">
        <v>2552</v>
      </c>
      <c r="D17" s="6" t="s">
        <v>2553</v>
      </c>
      <c r="E17" s="8"/>
      <c r="F17" s="7" t="s">
        <v>735</v>
      </c>
      <c r="G17" s="7" t="str">
        <f t="shared" si="3"/>
        <v>text</v>
      </c>
      <c r="H17" s="26"/>
      <c r="I17" s="10" t="s">
        <v>127</v>
      </c>
      <c r="J17" s="11" t="s">
        <v>2586</v>
      </c>
      <c r="M17" s="4"/>
      <c r="N17" s="76"/>
      <c r="O17" s="76"/>
      <c r="P17" s="76" t="str">
        <f t="shared" si="4"/>
        <v>,yakko_bunrui2_cd</v>
      </c>
      <c r="Q17" s="76" t="str">
        <f t="shared" si="0"/>
        <v>TEXT</v>
      </c>
      <c r="R17" s="76" t="str">
        <f t="shared" si="1"/>
        <v/>
      </c>
      <c r="S17" s="76" t="str">
        <f t="shared" si="5"/>
        <v>NOT NULL</v>
      </c>
      <c r="T17" s="76" t="str">
        <f t="shared" si="6"/>
        <v>-- 薬効分類2コード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milscm_2023_010.azn_202310_backup_mt2_iyakuhin_kanren.yakko_bunrui2_cd IS '薬効分類2コード';</v>
      </c>
    </row>
    <row r="18" spans="1:45" s="25" customFormat="1">
      <c r="A18" s="4"/>
      <c r="B18" s="21">
        <f t="shared" si="2"/>
        <v>6</v>
      </c>
      <c r="C18" s="6" t="s">
        <v>2554</v>
      </c>
      <c r="D18" s="6" t="s">
        <v>2555</v>
      </c>
      <c r="E18" s="8"/>
      <c r="F18" s="7" t="s">
        <v>735</v>
      </c>
      <c r="G18" s="7" t="str">
        <f t="shared" si="3"/>
        <v>text</v>
      </c>
      <c r="H18" s="26"/>
      <c r="I18" s="10" t="s">
        <v>127</v>
      </c>
      <c r="J18" s="11" t="s">
        <v>2586</v>
      </c>
      <c r="M18" s="4"/>
      <c r="N18" s="76"/>
      <c r="O18" s="76"/>
      <c r="P18" s="76" t="str">
        <f t="shared" si="4"/>
        <v>,yakko_bunrui3_cd</v>
      </c>
      <c r="Q18" s="76" t="str">
        <f t="shared" si="0"/>
        <v>TEXT</v>
      </c>
      <c r="R18" s="76" t="str">
        <f t="shared" si="1"/>
        <v/>
      </c>
      <c r="S18" s="76" t="str">
        <f t="shared" si="5"/>
        <v>NOT NULL</v>
      </c>
      <c r="T18" s="76" t="str">
        <f t="shared" si="6"/>
        <v>-- 薬効分類3コード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milscm_2023_010.azn_202310_backup_mt2_iyakuhin_kanren.yakko_bunrui3_cd IS '薬効分類3コード';</v>
      </c>
    </row>
    <row r="19" spans="1:45" s="25" customFormat="1">
      <c r="A19" s="4"/>
      <c r="B19" s="21">
        <f t="shared" si="2"/>
        <v>7</v>
      </c>
      <c r="C19" s="6" t="s">
        <v>2556</v>
      </c>
      <c r="D19" s="6" t="s">
        <v>2557</v>
      </c>
      <c r="E19" s="8"/>
      <c r="F19" s="7" t="s">
        <v>735</v>
      </c>
      <c r="G19" s="7" t="str">
        <f t="shared" si="3"/>
        <v>text</v>
      </c>
      <c r="H19" s="26"/>
      <c r="I19" s="10" t="s">
        <v>127</v>
      </c>
      <c r="J19" s="11" t="s">
        <v>2586</v>
      </c>
      <c r="M19" s="4"/>
      <c r="N19" s="76"/>
      <c r="O19" s="76"/>
      <c r="P19" s="76" t="str">
        <f t="shared" si="4"/>
        <v>,yakko_bunrui4_cd</v>
      </c>
      <c r="Q19" s="76" t="str">
        <f t="shared" si="0"/>
        <v>TEXT</v>
      </c>
      <c r="R19" s="76" t="str">
        <f t="shared" si="1"/>
        <v/>
      </c>
      <c r="S19" s="76" t="str">
        <f t="shared" si="5"/>
        <v>NOT NULL</v>
      </c>
      <c r="T19" s="76" t="str">
        <f t="shared" si="6"/>
        <v>-- 薬効分類4コード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milscm_2023_010.azn_202310_backup_mt2_iyakuhin_kanren.yakko_bunrui4_cd IS '薬効分類4コード';</v>
      </c>
    </row>
    <row r="20" spans="1:45" s="25" customFormat="1">
      <c r="A20" s="4"/>
      <c r="B20" s="21">
        <f t="shared" si="2"/>
        <v>8</v>
      </c>
      <c r="C20" s="6" t="s">
        <v>2558</v>
      </c>
      <c r="D20" s="6" t="s">
        <v>2559</v>
      </c>
      <c r="E20" s="8"/>
      <c r="F20" s="7" t="s">
        <v>735</v>
      </c>
      <c r="G20" s="7" t="str">
        <f t="shared" si="3"/>
        <v>text</v>
      </c>
      <c r="H20" s="26"/>
      <c r="I20" s="10" t="s">
        <v>127</v>
      </c>
      <c r="J20" s="11" t="s">
        <v>2586</v>
      </c>
      <c r="M20" s="4"/>
      <c r="N20" s="76"/>
      <c r="O20" s="76"/>
      <c r="P20" s="76" t="str">
        <f t="shared" si="4"/>
        <v>,yakko_bunrui5_cd</v>
      </c>
      <c r="Q20" s="76" t="str">
        <f t="shared" si="0"/>
        <v>TEXT</v>
      </c>
      <c r="R20" s="76" t="str">
        <f t="shared" si="1"/>
        <v/>
      </c>
      <c r="S20" s="76" t="str">
        <f t="shared" si="5"/>
        <v>NOT NULL</v>
      </c>
      <c r="T20" s="76" t="str">
        <f t="shared" si="6"/>
        <v>-- 薬効分類5コード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milscm_2023_010.azn_202310_backup_mt2_iyakuhin_kanren.yakko_bunrui5_cd IS '薬効分類5コード';</v>
      </c>
    </row>
    <row r="21" spans="1:45" s="25" customFormat="1">
      <c r="A21" s="4"/>
      <c r="B21" s="21">
        <f t="shared" si="2"/>
        <v>9</v>
      </c>
      <c r="C21" s="6" t="s">
        <v>2560</v>
      </c>
      <c r="D21" s="6" t="s">
        <v>2561</v>
      </c>
      <c r="E21" s="8"/>
      <c r="F21" s="7" t="s">
        <v>735</v>
      </c>
      <c r="G21" s="7" t="str">
        <f t="shared" si="3"/>
        <v>text</v>
      </c>
      <c r="H21" s="26"/>
      <c r="I21" s="10"/>
      <c r="J21" s="11" t="s">
        <v>2586</v>
      </c>
      <c r="M21" s="4"/>
      <c r="N21" s="76"/>
      <c r="O21" s="76"/>
      <c r="P21" s="76" t="str">
        <f t="shared" si="4"/>
        <v>,seizo_maker_cd</v>
      </c>
      <c r="Q21" s="76" t="str">
        <f t="shared" si="0"/>
        <v>TEXT</v>
      </c>
      <c r="R21" s="76" t="str">
        <f t="shared" si="1"/>
        <v/>
      </c>
      <c r="S21" s="76" t="str">
        <f t="shared" si="5"/>
        <v/>
      </c>
      <c r="T21" s="76" t="str">
        <f t="shared" si="6"/>
        <v>-- 製造メーカコード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milscm_2023_010.azn_202310_backup_mt2_iyakuhin_kanren.seizo_maker_cd IS '製造メーカコード';</v>
      </c>
    </row>
    <row r="22" spans="1:45" s="25" customFormat="1">
      <c r="A22" s="4"/>
      <c r="B22" s="21">
        <f t="shared" si="2"/>
        <v>10</v>
      </c>
      <c r="C22" s="6" t="s">
        <v>2562</v>
      </c>
      <c r="D22" s="6" t="s">
        <v>2563</v>
      </c>
      <c r="E22" s="8"/>
      <c r="F22" s="7" t="s">
        <v>735</v>
      </c>
      <c r="G22" s="7" t="str">
        <f t="shared" si="3"/>
        <v>text</v>
      </c>
      <c r="H22" s="26"/>
      <c r="I22" s="10" t="s">
        <v>127</v>
      </c>
      <c r="J22" s="11" t="s">
        <v>2586</v>
      </c>
      <c r="M22" s="4"/>
      <c r="N22" s="76"/>
      <c r="O22" s="76"/>
      <c r="P22" s="76" t="str">
        <f t="shared" si="4"/>
        <v>,iyakuhin_jpn_name</v>
      </c>
      <c r="Q22" s="76" t="str">
        <f t="shared" si="0"/>
        <v>TEXT</v>
      </c>
      <c r="R22" s="76" t="str">
        <f t="shared" si="1"/>
        <v/>
      </c>
      <c r="S22" s="76" t="str">
        <f t="shared" si="5"/>
        <v>NOT NULL</v>
      </c>
      <c r="T22" s="76" t="str">
        <f t="shared" si="6"/>
        <v>-- 医薬品日本語名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milscm_2023_010.azn_202310_backup_mt2_iyakuhin_kanren.iyakuhin_jpn_name IS '医薬品日本語名';</v>
      </c>
    </row>
    <row r="23" spans="1:45" s="25" customFormat="1">
      <c r="A23" s="4"/>
      <c r="B23" s="21">
        <f t="shared" si="2"/>
        <v>11</v>
      </c>
      <c r="C23" s="6" t="s">
        <v>2564</v>
      </c>
      <c r="D23" s="6" t="s">
        <v>2565</v>
      </c>
      <c r="E23" s="8"/>
      <c r="F23" s="7" t="s">
        <v>735</v>
      </c>
      <c r="G23" s="7" t="str">
        <f t="shared" si="3"/>
        <v>text</v>
      </c>
      <c r="H23" s="26"/>
      <c r="I23" s="10" t="s">
        <v>127</v>
      </c>
      <c r="J23" s="11" t="s">
        <v>2587</v>
      </c>
      <c r="M23" s="4"/>
      <c r="N23" s="76"/>
      <c r="O23" s="76"/>
      <c r="P23" s="76" t="str">
        <f t="shared" si="4"/>
        <v>,iyakuhin_brand_jpn_name</v>
      </c>
      <c r="Q23" s="76" t="str">
        <f t="shared" si="0"/>
        <v>TEXT</v>
      </c>
      <c r="R23" s="76" t="str">
        <f t="shared" si="1"/>
        <v/>
      </c>
      <c r="S23" s="76" t="str">
        <f t="shared" si="5"/>
        <v>NOT NULL</v>
      </c>
      <c r="T23" s="76" t="str">
        <f t="shared" si="6"/>
        <v>-- 医薬品ブランド名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milscm_2023_010.azn_202310_backup_mt2_iyakuhin_kanren.iyakuhin_brand_jpn_name IS '医薬品ブランド名';</v>
      </c>
    </row>
    <row r="24" spans="1:45" s="25" customFormat="1">
      <c r="A24" s="4"/>
      <c r="B24" s="21">
        <f t="shared" si="2"/>
        <v>12</v>
      </c>
      <c r="C24" s="6" t="s">
        <v>2566</v>
      </c>
      <c r="D24" s="6" t="s">
        <v>2110</v>
      </c>
      <c r="E24" s="8"/>
      <c r="F24" s="7" t="s">
        <v>735</v>
      </c>
      <c r="G24" s="7" t="str">
        <f t="shared" si="3"/>
        <v>text</v>
      </c>
      <c r="H24" s="26"/>
      <c r="I24" s="10" t="s">
        <v>127</v>
      </c>
      <c r="J24" s="11" t="s">
        <v>2588</v>
      </c>
      <c r="M24" s="4"/>
      <c r="N24" s="76"/>
      <c r="O24" s="76"/>
      <c r="P24" s="76" t="str">
        <f t="shared" si="4"/>
        <v>,iyakuhin_ippan_name</v>
      </c>
      <c r="Q24" s="76" t="str">
        <f t="shared" si="0"/>
        <v>TEXT</v>
      </c>
      <c r="R24" s="76" t="str">
        <f t="shared" si="1"/>
        <v/>
      </c>
      <c r="S24" s="76" t="str">
        <f t="shared" si="5"/>
        <v>NOT NULL</v>
      </c>
      <c r="T24" s="76" t="str">
        <f t="shared" si="6"/>
        <v>-- 医薬品一般名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milscm_2023_010.azn_202310_backup_mt2_iyakuhin_kanren.iyakuhin_ippan_name IS '医薬品一般名';</v>
      </c>
    </row>
    <row r="25" spans="1:45" s="25" customFormat="1">
      <c r="A25" s="4"/>
      <c r="B25" s="21">
        <f t="shared" si="2"/>
        <v>13</v>
      </c>
      <c r="C25" s="6" t="s">
        <v>2567</v>
      </c>
      <c r="D25" s="6" t="s">
        <v>2112</v>
      </c>
      <c r="E25" s="8"/>
      <c r="F25" s="7" t="s">
        <v>735</v>
      </c>
      <c r="G25" s="7" t="str">
        <f t="shared" si="3"/>
        <v>text</v>
      </c>
      <c r="H25" s="26"/>
      <c r="I25" s="10" t="s">
        <v>127</v>
      </c>
      <c r="J25" s="11" t="s">
        <v>2589</v>
      </c>
      <c r="M25" s="4"/>
      <c r="N25" s="76"/>
      <c r="O25" s="76"/>
      <c r="P25" s="76" t="str">
        <f t="shared" si="4"/>
        <v>,iyakuhin_name</v>
      </c>
      <c r="Q25" s="76" t="str">
        <f t="shared" si="0"/>
        <v>TEXT</v>
      </c>
      <c r="R25" s="76" t="str">
        <f t="shared" si="1"/>
        <v/>
      </c>
      <c r="S25" s="76" t="str">
        <f t="shared" si="5"/>
        <v>NOT NULL</v>
      </c>
      <c r="T25" s="76" t="str">
        <f t="shared" si="6"/>
        <v>-- 医薬品一般名英名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milscm_2023_010.azn_202310_backup_mt2_iyakuhin_kanren.iyakuhin_name IS '医薬品一般名英名';</v>
      </c>
    </row>
    <row r="26" spans="1:45" s="25" customFormat="1">
      <c r="A26" s="4"/>
      <c r="B26" s="21">
        <f t="shared" si="2"/>
        <v>14</v>
      </c>
      <c r="C26" s="6" t="s">
        <v>2568</v>
      </c>
      <c r="D26" s="6" t="s">
        <v>2569</v>
      </c>
      <c r="E26" s="8"/>
      <c r="F26" s="7" t="s">
        <v>735</v>
      </c>
      <c r="G26" s="7" t="str">
        <f t="shared" si="3"/>
        <v>text</v>
      </c>
      <c r="H26" s="26"/>
      <c r="I26" s="10" t="s">
        <v>127</v>
      </c>
      <c r="J26" s="11" t="s">
        <v>2590</v>
      </c>
      <c r="M26" s="4"/>
      <c r="N26" s="76"/>
      <c r="O26" s="76"/>
      <c r="P26" s="76" t="str">
        <f t="shared" si="4"/>
        <v>,yakko_bunrui1_jpn_name</v>
      </c>
      <c r="Q26" s="76" t="str">
        <f t="shared" si="0"/>
        <v>TEXT</v>
      </c>
      <c r="R26" s="76" t="str">
        <f t="shared" si="1"/>
        <v/>
      </c>
      <c r="S26" s="76" t="str">
        <f t="shared" si="5"/>
        <v>NOT NULL</v>
      </c>
      <c r="T26" s="76" t="str">
        <f t="shared" si="6"/>
        <v>-- 薬効分類1名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milscm_2023_010.azn_202310_backup_mt2_iyakuhin_kanren.yakko_bunrui1_jpn_name IS '薬効分類1名';</v>
      </c>
    </row>
    <row r="27" spans="1:45" s="25" customFormat="1">
      <c r="A27" s="4"/>
      <c r="B27" s="21">
        <f t="shared" si="2"/>
        <v>15</v>
      </c>
      <c r="C27" s="6" t="s">
        <v>2570</v>
      </c>
      <c r="D27" s="6" t="s">
        <v>2571</v>
      </c>
      <c r="E27" s="8"/>
      <c r="F27" s="7" t="s">
        <v>735</v>
      </c>
      <c r="G27" s="7" t="str">
        <f t="shared" si="3"/>
        <v>text</v>
      </c>
      <c r="H27" s="26"/>
      <c r="I27" s="10" t="s">
        <v>127</v>
      </c>
      <c r="J27" s="11" t="s">
        <v>2591</v>
      </c>
      <c r="M27" s="4"/>
      <c r="N27" s="76"/>
      <c r="O27" s="76"/>
      <c r="P27" s="76" t="str">
        <f t="shared" si="4"/>
        <v>,yakko_bunrui2_jpn_name</v>
      </c>
      <c r="Q27" s="76" t="str">
        <f t="shared" si="0"/>
        <v>TEXT</v>
      </c>
      <c r="R27" s="76" t="str">
        <f t="shared" si="1"/>
        <v/>
      </c>
      <c r="S27" s="76" t="str">
        <f t="shared" si="5"/>
        <v>NOT NULL</v>
      </c>
      <c r="T27" s="76" t="str">
        <f t="shared" si="6"/>
        <v>-- 薬効分類2名</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milscm_2023_010.azn_202310_backup_mt2_iyakuhin_kanren.yakko_bunrui2_jpn_name IS '薬効分類2名';</v>
      </c>
    </row>
    <row r="28" spans="1:45" s="25" customFormat="1">
      <c r="A28" s="4"/>
      <c r="B28" s="21">
        <f t="shared" si="2"/>
        <v>16</v>
      </c>
      <c r="C28" s="6" t="s">
        <v>2572</v>
      </c>
      <c r="D28" s="6" t="s">
        <v>2573</v>
      </c>
      <c r="E28" s="8"/>
      <c r="F28" s="7" t="s">
        <v>735</v>
      </c>
      <c r="G28" s="7" t="str">
        <f t="shared" ref="G28:G36" si="7">IF(F28="フラグ","boolean",IF(F28="文字列","text",IF(F28="整数","integer",IF(F28="実数","numeric",""))))</f>
        <v>text</v>
      </c>
      <c r="H28" s="26"/>
      <c r="I28" s="10" t="s">
        <v>127</v>
      </c>
      <c r="J28" s="11" t="s">
        <v>2592</v>
      </c>
      <c r="M28" s="4"/>
      <c r="N28" s="76"/>
      <c r="O28" s="76"/>
      <c r="P28" s="76" t="str">
        <f t="shared" ref="P28:P36" si="8">IF(B28&lt;&gt;1,","&amp;D28,D28)</f>
        <v>,yakko_bunrui3_jpn_name</v>
      </c>
      <c r="Q28" s="76" t="str">
        <f t="shared" ref="Q28:Q36" si="9">UPPER(G28)</f>
        <v>TEXT</v>
      </c>
      <c r="R28" s="76" t="str">
        <f t="shared" ref="R28:R36" si="10">IF(H28&lt;&gt;"","default "&amp;IF(G28="text","'"&amp;H28&amp;"'",H28),"")</f>
        <v/>
      </c>
      <c r="S28" s="76" t="str">
        <f t="shared" ref="S28:S36" si="11">IF(I28="○","NOT NULL","")</f>
        <v>NOT NULL</v>
      </c>
      <c r="T28" s="76" t="str">
        <f t="shared" ref="T28:T36" si="12">"-- "&amp;C28</f>
        <v>-- 薬効分類3名</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milscm_2023_010.azn_202310_backup_mt2_iyakuhin_kanren.yakko_bunrui3_jpn_name IS '薬効分類3名';</v>
      </c>
    </row>
    <row r="29" spans="1:45" s="25" customFormat="1">
      <c r="A29" s="4"/>
      <c r="B29" s="21">
        <f t="shared" si="2"/>
        <v>17</v>
      </c>
      <c r="C29" s="6" t="s">
        <v>2574</v>
      </c>
      <c r="D29" s="6" t="s">
        <v>2575</v>
      </c>
      <c r="E29" s="8"/>
      <c r="F29" s="7" t="s">
        <v>735</v>
      </c>
      <c r="G29" s="7" t="str">
        <f t="shared" si="7"/>
        <v>text</v>
      </c>
      <c r="H29" s="26"/>
      <c r="I29" s="10" t="s">
        <v>127</v>
      </c>
      <c r="J29" s="11" t="s">
        <v>2593</v>
      </c>
      <c r="M29" s="4"/>
      <c r="N29" s="76"/>
      <c r="O29" s="76"/>
      <c r="P29" s="76" t="str">
        <f t="shared" si="8"/>
        <v>,yakko_bunrui4_jpn_name</v>
      </c>
      <c r="Q29" s="76" t="str">
        <f t="shared" si="9"/>
        <v>TEXT</v>
      </c>
      <c r="R29" s="76" t="str">
        <f t="shared" si="10"/>
        <v/>
      </c>
      <c r="S29" s="76" t="str">
        <f t="shared" si="11"/>
        <v>NOT NULL</v>
      </c>
      <c r="T29" s="76" t="str">
        <f t="shared" si="12"/>
        <v>-- 薬効分類4名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milscm_2023_010.azn_202310_backup_mt2_iyakuhin_kanren.yakko_bunrui4_jpn_name IS '薬効分類4名';</v>
      </c>
    </row>
    <row r="30" spans="1:45" s="25" customFormat="1">
      <c r="A30" s="4"/>
      <c r="B30" s="21">
        <f t="shared" si="2"/>
        <v>18</v>
      </c>
      <c r="C30" s="6" t="s">
        <v>2576</v>
      </c>
      <c r="D30" s="6" t="s">
        <v>2577</v>
      </c>
      <c r="E30" s="8"/>
      <c r="F30" s="7" t="s">
        <v>735</v>
      </c>
      <c r="G30" s="7" t="str">
        <f t="shared" si="7"/>
        <v>text</v>
      </c>
      <c r="H30" s="26"/>
      <c r="I30" s="10" t="s">
        <v>127</v>
      </c>
      <c r="J30" s="11" t="s">
        <v>2594</v>
      </c>
      <c r="M30" s="4"/>
      <c r="N30" s="76"/>
      <c r="O30" s="76"/>
      <c r="P30" s="76" t="str">
        <f t="shared" si="8"/>
        <v>,yakko_bunrui5_jpn_name</v>
      </c>
      <c r="Q30" s="76" t="str">
        <f t="shared" si="9"/>
        <v>TEXT</v>
      </c>
      <c r="R30" s="76" t="str">
        <f t="shared" si="10"/>
        <v/>
      </c>
      <c r="S30" s="76" t="str">
        <f t="shared" si="11"/>
        <v>NOT NULL</v>
      </c>
      <c r="T30" s="76" t="str">
        <f t="shared" si="12"/>
        <v>-- 薬効分類5名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milscm_2023_010.azn_202310_backup_mt2_iyakuhin_kanren.yakko_bunrui5_jpn_name IS '薬効分類5名';</v>
      </c>
    </row>
    <row r="31" spans="1:45" s="25" customFormat="1">
      <c r="A31" s="4"/>
      <c r="B31" s="21">
        <f t="shared" si="2"/>
        <v>19</v>
      </c>
      <c r="C31" s="6" t="s">
        <v>2578</v>
      </c>
      <c r="D31" s="6" t="s">
        <v>2579</v>
      </c>
      <c r="E31" s="8"/>
      <c r="F31" s="7" t="s">
        <v>735</v>
      </c>
      <c r="G31" s="7" t="str">
        <f t="shared" si="7"/>
        <v>text</v>
      </c>
      <c r="H31" s="26"/>
      <c r="I31" s="10"/>
      <c r="J31" s="11" t="s">
        <v>2595</v>
      </c>
      <c r="M31" s="4"/>
      <c r="N31" s="76"/>
      <c r="O31" s="76"/>
      <c r="P31" s="76" t="str">
        <f t="shared" si="8"/>
        <v>,seizo_maker_name</v>
      </c>
      <c r="Q31" s="76" t="str">
        <f t="shared" si="9"/>
        <v>TEXT</v>
      </c>
      <c r="R31" s="76" t="str">
        <f t="shared" si="10"/>
        <v/>
      </c>
      <c r="S31" s="76" t="str">
        <f t="shared" si="11"/>
        <v/>
      </c>
      <c r="T31" s="76" t="str">
        <f t="shared" si="12"/>
        <v>-- 製造メーカ名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milscm_2023_010.azn_202310_backup_mt2_iyakuhin_kanren.seizo_maker_name IS '製造メーカ名';</v>
      </c>
    </row>
    <row r="32" spans="1:45" s="25" customFormat="1">
      <c r="A32" s="4"/>
      <c r="B32" s="21">
        <f t="shared" si="2"/>
        <v>20</v>
      </c>
      <c r="C32" s="6" t="s">
        <v>2580</v>
      </c>
      <c r="D32" s="6" t="s">
        <v>2581</v>
      </c>
      <c r="E32" s="8"/>
      <c r="F32" s="7" t="s">
        <v>735</v>
      </c>
      <c r="G32" s="7" t="str">
        <f t="shared" si="7"/>
        <v>text</v>
      </c>
      <c r="H32" s="26">
        <v>0</v>
      </c>
      <c r="I32" s="10" t="s">
        <v>127</v>
      </c>
      <c r="J32" s="11" t="s">
        <v>2586</v>
      </c>
      <c r="M32" s="4"/>
      <c r="N32" s="76"/>
      <c r="O32" s="76"/>
      <c r="P32" s="76" t="str">
        <f t="shared" si="8"/>
        <v>,kohatsuhin_f</v>
      </c>
      <c r="Q32" s="76" t="str">
        <f t="shared" si="9"/>
        <v>TEXT</v>
      </c>
      <c r="R32" s="76" t="str">
        <f t="shared" si="10"/>
        <v>default '0'</v>
      </c>
      <c r="S32" s="76" t="str">
        <f t="shared" si="11"/>
        <v>NOT NULL</v>
      </c>
      <c r="T32" s="76" t="str">
        <f t="shared" si="12"/>
        <v>-- 後発品フラグ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milscm_2023_010.azn_202310_backup_mt2_iyakuhin_kanren.kohatsuhin_f IS '後発品フラグ';</v>
      </c>
    </row>
    <row r="33" spans="1:52" s="25" customFormat="1">
      <c r="A33" s="4"/>
      <c r="B33" s="21">
        <f t="shared" si="2"/>
        <v>21</v>
      </c>
      <c r="C33" s="6" t="s">
        <v>2582</v>
      </c>
      <c r="D33" s="6" t="s">
        <v>2583</v>
      </c>
      <c r="E33" s="8"/>
      <c r="F33" s="7" t="s">
        <v>735</v>
      </c>
      <c r="G33" s="7" t="str">
        <f t="shared" si="7"/>
        <v>text</v>
      </c>
      <c r="H33" s="26"/>
      <c r="I33" s="10" t="s">
        <v>127</v>
      </c>
      <c r="J33" s="11" t="s">
        <v>2586</v>
      </c>
      <c r="M33" s="4"/>
      <c r="N33" s="76"/>
      <c r="O33" s="76"/>
      <c r="P33" s="76" t="str">
        <f t="shared" si="8"/>
        <v>,toyo_keiro_kubun</v>
      </c>
      <c r="Q33" s="76" t="str">
        <f t="shared" si="9"/>
        <v>TEXT</v>
      </c>
      <c r="R33" s="76" t="str">
        <f t="shared" si="10"/>
        <v/>
      </c>
      <c r="S33" s="76" t="str">
        <f t="shared" si="11"/>
        <v>NOT NULL</v>
      </c>
      <c r="T33" s="76" t="str">
        <f t="shared" si="12"/>
        <v>-- 投与経路区分</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milscm_2023_010.azn_202310_backup_mt2_iyakuhin_kanren.toyo_keiro_kubun IS '投与経路区分';</v>
      </c>
    </row>
    <row r="34" spans="1:52" s="25" customFormat="1" ht="37.5">
      <c r="A34" s="4"/>
      <c r="B34" s="21">
        <f t="shared" si="2"/>
        <v>22</v>
      </c>
      <c r="C34" s="6" t="s">
        <v>1911</v>
      </c>
      <c r="D34" s="6" t="s">
        <v>2584</v>
      </c>
      <c r="E34" s="8" t="s">
        <v>127</v>
      </c>
      <c r="F34" s="7" t="s">
        <v>735</v>
      </c>
      <c r="G34" s="7" t="str">
        <f t="shared" si="7"/>
        <v>text</v>
      </c>
      <c r="H34" s="26" t="s">
        <v>1918</v>
      </c>
      <c r="I34" s="10" t="s">
        <v>127</v>
      </c>
      <c r="J34" s="11" t="s">
        <v>2596</v>
      </c>
      <c r="M34" s="4"/>
      <c r="N34" s="76"/>
      <c r="O34" s="76"/>
      <c r="P34" s="76" t="str">
        <f t="shared" si="8"/>
        <v>,yakkasyusai_ymd</v>
      </c>
      <c r="Q34" s="76" t="str">
        <f t="shared" si="9"/>
        <v>TEXT</v>
      </c>
      <c r="R34" s="76" t="str">
        <f t="shared" si="10"/>
        <v>default '99999999'</v>
      </c>
      <c r="S34" s="76" t="str">
        <f t="shared" si="11"/>
        <v>NOT NULL</v>
      </c>
      <c r="T34" s="76" t="str">
        <f t="shared" si="12"/>
        <v>-- 施行年月日</v>
      </c>
      <c r="U34" s="4"/>
      <c r="AA34" s="4"/>
      <c r="AB34" s="4"/>
      <c r="AC34" s="4"/>
      <c r="AD34" s="4"/>
      <c r="AE34" s="4"/>
      <c r="AF34" s="4"/>
      <c r="AG34" s="4"/>
      <c r="AH34" s="4"/>
      <c r="AI34" s="4"/>
      <c r="AJ34" s="76" t="str">
        <f>IF(E34="○",IF(COUNTA(E$13:E34)=1,"",",")&amp;D34,"")</f>
        <v>,yakkasyusai_ymd</v>
      </c>
      <c r="AK34" s="4"/>
      <c r="AL34" s="4"/>
      <c r="AM34" s="4"/>
      <c r="AN34" s="4"/>
      <c r="AO34" s="4"/>
      <c r="AP34" s="4"/>
      <c r="AQ34" s="4"/>
      <c r="AR34" s="4"/>
      <c r="AS34" s="76" t="str">
        <f>"COMMENT ON COLUMN "&amp;エンティティ一覧!$O$2&amp;"."&amp;D$8&amp;"."&amp;D34&amp;" IS '"&amp;C34&amp;"';"</f>
        <v>COMMENT ON COLUMN milscm_2023_010.azn_202310_backup_mt2_iyakuhin_kanren.yakkasyusai_ymd IS '施行年月日';</v>
      </c>
    </row>
    <row r="35" spans="1:52" s="25" customFormat="1">
      <c r="A35" s="4"/>
      <c r="B35" s="21">
        <f t="shared" si="2"/>
        <v>23</v>
      </c>
      <c r="C35" s="6" t="s">
        <v>2505</v>
      </c>
      <c r="D35" s="6" t="s">
        <v>2506</v>
      </c>
      <c r="E35" s="8"/>
      <c r="F35" s="7" t="s">
        <v>735</v>
      </c>
      <c r="G35" s="7" t="str">
        <f t="shared" si="7"/>
        <v>text</v>
      </c>
      <c r="H35" s="26">
        <v>0</v>
      </c>
      <c r="I35" s="10" t="s">
        <v>127</v>
      </c>
      <c r="J35" s="11"/>
      <c r="M35" s="4"/>
      <c r="N35" s="76"/>
      <c r="O35" s="76"/>
      <c r="P35" s="76" t="str">
        <f t="shared" si="8"/>
        <v>,new_f</v>
      </c>
      <c r="Q35" s="76" t="str">
        <f t="shared" si="9"/>
        <v>TEXT</v>
      </c>
      <c r="R35" s="76" t="str">
        <f t="shared" si="10"/>
        <v>default '0'</v>
      </c>
      <c r="S35" s="76" t="str">
        <f t="shared" si="11"/>
        <v>NOT NULL</v>
      </c>
      <c r="T35" s="76" t="str">
        <f t="shared" si="12"/>
        <v>-- 最新フラグ</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milscm_2023_010.azn_202310_backup_mt2_iyakuhin_kanren.new_f IS '最新フラグ';</v>
      </c>
    </row>
    <row r="36" spans="1:52" s="25" customFormat="1" ht="37.5">
      <c r="A36" s="4"/>
      <c r="B36" s="21">
        <f t="shared" si="2"/>
        <v>24</v>
      </c>
      <c r="C36" s="6" t="s">
        <v>2532</v>
      </c>
      <c r="D36" s="6" t="s">
        <v>1902</v>
      </c>
      <c r="E36" s="8"/>
      <c r="F36" s="7" t="s">
        <v>735</v>
      </c>
      <c r="G36" s="7" t="str">
        <f t="shared" si="7"/>
        <v>text</v>
      </c>
      <c r="H36" s="26">
        <v>0</v>
      </c>
      <c r="I36" s="10" t="s">
        <v>127</v>
      </c>
      <c r="J36" s="11" t="s">
        <v>2597</v>
      </c>
      <c r="M36" s="4"/>
      <c r="N36" s="76"/>
      <c r="O36" s="76"/>
      <c r="P36" s="76" t="str">
        <f t="shared" si="8"/>
        <v>,del_f</v>
      </c>
      <c r="Q36" s="76" t="str">
        <f t="shared" si="9"/>
        <v>TEXT</v>
      </c>
      <c r="R36" s="76" t="str">
        <f t="shared" si="10"/>
        <v>default '0'</v>
      </c>
      <c r="S36" s="76" t="str">
        <f t="shared" si="11"/>
        <v>NOT NULL</v>
      </c>
      <c r="T36" s="76" t="str">
        <f t="shared" si="12"/>
        <v>-- 削除フラグ</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milscm_2023_010.azn_202310_backup_mt2_iyakuhin_kanren.del_f IS '削除フラグ';</v>
      </c>
    </row>
    <row r="37" spans="1:52" s="25" customFormat="1" ht="37.5">
      <c r="A37" s="4"/>
      <c r="B37" s="21">
        <f t="shared" si="2"/>
        <v>25</v>
      </c>
      <c r="C37" s="6" t="s">
        <v>1965</v>
      </c>
      <c r="D37" s="6" t="s">
        <v>1904</v>
      </c>
      <c r="E37" s="8"/>
      <c r="F37" s="7" t="s">
        <v>735</v>
      </c>
      <c r="G37" s="7" t="str">
        <f t="shared" si="3"/>
        <v>text</v>
      </c>
      <c r="H37" s="26" t="s">
        <v>1918</v>
      </c>
      <c r="I37" s="10" t="s">
        <v>127</v>
      </c>
      <c r="J37" s="11" t="s">
        <v>2598</v>
      </c>
      <c r="M37" s="4"/>
      <c r="N37" s="76"/>
      <c r="O37" s="76"/>
      <c r="P37" s="76" t="str">
        <f t="shared" si="4"/>
        <v>,henkou_ymd</v>
      </c>
      <c r="Q37" s="76" t="str">
        <f t="shared" si="0"/>
        <v>TEXT</v>
      </c>
      <c r="R37" s="76" t="str">
        <f t="shared" si="1"/>
        <v>default '99999999'</v>
      </c>
      <c r="S37" s="76" t="str">
        <f t="shared" si="5"/>
        <v>NOT NULL</v>
      </c>
      <c r="T37" s="76" t="str">
        <f t="shared" si="6"/>
        <v>-- 変更年月日</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milscm_2023_010.azn_202310_backup_mt2_iyakuhin_kanren.henkou_ymd IS '変更年月日';</v>
      </c>
    </row>
    <row r="38" spans="1:52" s="25" customFormat="1" ht="38.25" thickBot="1">
      <c r="A38" s="4"/>
      <c r="B38" s="27">
        <f>ROW()-12</f>
        <v>26</v>
      </c>
      <c r="C38" s="57" t="s">
        <v>1905</v>
      </c>
      <c r="D38" s="57" t="s">
        <v>1906</v>
      </c>
      <c r="E38" s="56"/>
      <c r="F38" s="56" t="s">
        <v>735</v>
      </c>
      <c r="G38" s="56" t="str">
        <f t="shared" si="3"/>
        <v>text</v>
      </c>
      <c r="H38" s="59" t="s">
        <v>1918</v>
      </c>
      <c r="I38" s="60" t="s">
        <v>127</v>
      </c>
      <c r="J38" s="63" t="s">
        <v>2599</v>
      </c>
      <c r="N38" s="76"/>
      <c r="O38" s="76"/>
      <c r="P38" s="76" t="str">
        <f t="shared" si="4"/>
        <v>,del_ymd</v>
      </c>
      <c r="Q38" s="76" t="str">
        <f t="shared" si="0"/>
        <v>TEXT</v>
      </c>
      <c r="R38" s="76" t="str">
        <f t="shared" si="1"/>
        <v>default '99999999'</v>
      </c>
      <c r="S38" s="76" t="str">
        <f t="shared" si="5"/>
        <v>NOT NULL</v>
      </c>
      <c r="T38" s="76" t="str">
        <f t="shared" si="6"/>
        <v>-- 廃止年月日</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milscm_2023_010.azn_202310_backup_mt2_iyakuhin_kanren.del_ymd IS '廃止年月日';</v>
      </c>
    </row>
    <row r="39" spans="1:52">
      <c r="L39" s="25"/>
      <c r="M39" s="25"/>
      <c r="N39" s="76" t="s">
        <v>142</v>
      </c>
      <c r="O39" s="76"/>
      <c r="P39" s="76"/>
      <c r="Q39" s="76"/>
      <c r="R39" s="76"/>
      <c r="S39" s="76"/>
      <c r="T39" s="76"/>
      <c r="V39" s="25"/>
      <c r="W39" s="25"/>
      <c r="X39" s="25"/>
      <c r="Y39" s="25"/>
      <c r="Z39" s="25"/>
      <c r="AJ39" s="76"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ENT_01_A4-08</v>
      </c>
      <c r="E6" s="272"/>
      <c r="F6" s="272"/>
      <c r="G6" s="272"/>
      <c r="H6" s="272"/>
      <c r="I6" s="272"/>
      <c r="J6" s="273"/>
    </row>
    <row r="7" spans="1:45">
      <c r="B7" s="261" t="s">
        <v>115</v>
      </c>
      <c r="C7" s="262"/>
      <c r="D7" s="263" t="s">
        <v>2600</v>
      </c>
      <c r="E7" s="264"/>
      <c r="F7" s="264"/>
      <c r="G7" s="264"/>
      <c r="H7" s="264"/>
      <c r="I7" s="264"/>
      <c r="J7" s="265"/>
    </row>
    <row r="8" spans="1:45">
      <c r="B8" s="261" t="s">
        <v>116</v>
      </c>
      <c r="C8" s="262"/>
      <c r="D8" s="263" t="str">
        <f>エンティティ一覧!AE2&amp;"_"&amp;D5&amp;"_mt2_price_kanren"</f>
        <v>azn_202310_backup_mt2_price_kanren</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薬価関連マスタテーブルから組入れ条件の第一条件で絞り込んだ結果を格納するテーブル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milscm_2023_010.azn_202310_backup_mt2_price_kanren;</v>
      </c>
      <c r="O10" s="76"/>
      <c r="P10" s="76"/>
      <c r="Q10" s="76"/>
      <c r="R10" s="76"/>
      <c r="S10" s="76"/>
      <c r="T10" s="76"/>
      <c r="AJ10" s="76" t="str">
        <f>"ALTER TABLE ONLY "&amp;エンティティ一覧!$O$2&amp;"."&amp;D$8</f>
        <v>ALTER TABLE ONLY milscm_2023_010.azn_202310_backup_mt2_price_kanren</v>
      </c>
      <c r="AS10" s="76" t="str">
        <f>"ALTER TABLE "&amp;エンティティ一覧!$O$2&amp;"."&amp;D$8&amp;" OWNER TO pgmisgrp1;"</f>
        <v>ALTER TABLE milscm_2023_010.azn_202310_backup_mt2_price_kanren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milscm_2023_010.azn_202310_backup_mt2_price_kanren</v>
      </c>
      <c r="O11" s="76"/>
      <c r="P11" s="76"/>
      <c r="Q11" s="76"/>
      <c r="R11" s="76"/>
      <c r="S11" s="76"/>
      <c r="T11" s="76"/>
      <c r="AJ11" s="76" t="str">
        <f>"ADD CONSTRAINT "&amp;D$8&amp;"_pkey PRIMARY KEY"</f>
        <v>ADD CONSTRAINT azn_202310_backup_mt2_price_kanren_pkey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milscm_2023_010.azn_202310_backup_mt2_price_kanren IS 'バックアップ_薬価関連マスタ';</v>
      </c>
    </row>
    <row r="13" spans="1:45" s="25" customFormat="1">
      <c r="A13" s="4"/>
      <c r="B13" s="21">
        <f>ROW()-12</f>
        <v>1</v>
      </c>
      <c r="C13" s="6" t="s">
        <v>1155</v>
      </c>
      <c r="D13" s="6" t="s">
        <v>1156</v>
      </c>
      <c r="E13" s="8" t="s">
        <v>127</v>
      </c>
      <c r="F13" s="8" t="s">
        <v>735</v>
      </c>
      <c r="G13" s="7" t="str">
        <f>IF(F13="フラグ","boolean",IF(F13="文字列","text",IF(F13="整数","integer",IF(F13="実数","numeric",""))))</f>
        <v>text</v>
      </c>
      <c r="H13" s="9"/>
      <c r="I13" s="10" t="s">
        <v>127</v>
      </c>
      <c r="J13" s="11" t="s">
        <v>2604</v>
      </c>
      <c r="M13" s="4"/>
      <c r="N13" s="76"/>
      <c r="O13" s="76"/>
      <c r="P13" s="76" t="str">
        <f>IF(B13&lt;&gt;1,","&amp;D13,D13)</f>
        <v>iyakuhin_code</v>
      </c>
      <c r="Q13" s="76" t="str">
        <f t="shared" ref="Q13:Q19" si="0">UPPER(G13)</f>
        <v>TEXT</v>
      </c>
      <c r="R13" s="76" t="str">
        <f t="shared" ref="R13:R19" si="1">IF(H13&lt;&gt;"","default "&amp;IF(G13="text","'"&amp;H13&amp;"'",H13),"")</f>
        <v/>
      </c>
      <c r="S13" s="76" t="str">
        <f>IF(I13="○","NOT NULL","")</f>
        <v>NOT NULL</v>
      </c>
      <c r="T13" s="76" t="str">
        <f>"-- "&amp;C13</f>
        <v>-- 医薬品コード</v>
      </c>
      <c r="U13" s="4"/>
      <c r="AA13" s="4"/>
      <c r="AB13" s="4"/>
      <c r="AC13" s="4"/>
      <c r="AD13" s="4"/>
      <c r="AE13" s="4"/>
      <c r="AF13" s="4"/>
      <c r="AG13" s="4"/>
      <c r="AH13" s="4"/>
      <c r="AI13" s="4"/>
      <c r="AJ13" s="76" t="str">
        <f>IF(E13="○",IF(COUNTA(E$13:E13)=1,"",",")&amp;D13,"")</f>
        <v>iyakuhin_code</v>
      </c>
      <c r="AK13" s="4"/>
      <c r="AL13" s="4"/>
      <c r="AM13" s="4"/>
      <c r="AN13" s="4"/>
      <c r="AO13" s="4"/>
      <c r="AP13" s="4"/>
      <c r="AQ13" s="4"/>
      <c r="AR13" s="4"/>
      <c r="AS13" s="76" t="str">
        <f>"COMMENT ON COLUMN "&amp;エンティティ一覧!$O$2&amp;"."&amp;D$8&amp;"."&amp;D13&amp;" IS '"&amp;C13&amp;"';"</f>
        <v>COMMENT ON COLUMN milscm_2023_010.azn_202310_backup_mt2_price_kanren.iyakuhin_code IS '医薬品コード';</v>
      </c>
    </row>
    <row r="14" spans="1:45" s="25" customFormat="1">
      <c r="A14" s="4"/>
      <c r="B14" s="21">
        <f t="shared" ref="B14:B18" si="2">ROW()-12</f>
        <v>2</v>
      </c>
      <c r="C14" s="6" t="s">
        <v>2601</v>
      </c>
      <c r="D14" s="6" t="s">
        <v>2602</v>
      </c>
      <c r="E14" s="8"/>
      <c r="F14" s="7" t="s">
        <v>2603</v>
      </c>
      <c r="G14" s="7" t="str">
        <f t="shared" ref="G14:G19" si="3">IF(F14="フラグ","boolean",IF(F14="文字列","text",IF(F14="整数","integer",IF(F14="実数","numeric",""))))</f>
        <v>numeric</v>
      </c>
      <c r="H14" s="26"/>
      <c r="I14" s="10" t="s">
        <v>127</v>
      </c>
      <c r="J14" s="11" t="s">
        <v>2604</v>
      </c>
      <c r="M14" s="4"/>
      <c r="N14" s="76"/>
      <c r="O14" s="76"/>
      <c r="P14" s="76" t="str">
        <f t="shared" ref="P14:P19" si="4">IF(B14&lt;&gt;1,","&amp;D14,D14)</f>
        <v>,price</v>
      </c>
      <c r="Q14" s="76" t="str">
        <f t="shared" si="0"/>
        <v>NUMERIC</v>
      </c>
      <c r="R14" s="76" t="str">
        <f t="shared" si="1"/>
        <v/>
      </c>
      <c r="S14" s="76" t="str">
        <f t="shared" ref="S14:S19" si="5">IF(I14="○","NOT NULL","")</f>
        <v>NOT NULL</v>
      </c>
      <c r="T14" s="76" t="str">
        <f t="shared" ref="T14:T19" si="6">"-- "&amp;C14</f>
        <v>-- 薬価</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milscm_2023_010.azn_202310_backup_mt2_price_kanren.price IS '薬価';</v>
      </c>
    </row>
    <row r="15" spans="1:45" s="25" customFormat="1" ht="37.5">
      <c r="A15" s="4"/>
      <c r="B15" s="21">
        <f t="shared" si="2"/>
        <v>3</v>
      </c>
      <c r="C15" s="6" t="s">
        <v>1911</v>
      </c>
      <c r="D15" s="6" t="s">
        <v>2584</v>
      </c>
      <c r="E15" s="8" t="s">
        <v>127</v>
      </c>
      <c r="F15" s="7" t="s">
        <v>735</v>
      </c>
      <c r="G15" s="7" t="str">
        <f t="shared" si="3"/>
        <v>text</v>
      </c>
      <c r="H15" s="26">
        <v>99999999</v>
      </c>
      <c r="I15" s="10" t="s">
        <v>127</v>
      </c>
      <c r="J15" s="11" t="s">
        <v>2605</v>
      </c>
      <c r="M15" s="4"/>
      <c r="N15" s="76"/>
      <c r="O15" s="76"/>
      <c r="P15" s="76" t="str">
        <f t="shared" si="4"/>
        <v>,yakkasyusai_ymd</v>
      </c>
      <c r="Q15" s="76" t="str">
        <f t="shared" si="0"/>
        <v>TEXT</v>
      </c>
      <c r="R15" s="76" t="str">
        <f t="shared" si="1"/>
        <v>default '99999999'</v>
      </c>
      <c r="S15" s="76" t="str">
        <f t="shared" si="5"/>
        <v>NOT NULL</v>
      </c>
      <c r="T15" s="76" t="str">
        <f t="shared" si="6"/>
        <v>-- 施行年月日</v>
      </c>
      <c r="U15" s="4"/>
      <c r="AA15" s="4"/>
      <c r="AB15" s="4"/>
      <c r="AC15" s="4"/>
      <c r="AD15" s="4"/>
      <c r="AE15" s="4"/>
      <c r="AF15" s="4"/>
      <c r="AG15" s="4"/>
      <c r="AH15" s="4"/>
      <c r="AI15" s="4"/>
      <c r="AJ15" s="76" t="str">
        <f>IF(E15="○",IF(COUNTA(E$13:E15)=1,"",",")&amp;D15,"")</f>
        <v>,yakkasyusai_ymd</v>
      </c>
      <c r="AK15" s="4"/>
      <c r="AL15" s="4"/>
      <c r="AM15" s="4"/>
      <c r="AN15" s="4"/>
      <c r="AO15" s="4"/>
      <c r="AP15" s="4"/>
      <c r="AQ15" s="4"/>
      <c r="AR15" s="4"/>
      <c r="AS15" s="76" t="str">
        <f>"COMMENT ON COLUMN "&amp;エンティティ一覧!$O$2&amp;"."&amp;D$8&amp;"."&amp;D15&amp;" IS '"&amp;C15&amp;"';"</f>
        <v>COMMENT ON COLUMN milscm_2023_010.azn_202310_backup_mt2_price_kanren.yakkasyusai_ymd IS '施行年月日';</v>
      </c>
    </row>
    <row r="16" spans="1:45" s="25" customFormat="1">
      <c r="A16" s="4"/>
      <c r="B16" s="21">
        <f t="shared" si="2"/>
        <v>4</v>
      </c>
      <c r="C16" s="6" t="s">
        <v>2505</v>
      </c>
      <c r="D16" s="6" t="s">
        <v>2506</v>
      </c>
      <c r="E16" s="8"/>
      <c r="F16" s="7" t="s">
        <v>735</v>
      </c>
      <c r="G16" s="7" t="str">
        <f t="shared" si="3"/>
        <v>text</v>
      </c>
      <c r="H16" s="26">
        <v>0</v>
      </c>
      <c r="I16" s="10" t="s">
        <v>127</v>
      </c>
      <c r="J16" s="11"/>
      <c r="M16" s="4"/>
      <c r="N16" s="76"/>
      <c r="O16" s="76"/>
      <c r="P16" s="76" t="str">
        <f t="shared" si="4"/>
        <v>,new_f</v>
      </c>
      <c r="Q16" s="76" t="str">
        <f t="shared" si="0"/>
        <v>TEXT</v>
      </c>
      <c r="R16" s="76" t="str">
        <f t="shared" si="1"/>
        <v>default '0'</v>
      </c>
      <c r="S16" s="76" t="str">
        <f t="shared" si="5"/>
        <v>NOT NULL</v>
      </c>
      <c r="T16" s="76" t="str">
        <f t="shared" si="6"/>
        <v>-- 最新フラグ</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milscm_2023_010.azn_202310_backup_mt2_price_kanren.new_f IS '最新フラグ';</v>
      </c>
    </row>
    <row r="17" spans="1:52" s="25" customFormat="1">
      <c r="A17" s="4"/>
      <c r="B17" s="21">
        <f t="shared" si="2"/>
        <v>5</v>
      </c>
      <c r="C17" s="6" t="s">
        <v>2532</v>
      </c>
      <c r="D17" s="6" t="s">
        <v>1902</v>
      </c>
      <c r="E17" s="8"/>
      <c r="F17" s="7" t="s">
        <v>735</v>
      </c>
      <c r="G17" s="7" t="str">
        <f t="shared" si="3"/>
        <v>text</v>
      </c>
      <c r="H17" s="26">
        <v>0</v>
      </c>
      <c r="I17" s="10" t="s">
        <v>127</v>
      </c>
      <c r="J17" s="11"/>
      <c r="M17" s="4"/>
      <c r="N17" s="76"/>
      <c r="O17" s="76"/>
      <c r="P17" s="76" t="str">
        <f t="shared" si="4"/>
        <v>,del_f</v>
      </c>
      <c r="Q17" s="76" t="str">
        <f t="shared" si="0"/>
        <v>TEXT</v>
      </c>
      <c r="R17" s="76" t="str">
        <f t="shared" si="1"/>
        <v>default '0'</v>
      </c>
      <c r="S17" s="76" t="str">
        <f t="shared" si="5"/>
        <v>NOT NULL</v>
      </c>
      <c r="T17" s="76" t="str">
        <f t="shared" si="6"/>
        <v>-- 削除フラグ</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milscm_2023_010.azn_202310_backup_mt2_price_kanren.del_f IS '削除フラグ';</v>
      </c>
    </row>
    <row r="18" spans="1:52" s="25" customFormat="1" ht="37.5">
      <c r="A18" s="4"/>
      <c r="B18" s="21">
        <f t="shared" si="2"/>
        <v>6</v>
      </c>
      <c r="C18" s="6" t="s">
        <v>1965</v>
      </c>
      <c r="D18" s="6" t="s">
        <v>1904</v>
      </c>
      <c r="E18" s="8"/>
      <c r="F18" s="7" t="s">
        <v>735</v>
      </c>
      <c r="G18" s="7" t="str">
        <f t="shared" si="3"/>
        <v>text</v>
      </c>
      <c r="H18" s="26">
        <v>99999999</v>
      </c>
      <c r="I18" s="10" t="s">
        <v>127</v>
      </c>
      <c r="J18" s="11" t="s">
        <v>2606</v>
      </c>
      <c r="M18" s="4"/>
      <c r="N18" s="76"/>
      <c r="O18" s="76"/>
      <c r="P18" s="76" t="str">
        <f t="shared" si="4"/>
        <v>,henkou_ymd</v>
      </c>
      <c r="Q18" s="76" t="str">
        <f t="shared" si="0"/>
        <v>TEXT</v>
      </c>
      <c r="R18" s="76" t="str">
        <f t="shared" si="1"/>
        <v>default '99999999'</v>
      </c>
      <c r="S18" s="76" t="str">
        <f t="shared" si="5"/>
        <v>NOT NULL</v>
      </c>
      <c r="T18" s="76" t="str">
        <f t="shared" si="6"/>
        <v>-- 変更年月日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milscm_2023_010.azn_202310_backup_mt2_price_kanren.henkou_ymd IS '変更年月日';</v>
      </c>
    </row>
    <row r="19" spans="1:52" s="25" customFormat="1" ht="38.25" thickBot="1">
      <c r="A19" s="4"/>
      <c r="B19" s="27">
        <f>ROW()-12</f>
        <v>7</v>
      </c>
      <c r="C19" s="57" t="s">
        <v>1905</v>
      </c>
      <c r="D19" s="57" t="s">
        <v>1906</v>
      </c>
      <c r="E19" s="56"/>
      <c r="F19" s="56" t="s">
        <v>735</v>
      </c>
      <c r="G19" s="56" t="str">
        <f t="shared" si="3"/>
        <v>text</v>
      </c>
      <c r="H19" s="59">
        <v>99999999</v>
      </c>
      <c r="I19" s="60" t="s">
        <v>127</v>
      </c>
      <c r="J19" s="63" t="s">
        <v>2606</v>
      </c>
      <c r="N19" s="76"/>
      <c r="O19" s="76"/>
      <c r="P19" s="76" t="str">
        <f t="shared" si="4"/>
        <v>,del_ymd</v>
      </c>
      <c r="Q19" s="76" t="str">
        <f t="shared" si="0"/>
        <v>TEXT</v>
      </c>
      <c r="R19" s="76" t="str">
        <f t="shared" si="1"/>
        <v>default '99999999'</v>
      </c>
      <c r="S19" s="76" t="str">
        <f t="shared" si="5"/>
        <v>NOT NULL</v>
      </c>
      <c r="T19" s="76" t="str">
        <f t="shared" si="6"/>
        <v>-- 廃止年月日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milscm_2023_010.azn_202310_backup_mt2_price_kanren.del_ymd IS '廃止年月日';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ENT_01_A4-09</v>
      </c>
      <c r="E6" s="272"/>
      <c r="F6" s="272"/>
      <c r="G6" s="272"/>
      <c r="H6" s="272"/>
      <c r="I6" s="272"/>
      <c r="J6" s="273"/>
    </row>
    <row r="7" spans="1:45">
      <c r="B7" s="261" t="s">
        <v>115</v>
      </c>
      <c r="C7" s="262"/>
      <c r="D7" s="263" t="s">
        <v>2607</v>
      </c>
      <c r="E7" s="264"/>
      <c r="F7" s="264"/>
      <c r="G7" s="264"/>
      <c r="H7" s="264"/>
      <c r="I7" s="264"/>
      <c r="J7" s="265"/>
    </row>
    <row r="8" spans="1:45">
      <c r="B8" s="261" t="s">
        <v>116</v>
      </c>
      <c r="C8" s="262"/>
      <c r="D8" s="263" t="str">
        <f>エンティティ一覧!AE2&amp;"_"&amp;D5&amp;"_mt2_shinryo_koi_kanren"</f>
        <v>azn_202310_backup_mt2_shinryo_koi_kanren</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診療行為関連マスタテーブルから組入れ条件の第一条件で絞り込んだ結果を格納するテーブル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milscm_2023_010.azn_202310_backup_mt2_shinryo_koi_kanren;</v>
      </c>
      <c r="O10" s="76"/>
      <c r="P10" s="76"/>
      <c r="Q10" s="76"/>
      <c r="R10" s="76"/>
      <c r="S10" s="76"/>
      <c r="T10" s="76"/>
      <c r="AJ10" s="76" t="str">
        <f>"ALTER TABLE ONLY "&amp;エンティティ一覧!$O$2&amp;"."&amp;D$8</f>
        <v>ALTER TABLE ONLY milscm_2023_010.azn_202310_backup_mt2_shinryo_koi_kanren</v>
      </c>
      <c r="AS10" s="76" t="str">
        <f>"ALTER TABLE "&amp;エンティティ一覧!$O$2&amp;"."&amp;D$8&amp;" OWNER TO pgmisgrp1;"</f>
        <v>ALTER TABLE milscm_2023_010.azn_202310_backup_mt2_shinryo_koi_kanren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milscm_2023_010.azn_202310_backup_mt2_shinryo_koi_kanren</v>
      </c>
      <c r="O11" s="76"/>
      <c r="P11" s="76"/>
      <c r="Q11" s="76"/>
      <c r="R11" s="76"/>
      <c r="S11" s="76"/>
      <c r="T11" s="76"/>
      <c r="AJ11" s="76" t="str">
        <f>"ADD CONSTRAINT "&amp;D$8&amp;"_pkey PRIMARY KEY"</f>
        <v>ADD CONSTRAINT azn_202310_backup_mt2_shinryo_koi_kanren_pkey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milscm_2023_010.azn_202310_backup_mt2_shinryo_koi_kanren IS 'バックアップ_診療行為関連マスタ';</v>
      </c>
    </row>
    <row r="13" spans="1:45" s="25" customFormat="1">
      <c r="A13" s="4"/>
      <c r="B13" s="21">
        <f>ROW()-12</f>
        <v>1</v>
      </c>
      <c r="C13" s="6" t="s">
        <v>1123</v>
      </c>
      <c r="D13" s="6" t="s">
        <v>2608</v>
      </c>
      <c r="E13" s="8" t="s">
        <v>127</v>
      </c>
      <c r="F13" s="8" t="s">
        <v>735</v>
      </c>
      <c r="G13" s="7" t="str">
        <f>IF(F13="フラグ","boolean",IF(F13="文字列","text",IF(F13="整数","integer",IF(F13="実数","numeric",""))))</f>
        <v>text</v>
      </c>
      <c r="H13" s="9"/>
      <c r="I13" s="10" t="s">
        <v>127</v>
      </c>
      <c r="J13" s="11" t="s">
        <v>2624</v>
      </c>
      <c r="M13" s="4"/>
      <c r="N13" s="76"/>
      <c r="O13" s="76"/>
      <c r="P13" s="76" t="str">
        <f>IF(B13&lt;&gt;1,","&amp;D13,D13)</f>
        <v>shinryo_koi_cd</v>
      </c>
      <c r="Q13" s="76" t="str">
        <f t="shared" ref="Q13:Q26" si="0">UPPER(G13)</f>
        <v>TEXT</v>
      </c>
      <c r="R13" s="76" t="str">
        <f t="shared" ref="R13:R26" si="1">IF(H13&lt;&gt;"","default "&amp;IF(G13="text","'"&amp;H13&amp;"'",H13),"")</f>
        <v/>
      </c>
      <c r="S13" s="76" t="str">
        <f>IF(I13="○","NOT NULL","")</f>
        <v>NOT NULL</v>
      </c>
      <c r="T13" s="76" t="str">
        <f>"-- "&amp;C13</f>
        <v>-- 診療行為コード</v>
      </c>
      <c r="U13" s="4"/>
      <c r="AA13" s="4"/>
      <c r="AB13" s="4"/>
      <c r="AC13" s="4"/>
      <c r="AD13" s="4"/>
      <c r="AE13" s="4"/>
      <c r="AF13" s="4"/>
      <c r="AG13" s="4"/>
      <c r="AH13" s="4"/>
      <c r="AI13" s="4"/>
      <c r="AJ13" s="76" t="str">
        <f>IF(E13="○",IF(COUNTA(E$13:E13)=1,"",",")&amp;D13,"")</f>
        <v>shinryo_koi_cd</v>
      </c>
      <c r="AK13" s="4"/>
      <c r="AL13" s="4"/>
      <c r="AM13" s="4"/>
      <c r="AN13" s="4"/>
      <c r="AO13" s="4"/>
      <c r="AP13" s="4"/>
      <c r="AQ13" s="4"/>
      <c r="AR13" s="4"/>
      <c r="AS13" s="76" t="str">
        <f>"COMMENT ON COLUMN "&amp;エンティティ一覧!$O$2&amp;"."&amp;D$8&amp;"."&amp;D13&amp;" IS '"&amp;C13&amp;"';"</f>
        <v>COMMENT ON COLUMN milscm_2023_010.azn_202310_backup_mt2_shinryo_koi_kanren.shinryo_koi_cd IS '診療行為コード';</v>
      </c>
    </row>
    <row r="14" spans="1:45" s="25" customFormat="1">
      <c r="A14" s="4"/>
      <c r="B14" s="21">
        <f t="shared" ref="B14:B25" si="2">ROW()-12</f>
        <v>2</v>
      </c>
      <c r="C14" s="6" t="s">
        <v>2609</v>
      </c>
      <c r="D14" s="6" t="s">
        <v>2610</v>
      </c>
      <c r="E14" s="8"/>
      <c r="F14" s="7" t="s">
        <v>735</v>
      </c>
      <c r="G14" s="7" t="str">
        <f t="shared" ref="G14:G26" si="3">IF(F14="フラグ","boolean",IF(F14="文字列","text",IF(F14="整数","integer",IF(F14="実数","numeric",""))))</f>
        <v>text</v>
      </c>
      <c r="H14" s="26"/>
      <c r="I14" s="10"/>
      <c r="J14" s="11" t="s">
        <v>2624</v>
      </c>
      <c r="M14" s="4"/>
      <c r="N14" s="76"/>
      <c r="O14" s="76"/>
      <c r="P14" s="76" t="str">
        <f t="shared" ref="P14:P26" si="4">IF(B14&lt;&gt;1,","&amp;D14,D14)</f>
        <v>,cd_no</v>
      </c>
      <c r="Q14" s="76" t="str">
        <f t="shared" si="0"/>
        <v>TEXT</v>
      </c>
      <c r="R14" s="76" t="str">
        <f t="shared" si="1"/>
        <v/>
      </c>
      <c r="S14" s="76" t="str">
        <f t="shared" ref="S14:S26" si="5">IF(I14="○","NOT NULL","")</f>
        <v/>
      </c>
      <c r="T14" s="76" t="str">
        <f t="shared" ref="T14:T26" si="6">"-- "&amp;C14</f>
        <v>-- アルファベットコード</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milscm_2023_010.azn_202310_backup_mt2_shinryo_koi_kanren.cd_no IS 'アルファベットコード';</v>
      </c>
    </row>
    <row r="15" spans="1:45" s="25" customFormat="1">
      <c r="A15" s="4"/>
      <c r="B15" s="21">
        <f t="shared" si="2"/>
        <v>3</v>
      </c>
      <c r="C15" s="6" t="s">
        <v>2611</v>
      </c>
      <c r="D15" s="6" t="s">
        <v>2612</v>
      </c>
      <c r="E15" s="8"/>
      <c r="F15" s="7" t="s">
        <v>735</v>
      </c>
      <c r="G15" s="7" t="str">
        <f t="shared" si="3"/>
        <v>text</v>
      </c>
      <c r="H15" s="26"/>
      <c r="I15" s="10"/>
      <c r="J15" s="11" t="s">
        <v>2624</v>
      </c>
      <c r="M15" s="4"/>
      <c r="N15" s="76"/>
      <c r="O15" s="76"/>
      <c r="P15" s="76" t="str">
        <f t="shared" si="4"/>
        <v>,cd_no_kubun</v>
      </c>
      <c r="Q15" s="76" t="str">
        <f t="shared" si="0"/>
        <v>TEXT</v>
      </c>
      <c r="R15" s="76" t="str">
        <f t="shared" si="1"/>
        <v/>
      </c>
      <c r="S15" s="76" t="str">
        <f t="shared" si="5"/>
        <v/>
      </c>
      <c r="T15" s="76" t="str">
        <f t="shared" si="6"/>
        <v>-- 区分番号</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milscm_2023_010.azn_202310_backup_mt2_shinryo_koi_kanren.cd_no_kubun IS '区分番号';</v>
      </c>
    </row>
    <row r="16" spans="1:45" s="25" customFormat="1">
      <c r="A16" s="4"/>
      <c r="B16" s="21">
        <f t="shared" si="2"/>
        <v>4</v>
      </c>
      <c r="C16" s="6" t="s">
        <v>2613</v>
      </c>
      <c r="D16" s="6" t="s">
        <v>2614</v>
      </c>
      <c r="E16" s="8"/>
      <c r="F16" s="7" t="s">
        <v>735</v>
      </c>
      <c r="G16" s="7" t="str">
        <f t="shared" si="3"/>
        <v>text</v>
      </c>
      <c r="H16" s="26"/>
      <c r="I16" s="10"/>
      <c r="J16" s="11" t="s">
        <v>2624</v>
      </c>
      <c r="M16" s="4"/>
      <c r="N16" s="76"/>
      <c r="O16" s="76"/>
      <c r="P16" s="76" t="str">
        <f t="shared" si="4"/>
        <v>,cd_no_eda</v>
      </c>
      <c r="Q16" s="76" t="str">
        <f t="shared" si="0"/>
        <v>TEXT</v>
      </c>
      <c r="R16" s="76" t="str">
        <f t="shared" si="1"/>
        <v/>
      </c>
      <c r="S16" s="76" t="str">
        <f t="shared" si="5"/>
        <v/>
      </c>
      <c r="T16" s="76" t="str">
        <f t="shared" si="6"/>
        <v>-- 枝番</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milscm_2023_010.azn_202310_backup_mt2_shinryo_koi_kanren.cd_no_eda IS '枝番';</v>
      </c>
    </row>
    <row r="17" spans="1:52" s="25" customFormat="1">
      <c r="A17" s="4"/>
      <c r="B17" s="21">
        <f t="shared" si="2"/>
        <v>5</v>
      </c>
      <c r="C17" s="6" t="s">
        <v>2429</v>
      </c>
      <c r="D17" s="6" t="s">
        <v>2615</v>
      </c>
      <c r="E17" s="8"/>
      <c r="F17" s="7" t="s">
        <v>735</v>
      </c>
      <c r="G17" s="7" t="str">
        <f t="shared" si="3"/>
        <v>text</v>
      </c>
      <c r="H17" s="26"/>
      <c r="I17" s="10"/>
      <c r="J17" s="11" t="s">
        <v>2624</v>
      </c>
      <c r="M17" s="4"/>
      <c r="N17" s="76"/>
      <c r="O17" s="76"/>
      <c r="P17" s="76" t="str">
        <f t="shared" si="4"/>
        <v>,cd_no_koh</v>
      </c>
      <c r="Q17" s="76" t="str">
        <f t="shared" si="0"/>
        <v>TEXT</v>
      </c>
      <c r="R17" s="76" t="str">
        <f t="shared" si="1"/>
        <v/>
      </c>
      <c r="S17" s="76" t="str">
        <f t="shared" si="5"/>
        <v/>
      </c>
      <c r="T17" s="76" t="str">
        <f t="shared" si="6"/>
        <v>-- 項番</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milscm_2023_010.azn_202310_backup_mt2_shinryo_koi_kanren.cd_no_koh IS '項番';</v>
      </c>
    </row>
    <row r="18" spans="1:52" s="25" customFormat="1">
      <c r="A18" s="4"/>
      <c r="B18" s="21">
        <f t="shared" si="2"/>
        <v>6</v>
      </c>
      <c r="C18" s="6" t="s">
        <v>2332</v>
      </c>
      <c r="D18" s="6" t="s">
        <v>2616</v>
      </c>
      <c r="E18" s="8"/>
      <c r="F18" s="7" t="s">
        <v>735</v>
      </c>
      <c r="G18" s="7" t="str">
        <f t="shared" si="3"/>
        <v>text</v>
      </c>
      <c r="H18" s="26"/>
      <c r="I18" s="10"/>
      <c r="J18" s="11" t="s">
        <v>2624</v>
      </c>
      <c r="M18" s="4"/>
      <c r="N18" s="76"/>
      <c r="O18" s="76"/>
      <c r="P18" s="76" t="str">
        <f t="shared" si="4"/>
        <v>,kubun_no</v>
      </c>
      <c r="Q18" s="76" t="str">
        <f t="shared" si="0"/>
        <v>TEXT</v>
      </c>
      <c r="R18" s="76" t="str">
        <f t="shared" si="1"/>
        <v/>
      </c>
      <c r="S18" s="76" t="str">
        <f t="shared" si="5"/>
        <v/>
      </c>
      <c r="T18" s="76" t="str">
        <f t="shared" si="6"/>
        <v>-- 点数表区分番号</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milscm_2023_010.azn_202310_backup_mt2_shinryo_koi_kanren.kubun_no IS '点数表区分番号';</v>
      </c>
    </row>
    <row r="19" spans="1:52" s="25" customFormat="1" ht="56.25">
      <c r="A19" s="4"/>
      <c r="B19" s="21">
        <f t="shared" si="2"/>
        <v>7</v>
      </c>
      <c r="C19" s="6" t="s">
        <v>1127</v>
      </c>
      <c r="D19" s="6" t="s">
        <v>47</v>
      </c>
      <c r="E19" s="8"/>
      <c r="F19" s="7" t="s">
        <v>2603</v>
      </c>
      <c r="G19" s="7" t="str">
        <f t="shared" si="3"/>
        <v>numeric</v>
      </c>
      <c r="H19" s="26"/>
      <c r="I19" s="10" t="s">
        <v>127</v>
      </c>
      <c r="J19" s="11" t="s">
        <v>2621</v>
      </c>
      <c r="M19" s="4"/>
      <c r="N19" s="76"/>
      <c r="O19" s="76"/>
      <c r="P19" s="76" t="str">
        <f t="shared" si="4"/>
        <v>,point</v>
      </c>
      <c r="Q19" s="76" t="str">
        <f t="shared" si="0"/>
        <v>NUMERIC</v>
      </c>
      <c r="R19" s="76" t="str">
        <f t="shared" si="1"/>
        <v/>
      </c>
      <c r="S19" s="76" t="str">
        <f t="shared" si="5"/>
        <v>NOT NULL</v>
      </c>
      <c r="T19" s="76" t="str">
        <f t="shared" si="6"/>
        <v>-- 点数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milscm_2023_010.azn_202310_backup_mt2_shinryo_koi_kanren.point IS '点数';</v>
      </c>
    </row>
    <row r="20" spans="1:52" s="25" customFormat="1">
      <c r="A20" s="4"/>
      <c r="B20" s="21">
        <f t="shared" si="2"/>
        <v>8</v>
      </c>
      <c r="C20" s="6" t="s">
        <v>2617</v>
      </c>
      <c r="D20" s="6" t="s">
        <v>221</v>
      </c>
      <c r="E20" s="8"/>
      <c r="F20" s="7" t="s">
        <v>735</v>
      </c>
      <c r="G20" s="7" t="str">
        <f t="shared" si="3"/>
        <v>text</v>
      </c>
      <c r="H20" s="26"/>
      <c r="I20" s="10" t="s">
        <v>127</v>
      </c>
      <c r="J20" s="11" t="s">
        <v>2622</v>
      </c>
      <c r="M20" s="4"/>
      <c r="N20" s="76"/>
      <c r="O20" s="76"/>
      <c r="P20" s="76" t="str">
        <f t="shared" si="4"/>
        <v>,shinryo_koi_name</v>
      </c>
      <c r="Q20" s="76" t="str">
        <f t="shared" si="0"/>
        <v>TEXT</v>
      </c>
      <c r="R20" s="76" t="str">
        <f t="shared" si="1"/>
        <v/>
      </c>
      <c r="S20" s="76" t="str">
        <f t="shared" si="5"/>
        <v>NOT NULL</v>
      </c>
      <c r="T20" s="76" t="str">
        <f t="shared" si="6"/>
        <v>-- 診療行為省略名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milscm_2023_010.azn_202310_backup_mt2_shinryo_koi_kanren.shinryo_koi_name IS '診療行為省略名';</v>
      </c>
    </row>
    <row r="21" spans="1:52" s="25" customFormat="1">
      <c r="A21" s="4"/>
      <c r="B21" s="21">
        <f t="shared" si="2"/>
        <v>9</v>
      </c>
      <c r="C21" s="6" t="s">
        <v>2618</v>
      </c>
      <c r="D21" s="6" t="s">
        <v>2619</v>
      </c>
      <c r="E21" s="8"/>
      <c r="F21" s="7" t="s">
        <v>735</v>
      </c>
      <c r="G21" s="7" t="str">
        <f t="shared" si="3"/>
        <v>text</v>
      </c>
      <c r="H21" s="26"/>
      <c r="I21" s="10" t="s">
        <v>127</v>
      </c>
      <c r="J21" s="11" t="s">
        <v>2622</v>
      </c>
      <c r="M21" s="4"/>
      <c r="N21" s="76"/>
      <c r="O21" s="76"/>
      <c r="P21" s="76" t="str">
        <f t="shared" si="4"/>
        <v>,shinryo_koi_kihonname</v>
      </c>
      <c r="Q21" s="76" t="str">
        <f t="shared" si="0"/>
        <v>TEXT</v>
      </c>
      <c r="R21" s="76" t="str">
        <f t="shared" si="1"/>
        <v/>
      </c>
      <c r="S21" s="76" t="str">
        <f t="shared" si="5"/>
        <v>NOT NULL</v>
      </c>
      <c r="T21" s="76" t="str">
        <f t="shared" si="6"/>
        <v>-- 診療行為名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milscm_2023_010.azn_202310_backup_mt2_shinryo_koi_kanren.shinryo_koi_kihonname IS '診療行為名';</v>
      </c>
    </row>
    <row r="22" spans="1:52" s="25" customFormat="1" ht="37.5">
      <c r="A22" s="4"/>
      <c r="B22" s="21">
        <f t="shared" si="2"/>
        <v>10</v>
      </c>
      <c r="C22" s="6" t="s">
        <v>2620</v>
      </c>
      <c r="D22" s="6" t="s">
        <v>1879</v>
      </c>
      <c r="E22" s="8" t="s">
        <v>127</v>
      </c>
      <c r="F22" s="7" t="s">
        <v>735</v>
      </c>
      <c r="G22" s="7" t="str">
        <f t="shared" si="3"/>
        <v>text</v>
      </c>
      <c r="H22" s="26"/>
      <c r="I22" s="10" t="s">
        <v>127</v>
      </c>
      <c r="J22" s="11" t="s">
        <v>2623</v>
      </c>
      <c r="M22" s="4"/>
      <c r="N22" s="76"/>
      <c r="O22" s="76"/>
      <c r="P22" s="76" t="str">
        <f t="shared" si="4"/>
        <v>,update_ymd</v>
      </c>
      <c r="Q22" s="76" t="str">
        <f t="shared" si="0"/>
        <v>TEXT</v>
      </c>
      <c r="R22" s="76" t="str">
        <f t="shared" si="1"/>
        <v/>
      </c>
      <c r="S22" s="76" t="str">
        <f t="shared" si="5"/>
        <v>NOT NULL</v>
      </c>
      <c r="T22" s="76" t="str">
        <f t="shared" si="6"/>
        <v>-- データ登録日</v>
      </c>
      <c r="U22" s="4"/>
      <c r="AA22" s="4"/>
      <c r="AB22" s="4"/>
      <c r="AC22" s="4"/>
      <c r="AD22" s="4"/>
      <c r="AE22" s="4"/>
      <c r="AF22" s="4"/>
      <c r="AG22" s="4"/>
      <c r="AH22" s="4"/>
      <c r="AI22" s="4"/>
      <c r="AJ22" s="76" t="str">
        <f>IF(E22="○",IF(COUNTA(E$13:E22)=1,"",",")&amp;D22,"")</f>
        <v>,update_ymd</v>
      </c>
      <c r="AK22" s="4"/>
      <c r="AL22" s="4"/>
      <c r="AM22" s="4"/>
      <c r="AN22" s="4"/>
      <c r="AO22" s="4"/>
      <c r="AP22" s="4"/>
      <c r="AQ22" s="4"/>
      <c r="AR22" s="4"/>
      <c r="AS22" s="76" t="str">
        <f>"COMMENT ON COLUMN "&amp;エンティティ一覧!$O$2&amp;"."&amp;D$8&amp;"."&amp;D22&amp;" IS '"&amp;C22&amp;"';"</f>
        <v>COMMENT ON COLUMN milscm_2023_010.azn_202310_backup_mt2_shinryo_koi_kanren.update_ymd IS 'データ登録日';</v>
      </c>
    </row>
    <row r="23" spans="1:52" s="25" customFormat="1">
      <c r="A23" s="4"/>
      <c r="B23" s="21">
        <f t="shared" si="2"/>
        <v>11</v>
      </c>
      <c r="C23" s="6" t="s">
        <v>2505</v>
      </c>
      <c r="D23" s="6" t="s">
        <v>2506</v>
      </c>
      <c r="E23" s="8"/>
      <c r="F23" s="7" t="s">
        <v>735</v>
      </c>
      <c r="G23" s="7" t="str">
        <f t="shared" si="3"/>
        <v>text</v>
      </c>
      <c r="H23" s="26">
        <v>0</v>
      </c>
      <c r="I23" s="10" t="s">
        <v>127</v>
      </c>
      <c r="J23" s="11"/>
      <c r="M23" s="4"/>
      <c r="N23" s="76"/>
      <c r="O23" s="76"/>
      <c r="P23" s="76" t="str">
        <f t="shared" si="4"/>
        <v>,new_f</v>
      </c>
      <c r="Q23" s="76" t="str">
        <f t="shared" si="0"/>
        <v>TEXT</v>
      </c>
      <c r="R23" s="76" t="str">
        <f t="shared" si="1"/>
        <v>default '0'</v>
      </c>
      <c r="S23" s="76" t="str">
        <f t="shared" si="5"/>
        <v>NOT NULL</v>
      </c>
      <c r="T23" s="76" t="str">
        <f t="shared" si="6"/>
        <v>-- 最新フラグ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milscm_2023_010.azn_202310_backup_mt2_shinryo_koi_kanren.new_f IS '最新フラグ';</v>
      </c>
    </row>
    <row r="24" spans="1:52" s="25" customFormat="1" ht="37.5">
      <c r="A24" s="4"/>
      <c r="B24" s="21">
        <f t="shared" si="2"/>
        <v>12</v>
      </c>
      <c r="C24" s="6" t="s">
        <v>2532</v>
      </c>
      <c r="D24" s="6" t="s">
        <v>1902</v>
      </c>
      <c r="E24" s="8"/>
      <c r="F24" s="7" t="s">
        <v>735</v>
      </c>
      <c r="G24" s="7" t="str">
        <f t="shared" si="3"/>
        <v>text</v>
      </c>
      <c r="H24" s="26">
        <v>0</v>
      </c>
      <c r="I24" s="10" t="s">
        <v>127</v>
      </c>
      <c r="J24" s="11" t="s">
        <v>2625</v>
      </c>
      <c r="M24" s="4"/>
      <c r="N24" s="76"/>
      <c r="O24" s="76"/>
      <c r="P24" s="76" t="str">
        <f t="shared" si="4"/>
        <v>,del_f</v>
      </c>
      <c r="Q24" s="76" t="str">
        <f t="shared" si="0"/>
        <v>TEXT</v>
      </c>
      <c r="R24" s="76" t="str">
        <f t="shared" si="1"/>
        <v>default '0'</v>
      </c>
      <c r="S24" s="76" t="str">
        <f t="shared" si="5"/>
        <v>NOT NULL</v>
      </c>
      <c r="T24" s="76" t="str">
        <f t="shared" si="6"/>
        <v>-- 削除フラグ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milscm_2023_010.azn_202310_backup_mt2_shinryo_koi_kanren.del_f IS '削除フラグ';</v>
      </c>
    </row>
    <row r="25" spans="1:52" s="25" customFormat="1" ht="37.5">
      <c r="A25" s="4"/>
      <c r="B25" s="21">
        <f t="shared" si="2"/>
        <v>13</v>
      </c>
      <c r="C25" s="6" t="s">
        <v>1965</v>
      </c>
      <c r="D25" s="6" t="s">
        <v>1904</v>
      </c>
      <c r="E25" s="8"/>
      <c r="F25" s="7" t="s">
        <v>735</v>
      </c>
      <c r="G25" s="7" t="str">
        <f t="shared" si="3"/>
        <v>text</v>
      </c>
      <c r="H25" s="26">
        <v>99999999</v>
      </c>
      <c r="I25" s="10" t="s">
        <v>127</v>
      </c>
      <c r="J25" s="11" t="s">
        <v>2623</v>
      </c>
      <c r="M25" s="4"/>
      <c r="N25" s="76"/>
      <c r="O25" s="76"/>
      <c r="P25" s="76" t="str">
        <f t="shared" si="4"/>
        <v>,henkou_ymd</v>
      </c>
      <c r="Q25" s="76" t="str">
        <f t="shared" si="0"/>
        <v>TEXT</v>
      </c>
      <c r="R25" s="76" t="str">
        <f t="shared" si="1"/>
        <v>default '99999999'</v>
      </c>
      <c r="S25" s="76" t="str">
        <f t="shared" si="5"/>
        <v>NOT NULL</v>
      </c>
      <c r="T25" s="76" t="str">
        <f t="shared" si="6"/>
        <v>-- 変更年月日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milscm_2023_010.azn_202310_backup_mt2_shinryo_koi_kanren.henkou_ymd IS '変更年月日';</v>
      </c>
    </row>
    <row r="26" spans="1:52" s="25" customFormat="1" ht="38.25" thickBot="1">
      <c r="A26" s="4"/>
      <c r="B26" s="27">
        <f>ROW()-12</f>
        <v>14</v>
      </c>
      <c r="C26" s="57" t="s">
        <v>1905</v>
      </c>
      <c r="D26" s="57" t="s">
        <v>1906</v>
      </c>
      <c r="E26" s="56"/>
      <c r="F26" s="56" t="s">
        <v>735</v>
      </c>
      <c r="G26" s="56" t="str">
        <f t="shared" si="3"/>
        <v>text</v>
      </c>
      <c r="H26" s="59">
        <v>99999999</v>
      </c>
      <c r="I26" s="60" t="s">
        <v>127</v>
      </c>
      <c r="J26" s="63" t="s">
        <v>2626</v>
      </c>
      <c r="N26" s="76"/>
      <c r="O26" s="76"/>
      <c r="P26" s="76" t="str">
        <f t="shared" si="4"/>
        <v>,del_ymd</v>
      </c>
      <c r="Q26" s="76" t="str">
        <f t="shared" si="0"/>
        <v>TEXT</v>
      </c>
      <c r="R26" s="76" t="str">
        <f t="shared" si="1"/>
        <v>default '99999999'</v>
      </c>
      <c r="S26" s="76" t="str">
        <f t="shared" si="5"/>
        <v>NOT NULL</v>
      </c>
      <c r="T26" s="76" t="str">
        <f t="shared" si="6"/>
        <v>-- 廃止年月日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milscm_2023_010.azn_202310_backup_mt2_shinryo_koi_kanren.del_ymd IS '廃止年月日';</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ENT_01_A4-10</v>
      </c>
      <c r="E6" s="272"/>
      <c r="F6" s="272"/>
      <c r="G6" s="272"/>
      <c r="H6" s="272"/>
      <c r="I6" s="272"/>
      <c r="J6" s="273"/>
    </row>
    <row r="7" spans="1:45">
      <c r="B7" s="261" t="s">
        <v>115</v>
      </c>
      <c r="C7" s="262"/>
      <c r="D7" s="263" t="s">
        <v>2627</v>
      </c>
      <c r="E7" s="264"/>
      <c r="F7" s="264"/>
      <c r="G7" s="264"/>
      <c r="H7" s="264"/>
      <c r="I7" s="264"/>
      <c r="J7" s="265"/>
    </row>
    <row r="8" spans="1:45">
      <c r="B8" s="261" t="s">
        <v>116</v>
      </c>
      <c r="C8" s="262"/>
      <c r="D8" s="263" t="str">
        <f>エンティティ一覧!AE2&amp;"_"&amp;D5&amp;"_mt2_tokutei_kizai_kanren"</f>
        <v>azn_202310_backup_mt2_tokutei_kizai_kanren</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特定器材関連マスタテーブルから組入れ条件の第一条件で絞り込んだ結果を格納するテーブル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milscm_2023_010.azn_202310_backup_mt2_tokutei_kizai_kanren;</v>
      </c>
      <c r="O10" s="76"/>
      <c r="P10" s="76"/>
      <c r="Q10" s="76"/>
      <c r="R10" s="76"/>
      <c r="S10" s="76"/>
      <c r="T10" s="76"/>
      <c r="AJ10" s="76" t="str">
        <f>"ALTER TABLE ONLY "&amp;エンティティ一覧!$O$2&amp;"."&amp;D$8</f>
        <v>ALTER TABLE ONLY milscm_2023_010.azn_202310_backup_mt2_tokutei_kizai_kanren</v>
      </c>
      <c r="AS10" s="76" t="str">
        <f>"ALTER TABLE "&amp;エンティティ一覧!$O$2&amp;"."&amp;D$8&amp;" OWNER TO pgmisgrp1;"</f>
        <v>ALTER TABLE milscm_2023_010.azn_202310_backup_mt2_tokutei_kizai_kanren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milscm_2023_010.azn_202310_backup_mt2_tokutei_kizai_kanren</v>
      </c>
      <c r="O11" s="76"/>
      <c r="P11" s="76"/>
      <c r="Q11" s="76"/>
      <c r="R11" s="76"/>
      <c r="S11" s="76"/>
      <c r="T11" s="76"/>
      <c r="AJ11" s="76" t="str">
        <f>"ADD CONSTRAINT "&amp;D$8&amp;"_pkey PRIMARY KEY"</f>
        <v>ADD CONSTRAINT azn_202310_backup_mt2_tokutei_kizai_kanren_pkey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milscm_2023_010.azn_202310_backup_mt2_tokutei_kizai_kanren IS 'バックアップ_特定器材関連マスタ';</v>
      </c>
    </row>
    <row r="13" spans="1:45" s="25" customFormat="1">
      <c r="A13" s="4"/>
      <c r="B13" s="21">
        <f>ROW()-12</f>
        <v>1</v>
      </c>
      <c r="C13" s="6" t="s">
        <v>2628</v>
      </c>
      <c r="D13" s="6" t="s">
        <v>2629</v>
      </c>
      <c r="E13" s="8" t="s">
        <v>127</v>
      </c>
      <c r="F13" s="8" t="s">
        <v>735</v>
      </c>
      <c r="G13" s="7" t="str">
        <f>IF(F13="フラグ","boolean",IF(F13="文字列","text",IF(F13="整数","integer",IF(F13="実数","numeric",""))))</f>
        <v>text</v>
      </c>
      <c r="H13" s="9"/>
      <c r="I13" s="10" t="s">
        <v>127</v>
      </c>
      <c r="J13" s="11" t="s">
        <v>2634</v>
      </c>
      <c r="M13" s="4"/>
      <c r="N13" s="76"/>
      <c r="O13" s="76"/>
      <c r="P13" s="76" t="str">
        <f>IF(B13&lt;&gt;1,","&amp;D13,D13)</f>
        <v>tokutei_kizai_cd</v>
      </c>
      <c r="Q13" s="76" t="str">
        <f t="shared" ref="Q13:Q21" si="0">UPPER(G13)</f>
        <v>TEXT</v>
      </c>
      <c r="R13" s="76" t="str">
        <f t="shared" ref="R13:R21" si="1">IF(H13&lt;&gt;"","default "&amp;IF(G13="text","'"&amp;H13&amp;"'",H13),"")</f>
        <v/>
      </c>
      <c r="S13" s="76" t="str">
        <f>IF(I13="○","NOT NULL","")</f>
        <v>NOT NULL</v>
      </c>
      <c r="T13" s="76" t="str">
        <f>"-- "&amp;C13</f>
        <v>-- 特定器材コード</v>
      </c>
      <c r="U13" s="4"/>
      <c r="AA13" s="4"/>
      <c r="AB13" s="4"/>
      <c r="AC13" s="4"/>
      <c r="AD13" s="4"/>
      <c r="AE13" s="4"/>
      <c r="AF13" s="4"/>
      <c r="AG13" s="4"/>
      <c r="AH13" s="4"/>
      <c r="AI13" s="4"/>
      <c r="AJ13" s="76" t="str">
        <f>IF(E13="○",IF(COUNTA(E$13:E13)=1,"",",")&amp;D13,"")</f>
        <v>tokutei_kizai_cd</v>
      </c>
      <c r="AK13" s="4"/>
      <c r="AL13" s="4"/>
      <c r="AM13" s="4"/>
      <c r="AN13" s="4"/>
      <c r="AO13" s="4"/>
      <c r="AP13" s="4"/>
      <c r="AQ13" s="4"/>
      <c r="AR13" s="4"/>
      <c r="AS13" s="76" t="str">
        <f>"COMMENT ON COLUMN "&amp;エンティティ一覧!$O$2&amp;"."&amp;D$8&amp;"."&amp;D13&amp;" IS '"&amp;C13&amp;"';"</f>
        <v>COMMENT ON COLUMN milscm_2023_010.azn_202310_backup_mt2_tokutei_kizai_kanren.tokutei_kizai_cd IS '特定器材コード';</v>
      </c>
    </row>
    <row r="14" spans="1:45" s="25" customFormat="1">
      <c r="A14" s="4"/>
      <c r="B14" s="21">
        <f t="shared" ref="B14:B20" si="2">ROW()-12</f>
        <v>2</v>
      </c>
      <c r="C14" s="6" t="s">
        <v>2630</v>
      </c>
      <c r="D14" s="6" t="s">
        <v>2631</v>
      </c>
      <c r="E14" s="8"/>
      <c r="F14" s="7" t="s">
        <v>735</v>
      </c>
      <c r="G14" s="7" t="str">
        <f t="shared" ref="G14:G21" si="3">IF(F14="フラグ","boolean",IF(F14="文字列","text",IF(F14="整数","integer",IF(F14="実数","numeric",""))))</f>
        <v>text</v>
      </c>
      <c r="H14" s="26"/>
      <c r="I14" s="10" t="s">
        <v>127</v>
      </c>
      <c r="J14" s="11" t="s">
        <v>2634</v>
      </c>
      <c r="M14" s="4"/>
      <c r="N14" s="76"/>
      <c r="O14" s="76"/>
      <c r="P14" s="76" t="str">
        <f t="shared" ref="P14:P21" si="4">IF(B14&lt;&gt;1,","&amp;D14,D14)</f>
        <v>,tokutei_kizai_name</v>
      </c>
      <c r="Q14" s="76" t="str">
        <f t="shared" si="0"/>
        <v>TEXT</v>
      </c>
      <c r="R14" s="76" t="str">
        <f t="shared" si="1"/>
        <v/>
      </c>
      <c r="S14" s="76" t="str">
        <f t="shared" ref="S14:S21" si="5">IF(I14="○","NOT NULL","")</f>
        <v>NOT NULL</v>
      </c>
      <c r="T14" s="76" t="str">
        <f t="shared" ref="T14:T21" si="6">"-- "&amp;C14</f>
        <v>-- 特定器材名・規格名</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milscm_2023_010.azn_202310_backup_mt2_tokutei_kizai_kanren.tokutei_kizai_name IS '特定器材名・規格名';</v>
      </c>
    </row>
    <row r="15" spans="1:45" s="25" customFormat="1">
      <c r="A15" s="4"/>
      <c r="B15" s="21">
        <f t="shared" si="2"/>
        <v>3</v>
      </c>
      <c r="C15" s="6" t="s">
        <v>1649</v>
      </c>
      <c r="D15" s="6" t="s">
        <v>2632</v>
      </c>
      <c r="E15" s="8"/>
      <c r="F15" s="7" t="s">
        <v>735</v>
      </c>
      <c r="G15" s="7" t="str">
        <f t="shared" si="3"/>
        <v>text</v>
      </c>
      <c r="H15" s="26"/>
      <c r="I15" s="10"/>
      <c r="J15" s="11" t="s">
        <v>2634</v>
      </c>
      <c r="M15" s="4"/>
      <c r="N15" s="76"/>
      <c r="O15" s="76"/>
      <c r="P15" s="76" t="str">
        <f t="shared" si="4"/>
        <v>,tokutei_kizai_tani</v>
      </c>
      <c r="Q15" s="76" t="str">
        <f t="shared" si="0"/>
        <v>TEXT</v>
      </c>
      <c r="R15" s="76" t="str">
        <f t="shared" si="1"/>
        <v/>
      </c>
      <c r="S15" s="76" t="str">
        <f t="shared" si="5"/>
        <v/>
      </c>
      <c r="T15" s="76" t="str">
        <f t="shared" si="6"/>
        <v>-- 単位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milscm_2023_010.azn_202310_backup_mt2_tokutei_kizai_kanren.tokutei_kizai_tani IS '単位';</v>
      </c>
    </row>
    <row r="16" spans="1:45" s="25" customFormat="1" ht="56.25">
      <c r="A16" s="4"/>
      <c r="B16" s="21">
        <f t="shared" si="2"/>
        <v>4</v>
      </c>
      <c r="C16" s="6" t="s">
        <v>2633</v>
      </c>
      <c r="D16" s="6" t="s">
        <v>2602</v>
      </c>
      <c r="E16" s="8"/>
      <c r="F16" s="7" t="s">
        <v>2603</v>
      </c>
      <c r="G16" s="7" t="str">
        <f t="shared" si="3"/>
        <v>numeric</v>
      </c>
      <c r="H16" s="26"/>
      <c r="I16" s="10" t="s">
        <v>127</v>
      </c>
      <c r="J16" s="11" t="s">
        <v>2635</v>
      </c>
      <c r="M16" s="4"/>
      <c r="N16" s="76"/>
      <c r="O16" s="76"/>
      <c r="P16" s="76" t="str">
        <f t="shared" si="4"/>
        <v>,price</v>
      </c>
      <c r="Q16" s="76" t="str">
        <f t="shared" si="0"/>
        <v>NUMERIC</v>
      </c>
      <c r="R16" s="76" t="str">
        <f t="shared" si="1"/>
        <v/>
      </c>
      <c r="S16" s="76" t="str">
        <f t="shared" si="5"/>
        <v>NOT NULL</v>
      </c>
      <c r="T16" s="76" t="str">
        <f t="shared" si="6"/>
        <v>-- 金額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milscm_2023_010.azn_202310_backup_mt2_tokutei_kizai_kanren.price IS '金額';</v>
      </c>
    </row>
    <row r="17" spans="1:52" s="25" customFormat="1">
      <c r="A17" s="4"/>
      <c r="B17" s="21">
        <f t="shared" si="2"/>
        <v>5</v>
      </c>
      <c r="C17" s="6" t="s">
        <v>1911</v>
      </c>
      <c r="D17" s="6" t="s">
        <v>1912</v>
      </c>
      <c r="E17" s="8" t="s">
        <v>127</v>
      </c>
      <c r="F17" s="7" t="s">
        <v>735</v>
      </c>
      <c r="G17" s="7" t="str">
        <f t="shared" si="3"/>
        <v>text</v>
      </c>
      <c r="H17" s="26">
        <v>99999999</v>
      </c>
      <c r="I17" s="10" t="s">
        <v>127</v>
      </c>
      <c r="J17" s="11"/>
      <c r="M17" s="4"/>
      <c r="N17" s="76"/>
      <c r="O17" s="76"/>
      <c r="P17" s="76" t="str">
        <f t="shared" si="4"/>
        <v>,siko_ymd</v>
      </c>
      <c r="Q17" s="76" t="str">
        <f t="shared" si="0"/>
        <v>TEXT</v>
      </c>
      <c r="R17" s="76" t="str">
        <f t="shared" si="1"/>
        <v>default '99999999'</v>
      </c>
      <c r="S17" s="76" t="str">
        <f t="shared" si="5"/>
        <v>NOT NULL</v>
      </c>
      <c r="T17" s="76" t="str">
        <f t="shared" si="6"/>
        <v>-- 施行年月日</v>
      </c>
      <c r="U17" s="4"/>
      <c r="AA17" s="4"/>
      <c r="AB17" s="4"/>
      <c r="AC17" s="4"/>
      <c r="AD17" s="4"/>
      <c r="AE17" s="4"/>
      <c r="AF17" s="4"/>
      <c r="AG17" s="4"/>
      <c r="AH17" s="4"/>
      <c r="AI17" s="4"/>
      <c r="AJ17" s="76" t="str">
        <f>IF(E17="○",IF(COUNTA(E$13:E17)=1,"",",")&amp;D17,"")</f>
        <v>,siko_ymd</v>
      </c>
      <c r="AK17" s="4"/>
      <c r="AL17" s="4"/>
      <c r="AM17" s="4"/>
      <c r="AN17" s="4"/>
      <c r="AO17" s="4"/>
      <c r="AP17" s="4"/>
      <c r="AQ17" s="4"/>
      <c r="AR17" s="4"/>
      <c r="AS17" s="76" t="str">
        <f>"COMMENT ON COLUMN "&amp;エンティティ一覧!$O$2&amp;"."&amp;D$8&amp;"."&amp;D17&amp;" IS '"&amp;C17&amp;"';"</f>
        <v>COMMENT ON COLUMN milscm_2023_010.azn_202310_backup_mt2_tokutei_kizai_kanren.siko_ymd IS '施行年月日';</v>
      </c>
    </row>
    <row r="18" spans="1:52" s="25" customFormat="1">
      <c r="A18" s="4"/>
      <c r="B18" s="21">
        <f t="shared" si="2"/>
        <v>6</v>
      </c>
      <c r="C18" s="6" t="s">
        <v>2505</v>
      </c>
      <c r="D18" s="6" t="s">
        <v>2506</v>
      </c>
      <c r="E18" s="8"/>
      <c r="F18" s="7" t="s">
        <v>735</v>
      </c>
      <c r="G18" s="7" t="str">
        <f t="shared" si="3"/>
        <v>text</v>
      </c>
      <c r="H18" s="26">
        <v>0</v>
      </c>
      <c r="I18" s="10" t="s">
        <v>127</v>
      </c>
      <c r="J18" s="11"/>
      <c r="M18" s="4"/>
      <c r="N18" s="76"/>
      <c r="O18" s="76"/>
      <c r="P18" s="76" t="str">
        <f t="shared" si="4"/>
        <v>,new_f</v>
      </c>
      <c r="Q18" s="76" t="str">
        <f t="shared" si="0"/>
        <v>TEXT</v>
      </c>
      <c r="R18" s="76" t="str">
        <f t="shared" si="1"/>
        <v>default '0'</v>
      </c>
      <c r="S18" s="76" t="str">
        <f t="shared" si="5"/>
        <v>NOT NULL</v>
      </c>
      <c r="T18" s="76" t="str">
        <f t="shared" si="6"/>
        <v>-- 最新フラグ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milscm_2023_010.azn_202310_backup_mt2_tokutei_kizai_kanren.new_f IS '最新フラグ';</v>
      </c>
    </row>
    <row r="19" spans="1:52" s="25" customFormat="1" ht="37.5">
      <c r="A19" s="4"/>
      <c r="B19" s="21">
        <f t="shared" si="2"/>
        <v>7</v>
      </c>
      <c r="C19" s="6" t="s">
        <v>2532</v>
      </c>
      <c r="D19" s="6" t="s">
        <v>1902</v>
      </c>
      <c r="E19" s="8"/>
      <c r="F19" s="7" t="s">
        <v>735</v>
      </c>
      <c r="G19" s="7" t="str">
        <f t="shared" si="3"/>
        <v>text</v>
      </c>
      <c r="H19" s="26">
        <v>0</v>
      </c>
      <c r="I19" s="10" t="s">
        <v>127</v>
      </c>
      <c r="J19" s="11" t="s">
        <v>2636</v>
      </c>
      <c r="M19" s="4"/>
      <c r="N19" s="76"/>
      <c r="O19" s="76"/>
      <c r="P19" s="76" t="str">
        <f t="shared" si="4"/>
        <v>,del_f</v>
      </c>
      <c r="Q19" s="76" t="str">
        <f t="shared" si="0"/>
        <v>TEXT</v>
      </c>
      <c r="R19" s="76" t="str">
        <f t="shared" si="1"/>
        <v>default '0'</v>
      </c>
      <c r="S19" s="76" t="str">
        <f t="shared" si="5"/>
        <v>NOT NULL</v>
      </c>
      <c r="T19" s="76" t="str">
        <f t="shared" si="6"/>
        <v>-- 削除フラグ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milscm_2023_010.azn_202310_backup_mt2_tokutei_kizai_kanren.del_f IS '削除フラグ';</v>
      </c>
    </row>
    <row r="20" spans="1:52" s="25" customFormat="1" ht="37.5">
      <c r="A20" s="4"/>
      <c r="B20" s="21">
        <f t="shared" si="2"/>
        <v>8</v>
      </c>
      <c r="C20" s="6" t="s">
        <v>1965</v>
      </c>
      <c r="D20" s="6" t="s">
        <v>1904</v>
      </c>
      <c r="E20" s="8"/>
      <c r="F20" s="7" t="s">
        <v>735</v>
      </c>
      <c r="G20" s="7" t="str">
        <f t="shared" si="3"/>
        <v>text</v>
      </c>
      <c r="H20" s="26">
        <v>99999999</v>
      </c>
      <c r="I20" s="10" t="s">
        <v>127</v>
      </c>
      <c r="J20" s="11" t="s">
        <v>2637</v>
      </c>
      <c r="M20" s="4"/>
      <c r="N20" s="76"/>
      <c r="O20" s="76"/>
      <c r="P20" s="76" t="str">
        <f t="shared" si="4"/>
        <v>,henkou_ymd</v>
      </c>
      <c r="Q20" s="76" t="str">
        <f t="shared" si="0"/>
        <v>TEXT</v>
      </c>
      <c r="R20" s="76" t="str">
        <f t="shared" si="1"/>
        <v>default '99999999'</v>
      </c>
      <c r="S20" s="76" t="str">
        <f t="shared" si="5"/>
        <v>NOT NULL</v>
      </c>
      <c r="T20" s="76" t="str">
        <f t="shared" si="6"/>
        <v>-- 変更年月日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milscm_2023_010.azn_202310_backup_mt2_tokutei_kizai_kanren.henkou_ymd IS '変更年月日';</v>
      </c>
    </row>
    <row r="21" spans="1:52" s="25" customFormat="1" ht="57" thickBot="1">
      <c r="A21" s="4"/>
      <c r="B21" s="27">
        <f>ROW()-12</f>
        <v>9</v>
      </c>
      <c r="C21" s="57" t="s">
        <v>1905</v>
      </c>
      <c r="D21" s="57" t="s">
        <v>1906</v>
      </c>
      <c r="E21" s="56"/>
      <c r="F21" s="56" t="s">
        <v>735</v>
      </c>
      <c r="G21" s="56" t="str">
        <f t="shared" si="3"/>
        <v>text</v>
      </c>
      <c r="H21" s="59">
        <v>99999999</v>
      </c>
      <c r="I21" s="60" t="s">
        <v>127</v>
      </c>
      <c r="J21" s="63" t="s">
        <v>2638</v>
      </c>
      <c r="N21" s="76"/>
      <c r="O21" s="76"/>
      <c r="P21" s="76" t="str">
        <f t="shared" si="4"/>
        <v>,del_ymd</v>
      </c>
      <c r="Q21" s="76" t="str">
        <f t="shared" si="0"/>
        <v>TEXT</v>
      </c>
      <c r="R21" s="76" t="str">
        <f t="shared" si="1"/>
        <v>default '99999999'</v>
      </c>
      <c r="S21" s="76" t="str">
        <f t="shared" si="5"/>
        <v>NOT NULL</v>
      </c>
      <c r="T21" s="76" t="str">
        <f t="shared" si="6"/>
        <v>-- 廃止年月日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milscm_2023_010.azn_202310_backup_mt2_tokutei_kizai_kanren.del_ymd IS '廃止年月日';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ENT_01_A4-11</v>
      </c>
      <c r="E6" s="272"/>
      <c r="F6" s="272"/>
      <c r="G6" s="272"/>
      <c r="H6" s="272"/>
      <c r="I6" s="272"/>
      <c r="J6" s="273"/>
    </row>
    <row r="7" spans="1:45">
      <c r="B7" s="261" t="s">
        <v>115</v>
      </c>
      <c r="C7" s="262"/>
      <c r="D7" s="263" t="s">
        <v>2639</v>
      </c>
      <c r="E7" s="264"/>
      <c r="F7" s="264"/>
      <c r="G7" s="264"/>
      <c r="H7" s="264"/>
      <c r="I7" s="264"/>
      <c r="J7" s="265"/>
    </row>
    <row r="8" spans="1:45">
      <c r="B8" s="261" t="s">
        <v>116</v>
      </c>
      <c r="C8" s="262"/>
      <c r="D8" s="263" t="str">
        <f>エンティティ一覧!AE2&amp;"_"&amp;D5&amp;"_mt2_dpc_kanren"</f>
        <v>azn_202310_backup_mt2_dpc_kanren</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DPC関連マスタテーブルから組入れ条件の第一条件で絞り込んだ結果を格納するテーブル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milscm_2023_010.azn_202310_backup_mt2_dpc_kanren;</v>
      </c>
      <c r="O10" s="76"/>
      <c r="P10" s="76"/>
      <c r="Q10" s="76"/>
      <c r="R10" s="76"/>
      <c r="S10" s="76"/>
      <c r="T10" s="76"/>
      <c r="AJ10" s="76" t="str">
        <f>"ALTER TABLE ONLY "&amp;エンティティ一覧!$O$2&amp;"."&amp;D$8</f>
        <v>ALTER TABLE ONLY milscm_2023_010.azn_202310_backup_mt2_dpc_kanren</v>
      </c>
      <c r="AS10" s="76" t="str">
        <f>"ALTER TABLE "&amp;エンティティ一覧!$O$2&amp;"."&amp;D$8&amp;" OWNER TO pgmisgrp1;"</f>
        <v>ALTER TABLE milscm_2023_010.azn_202310_backup_mt2_dpc_kanren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milscm_2023_010.azn_202310_backup_mt2_dpc_kanren</v>
      </c>
      <c r="O11" s="76"/>
      <c r="P11" s="76"/>
      <c r="Q11" s="76"/>
      <c r="R11" s="76"/>
      <c r="S11" s="76"/>
      <c r="T11" s="76"/>
      <c r="AJ11" s="76" t="str">
        <f>"ADD CONSTRAINT "&amp;D$8&amp;"_pkey PRIMARY KEY"</f>
        <v>ADD CONSTRAINT azn_202310_backup_mt2_dpc_kanren_pkey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milscm_2023_010.azn_202310_backup_mt2_dpc_kanren IS 'バックアップ_DPC関連マスタ';</v>
      </c>
    </row>
    <row r="13" spans="1:45" s="25" customFormat="1">
      <c r="A13" s="4"/>
      <c r="B13" s="21">
        <f>ROW()-12</f>
        <v>1</v>
      </c>
      <c r="C13" s="6" t="s">
        <v>1926</v>
      </c>
      <c r="D13" s="6" t="s">
        <v>1927</v>
      </c>
      <c r="E13" s="8"/>
      <c r="F13" s="8" t="s">
        <v>735</v>
      </c>
      <c r="G13" s="7" t="str">
        <f>IF(F13="フラグ","boolean",IF(F13="文字列","text",IF(F13="整数","integer",IF(F13="実数","numeric",""))))</f>
        <v>text</v>
      </c>
      <c r="H13" s="9"/>
      <c r="I13" s="10" t="s">
        <v>127</v>
      </c>
      <c r="J13" s="11" t="s">
        <v>2644</v>
      </c>
      <c r="M13" s="4"/>
      <c r="N13" s="76"/>
      <c r="O13" s="76"/>
      <c r="P13" s="76" t="str">
        <f>IF(B13&lt;&gt;1,","&amp;D13,D13)</f>
        <v>dpc2_cd</v>
      </c>
      <c r="Q13" s="76" t="str">
        <f t="shared" ref="Q13:Q21" si="0">UPPER(G13)</f>
        <v>TEXT</v>
      </c>
      <c r="R13" s="76" t="str">
        <f t="shared" ref="R13:R21" si="1">IF(H13&lt;&gt;"","default "&amp;IF(G13="text","'"&amp;H13&amp;"'",H13),"")</f>
        <v/>
      </c>
      <c r="S13" s="76" t="str">
        <f>IF(I13="○","NOT NULL","")</f>
        <v>NOT NULL</v>
      </c>
      <c r="T13" s="76" t="str">
        <f>"-- "&amp;C13</f>
        <v>-- DPCコード2桁</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milscm_2023_010.azn_202310_backup_mt2_dpc_kanren.dpc2_cd IS 'DPCコード2桁';</v>
      </c>
    </row>
    <row r="14" spans="1:45" s="25" customFormat="1">
      <c r="A14" s="4"/>
      <c r="B14" s="21">
        <f t="shared" ref="B14:B20" si="2">ROW()-12</f>
        <v>2</v>
      </c>
      <c r="C14" s="6" t="s">
        <v>2640</v>
      </c>
      <c r="D14" s="6" t="s">
        <v>2641</v>
      </c>
      <c r="E14" s="8"/>
      <c r="F14" s="7" t="s">
        <v>735</v>
      </c>
      <c r="G14" s="7" t="str">
        <f t="shared" ref="G14:G21" si="3">IF(F14="フラグ","boolean",IF(F14="文字列","text",IF(F14="整数","integer",IF(F14="実数","numeric",""))))</f>
        <v>text</v>
      </c>
      <c r="H14" s="26"/>
      <c r="I14" s="10" t="s">
        <v>127</v>
      </c>
      <c r="J14" s="11" t="s">
        <v>2644</v>
      </c>
      <c r="M14" s="4"/>
      <c r="N14" s="76"/>
      <c r="O14" s="76"/>
      <c r="P14" s="76" t="str">
        <f t="shared" ref="P14:P21" si="4">IF(B14&lt;&gt;1,","&amp;D14,D14)</f>
        <v>,dpc2_name</v>
      </c>
      <c r="Q14" s="76" t="str">
        <f t="shared" si="0"/>
        <v>TEXT</v>
      </c>
      <c r="R14" s="76" t="str">
        <f t="shared" si="1"/>
        <v/>
      </c>
      <c r="S14" s="76" t="str">
        <f t="shared" ref="S14:S21" si="5">IF(I14="○","NOT NULL","")</f>
        <v>NOT NULL</v>
      </c>
      <c r="T14" s="76" t="str">
        <f t="shared" ref="T14:T21" si="6">"-- "&amp;C14</f>
        <v>-- DPC2桁名</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milscm_2023_010.azn_202310_backup_mt2_dpc_kanren.dpc2_name IS 'DPC2桁名';</v>
      </c>
    </row>
    <row r="15" spans="1:45" s="25" customFormat="1" ht="37.5">
      <c r="A15" s="4"/>
      <c r="B15" s="21">
        <f t="shared" si="2"/>
        <v>3</v>
      </c>
      <c r="C15" s="6" t="s">
        <v>1928</v>
      </c>
      <c r="D15" s="6" t="s">
        <v>1929</v>
      </c>
      <c r="E15" s="8" t="s">
        <v>127</v>
      </c>
      <c r="F15" s="7" t="s">
        <v>735</v>
      </c>
      <c r="G15" s="7" t="str">
        <f t="shared" si="3"/>
        <v>text</v>
      </c>
      <c r="H15" s="26"/>
      <c r="I15" s="10" t="s">
        <v>127</v>
      </c>
      <c r="J15" s="11" t="s">
        <v>2645</v>
      </c>
      <c r="M15" s="4"/>
      <c r="N15" s="76"/>
      <c r="O15" s="76"/>
      <c r="P15" s="76" t="str">
        <f t="shared" si="4"/>
        <v>,dpc6_cd</v>
      </c>
      <c r="Q15" s="76" t="str">
        <f t="shared" si="0"/>
        <v>TEXT</v>
      </c>
      <c r="R15" s="76" t="str">
        <f t="shared" si="1"/>
        <v/>
      </c>
      <c r="S15" s="76" t="str">
        <f t="shared" si="5"/>
        <v>NOT NULL</v>
      </c>
      <c r="T15" s="76" t="str">
        <f t="shared" si="6"/>
        <v>-- DPCコード6桁</v>
      </c>
      <c r="U15" s="4"/>
      <c r="AA15" s="4"/>
      <c r="AB15" s="4"/>
      <c r="AC15" s="4"/>
      <c r="AD15" s="4"/>
      <c r="AE15" s="4"/>
      <c r="AF15" s="4"/>
      <c r="AG15" s="4"/>
      <c r="AH15" s="4"/>
      <c r="AI15" s="4"/>
      <c r="AJ15" s="76" t="str">
        <f>IF(E15="○",IF(COUNTA(E$13:E15)=1,"",",")&amp;D15,"")</f>
        <v>dpc6_cd</v>
      </c>
      <c r="AK15" s="4"/>
      <c r="AL15" s="4"/>
      <c r="AM15" s="4"/>
      <c r="AN15" s="4"/>
      <c r="AO15" s="4"/>
      <c r="AP15" s="4"/>
      <c r="AQ15" s="4"/>
      <c r="AR15" s="4"/>
      <c r="AS15" s="76" t="str">
        <f>"COMMENT ON COLUMN "&amp;エンティティ一覧!$O$2&amp;"."&amp;D$8&amp;"."&amp;D15&amp;" IS '"&amp;C15&amp;"';"</f>
        <v>COMMENT ON COLUMN milscm_2023_010.azn_202310_backup_mt2_dpc_kanren.dpc6_cd IS 'DPCコード6桁';</v>
      </c>
    </row>
    <row r="16" spans="1:45" s="25" customFormat="1">
      <c r="A16" s="4"/>
      <c r="B16" s="21">
        <f t="shared" si="2"/>
        <v>4</v>
      </c>
      <c r="C16" s="6" t="s">
        <v>2642</v>
      </c>
      <c r="D16" s="6" t="s">
        <v>2643</v>
      </c>
      <c r="E16" s="8"/>
      <c r="F16" s="7" t="s">
        <v>735</v>
      </c>
      <c r="G16" s="7" t="str">
        <f t="shared" si="3"/>
        <v>text</v>
      </c>
      <c r="H16" s="26"/>
      <c r="I16" s="10" t="s">
        <v>127</v>
      </c>
      <c r="J16" s="11" t="s">
        <v>2646</v>
      </c>
      <c r="M16" s="4"/>
      <c r="N16" s="76"/>
      <c r="O16" s="76"/>
      <c r="P16" s="76" t="str">
        <f t="shared" si="4"/>
        <v>,dpc6_name</v>
      </c>
      <c r="Q16" s="76" t="str">
        <f t="shared" si="0"/>
        <v>TEXT</v>
      </c>
      <c r="R16" s="76" t="str">
        <f t="shared" si="1"/>
        <v/>
      </c>
      <c r="S16" s="76" t="str">
        <f t="shared" si="5"/>
        <v>NOT NULL</v>
      </c>
      <c r="T16" s="76" t="str">
        <f t="shared" si="6"/>
        <v>-- DPC6桁名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milscm_2023_010.azn_202310_backup_mt2_dpc_kanren.dpc6_name IS 'DPC6桁名';</v>
      </c>
    </row>
    <row r="17" spans="1:52" s="25" customFormat="1" ht="37.5">
      <c r="A17" s="4"/>
      <c r="B17" s="21">
        <f t="shared" si="2"/>
        <v>5</v>
      </c>
      <c r="C17" s="6" t="s">
        <v>1911</v>
      </c>
      <c r="D17" s="6" t="s">
        <v>1912</v>
      </c>
      <c r="E17" s="8" t="s">
        <v>127</v>
      </c>
      <c r="F17" s="7" t="s">
        <v>735</v>
      </c>
      <c r="G17" s="7" t="str">
        <f t="shared" si="3"/>
        <v>text</v>
      </c>
      <c r="H17" s="26">
        <v>99999999</v>
      </c>
      <c r="I17" s="10" t="s">
        <v>127</v>
      </c>
      <c r="J17" s="11" t="s">
        <v>2647</v>
      </c>
      <c r="M17" s="4"/>
      <c r="N17" s="76"/>
      <c r="O17" s="76"/>
      <c r="P17" s="76" t="str">
        <f t="shared" si="4"/>
        <v>,siko_ymd</v>
      </c>
      <c r="Q17" s="76" t="str">
        <f t="shared" si="0"/>
        <v>TEXT</v>
      </c>
      <c r="R17" s="76" t="str">
        <f t="shared" si="1"/>
        <v>default '99999999'</v>
      </c>
      <c r="S17" s="76" t="str">
        <f t="shared" si="5"/>
        <v>NOT NULL</v>
      </c>
      <c r="T17" s="76" t="str">
        <f t="shared" si="6"/>
        <v>-- 施行年月日</v>
      </c>
      <c r="U17" s="4"/>
      <c r="AA17" s="4"/>
      <c r="AB17" s="4"/>
      <c r="AC17" s="4"/>
      <c r="AD17" s="4"/>
      <c r="AE17" s="4"/>
      <c r="AF17" s="4"/>
      <c r="AG17" s="4"/>
      <c r="AH17" s="4"/>
      <c r="AI17" s="4"/>
      <c r="AJ17" s="76" t="str">
        <f>IF(E17="○",IF(COUNTA(E$13:E17)=1,"",",")&amp;D17,"")</f>
        <v>,siko_ymd</v>
      </c>
      <c r="AK17" s="4"/>
      <c r="AL17" s="4"/>
      <c r="AM17" s="4"/>
      <c r="AN17" s="4"/>
      <c r="AO17" s="4"/>
      <c r="AP17" s="4"/>
      <c r="AQ17" s="4"/>
      <c r="AR17" s="4"/>
      <c r="AS17" s="76" t="str">
        <f>"COMMENT ON COLUMN "&amp;エンティティ一覧!$O$2&amp;"."&amp;D$8&amp;"."&amp;D17&amp;" IS '"&amp;C17&amp;"';"</f>
        <v>COMMENT ON COLUMN milscm_2023_010.azn_202310_backup_mt2_dpc_kanren.siko_ymd IS '施行年月日';</v>
      </c>
    </row>
    <row r="18" spans="1:52" s="25" customFormat="1">
      <c r="A18" s="4"/>
      <c r="B18" s="21">
        <f t="shared" si="2"/>
        <v>6</v>
      </c>
      <c r="C18" s="6" t="s">
        <v>2505</v>
      </c>
      <c r="D18" s="6" t="s">
        <v>2506</v>
      </c>
      <c r="E18" s="8"/>
      <c r="F18" s="7" t="s">
        <v>735</v>
      </c>
      <c r="G18" s="7" t="str">
        <f t="shared" si="3"/>
        <v>text</v>
      </c>
      <c r="H18" s="26">
        <v>0</v>
      </c>
      <c r="I18" s="10" t="s">
        <v>127</v>
      </c>
      <c r="J18" s="11"/>
      <c r="M18" s="4"/>
      <c r="N18" s="76"/>
      <c r="O18" s="76"/>
      <c r="P18" s="76" t="str">
        <f t="shared" si="4"/>
        <v>,new_f</v>
      </c>
      <c r="Q18" s="76" t="str">
        <f t="shared" si="0"/>
        <v>TEXT</v>
      </c>
      <c r="R18" s="76" t="str">
        <f t="shared" si="1"/>
        <v>default '0'</v>
      </c>
      <c r="S18" s="76" t="str">
        <f t="shared" si="5"/>
        <v>NOT NULL</v>
      </c>
      <c r="T18" s="76" t="str">
        <f t="shared" si="6"/>
        <v>-- 最新フラグ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milscm_2023_010.azn_202310_backup_mt2_dpc_kanren.new_f IS '最新フラグ';</v>
      </c>
    </row>
    <row r="19" spans="1:52" s="25" customFormat="1">
      <c r="A19" s="4"/>
      <c r="B19" s="21">
        <f t="shared" si="2"/>
        <v>7</v>
      </c>
      <c r="C19" s="6" t="s">
        <v>2532</v>
      </c>
      <c r="D19" s="6" t="s">
        <v>1902</v>
      </c>
      <c r="E19" s="8"/>
      <c r="F19" s="7" t="s">
        <v>735</v>
      </c>
      <c r="G19" s="7" t="str">
        <f t="shared" si="3"/>
        <v>text</v>
      </c>
      <c r="H19" s="26">
        <v>0</v>
      </c>
      <c r="I19" s="10" t="s">
        <v>127</v>
      </c>
      <c r="J19" s="11"/>
      <c r="M19" s="4"/>
      <c r="N19" s="76"/>
      <c r="O19" s="76"/>
      <c r="P19" s="76" t="str">
        <f t="shared" si="4"/>
        <v>,del_f</v>
      </c>
      <c r="Q19" s="76" t="str">
        <f t="shared" si="0"/>
        <v>TEXT</v>
      </c>
      <c r="R19" s="76" t="str">
        <f t="shared" si="1"/>
        <v>default '0'</v>
      </c>
      <c r="S19" s="76" t="str">
        <f t="shared" si="5"/>
        <v>NOT NULL</v>
      </c>
      <c r="T19" s="76" t="str">
        <f t="shared" si="6"/>
        <v>-- 削除フラグ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milscm_2023_010.azn_202310_backup_mt2_dpc_kanren.del_f IS '削除フラグ';</v>
      </c>
    </row>
    <row r="20" spans="1:52" s="25" customFormat="1" ht="37.5">
      <c r="A20" s="4"/>
      <c r="B20" s="21">
        <f t="shared" si="2"/>
        <v>8</v>
      </c>
      <c r="C20" s="6" t="s">
        <v>1965</v>
      </c>
      <c r="D20" s="6" t="s">
        <v>1904</v>
      </c>
      <c r="E20" s="8"/>
      <c r="F20" s="7" t="s">
        <v>735</v>
      </c>
      <c r="G20" s="7" t="str">
        <f t="shared" si="3"/>
        <v>text</v>
      </c>
      <c r="H20" s="26">
        <v>99999999</v>
      </c>
      <c r="I20" s="10" t="s">
        <v>127</v>
      </c>
      <c r="J20" s="11" t="s">
        <v>2647</v>
      </c>
      <c r="M20" s="4"/>
      <c r="N20" s="76"/>
      <c r="O20" s="76"/>
      <c r="P20" s="76" t="str">
        <f t="shared" si="4"/>
        <v>,henkou_ymd</v>
      </c>
      <c r="Q20" s="76" t="str">
        <f t="shared" si="0"/>
        <v>TEXT</v>
      </c>
      <c r="R20" s="76" t="str">
        <f t="shared" si="1"/>
        <v>default '99999999'</v>
      </c>
      <c r="S20" s="76" t="str">
        <f t="shared" si="5"/>
        <v>NOT NULL</v>
      </c>
      <c r="T20" s="76" t="str">
        <f t="shared" si="6"/>
        <v>-- 変更年月日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milscm_2023_010.azn_202310_backup_mt2_dpc_kanren.henkou_ymd IS '変更年月日';</v>
      </c>
    </row>
    <row r="21" spans="1:52" s="25" customFormat="1" ht="38.25" thickBot="1">
      <c r="A21" s="4"/>
      <c r="B21" s="27">
        <f>ROW()-12</f>
        <v>9</v>
      </c>
      <c r="C21" s="57" t="s">
        <v>1905</v>
      </c>
      <c r="D21" s="57" t="s">
        <v>1906</v>
      </c>
      <c r="E21" s="56"/>
      <c r="F21" s="56" t="s">
        <v>735</v>
      </c>
      <c r="G21" s="56" t="str">
        <f t="shared" si="3"/>
        <v>text</v>
      </c>
      <c r="H21" s="59">
        <v>99999999</v>
      </c>
      <c r="I21" s="60" t="s">
        <v>127</v>
      </c>
      <c r="J21" s="63" t="s">
        <v>2647</v>
      </c>
      <c r="N21" s="76"/>
      <c r="O21" s="76"/>
      <c r="P21" s="76" t="str">
        <f t="shared" si="4"/>
        <v>,del_ymd</v>
      </c>
      <c r="Q21" s="76" t="str">
        <f t="shared" si="0"/>
        <v>TEXT</v>
      </c>
      <c r="R21" s="76" t="str">
        <f t="shared" si="1"/>
        <v>default '99999999'</v>
      </c>
      <c r="S21" s="76" t="str">
        <f t="shared" si="5"/>
        <v>NOT NULL</v>
      </c>
      <c r="T21" s="76" t="str">
        <f t="shared" si="6"/>
        <v>-- 廃止年月日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milscm_2023_010.azn_202310_backup_mt2_dpc_kanren.del_ymd IS '廃止年月日';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ENT_01_A4-12</v>
      </c>
      <c r="E6" s="272"/>
      <c r="F6" s="272"/>
      <c r="G6" s="272"/>
      <c r="H6" s="272"/>
      <c r="I6" s="272"/>
      <c r="J6" s="273"/>
    </row>
    <row r="7" spans="1:45">
      <c r="B7" s="261" t="s">
        <v>115</v>
      </c>
      <c r="C7" s="262"/>
      <c r="D7" s="263" t="s">
        <v>2648</v>
      </c>
      <c r="E7" s="264"/>
      <c r="F7" s="264"/>
      <c r="G7" s="264"/>
      <c r="H7" s="264"/>
      <c r="I7" s="264"/>
      <c r="J7" s="265"/>
    </row>
    <row r="8" spans="1:45">
      <c r="B8" s="261" t="s">
        <v>116</v>
      </c>
      <c r="C8" s="262"/>
      <c r="D8" s="263" t="str">
        <f>エンティティ一覧!AE2&amp;"_"&amp;D5&amp;"_mt2_shikkan_kanren"</f>
        <v>azn_202310_backup_mt2_shikkan_kanren</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疾患関連マスタテーブルから組入れ条件の第一条件で絞り込んだ結果を格納するテーブル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milscm_2023_010.azn_202310_backup_mt2_shikkan_kanren;</v>
      </c>
      <c r="O10" s="76"/>
      <c r="P10" s="76"/>
      <c r="Q10" s="76"/>
      <c r="R10" s="76"/>
      <c r="S10" s="76"/>
      <c r="T10" s="76"/>
      <c r="AJ10" s="76" t="str">
        <f>"ALTER TABLE ONLY "&amp;エンティティ一覧!$O$2&amp;"."&amp;D$8</f>
        <v>ALTER TABLE ONLY milscm_2023_010.azn_202310_backup_mt2_shikkan_kanren</v>
      </c>
      <c r="AS10" s="76" t="str">
        <f>"ALTER TABLE "&amp;エンティティ一覧!$O$2&amp;"."&amp;D$8&amp;" OWNER TO pgmisgrp1;"</f>
        <v>ALTER TABLE milscm_2023_010.azn_202310_backup_mt2_shikkan_kanren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milscm_2023_010.azn_202310_backup_mt2_shikkan_kanren</v>
      </c>
      <c r="O11" s="76"/>
      <c r="P11" s="76"/>
      <c r="Q11" s="76"/>
      <c r="R11" s="76"/>
      <c r="S11" s="76"/>
      <c r="T11" s="76"/>
      <c r="AJ11" s="76" t="str">
        <f>"ADD CONSTRAINT "&amp;D$8&amp;"_pkey PRIMARY KEY"</f>
        <v>ADD CONSTRAINT azn_202310_backup_mt2_shikkan_kanren_pkey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milscm_2023_010.azn_202310_backup_mt2_shikkan_kanren IS 'バックアップ_疾患関連マスタ';</v>
      </c>
    </row>
    <row r="13" spans="1:45" s="25" customFormat="1">
      <c r="A13" s="4"/>
      <c r="B13" s="21">
        <f>ROW()-12</f>
        <v>1</v>
      </c>
      <c r="C13" s="6" t="s">
        <v>2649</v>
      </c>
      <c r="D13" s="6" t="s">
        <v>2650</v>
      </c>
      <c r="E13" s="8" t="s">
        <v>127</v>
      </c>
      <c r="F13" s="8" t="s">
        <v>735</v>
      </c>
      <c r="G13" s="7" t="str">
        <f>IF(F13="フラグ","boolean",IF(F13="文字列","text",IF(F13="整数","integer",IF(F13="実数","numeric",""))))</f>
        <v>text</v>
      </c>
      <c r="H13" s="9"/>
      <c r="I13" s="10" t="s">
        <v>127</v>
      </c>
      <c r="J13" s="11" t="s">
        <v>2669</v>
      </c>
      <c r="M13" s="4"/>
      <c r="N13" s="76"/>
      <c r="O13" s="76"/>
      <c r="P13" s="76" t="str">
        <f>IF(B13&lt;&gt;1,","&amp;D13,D13)</f>
        <v>shikkan_cd</v>
      </c>
      <c r="Q13" s="76" t="str">
        <f t="shared" ref="Q13:Q28" si="0">UPPER(G13)</f>
        <v>TEXT</v>
      </c>
      <c r="R13" s="76" t="str">
        <f t="shared" ref="R13:R28" si="1">IF(H13&lt;&gt;"","default "&amp;IF(G13="text","'"&amp;H13&amp;"'",H13),"")</f>
        <v/>
      </c>
      <c r="S13" s="76" t="str">
        <f>IF(I13="○","NOT NULL","")</f>
        <v>NOT NULL</v>
      </c>
      <c r="T13" s="76" t="str">
        <f>"-- "&amp;C13</f>
        <v>-- 疾患コード</v>
      </c>
      <c r="U13" s="4"/>
      <c r="AA13" s="4"/>
      <c r="AB13" s="4"/>
      <c r="AC13" s="4"/>
      <c r="AD13" s="4"/>
      <c r="AE13" s="4"/>
      <c r="AF13" s="4"/>
      <c r="AG13" s="4"/>
      <c r="AH13" s="4"/>
      <c r="AI13" s="4"/>
      <c r="AJ13" s="76" t="str">
        <f>IF(E13="○",IF(COUNTA(E$13:E13)=1,"",",")&amp;D13,"")</f>
        <v>shikkan_cd</v>
      </c>
      <c r="AK13" s="4"/>
      <c r="AL13" s="4"/>
      <c r="AM13" s="4"/>
      <c r="AN13" s="4"/>
      <c r="AO13" s="4"/>
      <c r="AP13" s="4"/>
      <c r="AQ13" s="4"/>
      <c r="AR13" s="4"/>
      <c r="AS13" s="76" t="str">
        <f>"COMMENT ON COLUMN "&amp;エンティティ一覧!$O$2&amp;"."&amp;D$8&amp;"."&amp;D13&amp;" IS '"&amp;C13&amp;"';"</f>
        <v>COMMENT ON COLUMN milscm_2023_010.azn_202310_backup_mt2_shikkan_kanren.shikkan_cd IS '疾患コード';</v>
      </c>
    </row>
    <row r="14" spans="1:45" s="25" customFormat="1">
      <c r="A14" s="4"/>
      <c r="B14" s="21">
        <f t="shared" ref="B14:B27" si="2">ROW()-12</f>
        <v>2</v>
      </c>
      <c r="C14" s="6" t="s">
        <v>2651</v>
      </c>
      <c r="D14" s="6" t="s">
        <v>2652</v>
      </c>
      <c r="E14" s="8"/>
      <c r="F14" s="7" t="s">
        <v>735</v>
      </c>
      <c r="G14" s="7" t="str">
        <f t="shared" ref="G14:G28" si="3">IF(F14="フラグ","boolean",IF(F14="文字列","text",IF(F14="整数","integer",IF(F14="実数","numeric",""))))</f>
        <v>text</v>
      </c>
      <c r="H14" s="26"/>
      <c r="I14" s="10"/>
      <c r="J14" s="11" t="s">
        <v>2669</v>
      </c>
      <c r="M14" s="4"/>
      <c r="N14" s="76"/>
      <c r="O14" s="76"/>
      <c r="P14" s="76" t="str">
        <f t="shared" ref="P14:P28" si="4">IF(B14&lt;&gt;1,","&amp;D14,D14)</f>
        <v>,icd10_l_cd</v>
      </c>
      <c r="Q14" s="76" t="str">
        <f t="shared" si="0"/>
        <v>TEXT</v>
      </c>
      <c r="R14" s="76" t="str">
        <f t="shared" si="1"/>
        <v/>
      </c>
      <c r="S14" s="76" t="str">
        <f t="shared" ref="S14:S28" si="5">IF(I14="○","NOT NULL","")</f>
        <v/>
      </c>
      <c r="T14" s="76" t="str">
        <f t="shared" ref="T14:T28" si="6">"-- "&amp;C14</f>
        <v>-- ICD10大分類コード</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milscm_2023_010.azn_202310_backup_mt2_shikkan_kanren.icd10_l_cd IS 'ICD10大分類コード';</v>
      </c>
    </row>
    <row r="15" spans="1:45" s="25" customFormat="1">
      <c r="A15" s="4"/>
      <c r="B15" s="21">
        <f t="shared" si="2"/>
        <v>3</v>
      </c>
      <c r="C15" s="6" t="s">
        <v>2653</v>
      </c>
      <c r="D15" s="6" t="s">
        <v>2654</v>
      </c>
      <c r="E15" s="8"/>
      <c r="F15" s="7" t="s">
        <v>735</v>
      </c>
      <c r="G15" s="7" t="str">
        <f t="shared" si="3"/>
        <v>text</v>
      </c>
      <c r="H15" s="26"/>
      <c r="I15" s="10"/>
      <c r="J15" s="11" t="s">
        <v>2669</v>
      </c>
      <c r="M15" s="4"/>
      <c r="N15" s="76"/>
      <c r="O15" s="76"/>
      <c r="P15" s="76" t="str">
        <f t="shared" si="4"/>
        <v>,icd10_m_cd</v>
      </c>
      <c r="Q15" s="76" t="str">
        <f t="shared" si="0"/>
        <v>TEXT</v>
      </c>
      <c r="R15" s="76" t="str">
        <f t="shared" si="1"/>
        <v/>
      </c>
      <c r="S15" s="76" t="str">
        <f t="shared" si="5"/>
        <v/>
      </c>
      <c r="T15" s="76" t="str">
        <f t="shared" si="6"/>
        <v>-- ICD10中分類コード</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milscm_2023_010.azn_202310_backup_mt2_shikkan_kanren.icd10_m_cd IS 'ICD10中分類コード';</v>
      </c>
    </row>
    <row r="16" spans="1:45" s="25" customFormat="1">
      <c r="A16" s="4"/>
      <c r="B16" s="21">
        <f t="shared" si="2"/>
        <v>4</v>
      </c>
      <c r="C16" s="6" t="s">
        <v>2655</v>
      </c>
      <c r="D16" s="6" t="s">
        <v>893</v>
      </c>
      <c r="E16" s="8"/>
      <c r="F16" s="7" t="s">
        <v>735</v>
      </c>
      <c r="G16" s="7" t="str">
        <f t="shared" si="3"/>
        <v>text</v>
      </c>
      <c r="H16" s="26"/>
      <c r="I16" s="10"/>
      <c r="J16" s="11" t="s">
        <v>2669</v>
      </c>
      <c r="M16" s="4"/>
      <c r="N16" s="76"/>
      <c r="O16" s="76"/>
      <c r="P16" s="76" t="str">
        <f t="shared" si="4"/>
        <v>,icd10_s_cd</v>
      </c>
      <c r="Q16" s="76" t="str">
        <f t="shared" si="0"/>
        <v>TEXT</v>
      </c>
      <c r="R16" s="76" t="str">
        <f t="shared" si="1"/>
        <v/>
      </c>
      <c r="S16" s="76" t="str">
        <f t="shared" si="5"/>
        <v/>
      </c>
      <c r="T16" s="76" t="str">
        <f t="shared" si="6"/>
        <v>-- ICD10小分類コード</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milscm_2023_010.azn_202310_backup_mt2_shikkan_kanren.icd10_s_cd IS 'ICD10小分類コード';</v>
      </c>
    </row>
    <row r="17" spans="1:52" s="25" customFormat="1">
      <c r="A17" s="4"/>
      <c r="B17" s="21">
        <f t="shared" si="2"/>
        <v>5</v>
      </c>
      <c r="C17" s="6" t="s">
        <v>2656</v>
      </c>
      <c r="D17" s="6" t="s">
        <v>2657</v>
      </c>
      <c r="E17" s="8"/>
      <c r="F17" s="7" t="s">
        <v>735</v>
      </c>
      <c r="G17" s="7" t="str">
        <f t="shared" si="3"/>
        <v>text</v>
      </c>
      <c r="H17" s="26"/>
      <c r="I17" s="10"/>
      <c r="J17" s="11" t="s">
        <v>2669</v>
      </c>
      <c r="M17" s="4"/>
      <c r="N17" s="76"/>
      <c r="O17" s="76"/>
      <c r="P17" s="76" t="str">
        <f t="shared" si="4"/>
        <v>,icd10_ss_cd</v>
      </c>
      <c r="Q17" s="76" t="str">
        <f t="shared" si="0"/>
        <v>TEXT</v>
      </c>
      <c r="R17" s="76" t="str">
        <f t="shared" si="1"/>
        <v/>
      </c>
      <c r="S17" s="76" t="str">
        <f t="shared" si="5"/>
        <v/>
      </c>
      <c r="T17" s="76" t="str">
        <f t="shared" si="6"/>
        <v>-- ICD10細分類コード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milscm_2023_010.azn_202310_backup_mt2_shikkan_kanren.icd10_ss_cd IS 'ICD10細分類コード';</v>
      </c>
    </row>
    <row r="18" spans="1:52" s="25" customFormat="1">
      <c r="A18" s="4"/>
      <c r="B18" s="21">
        <f t="shared" si="2"/>
        <v>6</v>
      </c>
      <c r="C18" s="6" t="s">
        <v>2085</v>
      </c>
      <c r="D18" s="6" t="s">
        <v>2086</v>
      </c>
      <c r="E18" s="8"/>
      <c r="F18" s="7" t="s">
        <v>735</v>
      </c>
      <c r="G18" s="7" t="str">
        <f t="shared" si="3"/>
        <v>text</v>
      </c>
      <c r="H18" s="26"/>
      <c r="I18" s="10" t="s">
        <v>127</v>
      </c>
      <c r="J18" s="11" t="s">
        <v>2669</v>
      </c>
      <c r="M18" s="4"/>
      <c r="N18" s="76"/>
      <c r="O18" s="76"/>
      <c r="P18" s="76" t="str">
        <f t="shared" si="4"/>
        <v>,shikkan_name</v>
      </c>
      <c r="Q18" s="76" t="str">
        <f t="shared" si="0"/>
        <v>TEXT</v>
      </c>
      <c r="R18" s="76" t="str">
        <f t="shared" si="1"/>
        <v/>
      </c>
      <c r="S18" s="76" t="str">
        <f t="shared" si="5"/>
        <v>NOT NULL</v>
      </c>
      <c r="T18" s="76" t="str">
        <f t="shared" si="6"/>
        <v>-- 疾患名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milscm_2023_010.azn_202310_backup_mt2_shikkan_kanren.shikkan_name IS '疾患名';</v>
      </c>
    </row>
    <row r="19" spans="1:52" s="25" customFormat="1">
      <c r="A19" s="4"/>
      <c r="B19" s="21">
        <f t="shared" si="2"/>
        <v>7</v>
      </c>
      <c r="C19" s="6" t="s">
        <v>2658</v>
      </c>
      <c r="D19" s="6" t="s">
        <v>2659</v>
      </c>
      <c r="E19" s="8"/>
      <c r="F19" s="7" t="s">
        <v>735</v>
      </c>
      <c r="G19" s="7" t="str">
        <f t="shared" si="3"/>
        <v>text</v>
      </c>
      <c r="H19" s="26"/>
      <c r="I19" s="10"/>
      <c r="J19" s="11" t="s">
        <v>2670</v>
      </c>
      <c r="M19" s="4"/>
      <c r="N19" s="76"/>
      <c r="O19" s="76"/>
      <c r="P19" s="76" t="str">
        <f t="shared" si="4"/>
        <v>,icd10_l_name</v>
      </c>
      <c r="Q19" s="76" t="str">
        <f t="shared" si="0"/>
        <v>TEXT</v>
      </c>
      <c r="R19" s="76" t="str">
        <f t="shared" si="1"/>
        <v/>
      </c>
      <c r="S19" s="76" t="str">
        <f t="shared" si="5"/>
        <v/>
      </c>
      <c r="T19" s="76" t="str">
        <f t="shared" si="6"/>
        <v>-- ICD10大分類名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milscm_2023_010.azn_202310_backup_mt2_shikkan_kanren.icd10_l_name IS 'ICD10大分類名';</v>
      </c>
    </row>
    <row r="20" spans="1:52" s="25" customFormat="1">
      <c r="A20" s="4"/>
      <c r="B20" s="21">
        <f t="shared" si="2"/>
        <v>8</v>
      </c>
      <c r="C20" s="6" t="s">
        <v>2660</v>
      </c>
      <c r="D20" s="6" t="s">
        <v>2661</v>
      </c>
      <c r="E20" s="8"/>
      <c r="F20" s="7" t="s">
        <v>735</v>
      </c>
      <c r="G20" s="7" t="str">
        <f t="shared" ref="G20:G26" si="7">IF(F20="フラグ","boolean",IF(F20="文字列","text",IF(F20="整数","integer",IF(F20="実数","numeric",""))))</f>
        <v>text</v>
      </c>
      <c r="H20" s="26"/>
      <c r="I20" s="10"/>
      <c r="J20" s="11" t="s">
        <v>2671</v>
      </c>
      <c r="M20" s="4"/>
      <c r="N20" s="76"/>
      <c r="O20" s="76"/>
      <c r="P20" s="76" t="str">
        <f t="shared" ref="P20:P26" si="8">IF(B20&lt;&gt;1,","&amp;D20,D20)</f>
        <v>,icd10_m_name</v>
      </c>
      <c r="Q20" s="76" t="str">
        <f t="shared" ref="Q20:Q26" si="9">UPPER(G20)</f>
        <v>TEXT</v>
      </c>
      <c r="R20" s="76" t="str">
        <f t="shared" ref="R20:R26" si="10">IF(H20&lt;&gt;"","default "&amp;IF(G20="text","'"&amp;H20&amp;"'",H20),"")</f>
        <v/>
      </c>
      <c r="S20" s="76" t="str">
        <f t="shared" ref="S20:S26" si="11">IF(I20="○","NOT NULL","")</f>
        <v/>
      </c>
      <c r="T20" s="76" t="str">
        <f t="shared" ref="T20:T26" si="12">"-- "&amp;C20</f>
        <v>-- ICD10中分類名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milscm_2023_010.azn_202310_backup_mt2_shikkan_kanren.icd10_m_name IS 'ICD10中分類名';</v>
      </c>
    </row>
    <row r="21" spans="1:52" s="25" customFormat="1">
      <c r="A21" s="4"/>
      <c r="B21" s="21">
        <f t="shared" si="2"/>
        <v>9</v>
      </c>
      <c r="C21" s="6" t="s">
        <v>2662</v>
      </c>
      <c r="D21" s="6" t="s">
        <v>894</v>
      </c>
      <c r="E21" s="8"/>
      <c r="F21" s="7" t="s">
        <v>735</v>
      </c>
      <c r="G21" s="7" t="str">
        <f t="shared" si="7"/>
        <v>text</v>
      </c>
      <c r="H21" s="26"/>
      <c r="I21" s="10"/>
      <c r="J21" s="11" t="s">
        <v>2672</v>
      </c>
      <c r="M21" s="4"/>
      <c r="N21" s="76"/>
      <c r="O21" s="76"/>
      <c r="P21" s="76" t="str">
        <f t="shared" si="8"/>
        <v>,icd10_s_name</v>
      </c>
      <c r="Q21" s="76" t="str">
        <f t="shared" si="9"/>
        <v>TEXT</v>
      </c>
      <c r="R21" s="76" t="str">
        <f t="shared" si="10"/>
        <v/>
      </c>
      <c r="S21" s="76" t="str">
        <f t="shared" si="11"/>
        <v/>
      </c>
      <c r="T21" s="76" t="str">
        <f t="shared" si="12"/>
        <v>-- ICD10小分類名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milscm_2023_010.azn_202310_backup_mt2_shikkan_kanren.icd10_s_name IS 'ICD10小分類名';</v>
      </c>
    </row>
    <row r="22" spans="1:52" s="25" customFormat="1">
      <c r="A22" s="4"/>
      <c r="B22" s="21">
        <f t="shared" si="2"/>
        <v>10</v>
      </c>
      <c r="C22" s="6" t="s">
        <v>2663</v>
      </c>
      <c r="D22" s="6" t="s">
        <v>2664</v>
      </c>
      <c r="E22" s="8"/>
      <c r="F22" s="7" t="s">
        <v>735</v>
      </c>
      <c r="G22" s="7" t="str">
        <f t="shared" si="7"/>
        <v>text</v>
      </c>
      <c r="H22" s="26"/>
      <c r="I22" s="10"/>
      <c r="J22" s="11" t="s">
        <v>2673</v>
      </c>
      <c r="M22" s="4"/>
      <c r="N22" s="76"/>
      <c r="O22" s="76"/>
      <c r="P22" s="76" t="str">
        <f t="shared" si="8"/>
        <v>,icd10_ss_name</v>
      </c>
      <c r="Q22" s="76" t="str">
        <f t="shared" si="9"/>
        <v>TEXT</v>
      </c>
      <c r="R22" s="76" t="str">
        <f t="shared" si="10"/>
        <v/>
      </c>
      <c r="S22" s="76" t="str">
        <f t="shared" si="11"/>
        <v/>
      </c>
      <c r="T22" s="76" t="str">
        <f t="shared" si="12"/>
        <v>-- ICD10細分類名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milscm_2023_010.azn_202310_backup_mt2_shikkan_kanren.icd10_ss_name IS 'ICD10細分類名';</v>
      </c>
    </row>
    <row r="23" spans="1:52" s="25" customFormat="1" ht="56.25">
      <c r="A23" s="4"/>
      <c r="B23" s="21">
        <f t="shared" si="2"/>
        <v>11</v>
      </c>
      <c r="C23" s="6" t="s">
        <v>2665</v>
      </c>
      <c r="D23" s="6" t="s">
        <v>2666</v>
      </c>
      <c r="E23" s="8" t="s">
        <v>127</v>
      </c>
      <c r="F23" s="7" t="s">
        <v>735</v>
      </c>
      <c r="G23" s="7" t="str">
        <f t="shared" si="7"/>
        <v>text</v>
      </c>
      <c r="H23" s="26">
        <v>0</v>
      </c>
      <c r="I23" s="10"/>
      <c r="J23" s="11" t="s">
        <v>2674</v>
      </c>
      <c r="M23" s="4"/>
      <c r="N23" s="76"/>
      <c r="O23" s="76"/>
      <c r="P23" s="76" t="str">
        <f t="shared" si="8"/>
        <v>,icd10_kubun</v>
      </c>
      <c r="Q23" s="76" t="str">
        <f t="shared" si="9"/>
        <v>TEXT</v>
      </c>
      <c r="R23" s="76" t="str">
        <f t="shared" si="10"/>
        <v>default '0'</v>
      </c>
      <c r="S23" s="76" t="str">
        <f t="shared" si="11"/>
        <v/>
      </c>
      <c r="T23" s="76" t="str">
        <f t="shared" si="12"/>
        <v>-- ICD10区分</v>
      </c>
      <c r="U23" s="4"/>
      <c r="AA23" s="4"/>
      <c r="AB23" s="4"/>
      <c r="AC23" s="4"/>
      <c r="AD23" s="4"/>
      <c r="AE23" s="4"/>
      <c r="AF23" s="4"/>
      <c r="AG23" s="4"/>
      <c r="AH23" s="4"/>
      <c r="AI23" s="4"/>
      <c r="AJ23" s="76" t="str">
        <f>IF(E23="○",IF(COUNTA(E$13:E23)=1,"",",")&amp;D23,"")</f>
        <v>,icd10_kubun</v>
      </c>
      <c r="AK23" s="4"/>
      <c r="AL23" s="4"/>
      <c r="AM23" s="4"/>
      <c r="AN23" s="4"/>
      <c r="AO23" s="4"/>
      <c r="AP23" s="4"/>
      <c r="AQ23" s="4"/>
      <c r="AR23" s="4"/>
      <c r="AS23" s="76" t="str">
        <f>"COMMENT ON COLUMN "&amp;エンティティ一覧!$O$2&amp;"."&amp;D$8&amp;"."&amp;D23&amp;" IS '"&amp;C23&amp;"';"</f>
        <v>COMMENT ON COLUMN milscm_2023_010.azn_202310_backup_mt2_shikkan_kanren.icd10_kubun IS 'ICD10区分';</v>
      </c>
    </row>
    <row r="24" spans="1:52" s="25" customFormat="1" ht="37.5">
      <c r="A24" s="4"/>
      <c r="B24" s="21">
        <f t="shared" si="2"/>
        <v>12</v>
      </c>
      <c r="C24" s="6" t="s">
        <v>2667</v>
      </c>
      <c r="D24" s="6" t="s">
        <v>1912</v>
      </c>
      <c r="E24" s="8" t="s">
        <v>127</v>
      </c>
      <c r="F24" s="7" t="s">
        <v>735</v>
      </c>
      <c r="G24" s="7" t="str">
        <f t="shared" si="7"/>
        <v>text</v>
      </c>
      <c r="H24" s="26">
        <v>99999999</v>
      </c>
      <c r="I24" s="10" t="s">
        <v>127</v>
      </c>
      <c r="J24" s="11" t="s">
        <v>2675</v>
      </c>
      <c r="M24" s="4"/>
      <c r="N24" s="76"/>
      <c r="O24" s="76"/>
      <c r="P24" s="76" t="str">
        <f t="shared" si="8"/>
        <v>,siko_ymd</v>
      </c>
      <c r="Q24" s="76" t="str">
        <f t="shared" si="9"/>
        <v>TEXT</v>
      </c>
      <c r="R24" s="76" t="str">
        <f t="shared" si="10"/>
        <v>default '99999999'</v>
      </c>
      <c r="S24" s="76" t="str">
        <f t="shared" si="11"/>
        <v>NOT NULL</v>
      </c>
      <c r="T24" s="76" t="str">
        <f t="shared" si="12"/>
        <v>-- 施行年月日</v>
      </c>
      <c r="U24" s="4"/>
      <c r="AA24" s="4"/>
      <c r="AB24" s="4"/>
      <c r="AC24" s="4"/>
      <c r="AD24" s="4"/>
      <c r="AE24" s="4"/>
      <c r="AF24" s="4"/>
      <c r="AG24" s="4"/>
      <c r="AH24" s="4"/>
      <c r="AI24" s="4"/>
      <c r="AJ24" s="76" t="str">
        <f>IF(E24="○",IF(COUNTA(E$13:E24)=1,"",",")&amp;D24,"")</f>
        <v>,siko_ymd</v>
      </c>
      <c r="AK24" s="4"/>
      <c r="AL24" s="4"/>
      <c r="AM24" s="4"/>
      <c r="AN24" s="4"/>
      <c r="AO24" s="4"/>
      <c r="AP24" s="4"/>
      <c r="AQ24" s="4"/>
      <c r="AR24" s="4"/>
      <c r="AS24" s="76" t="str">
        <f>"COMMENT ON COLUMN "&amp;エンティティ一覧!$O$2&amp;"."&amp;D$8&amp;"."&amp;D24&amp;" IS '"&amp;C24&amp;"';"</f>
        <v>COMMENT ON COLUMN milscm_2023_010.azn_202310_backup_mt2_shikkan_kanren.siko_ymd IS '施行年月日';</v>
      </c>
    </row>
    <row r="25" spans="1:52" s="25" customFormat="1" ht="56.25">
      <c r="A25" s="4"/>
      <c r="B25" s="21">
        <f t="shared" si="2"/>
        <v>13</v>
      </c>
      <c r="C25" s="6" t="s">
        <v>2505</v>
      </c>
      <c r="D25" s="6" t="s">
        <v>2506</v>
      </c>
      <c r="E25" s="8"/>
      <c r="F25" s="7" t="s">
        <v>735</v>
      </c>
      <c r="G25" s="7" t="str">
        <f t="shared" si="7"/>
        <v>text</v>
      </c>
      <c r="H25" s="26">
        <v>0</v>
      </c>
      <c r="I25" s="10" t="s">
        <v>127</v>
      </c>
      <c r="J25" s="11" t="s">
        <v>2676</v>
      </c>
      <c r="M25" s="4"/>
      <c r="N25" s="76"/>
      <c r="O25" s="76"/>
      <c r="P25" s="76" t="str">
        <f t="shared" si="8"/>
        <v>,new_f</v>
      </c>
      <c r="Q25" s="76" t="str">
        <f t="shared" si="9"/>
        <v>TEXT</v>
      </c>
      <c r="R25" s="76" t="str">
        <f t="shared" si="10"/>
        <v>default '0'</v>
      </c>
      <c r="S25" s="76" t="str">
        <f t="shared" si="11"/>
        <v>NOT NULL</v>
      </c>
      <c r="T25" s="76" t="str">
        <f t="shared" si="12"/>
        <v>-- 最新フラグ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milscm_2023_010.azn_202310_backup_mt2_shikkan_kanren.new_f IS '最新フラグ';</v>
      </c>
    </row>
    <row r="26" spans="1:52" s="25" customFormat="1">
      <c r="A26" s="4"/>
      <c r="B26" s="21">
        <f t="shared" si="2"/>
        <v>14</v>
      </c>
      <c r="C26" s="6" t="s">
        <v>2532</v>
      </c>
      <c r="D26" s="6" t="s">
        <v>1902</v>
      </c>
      <c r="E26" s="8"/>
      <c r="F26" s="7" t="s">
        <v>735</v>
      </c>
      <c r="G26" s="7" t="str">
        <f t="shared" si="7"/>
        <v>text</v>
      </c>
      <c r="H26" s="26">
        <v>0</v>
      </c>
      <c r="I26" s="10" t="s">
        <v>127</v>
      </c>
      <c r="J26" s="11"/>
      <c r="M26" s="4"/>
      <c r="N26" s="76"/>
      <c r="O26" s="76"/>
      <c r="P26" s="76" t="str">
        <f t="shared" si="8"/>
        <v>,del_f</v>
      </c>
      <c r="Q26" s="76" t="str">
        <f t="shared" si="9"/>
        <v>TEXT</v>
      </c>
      <c r="R26" s="76" t="str">
        <f t="shared" si="10"/>
        <v>default '0'</v>
      </c>
      <c r="S26" s="76" t="str">
        <f t="shared" si="11"/>
        <v>NOT NULL</v>
      </c>
      <c r="T26" s="76" t="str">
        <f t="shared" si="12"/>
        <v>-- 削除フラグ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milscm_2023_010.azn_202310_backup_mt2_shikkan_kanren.del_f IS '削除フラグ';</v>
      </c>
    </row>
    <row r="27" spans="1:52" s="25" customFormat="1" ht="37.5">
      <c r="A27" s="4"/>
      <c r="B27" s="21">
        <f t="shared" si="2"/>
        <v>15</v>
      </c>
      <c r="C27" s="6" t="s">
        <v>2668</v>
      </c>
      <c r="D27" s="6" t="s">
        <v>1904</v>
      </c>
      <c r="E27" s="8"/>
      <c r="F27" s="7" t="s">
        <v>735</v>
      </c>
      <c r="G27" s="7" t="str">
        <f t="shared" si="3"/>
        <v>text</v>
      </c>
      <c r="H27" s="26">
        <v>99999999</v>
      </c>
      <c r="I27" s="10" t="s">
        <v>127</v>
      </c>
      <c r="J27" s="11" t="s">
        <v>2675</v>
      </c>
      <c r="M27" s="4"/>
      <c r="N27" s="76"/>
      <c r="O27" s="76"/>
      <c r="P27" s="76" t="str">
        <f t="shared" si="4"/>
        <v>,henkou_ymd</v>
      </c>
      <c r="Q27" s="76" t="str">
        <f t="shared" si="0"/>
        <v>TEXT</v>
      </c>
      <c r="R27" s="76" t="str">
        <f t="shared" si="1"/>
        <v>default '99999999'</v>
      </c>
      <c r="S27" s="76" t="str">
        <f t="shared" si="5"/>
        <v>NOT NULL</v>
      </c>
      <c r="T27" s="76" t="str">
        <f t="shared" si="6"/>
        <v>-- 変更年月日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milscm_2023_010.azn_202310_backup_mt2_shikkan_kanren.henkou_ymd IS '変更年月日';</v>
      </c>
    </row>
    <row r="28" spans="1:52" s="25" customFormat="1" ht="38.25" thickBot="1">
      <c r="A28" s="4"/>
      <c r="B28" s="27">
        <f>ROW()-12</f>
        <v>16</v>
      </c>
      <c r="C28" s="57" t="s">
        <v>1905</v>
      </c>
      <c r="D28" s="57" t="s">
        <v>1906</v>
      </c>
      <c r="E28" s="56"/>
      <c r="F28" s="56" t="s">
        <v>735</v>
      </c>
      <c r="G28" s="56" t="str">
        <f t="shared" si="3"/>
        <v>text</v>
      </c>
      <c r="H28" s="59">
        <v>99999999</v>
      </c>
      <c r="I28" s="60" t="s">
        <v>127</v>
      </c>
      <c r="J28" s="63" t="s">
        <v>2675</v>
      </c>
      <c r="N28" s="76"/>
      <c r="O28" s="76"/>
      <c r="P28" s="76" t="str">
        <f t="shared" si="4"/>
        <v>,del_ymd</v>
      </c>
      <c r="Q28" s="76" t="str">
        <f t="shared" si="0"/>
        <v>TEXT</v>
      </c>
      <c r="R28" s="76" t="str">
        <f t="shared" si="1"/>
        <v>default '99999999'</v>
      </c>
      <c r="S28" s="76" t="str">
        <f t="shared" si="5"/>
        <v>NOT NULL</v>
      </c>
      <c r="T28" s="76" t="str">
        <f t="shared" si="6"/>
        <v>-- 廃止年月日</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milscm_2023_010.azn_202310_backup_mt2_shikkan_kanren.del_ymd IS '廃止年月日';</v>
      </c>
    </row>
    <row r="29" spans="1:52">
      <c r="L29" s="25"/>
      <c r="M29" s="25"/>
      <c r="N29" s="76" t="s">
        <v>142</v>
      </c>
      <c r="O29" s="76"/>
      <c r="P29" s="76"/>
      <c r="Q29" s="76"/>
      <c r="R29" s="76"/>
      <c r="S29" s="76"/>
      <c r="T29" s="76"/>
      <c r="V29" s="25"/>
      <c r="W29" s="25"/>
      <c r="X29" s="25"/>
      <c r="Y29" s="25"/>
      <c r="Z29" s="25"/>
      <c r="AJ29" s="76" t="s">
        <v>142</v>
      </c>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V44" s="25"/>
      <c r="AW44" s="25"/>
      <c r="AX44" s="25"/>
      <c r="AY44" s="25"/>
      <c r="AZ44" s="25"/>
    </row>
    <row r="45" spans="12:52">
      <c r="M45" s="25"/>
    </row>
    <row r="46" spans="12:52">
      <c r="M46" s="25"/>
    </row>
    <row r="47" spans="12:52">
      <c r="M47" s="25"/>
    </row>
    <row r="48" spans="12:52">
      <c r="M48" s="25"/>
    </row>
    <row r="49" spans="13:13">
      <c r="M49" s="25"/>
    </row>
    <row r="50" spans="13:13">
      <c r="M5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ENT_01_A4-13</v>
      </c>
      <c r="E6" s="272"/>
      <c r="F6" s="272"/>
      <c r="G6" s="272"/>
      <c r="H6" s="272"/>
      <c r="I6" s="272"/>
      <c r="J6" s="273"/>
    </row>
    <row r="7" spans="1:45">
      <c r="B7" s="261" t="s">
        <v>115</v>
      </c>
      <c r="C7" s="262"/>
      <c r="D7" s="263" t="s">
        <v>2677</v>
      </c>
      <c r="E7" s="264"/>
      <c r="F7" s="264"/>
      <c r="G7" s="264"/>
      <c r="H7" s="264"/>
      <c r="I7" s="264"/>
      <c r="J7" s="265"/>
    </row>
    <row r="8" spans="1:45">
      <c r="B8" s="261" t="s">
        <v>116</v>
      </c>
      <c r="C8" s="262"/>
      <c r="D8" s="263" t="str">
        <f>エンティティ一覧!AE2&amp;"_"&amp;D5&amp;"_mt2_iyakuhin_seibun_kanren"</f>
        <v>azn_202310_backup_mt2_iyakuhin_seibun_kanren</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医薬品成分関連マスタテーブルから組入れ条件の第一条件で絞り込んだ結果を格納するテーブル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milscm_2023_010.azn_202310_backup_mt2_iyakuhin_seibun_kanren;</v>
      </c>
      <c r="O10" s="76"/>
      <c r="P10" s="76"/>
      <c r="Q10" s="76"/>
      <c r="R10" s="76"/>
      <c r="S10" s="76"/>
      <c r="T10" s="76"/>
      <c r="AJ10" s="76" t="str">
        <f>"ALTER TABLE ONLY "&amp;エンティティ一覧!$O$2&amp;"."&amp;D$8</f>
        <v>ALTER TABLE ONLY milscm_2023_010.azn_202310_backup_mt2_iyakuhin_seibun_kanren</v>
      </c>
      <c r="AS10" s="76" t="str">
        <f>"ALTER TABLE "&amp;エンティティ一覧!$O$2&amp;"."&amp;D$8&amp;" OWNER TO pgmisgrp1;"</f>
        <v>ALTER TABLE milscm_2023_010.azn_202310_backup_mt2_iyakuhin_seibun_kanren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milscm_2023_010.azn_202310_backup_mt2_iyakuhin_seibun_kanren</v>
      </c>
      <c r="O11" s="76"/>
      <c r="P11" s="76"/>
      <c r="Q11" s="76"/>
      <c r="R11" s="76"/>
      <c r="S11" s="76"/>
      <c r="T11" s="76"/>
      <c r="AJ11" s="76" t="str">
        <f>"ADD CONSTRAINT "&amp;D$8&amp;"_pkey PRIMARY KEY"</f>
        <v>ADD CONSTRAINT azn_202310_backup_mt2_iyakuhin_seibun_kanren_pkey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milscm_2023_010.azn_202310_backup_mt2_iyakuhin_seibun_kanren IS 'バックアップ_医薬品成分関連マスタ';</v>
      </c>
    </row>
    <row r="13" spans="1:45" s="25" customFormat="1">
      <c r="A13" s="4"/>
      <c r="B13" s="21">
        <f>ROW()-12</f>
        <v>1</v>
      </c>
      <c r="C13" s="6" t="s">
        <v>2026</v>
      </c>
      <c r="D13" s="6" t="s">
        <v>2678</v>
      </c>
      <c r="E13" s="8" t="s">
        <v>127</v>
      </c>
      <c r="F13" s="8" t="s">
        <v>1735</v>
      </c>
      <c r="G13" s="7" t="str">
        <f>IF(F13="フラグ","boolean",IF(F13="文字列","text",IF(F13="整数","integer",IF(F13="実数","numeric",""))))</f>
        <v>text</v>
      </c>
      <c r="H13" s="9"/>
      <c r="I13" s="10" t="s">
        <v>127</v>
      </c>
      <c r="J13" s="11" t="s">
        <v>2687</v>
      </c>
      <c r="M13" s="4"/>
      <c r="N13" s="76"/>
      <c r="O13" s="76"/>
      <c r="P13" s="76" t="str">
        <f>IF(B13&lt;&gt;1,","&amp;D13,D13)</f>
        <v>yj_cd</v>
      </c>
      <c r="Q13" s="76" t="str">
        <f t="shared" ref="Q13:Q32" si="0">UPPER(G13)</f>
        <v>TEXT</v>
      </c>
      <c r="R13" s="76" t="str">
        <f t="shared" ref="R13:R32" si="1">IF(H13&lt;&gt;"","default "&amp;IF(G13="text","'"&amp;H13&amp;"'",H13),"")</f>
        <v/>
      </c>
      <c r="S13" s="76" t="str">
        <f>IF(I13="○","NOT NULL","")</f>
        <v>NOT NULL</v>
      </c>
      <c r="T13" s="76" t="str">
        <f>"-- "&amp;C13</f>
        <v>-- ＹＪコード</v>
      </c>
      <c r="U13" s="4"/>
      <c r="AA13" s="4"/>
      <c r="AB13" s="4"/>
      <c r="AC13" s="4"/>
      <c r="AD13" s="4"/>
      <c r="AE13" s="4"/>
      <c r="AF13" s="4"/>
      <c r="AG13" s="4"/>
      <c r="AH13" s="4"/>
      <c r="AI13" s="4"/>
      <c r="AJ13" s="76" t="str">
        <f>IF(E13="○",IF(COUNTA(E$13:E13)=1,"",",")&amp;D13,"")</f>
        <v>yj_cd</v>
      </c>
      <c r="AK13" s="4"/>
      <c r="AL13" s="4"/>
      <c r="AM13" s="4"/>
      <c r="AN13" s="4"/>
      <c r="AO13" s="4"/>
      <c r="AP13" s="4"/>
      <c r="AQ13" s="4"/>
      <c r="AR13" s="4"/>
      <c r="AS13" s="76" t="str">
        <f>"COMMENT ON COLUMN "&amp;エンティティ一覧!$O$2&amp;"."&amp;D$8&amp;"."&amp;D13&amp;" IS '"&amp;C13&amp;"';"</f>
        <v>COMMENT ON COLUMN milscm_2023_010.azn_202310_backup_mt2_iyakuhin_seibun_kanren.yj_cd IS 'ＹＪコード';</v>
      </c>
    </row>
    <row r="14" spans="1:45" s="25" customFormat="1" ht="37.5">
      <c r="A14" s="4"/>
      <c r="B14" s="21">
        <f t="shared" ref="B14:B31" si="2">ROW()-12</f>
        <v>2</v>
      </c>
      <c r="C14" s="6" t="s">
        <v>1155</v>
      </c>
      <c r="D14" s="6" t="s">
        <v>2545</v>
      </c>
      <c r="E14" s="8"/>
      <c r="F14" s="7" t="s">
        <v>735</v>
      </c>
      <c r="G14" s="7" t="str">
        <f t="shared" ref="G14:G32" si="3">IF(F14="フラグ","boolean",IF(F14="文字列","text",IF(F14="整数","integer",IF(F14="実数","numeric",""))))</f>
        <v>text</v>
      </c>
      <c r="H14" s="26"/>
      <c r="I14" s="10"/>
      <c r="J14" s="11" t="s">
        <v>2688</v>
      </c>
      <c r="M14" s="4"/>
      <c r="N14" s="76"/>
      <c r="O14" s="76"/>
      <c r="P14" s="76" t="str">
        <f t="shared" ref="P14:P32" si="4">IF(B14&lt;&gt;1,","&amp;D14,D14)</f>
        <v>,iyakuhin_cd</v>
      </c>
      <c r="Q14" s="76" t="str">
        <f t="shared" si="0"/>
        <v>TEXT</v>
      </c>
      <c r="R14" s="76" t="str">
        <f t="shared" si="1"/>
        <v/>
      </c>
      <c r="S14" s="76" t="str">
        <f t="shared" ref="S14:S32" si="5">IF(I14="○","NOT NULL","")</f>
        <v/>
      </c>
      <c r="T14" s="76" t="str">
        <f t="shared" ref="T14:T32" si="6">"-- "&amp;C14</f>
        <v>-- 医薬品コード</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milscm_2023_010.azn_202310_backup_mt2_iyakuhin_seibun_kanren.iyakuhin_cd IS '医薬品コード';</v>
      </c>
    </row>
    <row r="15" spans="1:45" s="25" customFormat="1" ht="37.5">
      <c r="A15" s="4"/>
      <c r="B15" s="21">
        <f t="shared" si="2"/>
        <v>3</v>
      </c>
      <c r="C15" s="6" t="s">
        <v>2111</v>
      </c>
      <c r="D15" s="6" t="s">
        <v>2112</v>
      </c>
      <c r="E15" s="8"/>
      <c r="F15" s="7" t="s">
        <v>1735</v>
      </c>
      <c r="G15" s="7" t="str">
        <f t="shared" si="3"/>
        <v>text</v>
      </c>
      <c r="H15" s="26"/>
      <c r="I15" s="10"/>
      <c r="J15" s="11" t="s">
        <v>2688</v>
      </c>
      <c r="M15" s="4"/>
      <c r="N15" s="76"/>
      <c r="O15" s="76"/>
      <c r="P15" s="76" t="str">
        <f t="shared" si="4"/>
        <v>,iyakuhin_name</v>
      </c>
      <c r="Q15" s="76" t="str">
        <f t="shared" si="0"/>
        <v>TEXT</v>
      </c>
      <c r="R15" s="76" t="str">
        <f t="shared" si="1"/>
        <v/>
      </c>
      <c r="S15" s="76" t="str">
        <f t="shared" si="5"/>
        <v/>
      </c>
      <c r="T15" s="76" t="str">
        <f t="shared" si="6"/>
        <v>-- 医薬品名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milscm_2023_010.azn_202310_backup_mt2_iyakuhin_seibun_kanren.iyakuhin_name IS '医薬品名';</v>
      </c>
    </row>
    <row r="16" spans="1:45" s="25" customFormat="1" ht="56.25">
      <c r="A16" s="4"/>
      <c r="B16" s="21">
        <f t="shared" si="2"/>
        <v>4</v>
      </c>
      <c r="C16" s="6" t="s">
        <v>2028</v>
      </c>
      <c r="D16" s="6" t="s">
        <v>2029</v>
      </c>
      <c r="E16" s="8"/>
      <c r="F16" s="7" t="s">
        <v>1735</v>
      </c>
      <c r="G16" s="7" t="str">
        <f t="shared" si="3"/>
        <v>text</v>
      </c>
      <c r="H16" s="26"/>
      <c r="I16" s="10" t="s">
        <v>127</v>
      </c>
      <c r="J16" s="11" t="s">
        <v>2689</v>
      </c>
      <c r="M16" s="4"/>
      <c r="N16" s="76"/>
      <c r="O16" s="76"/>
      <c r="P16" s="76" t="str">
        <f t="shared" si="4"/>
        <v>,haigozai_f</v>
      </c>
      <c r="Q16" s="76" t="str">
        <f t="shared" si="0"/>
        <v>TEXT</v>
      </c>
      <c r="R16" s="76" t="str">
        <f t="shared" si="1"/>
        <v/>
      </c>
      <c r="S16" s="76" t="str">
        <f t="shared" si="5"/>
        <v>NOT NULL</v>
      </c>
      <c r="T16" s="76" t="str">
        <f t="shared" si="6"/>
        <v>-- 配合剤フラグ</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milscm_2023_010.azn_202310_backup_mt2_iyakuhin_seibun_kanren.haigozai_f IS '配合剤フラグ';</v>
      </c>
    </row>
    <row r="17" spans="1:45" s="25" customFormat="1">
      <c r="A17" s="4"/>
      <c r="B17" s="21">
        <f t="shared" si="2"/>
        <v>5</v>
      </c>
      <c r="C17" s="6" t="s">
        <v>2030</v>
      </c>
      <c r="D17" s="6" t="s">
        <v>2679</v>
      </c>
      <c r="E17" s="8"/>
      <c r="F17" s="7" t="s">
        <v>1735</v>
      </c>
      <c r="G17" s="7" t="str">
        <f t="shared" si="3"/>
        <v>text</v>
      </c>
      <c r="H17" s="26"/>
      <c r="I17" s="10" t="s">
        <v>127</v>
      </c>
      <c r="J17" s="11" t="s">
        <v>2690</v>
      </c>
      <c r="M17" s="4"/>
      <c r="N17" s="76"/>
      <c r="O17" s="76"/>
      <c r="P17" s="76" t="str">
        <f t="shared" si="4"/>
        <v>,seibun_group_cd</v>
      </c>
      <c r="Q17" s="76" t="str">
        <f t="shared" si="0"/>
        <v>TEXT</v>
      </c>
      <c r="R17" s="76" t="str">
        <f t="shared" si="1"/>
        <v/>
      </c>
      <c r="S17" s="76" t="str">
        <f t="shared" si="5"/>
        <v>NOT NULL</v>
      </c>
      <c r="T17" s="76" t="str">
        <f t="shared" si="6"/>
        <v>-- 成分グループコード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milscm_2023_010.azn_202310_backup_mt2_iyakuhin_seibun_kanren.seibun_group_cd IS '成分グループコード';</v>
      </c>
    </row>
    <row r="18" spans="1:45" s="25" customFormat="1">
      <c r="A18" s="4"/>
      <c r="B18" s="21">
        <f t="shared" si="2"/>
        <v>6</v>
      </c>
      <c r="C18" s="6" t="s">
        <v>2032</v>
      </c>
      <c r="D18" s="6" t="s">
        <v>2680</v>
      </c>
      <c r="E18" s="8" t="s">
        <v>127</v>
      </c>
      <c r="F18" s="7" t="s">
        <v>1735</v>
      </c>
      <c r="G18" s="7" t="str">
        <f t="shared" si="3"/>
        <v>text</v>
      </c>
      <c r="H18" s="26"/>
      <c r="I18" s="10" t="s">
        <v>127</v>
      </c>
      <c r="J18" s="11" t="s">
        <v>2690</v>
      </c>
      <c r="M18" s="4"/>
      <c r="N18" s="76"/>
      <c r="O18" s="76"/>
      <c r="P18" s="76" t="str">
        <f t="shared" si="4"/>
        <v>,seibun_cd</v>
      </c>
      <c r="Q18" s="76" t="str">
        <f t="shared" si="0"/>
        <v>TEXT</v>
      </c>
      <c r="R18" s="76" t="str">
        <f t="shared" si="1"/>
        <v/>
      </c>
      <c r="S18" s="76" t="str">
        <f t="shared" si="5"/>
        <v>NOT NULL</v>
      </c>
      <c r="T18" s="76" t="str">
        <f t="shared" si="6"/>
        <v>-- 成分コード</v>
      </c>
      <c r="U18" s="4"/>
      <c r="AA18" s="4"/>
      <c r="AB18" s="4"/>
      <c r="AC18" s="4"/>
      <c r="AD18" s="4"/>
      <c r="AE18" s="4"/>
      <c r="AF18" s="4"/>
      <c r="AG18" s="4"/>
      <c r="AH18" s="4"/>
      <c r="AI18" s="4"/>
      <c r="AJ18" s="76" t="str">
        <f>IF(E18="○",IF(COUNTA(E$13:E18)=1,"",",")&amp;D18,"")</f>
        <v>,seibun_cd</v>
      </c>
      <c r="AK18" s="4"/>
      <c r="AL18" s="4"/>
      <c r="AM18" s="4"/>
      <c r="AN18" s="4"/>
      <c r="AO18" s="4"/>
      <c r="AP18" s="4"/>
      <c r="AQ18" s="4"/>
      <c r="AR18" s="4"/>
      <c r="AS18" s="76" t="str">
        <f>"COMMENT ON COLUMN "&amp;エンティティ一覧!$O$2&amp;"."&amp;D$8&amp;"."&amp;D18&amp;" IS '"&amp;C18&amp;"';"</f>
        <v>COMMENT ON COLUMN milscm_2023_010.azn_202310_backup_mt2_iyakuhin_seibun_kanren.seibun_cd IS '成分コード';</v>
      </c>
    </row>
    <row r="19" spans="1:45" s="25" customFormat="1">
      <c r="A19" s="4"/>
      <c r="B19" s="21">
        <f t="shared" si="2"/>
        <v>7</v>
      </c>
      <c r="C19" s="6" t="s">
        <v>2057</v>
      </c>
      <c r="D19" s="6" t="s">
        <v>2058</v>
      </c>
      <c r="E19" s="8"/>
      <c r="F19" s="7" t="s">
        <v>1735</v>
      </c>
      <c r="G19" s="7" t="str">
        <f t="shared" si="3"/>
        <v>text</v>
      </c>
      <c r="H19" s="26"/>
      <c r="I19" s="10" t="s">
        <v>127</v>
      </c>
      <c r="J19" s="11" t="s">
        <v>2691</v>
      </c>
      <c r="M19" s="4"/>
      <c r="N19" s="76"/>
      <c r="O19" s="76"/>
      <c r="P19" s="76" t="str">
        <f t="shared" si="4"/>
        <v>,seibun_name</v>
      </c>
      <c r="Q19" s="76" t="str">
        <f t="shared" si="0"/>
        <v>TEXT</v>
      </c>
      <c r="R19" s="76" t="str">
        <f t="shared" si="1"/>
        <v/>
      </c>
      <c r="S19" s="76" t="str">
        <f t="shared" si="5"/>
        <v>NOT NULL</v>
      </c>
      <c r="T19" s="76" t="str">
        <f t="shared" si="6"/>
        <v>-- 成分名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milscm_2023_010.azn_202310_backup_mt2_iyakuhin_seibun_kanren.seibun_name IS '成分名';</v>
      </c>
    </row>
    <row r="20" spans="1:45" s="25" customFormat="1">
      <c r="A20" s="4"/>
      <c r="B20" s="21">
        <f t="shared" si="2"/>
        <v>8</v>
      </c>
      <c r="C20" s="6" t="s">
        <v>2034</v>
      </c>
      <c r="D20" s="6" t="s">
        <v>2035</v>
      </c>
      <c r="E20" s="8"/>
      <c r="F20" s="7" t="s">
        <v>1742</v>
      </c>
      <c r="G20" s="7" t="str">
        <f t="shared" si="3"/>
        <v>numeric</v>
      </c>
      <c r="H20" s="26"/>
      <c r="I20" s="10"/>
      <c r="J20" s="11" t="s">
        <v>2690</v>
      </c>
      <c r="M20" s="4"/>
      <c r="N20" s="76"/>
      <c r="O20" s="76"/>
      <c r="P20" s="76" t="str">
        <f t="shared" si="4"/>
        <v>,seibunryo</v>
      </c>
      <c r="Q20" s="76" t="str">
        <f t="shared" si="0"/>
        <v>NUMERIC</v>
      </c>
      <c r="R20" s="76" t="str">
        <f t="shared" si="1"/>
        <v/>
      </c>
      <c r="S20" s="76" t="str">
        <f t="shared" si="5"/>
        <v/>
      </c>
      <c r="T20" s="76" t="str">
        <f t="shared" si="6"/>
        <v>-- 成分量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milscm_2023_010.azn_202310_backup_mt2_iyakuhin_seibun_kanren.seibunryo IS '成分量';</v>
      </c>
    </row>
    <row r="21" spans="1:45" s="25" customFormat="1">
      <c r="A21" s="4"/>
      <c r="B21" s="21">
        <f t="shared" si="2"/>
        <v>9</v>
      </c>
      <c r="C21" s="6" t="s">
        <v>2036</v>
      </c>
      <c r="D21" s="6" t="s">
        <v>2681</v>
      </c>
      <c r="E21" s="8"/>
      <c r="F21" s="7" t="s">
        <v>1735</v>
      </c>
      <c r="G21" s="7" t="str">
        <f t="shared" si="3"/>
        <v>text</v>
      </c>
      <c r="H21" s="26"/>
      <c r="I21" s="10"/>
      <c r="J21" s="11" t="s">
        <v>2690</v>
      </c>
      <c r="M21" s="4"/>
      <c r="N21" s="76"/>
      <c r="O21" s="76"/>
      <c r="P21" s="76" t="str">
        <f t="shared" si="4"/>
        <v>,seibun_unit_cd</v>
      </c>
      <c r="Q21" s="76" t="str">
        <f t="shared" si="0"/>
        <v>TEXT</v>
      </c>
      <c r="R21" s="76" t="str">
        <f t="shared" si="1"/>
        <v/>
      </c>
      <c r="S21" s="76" t="str">
        <f t="shared" si="5"/>
        <v/>
      </c>
      <c r="T21" s="76" t="str">
        <f t="shared" si="6"/>
        <v>-- 成分単位コード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milscm_2023_010.azn_202310_backup_mt2_iyakuhin_seibun_kanren.seibun_unit_cd IS '成分単位コード';</v>
      </c>
    </row>
    <row r="22" spans="1:45" s="25" customFormat="1">
      <c r="A22" s="4"/>
      <c r="B22" s="21">
        <f t="shared" si="2"/>
        <v>10</v>
      </c>
      <c r="C22" s="6" t="s">
        <v>2682</v>
      </c>
      <c r="D22" s="6" t="s">
        <v>2683</v>
      </c>
      <c r="E22" s="8"/>
      <c r="F22" s="7" t="s">
        <v>1735</v>
      </c>
      <c r="G22" s="7" t="str">
        <f t="shared" si="3"/>
        <v>text</v>
      </c>
      <c r="H22" s="26"/>
      <c r="I22" s="10"/>
      <c r="J22" s="11" t="s">
        <v>2692</v>
      </c>
      <c r="M22" s="4"/>
      <c r="N22" s="76"/>
      <c r="O22" s="76"/>
      <c r="P22" s="76" t="str">
        <f t="shared" si="4"/>
        <v>,seibun_unit_name</v>
      </c>
      <c r="Q22" s="76" t="str">
        <f t="shared" si="0"/>
        <v>TEXT</v>
      </c>
      <c r="R22" s="76" t="str">
        <f t="shared" si="1"/>
        <v/>
      </c>
      <c r="S22" s="76" t="str">
        <f t="shared" si="5"/>
        <v/>
      </c>
      <c r="T22" s="76" t="str">
        <f t="shared" si="6"/>
        <v>-- 成分単位名称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milscm_2023_010.azn_202310_backup_mt2_iyakuhin_seibun_kanren.seibun_unit_name IS '成分単位名称';</v>
      </c>
    </row>
    <row r="23" spans="1:45" s="25" customFormat="1">
      <c r="A23" s="4"/>
      <c r="B23" s="21">
        <f t="shared" si="2"/>
        <v>11</v>
      </c>
      <c r="C23" s="6" t="s">
        <v>2038</v>
      </c>
      <c r="D23" s="6" t="s">
        <v>2039</v>
      </c>
      <c r="E23" s="8"/>
      <c r="F23" s="7" t="s">
        <v>1742</v>
      </c>
      <c r="G23" s="7" t="str">
        <f t="shared" si="3"/>
        <v>numeric</v>
      </c>
      <c r="H23" s="26"/>
      <c r="I23" s="10"/>
      <c r="J23" s="11" t="s">
        <v>2690</v>
      </c>
      <c r="M23" s="4"/>
      <c r="N23" s="76"/>
      <c r="O23" s="76"/>
      <c r="P23" s="76" t="str">
        <f t="shared" si="4"/>
        <v>,kokuji_kikakuryo</v>
      </c>
      <c r="Q23" s="76" t="str">
        <f t="shared" si="0"/>
        <v>NUMERIC</v>
      </c>
      <c r="R23" s="76" t="str">
        <f t="shared" si="1"/>
        <v/>
      </c>
      <c r="S23" s="76" t="str">
        <f t="shared" si="5"/>
        <v/>
      </c>
      <c r="T23" s="76" t="str">
        <f t="shared" si="6"/>
        <v>-- 告示規格量</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milscm_2023_010.azn_202310_backup_mt2_iyakuhin_seibun_kanren.kokuji_kikakuryo IS '告示規格量';</v>
      </c>
    </row>
    <row r="24" spans="1:45" s="25" customFormat="1">
      <c r="A24" s="4"/>
      <c r="B24" s="21">
        <f t="shared" si="2"/>
        <v>12</v>
      </c>
      <c r="C24" s="6" t="s">
        <v>2040</v>
      </c>
      <c r="D24" s="6" t="s">
        <v>2684</v>
      </c>
      <c r="E24" s="8"/>
      <c r="F24" s="7" t="s">
        <v>1735</v>
      </c>
      <c r="G24" s="7" t="str">
        <f t="shared" si="3"/>
        <v>text</v>
      </c>
      <c r="H24" s="26"/>
      <c r="I24" s="10"/>
      <c r="J24" s="11" t="s">
        <v>2690</v>
      </c>
      <c r="M24" s="4"/>
      <c r="N24" s="76"/>
      <c r="O24" s="76"/>
      <c r="P24" s="76" t="str">
        <f t="shared" si="4"/>
        <v>,kokuji_kikaku_unit_cd</v>
      </c>
      <c r="Q24" s="76" t="str">
        <f t="shared" si="0"/>
        <v>TEXT</v>
      </c>
      <c r="R24" s="76" t="str">
        <f t="shared" si="1"/>
        <v/>
      </c>
      <c r="S24" s="76" t="str">
        <f t="shared" si="5"/>
        <v/>
      </c>
      <c r="T24" s="76" t="str">
        <f t="shared" si="6"/>
        <v>-- 告示規格単位コード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milscm_2023_010.azn_202310_backup_mt2_iyakuhin_seibun_kanren.kokuji_kikaku_unit_cd IS '告示規格単位コード';</v>
      </c>
    </row>
    <row r="25" spans="1:45" s="25" customFormat="1">
      <c r="A25" s="4"/>
      <c r="B25" s="21">
        <f t="shared" si="2"/>
        <v>13</v>
      </c>
      <c r="C25" s="6" t="s">
        <v>2685</v>
      </c>
      <c r="D25" s="6" t="s">
        <v>2686</v>
      </c>
      <c r="E25" s="8"/>
      <c r="F25" s="7" t="s">
        <v>1735</v>
      </c>
      <c r="G25" s="7" t="str">
        <f t="shared" si="3"/>
        <v>text</v>
      </c>
      <c r="H25" s="26"/>
      <c r="I25" s="10"/>
      <c r="J25" s="11" t="s">
        <v>2692</v>
      </c>
      <c r="M25" s="4"/>
      <c r="N25" s="76"/>
      <c r="O25" s="76"/>
      <c r="P25" s="76" t="str">
        <f t="shared" si="4"/>
        <v>,kokuji_kikaku_unit_name</v>
      </c>
      <c r="Q25" s="76" t="str">
        <f t="shared" si="0"/>
        <v>TEXT</v>
      </c>
      <c r="R25" s="76" t="str">
        <f t="shared" si="1"/>
        <v/>
      </c>
      <c r="S25" s="76" t="str">
        <f t="shared" si="5"/>
        <v/>
      </c>
      <c r="T25" s="76" t="str">
        <f t="shared" si="6"/>
        <v>-- 告示規格単位名称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milscm_2023_010.azn_202310_backup_mt2_iyakuhin_seibun_kanren.kokuji_kikaku_unit_name IS '告示規格単位名称';</v>
      </c>
    </row>
    <row r="26" spans="1:45" s="25" customFormat="1" ht="37.5">
      <c r="A26" s="4"/>
      <c r="B26" s="21">
        <f t="shared" si="2"/>
        <v>14</v>
      </c>
      <c r="C26" s="6" t="s">
        <v>2113</v>
      </c>
      <c r="D26" s="6" t="s">
        <v>2114</v>
      </c>
      <c r="E26" s="8"/>
      <c r="F26" s="7" t="s">
        <v>1735</v>
      </c>
      <c r="G26" s="7" t="str">
        <f t="shared" si="3"/>
        <v>text</v>
      </c>
      <c r="H26" s="26"/>
      <c r="I26" s="10"/>
      <c r="J26" s="11" t="s">
        <v>2688</v>
      </c>
      <c r="M26" s="4"/>
      <c r="N26" s="76"/>
      <c r="O26" s="76"/>
      <c r="P26" s="76" t="str">
        <f t="shared" si="4"/>
        <v>,kikaku_naiyou</v>
      </c>
      <c r="Q26" s="76" t="str">
        <f t="shared" si="0"/>
        <v>TEXT</v>
      </c>
      <c r="R26" s="76" t="str">
        <f t="shared" si="1"/>
        <v/>
      </c>
      <c r="S26" s="76" t="str">
        <f t="shared" si="5"/>
        <v/>
      </c>
      <c r="T26" s="76" t="str">
        <f t="shared" si="6"/>
        <v>-- 規格内容</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milscm_2023_010.azn_202310_backup_mt2_iyakuhin_seibun_kanren.kikaku_naiyou IS '規格内容';</v>
      </c>
    </row>
    <row r="27" spans="1:45" s="25" customFormat="1">
      <c r="A27" s="4"/>
      <c r="B27" s="21">
        <f t="shared" si="2"/>
        <v>15</v>
      </c>
      <c r="C27" s="6" t="s">
        <v>2042</v>
      </c>
      <c r="D27" s="6" t="s">
        <v>2043</v>
      </c>
      <c r="E27" s="8"/>
      <c r="F27" s="7" t="s">
        <v>1735</v>
      </c>
      <c r="G27" s="7" t="str">
        <f t="shared" ref="G27:G30" si="7">IF(F27="フラグ","boolean",IF(F27="文字列","text",IF(F27="整数","integer",IF(F27="実数","numeric",""))))</f>
        <v>text</v>
      </c>
      <c r="H27" s="26"/>
      <c r="I27" s="10"/>
      <c r="J27" s="11" t="s">
        <v>2690</v>
      </c>
      <c r="M27" s="4"/>
      <c r="N27" s="76"/>
      <c r="O27" s="76"/>
      <c r="P27" s="76" t="str">
        <f t="shared" ref="P27:P30" si="8">IF(B27&lt;&gt;1,","&amp;D27,D27)</f>
        <v>,bikou</v>
      </c>
      <c r="Q27" s="76" t="str">
        <f t="shared" ref="Q27:Q30" si="9">UPPER(G27)</f>
        <v>TEXT</v>
      </c>
      <c r="R27" s="76" t="str">
        <f t="shared" ref="R27:R30" si="10">IF(H27&lt;&gt;"","default "&amp;IF(G27="text","'"&amp;H27&amp;"'",H27),"")</f>
        <v/>
      </c>
      <c r="S27" s="76" t="str">
        <f t="shared" ref="S27:S30" si="11">IF(I27="○","NOT NULL","")</f>
        <v/>
      </c>
      <c r="T27" s="76" t="str">
        <f t="shared" ref="T27:T30" si="12">"-- "&amp;C27</f>
        <v>-- 備考</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milscm_2023_010.azn_202310_backup_mt2_iyakuhin_seibun_kanren.bikou IS '備考';</v>
      </c>
    </row>
    <row r="28" spans="1:45" s="25" customFormat="1" ht="37.5">
      <c r="A28" s="4"/>
      <c r="B28" s="21">
        <f t="shared" si="2"/>
        <v>16</v>
      </c>
      <c r="C28" s="6" t="s">
        <v>2397</v>
      </c>
      <c r="D28" s="6" t="s">
        <v>1879</v>
      </c>
      <c r="E28" s="8" t="s">
        <v>127</v>
      </c>
      <c r="F28" s="7" t="s">
        <v>735</v>
      </c>
      <c r="G28" s="7" t="str">
        <f t="shared" si="7"/>
        <v>text</v>
      </c>
      <c r="H28" s="26" t="s">
        <v>1918</v>
      </c>
      <c r="I28" s="10" t="s">
        <v>127</v>
      </c>
      <c r="J28" s="11" t="s">
        <v>2693</v>
      </c>
      <c r="M28" s="4"/>
      <c r="N28" s="76"/>
      <c r="O28" s="76"/>
      <c r="P28" s="76" t="str">
        <f t="shared" si="8"/>
        <v>,update_ymd</v>
      </c>
      <c r="Q28" s="76" t="str">
        <f t="shared" si="9"/>
        <v>TEXT</v>
      </c>
      <c r="R28" s="76" t="str">
        <f t="shared" si="10"/>
        <v>default '99999999'</v>
      </c>
      <c r="S28" s="76" t="str">
        <f t="shared" si="11"/>
        <v>NOT NULL</v>
      </c>
      <c r="T28" s="76" t="str">
        <f t="shared" si="12"/>
        <v>-- データ登録日</v>
      </c>
      <c r="U28" s="4"/>
      <c r="AA28" s="4"/>
      <c r="AB28" s="4"/>
      <c r="AC28" s="4"/>
      <c r="AD28" s="4"/>
      <c r="AE28" s="4"/>
      <c r="AF28" s="4"/>
      <c r="AG28" s="4"/>
      <c r="AH28" s="4"/>
      <c r="AI28" s="4"/>
      <c r="AJ28" s="76" t="str">
        <f>IF(E28="○",IF(COUNTA(E$13:E28)=1,"",",")&amp;D28,"")</f>
        <v>,update_ymd</v>
      </c>
      <c r="AK28" s="4"/>
      <c r="AL28" s="4"/>
      <c r="AM28" s="4"/>
      <c r="AN28" s="4"/>
      <c r="AO28" s="4"/>
      <c r="AP28" s="4"/>
      <c r="AQ28" s="4"/>
      <c r="AR28" s="4"/>
      <c r="AS28" s="76" t="str">
        <f>"COMMENT ON COLUMN "&amp;エンティティ一覧!$O$2&amp;"."&amp;D$8&amp;"."&amp;D28&amp;" IS '"&amp;C28&amp;"';"</f>
        <v>COMMENT ON COLUMN milscm_2023_010.azn_202310_backup_mt2_iyakuhin_seibun_kanren.update_ymd IS 'データ登録日';</v>
      </c>
    </row>
    <row r="29" spans="1:45" s="25" customFormat="1" ht="56.25">
      <c r="A29" s="4"/>
      <c r="B29" s="21">
        <f t="shared" si="2"/>
        <v>17</v>
      </c>
      <c r="C29" s="6" t="s">
        <v>2505</v>
      </c>
      <c r="D29" s="6" t="s">
        <v>2506</v>
      </c>
      <c r="E29" s="8"/>
      <c r="F29" s="7" t="s">
        <v>735</v>
      </c>
      <c r="G29" s="7" t="str">
        <f t="shared" si="7"/>
        <v>text</v>
      </c>
      <c r="H29" s="26">
        <v>0</v>
      </c>
      <c r="I29" s="10" t="s">
        <v>127</v>
      </c>
      <c r="J29" s="11" t="s">
        <v>2694</v>
      </c>
      <c r="M29" s="4"/>
      <c r="N29" s="76"/>
      <c r="O29" s="76"/>
      <c r="P29" s="76" t="str">
        <f t="shared" si="8"/>
        <v>,new_f</v>
      </c>
      <c r="Q29" s="76" t="str">
        <f t="shared" si="9"/>
        <v>TEXT</v>
      </c>
      <c r="R29" s="76" t="str">
        <f t="shared" si="10"/>
        <v>default '0'</v>
      </c>
      <c r="S29" s="76" t="str">
        <f t="shared" si="11"/>
        <v>NOT NULL</v>
      </c>
      <c r="T29" s="76" t="str">
        <f t="shared" si="12"/>
        <v>-- 最新フラグ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milscm_2023_010.azn_202310_backup_mt2_iyakuhin_seibun_kanren.new_f IS '最新フラグ';</v>
      </c>
    </row>
    <row r="30" spans="1:45" s="25" customFormat="1" ht="56.25">
      <c r="A30" s="4"/>
      <c r="B30" s="21">
        <f t="shared" si="2"/>
        <v>18</v>
      </c>
      <c r="C30" s="6" t="s">
        <v>2532</v>
      </c>
      <c r="D30" s="6" t="s">
        <v>1902</v>
      </c>
      <c r="E30" s="8"/>
      <c r="F30" s="7" t="s">
        <v>735</v>
      </c>
      <c r="G30" s="7" t="str">
        <f t="shared" si="7"/>
        <v>text</v>
      </c>
      <c r="H30" s="26">
        <v>0</v>
      </c>
      <c r="I30" s="10" t="s">
        <v>127</v>
      </c>
      <c r="J30" s="11" t="s">
        <v>2695</v>
      </c>
      <c r="M30" s="4"/>
      <c r="N30" s="76"/>
      <c r="O30" s="76"/>
      <c r="P30" s="76" t="str">
        <f t="shared" si="8"/>
        <v>,del_f</v>
      </c>
      <c r="Q30" s="76" t="str">
        <f t="shared" si="9"/>
        <v>TEXT</v>
      </c>
      <c r="R30" s="76" t="str">
        <f t="shared" si="10"/>
        <v>default '0'</v>
      </c>
      <c r="S30" s="76" t="str">
        <f t="shared" si="11"/>
        <v>NOT NULL</v>
      </c>
      <c r="T30" s="76" t="str">
        <f t="shared" si="12"/>
        <v>-- 削除フラグ</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milscm_2023_010.azn_202310_backup_mt2_iyakuhin_seibun_kanren.del_f IS '削除フラグ';</v>
      </c>
    </row>
    <row r="31" spans="1:45" s="25" customFormat="1" ht="131.25">
      <c r="A31" s="4"/>
      <c r="B31" s="21">
        <f t="shared" si="2"/>
        <v>19</v>
      </c>
      <c r="C31" s="6" t="s">
        <v>1965</v>
      </c>
      <c r="D31" s="6" t="s">
        <v>1904</v>
      </c>
      <c r="E31" s="8"/>
      <c r="F31" s="7" t="s">
        <v>735</v>
      </c>
      <c r="G31" s="7" t="str">
        <f t="shared" si="3"/>
        <v>text</v>
      </c>
      <c r="H31" s="26" t="s">
        <v>1918</v>
      </c>
      <c r="I31" s="10" t="s">
        <v>127</v>
      </c>
      <c r="J31" s="11" t="s">
        <v>2696</v>
      </c>
      <c r="M31" s="4"/>
      <c r="N31" s="76"/>
      <c r="O31" s="76"/>
      <c r="P31" s="76" t="str">
        <f t="shared" si="4"/>
        <v>,henkou_ymd</v>
      </c>
      <c r="Q31" s="76" t="str">
        <f t="shared" si="0"/>
        <v>TEXT</v>
      </c>
      <c r="R31" s="76" t="str">
        <f t="shared" si="1"/>
        <v>default '99999999'</v>
      </c>
      <c r="S31" s="76" t="str">
        <f t="shared" si="5"/>
        <v>NOT NULL</v>
      </c>
      <c r="T31" s="76" t="str">
        <f t="shared" si="6"/>
        <v>-- 変更年月日</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milscm_2023_010.azn_202310_backup_mt2_iyakuhin_seibun_kanren.henkou_ymd IS '変更年月日';</v>
      </c>
    </row>
    <row r="32" spans="1:45" s="25" customFormat="1" ht="75.75" thickBot="1">
      <c r="A32" s="4"/>
      <c r="B32" s="27">
        <f>ROW()-12</f>
        <v>20</v>
      </c>
      <c r="C32" s="57" t="s">
        <v>1905</v>
      </c>
      <c r="D32" s="57" t="s">
        <v>1906</v>
      </c>
      <c r="E32" s="56"/>
      <c r="F32" s="56" t="s">
        <v>735</v>
      </c>
      <c r="G32" s="56" t="str">
        <f t="shared" si="3"/>
        <v>text</v>
      </c>
      <c r="H32" s="59" t="s">
        <v>1918</v>
      </c>
      <c r="I32" s="60" t="s">
        <v>127</v>
      </c>
      <c r="J32" s="63" t="s">
        <v>2697</v>
      </c>
      <c r="N32" s="76"/>
      <c r="O32" s="76"/>
      <c r="P32" s="76" t="str">
        <f t="shared" si="4"/>
        <v>,del_ymd</v>
      </c>
      <c r="Q32" s="76" t="str">
        <f t="shared" si="0"/>
        <v>TEXT</v>
      </c>
      <c r="R32" s="76" t="str">
        <f t="shared" si="1"/>
        <v>default '99999999'</v>
      </c>
      <c r="S32" s="76" t="str">
        <f t="shared" si="5"/>
        <v>NOT NULL</v>
      </c>
      <c r="T32" s="76" t="str">
        <f t="shared" si="6"/>
        <v>-- 廃止年月日</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milscm_2023_010.azn_202310_backup_mt2_iyakuhin_seibun_kanren.del_ymd IS '廃止年月日';</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ENT_01_A4-14</v>
      </c>
      <c r="E6" s="272"/>
      <c r="F6" s="272"/>
      <c r="G6" s="272"/>
      <c r="H6" s="272"/>
      <c r="I6" s="272"/>
      <c r="J6" s="273"/>
    </row>
    <row r="7" spans="1:45">
      <c r="B7" s="261" t="s">
        <v>115</v>
      </c>
      <c r="C7" s="262"/>
      <c r="D7" s="263" t="s">
        <v>2698</v>
      </c>
      <c r="E7" s="264"/>
      <c r="F7" s="264"/>
      <c r="G7" s="264"/>
      <c r="H7" s="264"/>
      <c r="I7" s="264"/>
      <c r="J7" s="265"/>
    </row>
    <row r="8" spans="1:45">
      <c r="B8" s="261" t="s">
        <v>116</v>
      </c>
      <c r="C8" s="262"/>
      <c r="D8" s="263" t="str">
        <f>エンティティ一覧!AE2&amp;"_"&amp;D5&amp;"_mt2_iyakuhin_tekiyou_byomei_kanren"</f>
        <v>azn_202310_backup_mt2_iyakuhin_tekiyou_byomei_kanren</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医薬品適用病名関連マスタテーブルから組入れ条件の第一条件で絞り込んだ結果を格納するテーブル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milscm_2023_010.azn_202310_backup_mt2_iyakuhin_tekiyou_byomei_kanren;</v>
      </c>
      <c r="O10" s="76"/>
      <c r="P10" s="76"/>
      <c r="Q10" s="76"/>
      <c r="R10" s="76"/>
      <c r="S10" s="76"/>
      <c r="T10" s="76"/>
      <c r="AJ10" s="76" t="str">
        <f>"ALTER TABLE ONLY "&amp;エンティティ一覧!$O$2&amp;"."&amp;D$8</f>
        <v>ALTER TABLE ONLY milscm_2023_010.azn_202310_backup_mt2_iyakuhin_tekiyou_byomei_kanren</v>
      </c>
      <c r="AS10" s="76" t="str">
        <f>"ALTER TABLE "&amp;エンティティ一覧!$O$2&amp;"."&amp;D$8&amp;" OWNER TO pgmisgrp1;"</f>
        <v>ALTER TABLE milscm_2023_010.azn_202310_backup_mt2_iyakuhin_tekiyou_byomei_kanren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milscm_2023_010.azn_202310_backup_mt2_iyakuhin_tekiyou_byomei_kanren</v>
      </c>
      <c r="O11" s="76"/>
      <c r="P11" s="76"/>
      <c r="Q11" s="76"/>
      <c r="R11" s="76"/>
      <c r="S11" s="76"/>
      <c r="T11" s="76"/>
      <c r="AJ11" s="76" t="str">
        <f>"ADD CONSTRAINT "&amp;D$8&amp;"_pkey PRIMARY KEY"</f>
        <v>ADD CONSTRAINT azn_202310_backup_mt2_iyakuhin_tekiyou_byomei_kanren_pkey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milscm_2023_010.azn_202310_backup_mt2_iyakuhin_tekiyou_byomei_kanren IS 'バックアップ_医薬品適用病名関連マスタ';</v>
      </c>
    </row>
    <row r="13" spans="1:45" s="25" customFormat="1" ht="37.5">
      <c r="A13" s="4"/>
      <c r="B13" s="21">
        <f>ROW()-12</f>
        <v>1</v>
      </c>
      <c r="C13" s="6" t="s">
        <v>2026</v>
      </c>
      <c r="D13" s="6" t="s">
        <v>2678</v>
      </c>
      <c r="E13" s="8" t="s">
        <v>127</v>
      </c>
      <c r="F13" s="8" t="s">
        <v>1735</v>
      </c>
      <c r="G13" s="7" t="str">
        <f>IF(F13="フラグ","boolean",IF(F13="文字列","text",IF(F13="整数","integer",IF(F13="実数","numeric",""))))</f>
        <v>text</v>
      </c>
      <c r="H13" s="9"/>
      <c r="I13" s="10" t="s">
        <v>127</v>
      </c>
      <c r="J13" s="11" t="s">
        <v>2702</v>
      </c>
      <c r="M13" s="4"/>
      <c r="N13" s="76"/>
      <c r="O13" s="76"/>
      <c r="P13" s="76" t="str">
        <f>IF(B13&lt;&gt;1,","&amp;D13,D13)</f>
        <v>yj_cd</v>
      </c>
      <c r="Q13" s="76" t="str">
        <f t="shared" ref="Q13:Q26" si="0">UPPER(G13)</f>
        <v>TEXT</v>
      </c>
      <c r="R13" s="76" t="str">
        <f t="shared" ref="R13:R26" si="1">IF(H13&lt;&gt;"","default "&amp;IF(G13="text","'"&amp;H13&amp;"'",H13),"")</f>
        <v/>
      </c>
      <c r="S13" s="76" t="str">
        <f>IF(I13="○","NOT NULL","")</f>
        <v>NOT NULL</v>
      </c>
      <c r="T13" s="76" t="str">
        <f>"-- "&amp;C13</f>
        <v>-- ＹＪコード</v>
      </c>
      <c r="U13" s="4"/>
      <c r="AA13" s="4"/>
      <c r="AB13" s="4"/>
      <c r="AC13" s="4"/>
      <c r="AD13" s="4"/>
      <c r="AE13" s="4"/>
      <c r="AF13" s="4"/>
      <c r="AG13" s="4"/>
      <c r="AH13" s="4"/>
      <c r="AI13" s="4"/>
      <c r="AJ13" s="76" t="str">
        <f>IF(E13="○",IF(COUNTA(E$13:E13)=1,"",",")&amp;D13,"")</f>
        <v>yj_cd</v>
      </c>
      <c r="AK13" s="4"/>
      <c r="AL13" s="4"/>
      <c r="AM13" s="4"/>
      <c r="AN13" s="4"/>
      <c r="AO13" s="4"/>
      <c r="AP13" s="4"/>
      <c r="AQ13" s="4"/>
      <c r="AR13" s="4"/>
      <c r="AS13" s="76" t="str">
        <f>"COMMENT ON COLUMN "&amp;エンティティ一覧!$O$2&amp;"."&amp;D$8&amp;"."&amp;D13&amp;" IS '"&amp;C13&amp;"';"</f>
        <v>COMMENT ON COLUMN milscm_2023_010.azn_202310_backup_mt2_iyakuhin_tekiyou_byomei_kanren.yj_cd IS 'ＹＪコード';</v>
      </c>
    </row>
    <row r="14" spans="1:45" s="25" customFormat="1" ht="37.5">
      <c r="A14" s="4"/>
      <c r="B14" s="21">
        <f t="shared" ref="B14:B25" si="2">ROW()-12</f>
        <v>2</v>
      </c>
      <c r="C14" s="6" t="s">
        <v>1155</v>
      </c>
      <c r="D14" s="6" t="s">
        <v>2545</v>
      </c>
      <c r="E14" s="8"/>
      <c r="F14" s="7" t="s">
        <v>735</v>
      </c>
      <c r="G14" s="7" t="str">
        <f t="shared" ref="G14:G26" si="3">IF(F14="フラグ","boolean",IF(F14="文字列","text",IF(F14="整数","integer",IF(F14="実数","numeric",""))))</f>
        <v>text</v>
      </c>
      <c r="H14" s="26"/>
      <c r="I14" s="10"/>
      <c r="J14" s="11" t="s">
        <v>2703</v>
      </c>
      <c r="M14" s="4"/>
      <c r="N14" s="76"/>
      <c r="O14" s="76"/>
      <c r="P14" s="76" t="str">
        <f t="shared" ref="P14:P26" si="4">IF(B14&lt;&gt;1,","&amp;D14,D14)</f>
        <v>,iyakuhin_cd</v>
      </c>
      <c r="Q14" s="76" t="str">
        <f t="shared" si="0"/>
        <v>TEXT</v>
      </c>
      <c r="R14" s="76" t="str">
        <f t="shared" si="1"/>
        <v/>
      </c>
      <c r="S14" s="76" t="str">
        <f t="shared" ref="S14:S26" si="5">IF(I14="○","NOT NULL","")</f>
        <v/>
      </c>
      <c r="T14" s="76" t="str">
        <f t="shared" ref="T14:T26" si="6">"-- "&amp;C14</f>
        <v>-- 医薬品コード</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milscm_2023_010.azn_202310_backup_mt2_iyakuhin_tekiyou_byomei_kanren.iyakuhin_cd IS '医薬品コード';</v>
      </c>
    </row>
    <row r="15" spans="1:45" s="25" customFormat="1" ht="37.5">
      <c r="A15" s="4"/>
      <c r="B15" s="21">
        <f t="shared" si="2"/>
        <v>3</v>
      </c>
      <c r="C15" s="6" t="s">
        <v>2111</v>
      </c>
      <c r="D15" s="6" t="s">
        <v>2112</v>
      </c>
      <c r="E15" s="8"/>
      <c r="F15" s="7" t="s">
        <v>1735</v>
      </c>
      <c r="G15" s="7" t="str">
        <f t="shared" si="3"/>
        <v>text</v>
      </c>
      <c r="H15" s="26"/>
      <c r="I15" s="10"/>
      <c r="J15" s="11" t="s">
        <v>2688</v>
      </c>
      <c r="M15" s="4"/>
      <c r="N15" s="76"/>
      <c r="O15" s="76"/>
      <c r="P15" s="76" t="str">
        <f t="shared" si="4"/>
        <v>,iyakuhin_name</v>
      </c>
      <c r="Q15" s="76" t="str">
        <f t="shared" si="0"/>
        <v>TEXT</v>
      </c>
      <c r="R15" s="76" t="str">
        <f t="shared" si="1"/>
        <v/>
      </c>
      <c r="S15" s="76" t="str">
        <f t="shared" si="5"/>
        <v/>
      </c>
      <c r="T15" s="76" t="str">
        <f t="shared" si="6"/>
        <v>-- 医薬品名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milscm_2023_010.azn_202310_backup_mt2_iyakuhin_tekiyou_byomei_kanren.iyakuhin_name IS '医薬品名';</v>
      </c>
    </row>
    <row r="16" spans="1:45" s="25" customFormat="1" ht="37.5">
      <c r="A16" s="4"/>
      <c r="B16" s="21">
        <f t="shared" si="2"/>
        <v>4</v>
      </c>
      <c r="C16" s="6" t="s">
        <v>2081</v>
      </c>
      <c r="D16" s="6" t="s">
        <v>2699</v>
      </c>
      <c r="E16" s="8" t="s">
        <v>127</v>
      </c>
      <c r="F16" s="7" t="s">
        <v>1735</v>
      </c>
      <c r="G16" s="7" t="str">
        <f t="shared" si="3"/>
        <v>text</v>
      </c>
      <c r="H16" s="26"/>
      <c r="I16" s="10" t="s">
        <v>127</v>
      </c>
      <c r="J16" s="11" t="s">
        <v>2702</v>
      </c>
      <c r="M16" s="4"/>
      <c r="N16" s="76"/>
      <c r="O16" s="76"/>
      <c r="P16" s="76" t="str">
        <f t="shared" si="4"/>
        <v>,tekiyou_byoumei_cd</v>
      </c>
      <c r="Q16" s="76" t="str">
        <f t="shared" si="0"/>
        <v>TEXT</v>
      </c>
      <c r="R16" s="76" t="str">
        <f t="shared" si="1"/>
        <v/>
      </c>
      <c r="S16" s="76" t="str">
        <f t="shared" si="5"/>
        <v>NOT NULL</v>
      </c>
      <c r="T16" s="76" t="str">
        <f t="shared" si="6"/>
        <v>-- 適用病名コード</v>
      </c>
      <c r="U16" s="4"/>
      <c r="AA16" s="4"/>
      <c r="AB16" s="4"/>
      <c r="AC16" s="4"/>
      <c r="AD16" s="4"/>
      <c r="AE16" s="4"/>
      <c r="AF16" s="4"/>
      <c r="AG16" s="4"/>
      <c r="AH16" s="4"/>
      <c r="AI16" s="4"/>
      <c r="AJ16" s="76" t="str">
        <f>IF(E16="○",IF(COUNTA(E$13:E16)=1,"",",")&amp;D16,"")</f>
        <v>,tekiyou_byoumei_cd</v>
      </c>
      <c r="AK16" s="4"/>
      <c r="AL16" s="4"/>
      <c r="AM16" s="4"/>
      <c r="AN16" s="4"/>
      <c r="AO16" s="4"/>
      <c r="AP16" s="4"/>
      <c r="AQ16" s="4"/>
      <c r="AR16" s="4"/>
      <c r="AS16" s="76" t="str">
        <f>"COMMENT ON COLUMN "&amp;エンティティ一覧!$O$2&amp;"."&amp;D$8&amp;"."&amp;D16&amp;" IS '"&amp;C16&amp;"';"</f>
        <v>COMMENT ON COLUMN milscm_2023_010.azn_202310_backup_mt2_iyakuhin_tekiyou_byomei_kanren.tekiyou_byoumei_cd IS '適用病名コード';</v>
      </c>
    </row>
    <row r="17" spans="1:52" s="25" customFormat="1">
      <c r="A17" s="4"/>
      <c r="B17" s="21">
        <f t="shared" si="2"/>
        <v>5</v>
      </c>
      <c r="C17" s="6" t="s">
        <v>2105</v>
      </c>
      <c r="D17" s="6" t="s">
        <v>2106</v>
      </c>
      <c r="E17" s="8"/>
      <c r="F17" s="7" t="s">
        <v>1735</v>
      </c>
      <c r="G17" s="7" t="str">
        <f t="shared" si="3"/>
        <v>text</v>
      </c>
      <c r="H17" s="26"/>
      <c r="I17" s="10" t="s">
        <v>127</v>
      </c>
      <c r="J17" s="11" t="s">
        <v>2704</v>
      </c>
      <c r="M17" s="4"/>
      <c r="N17" s="76"/>
      <c r="O17" s="76"/>
      <c r="P17" s="76" t="str">
        <f t="shared" si="4"/>
        <v>,tekiyou_byoumei_name</v>
      </c>
      <c r="Q17" s="76" t="str">
        <f t="shared" si="0"/>
        <v>TEXT</v>
      </c>
      <c r="R17" s="76" t="str">
        <f t="shared" si="1"/>
        <v/>
      </c>
      <c r="S17" s="76" t="str">
        <f t="shared" si="5"/>
        <v>NOT NULL</v>
      </c>
      <c r="T17" s="76" t="str">
        <f t="shared" si="6"/>
        <v>-- 適用病名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milscm_2023_010.azn_202310_backup_mt2_iyakuhin_tekiyou_byomei_kanren.tekiyou_byoumei_name IS '適用病名';</v>
      </c>
    </row>
    <row r="18" spans="1:52" s="25" customFormat="1" ht="37.5">
      <c r="A18" s="4"/>
      <c r="B18" s="21">
        <f t="shared" si="2"/>
        <v>6</v>
      </c>
      <c r="C18" s="6" t="s">
        <v>2083</v>
      </c>
      <c r="D18" s="6" t="s">
        <v>2650</v>
      </c>
      <c r="E18" s="8" t="s">
        <v>127</v>
      </c>
      <c r="F18" s="7" t="s">
        <v>1735</v>
      </c>
      <c r="G18" s="7" t="str">
        <f t="shared" si="3"/>
        <v>text</v>
      </c>
      <c r="H18" s="26"/>
      <c r="I18" s="10" t="s">
        <v>127</v>
      </c>
      <c r="J18" s="11" t="s">
        <v>2705</v>
      </c>
      <c r="M18" s="4"/>
      <c r="N18" s="76"/>
      <c r="O18" s="76"/>
      <c r="P18" s="76" t="str">
        <f t="shared" si="4"/>
        <v>,shikkan_cd</v>
      </c>
      <c r="Q18" s="76" t="str">
        <f t="shared" si="0"/>
        <v>TEXT</v>
      </c>
      <c r="R18" s="76" t="str">
        <f t="shared" si="1"/>
        <v/>
      </c>
      <c r="S18" s="76" t="str">
        <f t="shared" si="5"/>
        <v>NOT NULL</v>
      </c>
      <c r="T18" s="76" t="str">
        <f t="shared" si="6"/>
        <v>-- 疾患コード</v>
      </c>
      <c r="U18" s="4"/>
      <c r="AA18" s="4"/>
      <c r="AB18" s="4"/>
      <c r="AC18" s="4"/>
      <c r="AD18" s="4"/>
      <c r="AE18" s="4"/>
      <c r="AF18" s="4"/>
      <c r="AG18" s="4"/>
      <c r="AH18" s="4"/>
      <c r="AI18" s="4"/>
      <c r="AJ18" s="76" t="str">
        <f>IF(E18="○",IF(COUNTA(E$13:E18)=1,"",",")&amp;D18,"")</f>
        <v>,shikkan_cd</v>
      </c>
      <c r="AK18" s="4"/>
      <c r="AL18" s="4"/>
      <c r="AM18" s="4"/>
      <c r="AN18" s="4"/>
      <c r="AO18" s="4"/>
      <c r="AP18" s="4"/>
      <c r="AQ18" s="4"/>
      <c r="AR18" s="4"/>
      <c r="AS18" s="76" t="str">
        <f>"COMMENT ON COLUMN "&amp;エンティティ一覧!$O$2&amp;"."&amp;D$8&amp;"."&amp;D18&amp;" IS '"&amp;C18&amp;"';"</f>
        <v>COMMENT ON COLUMN milscm_2023_010.azn_202310_backup_mt2_iyakuhin_tekiyou_byomei_kanren.shikkan_cd IS '疾患コード';</v>
      </c>
    </row>
    <row r="19" spans="1:52" s="25" customFormat="1" ht="37.5">
      <c r="A19" s="4"/>
      <c r="B19" s="21">
        <f t="shared" si="2"/>
        <v>7</v>
      </c>
      <c r="C19" s="6" t="s">
        <v>2085</v>
      </c>
      <c r="D19" s="6" t="s">
        <v>2086</v>
      </c>
      <c r="E19" s="8"/>
      <c r="F19" s="7" t="s">
        <v>1735</v>
      </c>
      <c r="G19" s="7" t="str">
        <f t="shared" si="3"/>
        <v>text</v>
      </c>
      <c r="H19" s="26"/>
      <c r="I19" s="10"/>
      <c r="J19" s="11" t="s">
        <v>2705</v>
      </c>
      <c r="M19" s="4"/>
      <c r="N19" s="76"/>
      <c r="O19" s="76"/>
      <c r="P19" s="76" t="str">
        <f t="shared" si="4"/>
        <v>,shikkan_name</v>
      </c>
      <c r="Q19" s="76" t="str">
        <f t="shared" si="0"/>
        <v>TEXT</v>
      </c>
      <c r="R19" s="76" t="str">
        <f t="shared" si="1"/>
        <v/>
      </c>
      <c r="S19" s="76" t="str">
        <f t="shared" si="5"/>
        <v/>
      </c>
      <c r="T19" s="76" t="str">
        <f t="shared" si="6"/>
        <v>-- 疾患名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milscm_2023_010.azn_202310_backup_mt2_iyakuhin_tekiyou_byomei_kanren.shikkan_name IS '疾患名';</v>
      </c>
    </row>
    <row r="20" spans="1:52" s="25" customFormat="1" ht="75">
      <c r="A20" s="4"/>
      <c r="B20" s="21">
        <f t="shared" si="2"/>
        <v>8</v>
      </c>
      <c r="C20" s="6" t="s">
        <v>2090</v>
      </c>
      <c r="D20" s="6" t="s">
        <v>2700</v>
      </c>
      <c r="E20" s="8"/>
      <c r="F20" s="7" t="s">
        <v>1735</v>
      </c>
      <c r="G20" s="7" t="str">
        <f t="shared" si="3"/>
        <v>text</v>
      </c>
      <c r="H20" s="26"/>
      <c r="I20" s="10"/>
      <c r="J20" s="11" t="s">
        <v>2706</v>
      </c>
      <c r="M20" s="4"/>
      <c r="N20" s="76"/>
      <c r="O20" s="76"/>
      <c r="P20" s="76" t="str">
        <f t="shared" si="4"/>
        <v>,kumiawase_cd</v>
      </c>
      <c r="Q20" s="76" t="str">
        <f t="shared" si="0"/>
        <v>TEXT</v>
      </c>
      <c r="R20" s="76" t="str">
        <f t="shared" si="1"/>
        <v/>
      </c>
      <c r="S20" s="76" t="str">
        <f t="shared" si="5"/>
        <v/>
      </c>
      <c r="T20" s="76" t="str">
        <f t="shared" si="6"/>
        <v>-- 組み合わせコード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milscm_2023_010.azn_202310_backup_mt2_iyakuhin_tekiyou_byomei_kanren.kumiawase_cd IS '組み合わせコード';</v>
      </c>
    </row>
    <row r="21" spans="1:52" s="25" customFormat="1" ht="75">
      <c r="A21" s="4"/>
      <c r="B21" s="21">
        <f t="shared" si="2"/>
        <v>9</v>
      </c>
      <c r="C21" s="6" t="s">
        <v>2092</v>
      </c>
      <c r="D21" s="6" t="s">
        <v>2701</v>
      </c>
      <c r="E21" s="8"/>
      <c r="F21" s="7" t="s">
        <v>1735</v>
      </c>
      <c r="G21" s="7" t="str">
        <f t="shared" si="3"/>
        <v>text</v>
      </c>
      <c r="H21" s="26"/>
      <c r="I21" s="10"/>
      <c r="J21" s="11" t="s">
        <v>2707</v>
      </c>
      <c r="M21" s="4"/>
      <c r="N21" s="76"/>
      <c r="O21" s="76"/>
      <c r="P21" s="76" t="str">
        <f t="shared" si="4"/>
        <v>,kankeisei_cd</v>
      </c>
      <c r="Q21" s="76" t="str">
        <f t="shared" si="0"/>
        <v>TEXT</v>
      </c>
      <c r="R21" s="76" t="str">
        <f t="shared" si="1"/>
        <v/>
      </c>
      <c r="S21" s="76" t="str">
        <f t="shared" si="5"/>
        <v/>
      </c>
      <c r="T21" s="76" t="str">
        <f t="shared" si="6"/>
        <v>-- 関係性レベルコード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milscm_2023_010.azn_202310_backup_mt2_iyakuhin_tekiyou_byomei_kanren.kankeisei_cd IS '関係性レベルコード';</v>
      </c>
    </row>
    <row r="22" spans="1:52" s="25" customFormat="1" ht="37.5">
      <c r="A22" s="4"/>
      <c r="B22" s="21">
        <f t="shared" si="2"/>
        <v>10</v>
      </c>
      <c r="C22" s="6" t="s">
        <v>2397</v>
      </c>
      <c r="D22" s="6" t="s">
        <v>1879</v>
      </c>
      <c r="E22" s="8" t="s">
        <v>127</v>
      </c>
      <c r="F22" s="7" t="s">
        <v>735</v>
      </c>
      <c r="G22" s="7" t="str">
        <f t="shared" si="3"/>
        <v>text</v>
      </c>
      <c r="H22" s="26" t="s">
        <v>1918</v>
      </c>
      <c r="I22" s="10" t="s">
        <v>127</v>
      </c>
      <c r="J22" s="11" t="s">
        <v>2708</v>
      </c>
      <c r="M22" s="4"/>
      <c r="N22" s="76"/>
      <c r="O22" s="76"/>
      <c r="P22" s="76" t="str">
        <f t="shared" si="4"/>
        <v>,update_ymd</v>
      </c>
      <c r="Q22" s="76" t="str">
        <f t="shared" si="0"/>
        <v>TEXT</v>
      </c>
      <c r="R22" s="76" t="str">
        <f t="shared" si="1"/>
        <v>default '99999999'</v>
      </c>
      <c r="S22" s="76" t="str">
        <f t="shared" si="5"/>
        <v>NOT NULL</v>
      </c>
      <c r="T22" s="76" t="str">
        <f t="shared" si="6"/>
        <v>-- データ登録日</v>
      </c>
      <c r="U22" s="4"/>
      <c r="AA22" s="4"/>
      <c r="AB22" s="4"/>
      <c r="AC22" s="4"/>
      <c r="AD22" s="4"/>
      <c r="AE22" s="4"/>
      <c r="AF22" s="4"/>
      <c r="AG22" s="4"/>
      <c r="AH22" s="4"/>
      <c r="AI22" s="4"/>
      <c r="AJ22" s="76" t="str">
        <f>IF(E22="○",IF(COUNTA(E$13:E22)=1,"",",")&amp;D22,"")</f>
        <v>,update_ymd</v>
      </c>
      <c r="AK22" s="4"/>
      <c r="AL22" s="4"/>
      <c r="AM22" s="4"/>
      <c r="AN22" s="4"/>
      <c r="AO22" s="4"/>
      <c r="AP22" s="4"/>
      <c r="AQ22" s="4"/>
      <c r="AR22" s="4"/>
      <c r="AS22" s="76" t="str">
        <f>"COMMENT ON COLUMN "&amp;エンティティ一覧!$O$2&amp;"."&amp;D$8&amp;"."&amp;D22&amp;" IS '"&amp;C22&amp;"';"</f>
        <v>COMMENT ON COLUMN milscm_2023_010.azn_202310_backup_mt2_iyakuhin_tekiyou_byomei_kanren.update_ymd IS 'データ登録日';</v>
      </c>
    </row>
    <row r="23" spans="1:52" s="25" customFormat="1" ht="56.25">
      <c r="A23" s="4"/>
      <c r="B23" s="21">
        <f t="shared" si="2"/>
        <v>11</v>
      </c>
      <c r="C23" s="6" t="s">
        <v>2505</v>
      </c>
      <c r="D23" s="6" t="s">
        <v>2506</v>
      </c>
      <c r="E23" s="8"/>
      <c r="F23" s="7" t="s">
        <v>735</v>
      </c>
      <c r="G23" s="7" t="str">
        <f t="shared" si="3"/>
        <v>text</v>
      </c>
      <c r="H23" s="26">
        <v>0</v>
      </c>
      <c r="I23" s="10" t="s">
        <v>127</v>
      </c>
      <c r="J23" s="11" t="s">
        <v>2694</v>
      </c>
      <c r="M23" s="4"/>
      <c r="N23" s="76"/>
      <c r="O23" s="76"/>
      <c r="P23" s="76" t="str">
        <f t="shared" si="4"/>
        <v>,new_f</v>
      </c>
      <c r="Q23" s="76" t="str">
        <f t="shared" si="0"/>
        <v>TEXT</v>
      </c>
      <c r="R23" s="76" t="str">
        <f t="shared" si="1"/>
        <v>default '0'</v>
      </c>
      <c r="S23" s="76" t="str">
        <f t="shared" si="5"/>
        <v>NOT NULL</v>
      </c>
      <c r="T23" s="76" t="str">
        <f t="shared" si="6"/>
        <v>-- 最新フラグ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milscm_2023_010.azn_202310_backup_mt2_iyakuhin_tekiyou_byomei_kanren.new_f IS '最新フラグ';</v>
      </c>
    </row>
    <row r="24" spans="1:52" s="25" customFormat="1" ht="75">
      <c r="A24" s="4"/>
      <c r="B24" s="21">
        <f t="shared" si="2"/>
        <v>12</v>
      </c>
      <c r="C24" s="6" t="s">
        <v>2532</v>
      </c>
      <c r="D24" s="6" t="s">
        <v>1902</v>
      </c>
      <c r="E24" s="8"/>
      <c r="F24" s="7" t="s">
        <v>735</v>
      </c>
      <c r="G24" s="7" t="str">
        <f t="shared" si="3"/>
        <v>text</v>
      </c>
      <c r="H24" s="26">
        <v>0</v>
      </c>
      <c r="I24" s="10" t="s">
        <v>127</v>
      </c>
      <c r="J24" s="11" t="s">
        <v>2709</v>
      </c>
      <c r="M24" s="4"/>
      <c r="N24" s="76"/>
      <c r="O24" s="76"/>
      <c r="P24" s="76" t="str">
        <f t="shared" si="4"/>
        <v>,del_f</v>
      </c>
      <c r="Q24" s="76" t="str">
        <f t="shared" si="0"/>
        <v>TEXT</v>
      </c>
      <c r="R24" s="76" t="str">
        <f t="shared" si="1"/>
        <v>default '0'</v>
      </c>
      <c r="S24" s="76" t="str">
        <f t="shared" si="5"/>
        <v>NOT NULL</v>
      </c>
      <c r="T24" s="76" t="str">
        <f t="shared" si="6"/>
        <v>-- 削除フラグ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milscm_2023_010.azn_202310_backup_mt2_iyakuhin_tekiyou_byomei_kanren.del_f IS '削除フラグ';</v>
      </c>
    </row>
    <row r="25" spans="1:52" s="25" customFormat="1" ht="150">
      <c r="A25" s="4"/>
      <c r="B25" s="21">
        <f t="shared" si="2"/>
        <v>13</v>
      </c>
      <c r="C25" s="6" t="s">
        <v>1965</v>
      </c>
      <c r="D25" s="6" t="s">
        <v>1904</v>
      </c>
      <c r="E25" s="8"/>
      <c r="F25" s="7" t="s">
        <v>735</v>
      </c>
      <c r="G25" s="7" t="str">
        <f t="shared" si="3"/>
        <v>text</v>
      </c>
      <c r="H25" s="26" t="s">
        <v>1918</v>
      </c>
      <c r="I25" s="10" t="s">
        <v>127</v>
      </c>
      <c r="J25" s="11" t="s">
        <v>2710</v>
      </c>
      <c r="M25" s="4"/>
      <c r="N25" s="76"/>
      <c r="O25" s="76"/>
      <c r="P25" s="76" t="str">
        <f t="shared" si="4"/>
        <v>,henkou_ymd</v>
      </c>
      <c r="Q25" s="76" t="str">
        <f t="shared" si="0"/>
        <v>TEXT</v>
      </c>
      <c r="R25" s="76" t="str">
        <f t="shared" si="1"/>
        <v>default '99999999'</v>
      </c>
      <c r="S25" s="76" t="str">
        <f t="shared" si="5"/>
        <v>NOT NULL</v>
      </c>
      <c r="T25" s="76" t="str">
        <f t="shared" si="6"/>
        <v>-- 変更年月日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milscm_2023_010.azn_202310_backup_mt2_iyakuhin_tekiyou_byomei_kanren.henkou_ymd IS '変更年月日';</v>
      </c>
    </row>
    <row r="26" spans="1:52" s="25" customFormat="1" ht="94.5" thickBot="1">
      <c r="A26" s="4"/>
      <c r="B26" s="27">
        <f>ROW()-12</f>
        <v>14</v>
      </c>
      <c r="C26" s="57" t="s">
        <v>1905</v>
      </c>
      <c r="D26" s="57" t="s">
        <v>1906</v>
      </c>
      <c r="E26" s="56"/>
      <c r="F26" s="56" t="s">
        <v>735</v>
      </c>
      <c r="G26" s="56" t="str">
        <f t="shared" si="3"/>
        <v>text</v>
      </c>
      <c r="H26" s="59" t="s">
        <v>1918</v>
      </c>
      <c r="I26" s="60" t="s">
        <v>127</v>
      </c>
      <c r="J26" s="63" t="s">
        <v>2711</v>
      </c>
      <c r="N26" s="76"/>
      <c r="O26" s="76"/>
      <c r="P26" s="76" t="str">
        <f t="shared" si="4"/>
        <v>,del_ymd</v>
      </c>
      <c r="Q26" s="76" t="str">
        <f t="shared" si="0"/>
        <v>TEXT</v>
      </c>
      <c r="R26" s="76" t="str">
        <f t="shared" si="1"/>
        <v>default '99999999'</v>
      </c>
      <c r="S26" s="76" t="str">
        <f t="shared" si="5"/>
        <v>NOT NULL</v>
      </c>
      <c r="T26" s="76" t="str">
        <f t="shared" si="6"/>
        <v>-- 廃止年月日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milscm_2023_010.azn_202310_backup_mt2_iyakuhin_tekiyou_byomei_kanren.del_ymd IS '廃止年月日';</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A30" s="25"/>
      <c r="B30" s="81" t="s">
        <v>2712</v>
      </c>
      <c r="C30" s="85"/>
      <c r="D30" s="82"/>
      <c r="E30" s="82"/>
      <c r="F30" s="82"/>
      <c r="G30" s="82"/>
      <c r="H30" s="82"/>
      <c r="I30" s="82"/>
      <c r="J30" s="82"/>
      <c r="K30" s="82"/>
      <c r="L30" s="82"/>
      <c r="M30" s="86"/>
    </row>
    <row r="31" spans="1:52" s="25" customFormat="1">
      <c r="A31" s="4"/>
      <c r="C31" s="25" t="s">
        <v>2713</v>
      </c>
      <c r="M31" s="12"/>
      <c r="W31" s="4"/>
    </row>
    <row r="32" spans="1:52">
      <c r="B32" s="82" t="s">
        <v>2714</v>
      </c>
      <c r="C32" s="82"/>
      <c r="D32" s="82"/>
      <c r="E32" s="82"/>
      <c r="F32" s="82"/>
      <c r="G32" s="82"/>
      <c r="H32" s="82"/>
      <c r="I32" s="82"/>
      <c r="J32" s="82"/>
      <c r="K32" s="82"/>
      <c r="L32" s="82"/>
      <c r="M32" s="86"/>
    </row>
    <row r="33" spans="1:23">
      <c r="B33" s="82"/>
      <c r="C33" s="83" t="s">
        <v>2715</v>
      </c>
      <c r="D33" s="277" t="s">
        <v>2716</v>
      </c>
      <c r="E33" s="278"/>
      <c r="F33" s="278"/>
      <c r="G33" s="278"/>
      <c r="H33" s="279"/>
      <c r="I33" s="277" t="s">
        <v>2717</v>
      </c>
      <c r="J33" s="279"/>
    </row>
    <row r="34" spans="1:23" ht="18.75" customHeight="1">
      <c r="B34" s="82"/>
      <c r="C34" s="84" t="s">
        <v>2718</v>
      </c>
      <c r="D34" s="274" t="s">
        <v>2719</v>
      </c>
      <c r="E34" s="275"/>
      <c r="F34" s="275"/>
      <c r="G34" s="275"/>
      <c r="H34" s="276"/>
      <c r="I34" s="274" t="s">
        <v>2720</v>
      </c>
      <c r="J34" s="276"/>
    </row>
    <row r="35" spans="1:23" ht="18.75" customHeight="1">
      <c r="B35" s="82"/>
      <c r="C35" s="84" t="s">
        <v>2721</v>
      </c>
      <c r="D35" s="274" t="s">
        <v>2776</v>
      </c>
      <c r="E35" s="275"/>
      <c r="F35" s="275"/>
      <c r="G35" s="275"/>
      <c r="H35" s="276"/>
      <c r="I35" s="274" t="s">
        <v>2766</v>
      </c>
      <c r="J35" s="276"/>
    </row>
    <row r="36" spans="1:23" ht="18.75" customHeight="1">
      <c r="B36" s="82"/>
      <c r="C36" s="84" t="s">
        <v>2722</v>
      </c>
      <c r="D36" s="274" t="s">
        <v>2723</v>
      </c>
      <c r="E36" s="275"/>
      <c r="F36" s="275"/>
      <c r="G36" s="275"/>
      <c r="H36" s="276"/>
      <c r="I36" s="274" t="s">
        <v>2767</v>
      </c>
      <c r="J36" s="276"/>
    </row>
    <row r="37" spans="1:23" ht="18.75" customHeight="1">
      <c r="B37" s="82"/>
      <c r="C37" s="84" t="s">
        <v>2724</v>
      </c>
      <c r="D37" s="274" t="s">
        <v>2725</v>
      </c>
      <c r="E37" s="275"/>
      <c r="F37" s="275"/>
      <c r="G37" s="275"/>
      <c r="H37" s="276"/>
      <c r="I37" s="274" t="s">
        <v>2768</v>
      </c>
      <c r="J37" s="276"/>
    </row>
    <row r="38" spans="1:23" ht="18.75" customHeight="1">
      <c r="B38" s="82"/>
      <c r="C38" s="84" t="s">
        <v>2726</v>
      </c>
      <c r="D38" s="274" t="s">
        <v>2727</v>
      </c>
      <c r="E38" s="275"/>
      <c r="F38" s="275"/>
      <c r="G38" s="275"/>
      <c r="H38" s="276"/>
      <c r="I38" s="274" t="s">
        <v>2769</v>
      </c>
      <c r="J38" s="276"/>
    </row>
    <row r="39" spans="1:23" ht="18.75" customHeight="1">
      <c r="B39" s="82"/>
      <c r="C39" s="84" t="s">
        <v>2728</v>
      </c>
      <c r="D39" s="274" t="s">
        <v>2729</v>
      </c>
      <c r="E39" s="275"/>
      <c r="F39" s="275"/>
      <c r="G39" s="275"/>
      <c r="H39" s="276"/>
      <c r="I39" s="274" t="s">
        <v>2770</v>
      </c>
      <c r="J39" s="276"/>
    </row>
    <row r="40" spans="1:23" ht="18.75" customHeight="1">
      <c r="B40" s="82"/>
      <c r="C40" s="84" t="s">
        <v>2730</v>
      </c>
      <c r="D40" s="274" t="s">
        <v>2731</v>
      </c>
      <c r="E40" s="275"/>
      <c r="F40" s="275"/>
      <c r="G40" s="275"/>
      <c r="H40" s="276"/>
      <c r="I40" s="274" t="s">
        <v>2771</v>
      </c>
      <c r="J40" s="276"/>
    </row>
    <row r="41" spans="1:23" ht="18.75" customHeight="1">
      <c r="B41" s="82"/>
      <c r="C41" s="84" t="s">
        <v>2732</v>
      </c>
      <c r="D41" s="274" t="s">
        <v>2733</v>
      </c>
      <c r="E41" s="275"/>
      <c r="F41" s="275"/>
      <c r="G41" s="275"/>
      <c r="H41" s="276"/>
      <c r="I41" s="274" t="s">
        <v>2771</v>
      </c>
      <c r="J41" s="276"/>
    </row>
    <row r="42" spans="1:23" ht="18.75" customHeight="1">
      <c r="B42" s="82"/>
      <c r="C42" s="84" t="s">
        <v>2734</v>
      </c>
      <c r="D42" s="274" t="s">
        <v>2735</v>
      </c>
      <c r="E42" s="275"/>
      <c r="F42" s="275"/>
      <c r="G42" s="275"/>
      <c r="H42" s="276"/>
      <c r="I42" s="274" t="s">
        <v>2772</v>
      </c>
      <c r="J42" s="276"/>
    </row>
    <row r="43" spans="1:23" ht="18.75" customHeight="1">
      <c r="B43" s="82"/>
      <c r="C43" s="84" t="s">
        <v>2736</v>
      </c>
      <c r="D43" s="274" t="s">
        <v>2737</v>
      </c>
      <c r="E43" s="275"/>
      <c r="F43" s="275"/>
      <c r="G43" s="275"/>
      <c r="H43" s="276"/>
      <c r="I43" s="274" t="s">
        <v>2773</v>
      </c>
      <c r="J43" s="276"/>
    </row>
    <row r="44" spans="1:23" ht="18.75" customHeight="1">
      <c r="B44" s="82"/>
      <c r="C44" s="84" t="s">
        <v>2738</v>
      </c>
      <c r="D44" s="274" t="s">
        <v>2739</v>
      </c>
      <c r="E44" s="275"/>
      <c r="F44" s="275"/>
      <c r="G44" s="275"/>
      <c r="H44" s="276"/>
      <c r="I44" s="274" t="s">
        <v>2773</v>
      </c>
      <c r="J44" s="276"/>
    </row>
    <row r="45" spans="1:23" ht="18.75" customHeight="1">
      <c r="B45" s="82"/>
      <c r="C45" s="84" t="s">
        <v>2740</v>
      </c>
      <c r="D45" s="274" t="s">
        <v>2741</v>
      </c>
      <c r="E45" s="275"/>
      <c r="F45" s="275"/>
      <c r="G45" s="275"/>
      <c r="H45" s="276"/>
      <c r="I45" s="274" t="s">
        <v>2774</v>
      </c>
      <c r="J45" s="276"/>
    </row>
    <row r="46" spans="1:23" ht="18.75" customHeight="1">
      <c r="B46" s="82"/>
      <c r="C46" s="84" t="s">
        <v>2742</v>
      </c>
      <c r="D46" s="274" t="s">
        <v>2743</v>
      </c>
      <c r="E46" s="275"/>
      <c r="F46" s="275"/>
      <c r="G46" s="275"/>
      <c r="H46" s="276"/>
      <c r="I46" s="274" t="s">
        <v>2775</v>
      </c>
      <c r="J46" s="276"/>
    </row>
    <row r="47" spans="1:23" s="25" customFormat="1">
      <c r="A47" s="4"/>
      <c r="M47" s="12"/>
      <c r="W47" s="4"/>
    </row>
    <row r="48" spans="1:23" s="25" customFormat="1">
      <c r="A48" s="4"/>
      <c r="B48" s="82" t="s">
        <v>2744</v>
      </c>
      <c r="C48" s="82"/>
      <c r="D48" s="82"/>
      <c r="E48" s="82"/>
      <c r="F48" s="82"/>
      <c r="G48" s="82"/>
      <c r="H48" s="82"/>
      <c r="I48" s="82"/>
      <c r="J48" s="82"/>
      <c r="K48" s="82"/>
      <c r="L48" s="82"/>
      <c r="M48" s="86"/>
      <c r="W48" s="4"/>
    </row>
    <row r="49" spans="1:52" s="25" customFormat="1">
      <c r="A49" s="4"/>
      <c r="B49" s="82"/>
      <c r="C49" s="83" t="s">
        <v>2745</v>
      </c>
      <c r="D49" s="281" t="s">
        <v>2716</v>
      </c>
      <c r="E49" s="281"/>
      <c r="F49" s="281"/>
      <c r="G49" s="281"/>
      <c r="H49" s="281"/>
      <c r="N49" s="4"/>
    </row>
    <row r="50" spans="1:52" s="25" customFormat="1">
      <c r="A50" s="4"/>
      <c r="B50" s="82"/>
      <c r="C50" s="87" t="s">
        <v>2746</v>
      </c>
      <c r="D50" s="280" t="s">
        <v>2747</v>
      </c>
      <c r="E50" s="280"/>
      <c r="F50" s="280"/>
      <c r="G50" s="280"/>
      <c r="H50" s="280"/>
      <c r="N50" s="4"/>
    </row>
    <row r="51" spans="1:52" s="25" customFormat="1">
      <c r="A51" s="4"/>
      <c r="B51" s="82"/>
      <c r="C51" s="87" t="s">
        <v>2748</v>
      </c>
      <c r="D51" s="280" t="s">
        <v>2749</v>
      </c>
      <c r="E51" s="280"/>
      <c r="F51" s="280"/>
      <c r="G51" s="280"/>
      <c r="H51" s="280"/>
      <c r="N51" s="4"/>
    </row>
    <row r="52" spans="1:52" s="25" customFormat="1">
      <c r="A52" s="4"/>
      <c r="B52" s="82"/>
      <c r="C52" s="87" t="s">
        <v>2750</v>
      </c>
      <c r="D52" s="280" t="s">
        <v>2751</v>
      </c>
      <c r="E52" s="280"/>
      <c r="F52" s="280"/>
      <c r="G52" s="280"/>
      <c r="H52" s="280"/>
      <c r="J52" s="25" t="s">
        <v>2752</v>
      </c>
      <c r="N52" s="4"/>
    </row>
    <row r="53" spans="1:52" s="25" customFormat="1">
      <c r="A53" s="4"/>
      <c r="B53" s="82"/>
      <c r="C53" s="87" t="s">
        <v>2753</v>
      </c>
      <c r="D53" s="280" t="s">
        <v>2754</v>
      </c>
      <c r="E53" s="280"/>
      <c r="F53" s="280"/>
      <c r="G53" s="280"/>
      <c r="H53" s="280"/>
      <c r="J53" s="25" t="s">
        <v>2755</v>
      </c>
      <c r="N53" s="4"/>
    </row>
    <row r="54" spans="1:52" s="25" customFormat="1" ht="18.75" customHeight="1">
      <c r="A54" s="4"/>
      <c r="B54" s="82"/>
      <c r="C54" s="87" t="s">
        <v>2756</v>
      </c>
      <c r="D54" s="280" t="s">
        <v>2757</v>
      </c>
      <c r="E54" s="280"/>
      <c r="F54" s="280"/>
      <c r="G54" s="280"/>
      <c r="H54" s="280"/>
      <c r="N54" s="4"/>
    </row>
    <row r="55" spans="1:52" s="25" customFormat="1">
      <c r="A55" s="4"/>
      <c r="B55" s="82"/>
      <c r="C55" s="84" t="s">
        <v>2742</v>
      </c>
      <c r="D55" s="280" t="s">
        <v>2758</v>
      </c>
      <c r="E55" s="280"/>
      <c r="F55" s="280"/>
      <c r="G55" s="280"/>
      <c r="H55" s="280"/>
      <c r="N55" s="4"/>
    </row>
    <row r="56" spans="1:52" s="25" customFormat="1">
      <c r="A56" s="4"/>
      <c r="M56" s="12"/>
      <c r="W56" s="4"/>
    </row>
    <row r="57" spans="1:52" s="25" customFormat="1">
      <c r="A57" s="4"/>
      <c r="C57" s="25" t="s">
        <v>2759</v>
      </c>
      <c r="M57" s="12"/>
      <c r="W57" s="4"/>
    </row>
    <row r="58" spans="1:52" s="25" customFormat="1">
      <c r="A58" s="4"/>
      <c r="C58" s="83" t="s">
        <v>2745</v>
      </c>
      <c r="D58" s="281" t="s">
        <v>2716</v>
      </c>
      <c r="E58" s="281"/>
      <c r="F58" s="281"/>
      <c r="G58" s="281"/>
      <c r="H58" s="281"/>
      <c r="M58" s="12"/>
      <c r="W58" s="4"/>
    </row>
    <row r="59" spans="1:52" s="25" customFormat="1">
      <c r="A59" s="4"/>
      <c r="C59" s="87" t="s">
        <v>2760</v>
      </c>
      <c r="D59" s="280" t="s">
        <v>2761</v>
      </c>
      <c r="E59" s="280"/>
      <c r="F59" s="280"/>
      <c r="G59" s="280"/>
      <c r="H59" s="280"/>
      <c r="M59" s="12"/>
      <c r="W59" s="4"/>
    </row>
    <row r="60" spans="1:52" s="25" customFormat="1">
      <c r="A60" s="4"/>
      <c r="C60" s="87" t="s">
        <v>2762</v>
      </c>
      <c r="D60" s="280" t="s">
        <v>2763</v>
      </c>
      <c r="E60" s="280"/>
      <c r="F60" s="280"/>
      <c r="G60" s="280"/>
      <c r="H60" s="280"/>
      <c r="M60" s="12"/>
      <c r="W60" s="4"/>
    </row>
    <row r="61" spans="1:52" s="25" customFormat="1">
      <c r="A61" s="4"/>
      <c r="C61" s="87" t="s">
        <v>2764</v>
      </c>
      <c r="D61" s="280" t="s">
        <v>2765</v>
      </c>
      <c r="E61" s="280"/>
      <c r="F61" s="280"/>
      <c r="G61" s="280"/>
      <c r="H61" s="280"/>
      <c r="M61" s="12"/>
      <c r="W61" s="4"/>
    </row>
    <row r="62" spans="1:52" s="25" customFormat="1">
      <c r="A62" s="4"/>
      <c r="C62" s="84" t="s">
        <v>2742</v>
      </c>
      <c r="D62" s="280" t="s">
        <v>2758</v>
      </c>
      <c r="E62" s="280"/>
      <c r="F62" s="280"/>
      <c r="G62" s="280"/>
      <c r="H62" s="280"/>
      <c r="M62" s="12"/>
      <c r="W62" s="4"/>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57">
    <mergeCell ref="B4:C4"/>
    <mergeCell ref="D4:J4"/>
    <mergeCell ref="B1:C2"/>
    <mergeCell ref="D1:G1"/>
    <mergeCell ref="H1:I1"/>
    <mergeCell ref="D2:G2"/>
    <mergeCell ref="H2:I2"/>
    <mergeCell ref="B5:C5"/>
    <mergeCell ref="D5:J5"/>
    <mergeCell ref="B6:C6"/>
    <mergeCell ref="D6:J6"/>
    <mergeCell ref="B7:C7"/>
    <mergeCell ref="D7:J7"/>
    <mergeCell ref="D40:H40"/>
    <mergeCell ref="D41:H41"/>
    <mergeCell ref="D39:H39"/>
    <mergeCell ref="B8:C8"/>
    <mergeCell ref="D8:J8"/>
    <mergeCell ref="B9:C9"/>
    <mergeCell ref="D9:J9"/>
    <mergeCell ref="D38:H38"/>
    <mergeCell ref="D34:H34"/>
    <mergeCell ref="D35:H35"/>
    <mergeCell ref="D36:H36"/>
    <mergeCell ref="D37:H37"/>
    <mergeCell ref="I46:J46"/>
    <mergeCell ref="I43:J43"/>
    <mergeCell ref="I44:J44"/>
    <mergeCell ref="I45:J45"/>
    <mergeCell ref="I41:J41"/>
    <mergeCell ref="I42:J42"/>
    <mergeCell ref="D60:H60"/>
    <mergeCell ref="D49:H49"/>
    <mergeCell ref="D50:H50"/>
    <mergeCell ref="D51:H51"/>
    <mergeCell ref="D52:H52"/>
    <mergeCell ref="D61:H61"/>
    <mergeCell ref="D62:H62"/>
    <mergeCell ref="I33:J33"/>
    <mergeCell ref="I34:J34"/>
    <mergeCell ref="I35:J35"/>
    <mergeCell ref="I36:J36"/>
    <mergeCell ref="I37:J37"/>
    <mergeCell ref="I38:J38"/>
    <mergeCell ref="I39:J39"/>
    <mergeCell ref="I40:J40"/>
    <mergeCell ref="D53:H53"/>
    <mergeCell ref="D54:H54"/>
    <mergeCell ref="D55:H55"/>
    <mergeCell ref="D58:H58"/>
    <mergeCell ref="D59:H59"/>
    <mergeCell ref="D33:H33"/>
    <mergeCell ref="D42:H42"/>
    <mergeCell ref="D43:H43"/>
    <mergeCell ref="D44:H44"/>
    <mergeCell ref="D45:H45"/>
    <mergeCell ref="D46:H46"/>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ENT_01_A6-02</v>
      </c>
      <c r="E6" s="272"/>
      <c r="F6" s="272"/>
      <c r="G6" s="272"/>
      <c r="H6" s="272"/>
      <c r="I6" s="272"/>
      <c r="J6" s="273"/>
    </row>
    <row r="7" spans="1:45">
      <c r="B7" s="261" t="s">
        <v>115</v>
      </c>
      <c r="C7" s="262"/>
      <c r="D7" s="263" t="s">
        <v>3185</v>
      </c>
      <c r="E7" s="264"/>
      <c r="F7" s="264"/>
      <c r="G7" s="264"/>
      <c r="H7" s="264"/>
      <c r="I7" s="264"/>
      <c r="J7" s="265"/>
    </row>
    <row r="8" spans="1:45">
      <c r="B8" s="261" t="s">
        <v>116</v>
      </c>
      <c r="C8" s="262"/>
      <c r="D8" s="263" t="str">
        <f>エンティティ一覧!AE2&amp;"_"&amp;D5&amp;"_text_mml_common"</f>
        <v>azn_202310_backup_text_mml_common</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MML共通テーブルから組入れ条件の第一条件で絞り込んだ結果を格納するテーブル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milscm_2023_010.azn_202310_backup_text_mml_common;</v>
      </c>
      <c r="O10" s="76"/>
      <c r="P10" s="76"/>
      <c r="Q10" s="76"/>
      <c r="R10" s="76"/>
      <c r="S10" s="76"/>
      <c r="T10" s="76"/>
      <c r="AJ10" s="76" t="str">
        <f>"ALTER TABLE ONLY "&amp;エンティティ一覧!$O$2&amp;"."&amp;D$8</f>
        <v>ALTER TABLE ONLY milscm_2023_010.azn_202310_backup_text_mml_common</v>
      </c>
      <c r="AS10" s="76" t="str">
        <f>"ALTER TABLE "&amp;エンティティ一覧!$O$2&amp;"."&amp;D$8&amp;" OWNER TO pgmisgrp1;"</f>
        <v>ALTER TABLE milscm_2023_010.azn_202310_backup_text_mml_common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milscm_2023_010.azn_202310_backup_text_mml_common</v>
      </c>
      <c r="O11" s="76"/>
      <c r="P11" s="76"/>
      <c r="Q11" s="76"/>
      <c r="R11" s="76"/>
      <c r="S11" s="76"/>
      <c r="T11" s="76"/>
      <c r="AJ11" s="76" t="str">
        <f>"ADD CONSTRAINT "&amp;D$8&amp;"_pkey PRIMARY KEY"</f>
        <v>ADD CONSTRAINT azn_202310_backup_text_mml_common_pkey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milscm_2023_010.azn_202310_backup_text_mml_common IS 'バックアップ_MML共通';</v>
      </c>
    </row>
    <row r="13" spans="1:45" s="25" customFormat="1">
      <c r="A13" s="4"/>
      <c r="B13" s="21">
        <f>ROW()-12</f>
        <v>1</v>
      </c>
      <c r="C13" s="6" t="s">
        <v>2778</v>
      </c>
      <c r="D13" s="6" t="s">
        <v>2779</v>
      </c>
      <c r="E13" s="8" t="s">
        <v>127</v>
      </c>
      <c r="F13" s="8" t="s">
        <v>3270</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milscm_2023_010.azn_202310_backup_text_mml_common.zip_no IS 'ZipファイルNo';</v>
      </c>
    </row>
    <row r="14" spans="1:45" s="25" customFormat="1">
      <c r="A14" s="4"/>
      <c r="B14" s="21">
        <f t="shared" ref="B14:B22" si="2">ROW()-12</f>
        <v>2</v>
      </c>
      <c r="C14" s="6" t="s">
        <v>2781</v>
      </c>
      <c r="D14" s="6" t="s">
        <v>2782</v>
      </c>
      <c r="E14" s="8" t="s">
        <v>127</v>
      </c>
      <c r="F14" s="7" t="s">
        <v>3270</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milscm_2023_010.azn_202310_backup_text_mml_common.file_no IS 'ファイルNo';</v>
      </c>
    </row>
    <row r="15" spans="1:45" s="25" customFormat="1">
      <c r="A15" s="4"/>
      <c r="B15" s="21">
        <f t="shared" si="2"/>
        <v>3</v>
      </c>
      <c r="C15" s="6" t="s">
        <v>3259</v>
      </c>
      <c r="D15" s="6" t="s">
        <v>2784</v>
      </c>
      <c r="E15" s="8" t="s">
        <v>127</v>
      </c>
      <c r="F15" s="7" t="s">
        <v>3270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milscm_2023_010.azn_202310_backup_text_mml_common.body_no IS '本文No';</v>
      </c>
    </row>
    <row r="16" spans="1:45" s="25" customFormat="1">
      <c r="A16" s="4"/>
      <c r="B16" s="21">
        <f t="shared" si="2"/>
        <v>4</v>
      </c>
      <c r="C16" s="6" t="s">
        <v>3260</v>
      </c>
      <c r="D16" s="6" t="s">
        <v>2401</v>
      </c>
      <c r="E16" s="8"/>
      <c r="F16" s="7" t="s">
        <v>316</v>
      </c>
      <c r="G16" s="7" t="str">
        <f t="shared" si="3"/>
        <v>text</v>
      </c>
      <c r="H16" s="26"/>
      <c r="I16" s="10" t="s">
        <v>127</v>
      </c>
      <c r="J16" s="11" t="s">
        <v>3271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milscm_2023_010.azn_202310_backup_text_mml_common.facility_id_mml IS '施設ID（MML）';</v>
      </c>
    </row>
    <row r="17" spans="1:52" s="25" customFormat="1">
      <c r="A17" s="4"/>
      <c r="B17" s="21">
        <f t="shared" si="2"/>
        <v>5</v>
      </c>
      <c r="C17" s="6" t="s">
        <v>2786</v>
      </c>
      <c r="D17" s="6" t="s">
        <v>1244</v>
      </c>
      <c r="E17" s="8"/>
      <c r="F17" s="7" t="s">
        <v>316</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milscm_2023_010.azn_202310_backup_text_mml_common.master_id IS '患者ID';</v>
      </c>
    </row>
    <row r="18" spans="1:52" s="25" customFormat="1">
      <c r="A18" s="4"/>
      <c r="B18" s="21">
        <f t="shared" si="2"/>
        <v>6</v>
      </c>
      <c r="C18" s="6" t="s">
        <v>3261</v>
      </c>
      <c r="D18" s="6" t="s">
        <v>1246</v>
      </c>
      <c r="E18" s="8"/>
      <c r="F18" s="7" t="s">
        <v>316</v>
      </c>
      <c r="G18" s="7" t="str">
        <f t="shared" si="3"/>
        <v>text</v>
      </c>
      <c r="H18" s="26"/>
      <c r="I18" s="10" t="s">
        <v>127</v>
      </c>
      <c r="J18" s="11"/>
      <c r="M18" s="4"/>
      <c r="N18" s="76"/>
      <c r="O18" s="76"/>
      <c r="P18" s="76" t="str">
        <f t="shared" si="4"/>
        <v>,uid</v>
      </c>
      <c r="Q18" s="76" t="str">
        <f t="shared" si="0"/>
        <v>TEXT</v>
      </c>
      <c r="R18" s="76" t="str">
        <f t="shared" si="1"/>
        <v/>
      </c>
      <c r="S18" s="76" t="str">
        <f t="shared" si="5"/>
        <v>NOT NULL</v>
      </c>
      <c r="T18" s="76" t="str">
        <f t="shared" si="6"/>
        <v>-- UID</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milscm_2023_010.azn_202310_backup_text_mml_common.uid IS 'UID';</v>
      </c>
    </row>
    <row r="19" spans="1:52" s="25" customFormat="1">
      <c r="A19" s="4"/>
      <c r="B19" s="21">
        <f t="shared" si="2"/>
        <v>7</v>
      </c>
      <c r="C19" s="6" t="s">
        <v>3262</v>
      </c>
      <c r="D19" s="6" t="s">
        <v>3263</v>
      </c>
      <c r="E19" s="8"/>
      <c r="F19" s="7" t="s">
        <v>316</v>
      </c>
      <c r="G19" s="7" t="str">
        <f t="shared" si="3"/>
        <v>text</v>
      </c>
      <c r="H19" s="26"/>
      <c r="I19" s="10" t="s">
        <v>127</v>
      </c>
      <c r="J19" s="11" t="s">
        <v>2792</v>
      </c>
      <c r="M19" s="4"/>
      <c r="N19" s="76"/>
      <c r="O19" s="76"/>
      <c r="P19" s="76" t="str">
        <f t="shared" si="4"/>
        <v>,comfirm_date</v>
      </c>
      <c r="Q19" s="76" t="str">
        <f t="shared" si="0"/>
        <v>TEXT</v>
      </c>
      <c r="R19" s="76" t="str">
        <f t="shared" si="1"/>
        <v/>
      </c>
      <c r="S19" s="76" t="str">
        <f t="shared" si="5"/>
        <v>NOT NULL</v>
      </c>
      <c r="T19" s="76" t="str">
        <f t="shared" si="6"/>
        <v>-- 記載確定日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milscm_2023_010.azn_202310_backup_text_mml_common.comfirm_date IS '記載確定日';</v>
      </c>
    </row>
    <row r="20" spans="1:52" s="25" customFormat="1">
      <c r="A20" s="4"/>
      <c r="B20" s="21">
        <f t="shared" si="2"/>
        <v>8</v>
      </c>
      <c r="C20" s="6" t="s">
        <v>3264</v>
      </c>
      <c r="D20" s="6" t="s">
        <v>3265</v>
      </c>
      <c r="E20" s="8"/>
      <c r="F20" s="7" t="s">
        <v>316</v>
      </c>
      <c r="G20" s="7" t="str">
        <f t="shared" si="3"/>
        <v>text</v>
      </c>
      <c r="H20" s="26"/>
      <c r="I20" s="10" t="s">
        <v>127</v>
      </c>
      <c r="J20" s="11"/>
      <c r="M20" s="4"/>
      <c r="N20" s="76"/>
      <c r="O20" s="76"/>
      <c r="P20" s="76" t="str">
        <f t="shared" si="4"/>
        <v>,mml_type</v>
      </c>
      <c r="Q20" s="76" t="str">
        <f t="shared" si="0"/>
        <v>TEXT</v>
      </c>
      <c r="R20" s="76" t="str">
        <f t="shared" si="1"/>
        <v/>
      </c>
      <c r="S20" s="76" t="str">
        <f t="shared" si="5"/>
        <v>NOT NULL</v>
      </c>
      <c r="T20" s="76" t="str">
        <f t="shared" si="6"/>
        <v>-- MMLモジュール種別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milscm_2023_010.azn_202310_backup_text_mml_common.mml_type IS 'MMLモジュール種別';</v>
      </c>
    </row>
    <row r="21" spans="1:52" s="25" customFormat="1">
      <c r="A21" s="4"/>
      <c r="B21" s="21">
        <f t="shared" si="2"/>
        <v>9</v>
      </c>
      <c r="C21" s="6" t="s">
        <v>3266</v>
      </c>
      <c r="D21" s="6" t="s">
        <v>3267</v>
      </c>
      <c r="E21" s="8"/>
      <c r="F21" s="7" t="s">
        <v>316</v>
      </c>
      <c r="G21" s="7" t="str">
        <f t="shared" si="3"/>
        <v>text</v>
      </c>
      <c r="H21" s="26"/>
      <c r="I21" s="10" t="s">
        <v>127</v>
      </c>
      <c r="J21" s="11" t="s">
        <v>3272</v>
      </c>
      <c r="M21" s="4"/>
      <c r="N21" s="76"/>
      <c r="O21" s="76"/>
      <c r="P21" s="76" t="str">
        <f t="shared" si="4"/>
        <v>,file_name</v>
      </c>
      <c r="Q21" s="76" t="str">
        <f t="shared" si="0"/>
        <v>TEXT</v>
      </c>
      <c r="R21" s="76" t="str">
        <f t="shared" si="1"/>
        <v/>
      </c>
      <c r="S21" s="76" t="str">
        <f t="shared" si="5"/>
        <v>NOT NULL</v>
      </c>
      <c r="T21" s="76" t="str">
        <f t="shared" si="6"/>
        <v>-- ファイル名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milscm_2023_010.azn_202310_backup_text_mml_common.file_name IS 'ファイル名';</v>
      </c>
    </row>
    <row r="22" spans="1:52" s="25" customFormat="1">
      <c r="A22" s="4"/>
      <c r="B22" s="21">
        <f t="shared" si="2"/>
        <v>10</v>
      </c>
      <c r="C22" s="6" t="s">
        <v>3268</v>
      </c>
      <c r="D22" s="6" t="s">
        <v>2506</v>
      </c>
      <c r="E22" s="8"/>
      <c r="F22" s="7" t="s">
        <v>2416</v>
      </c>
      <c r="G22" s="7" t="str">
        <f t="shared" si="3"/>
        <v>boolean</v>
      </c>
      <c r="H22" s="26" t="b">
        <v>1</v>
      </c>
      <c r="I22" s="10" t="s">
        <v>127</v>
      </c>
      <c r="J22" s="11" t="s">
        <v>3273</v>
      </c>
      <c r="M22" s="4"/>
      <c r="N22" s="76"/>
      <c r="O22" s="76"/>
      <c r="P22" s="76" t="str">
        <f t="shared" si="4"/>
        <v>,new_f</v>
      </c>
      <c r="Q22" s="76" t="str">
        <f t="shared" si="0"/>
        <v>BOOLEAN</v>
      </c>
      <c r="R22" s="76" t="str">
        <f t="shared" si="1"/>
        <v>default TRUE</v>
      </c>
      <c r="S22" s="76" t="str">
        <f t="shared" si="5"/>
        <v>NOT NULL</v>
      </c>
      <c r="T22" s="76" t="str">
        <f t="shared" si="6"/>
        <v>-- 最新フラグ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milscm_2023_010.azn_202310_backup_text_mml_common.new_f IS '最新フラグ';</v>
      </c>
    </row>
    <row r="23" spans="1:52" s="25" customFormat="1" ht="19.5" thickBot="1">
      <c r="A23" s="4"/>
      <c r="B23" s="27">
        <f>ROW()-12</f>
        <v>11</v>
      </c>
      <c r="C23" s="57" t="s">
        <v>3269</v>
      </c>
      <c r="D23" s="57" t="s">
        <v>1902</v>
      </c>
      <c r="E23" s="56"/>
      <c r="F23" s="56" t="s">
        <v>2416</v>
      </c>
      <c r="G23" s="56" t="str">
        <f t="shared" si="3"/>
        <v>boolean</v>
      </c>
      <c r="H23" s="59" t="b">
        <v>0</v>
      </c>
      <c r="I23" s="60" t="s">
        <v>127</v>
      </c>
      <c r="J23" s="63" t="s">
        <v>3274</v>
      </c>
      <c r="N23" s="76"/>
      <c r="O23" s="76"/>
      <c r="P23" s="76" t="str">
        <f t="shared" si="4"/>
        <v>,del_f</v>
      </c>
      <c r="Q23" s="76" t="str">
        <f t="shared" si="0"/>
        <v>BOOLEAN</v>
      </c>
      <c r="R23" s="76" t="str">
        <f t="shared" si="1"/>
        <v>default FALSE</v>
      </c>
      <c r="S23" s="76" t="str">
        <f t="shared" si="5"/>
        <v>NOT NULL</v>
      </c>
      <c r="T23" s="76" t="str">
        <f t="shared" si="6"/>
        <v>-- 削除フラグ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milscm_2023_010.azn_202310_backup_text_mml_common.del_f IS '削除フラグ';</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ENT_01_A6-03</v>
      </c>
      <c r="E6" s="272"/>
      <c r="F6" s="272"/>
      <c r="G6" s="272"/>
      <c r="H6" s="272"/>
      <c r="I6" s="272"/>
      <c r="J6" s="273"/>
    </row>
    <row r="7" spans="1:45">
      <c r="B7" s="261" t="s">
        <v>115</v>
      </c>
      <c r="C7" s="262"/>
      <c r="D7" s="263" t="s">
        <v>2777</v>
      </c>
      <c r="E7" s="264"/>
      <c r="F7" s="264"/>
      <c r="G7" s="264"/>
      <c r="H7" s="264"/>
      <c r="I7" s="264"/>
      <c r="J7" s="265"/>
    </row>
    <row r="8" spans="1:45">
      <c r="B8" s="261" t="s">
        <v>116</v>
      </c>
      <c r="C8" s="262"/>
      <c r="D8" s="263" t="str">
        <f>エンティティ一覧!AE2&amp;"_"&amp;D5&amp;"_text_mml_mmlrd_body"</f>
        <v>azn_202310_backup_text_mml_mmlrd_body</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MML_診断履歴情報モジュール_本文テーブルから組入れ条件の第一条件で絞り込んだ結果を格納するテーブル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milscm_2023_010.azn_202310_backup_text_mml_mmlrd_body;</v>
      </c>
      <c r="O10" s="76"/>
      <c r="P10" s="76"/>
      <c r="Q10" s="76"/>
      <c r="R10" s="76"/>
      <c r="S10" s="76"/>
      <c r="T10" s="76"/>
      <c r="AJ10" s="76" t="str">
        <f>"ALTER TABLE ONLY "&amp;エンティティ一覧!$O$2&amp;"."&amp;D$8</f>
        <v>ALTER TABLE ONLY milscm_2023_010.azn_202310_backup_text_mml_mmlrd_body</v>
      </c>
      <c r="AS10" s="76" t="str">
        <f>"ALTER TABLE "&amp;エンティティ一覧!$O$2&amp;"."&amp;D$8&amp;" OWNER TO pgmisgrp1;"</f>
        <v>ALTER TABLE milscm_2023_010.azn_202310_backup_text_mml_mmlrd_body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milscm_2023_010.azn_202310_backup_text_mml_mmlrd_body</v>
      </c>
      <c r="O11" s="76"/>
      <c r="P11" s="76"/>
      <c r="Q11" s="76"/>
      <c r="R11" s="76"/>
      <c r="S11" s="76"/>
      <c r="T11" s="76"/>
      <c r="AJ11" s="76" t="str">
        <f>"ADD CONSTRAINT "&amp;D$8&amp;"_pkey PRIMARY KEY"</f>
        <v>ADD CONSTRAINT azn_202310_backup_text_mml_mmlrd_body_pkey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milscm_2023_010.azn_202310_backup_text_mml_mmlrd_body IS 'バックアップ_MML_診断履歴情報モジュール_本文';</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milscm_2023_010.azn_202310_backup_text_mml_mmlrd_body.zip_no IS 'ZipファイルNo';</v>
      </c>
    </row>
    <row r="14" spans="1:45" s="25" customFormat="1">
      <c r="A14" s="4"/>
      <c r="B14" s="21">
        <f t="shared" ref="B14:B20" si="2">ROW()-12</f>
        <v>2</v>
      </c>
      <c r="C14" s="6" t="s">
        <v>2781</v>
      </c>
      <c r="D14" s="6" t="s">
        <v>2782</v>
      </c>
      <c r="E14" s="8" t="s">
        <v>127</v>
      </c>
      <c r="F14" s="7" t="s">
        <v>2780</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milscm_2023_010.azn_202310_backup_text_mml_mmlrd_body.file_no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milscm_2023_010.azn_202310_backup_text_mml_mmlrd_body.body_no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milscm_2023_010.azn_202310_backup_text_mml_mmlrd_body.facility_id_mml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milscm_2023_010.azn_202310_backup_text_mml_mmlrd_body.master_id IS '患者ID';</v>
      </c>
    </row>
    <row r="18" spans="1:52" s="25" customFormat="1">
      <c r="A18" s="4"/>
      <c r="B18" s="21">
        <f t="shared" si="2"/>
        <v>6</v>
      </c>
      <c r="C18" s="6" t="s">
        <v>1301</v>
      </c>
      <c r="D18" s="6" t="s">
        <v>2787</v>
      </c>
      <c r="E18" s="8"/>
      <c r="F18" s="7" t="s">
        <v>1819</v>
      </c>
      <c r="G18" s="7" t="str">
        <f t="shared" si="3"/>
        <v>text</v>
      </c>
      <c r="H18" s="26"/>
      <c r="I18" s="10"/>
      <c r="J18" s="11" t="s">
        <v>2792</v>
      </c>
      <c r="M18" s="4"/>
      <c r="N18" s="76"/>
      <c r="O18" s="76"/>
      <c r="P18" s="76" t="str">
        <f t="shared" si="4"/>
        <v>,start_date</v>
      </c>
      <c r="Q18" s="76" t="str">
        <f t="shared" si="0"/>
        <v>TEXT</v>
      </c>
      <c r="R18" s="76" t="str">
        <f t="shared" si="1"/>
        <v/>
      </c>
      <c r="S18" s="76" t="str">
        <f t="shared" si="5"/>
        <v/>
      </c>
      <c r="T18" s="76" t="str">
        <f t="shared" si="6"/>
        <v>-- 疾患開始日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milscm_2023_010.azn_202310_backup_text_mml_mmlrd_body.start_date IS '疾患開始日';</v>
      </c>
    </row>
    <row r="19" spans="1:52" s="25" customFormat="1">
      <c r="A19" s="4"/>
      <c r="B19" s="21">
        <f t="shared" si="2"/>
        <v>7</v>
      </c>
      <c r="C19" s="6" t="s">
        <v>1303</v>
      </c>
      <c r="D19" s="6" t="s">
        <v>2788</v>
      </c>
      <c r="E19" s="8"/>
      <c r="F19" s="7" t="s">
        <v>1819</v>
      </c>
      <c r="G19" s="7" t="str">
        <f t="shared" si="3"/>
        <v>text</v>
      </c>
      <c r="H19" s="26"/>
      <c r="I19" s="10"/>
      <c r="J19" s="11" t="s">
        <v>2792</v>
      </c>
      <c r="M19" s="4"/>
      <c r="N19" s="76"/>
      <c r="O19" s="76"/>
      <c r="P19" s="76" t="str">
        <f t="shared" si="4"/>
        <v>,end_date</v>
      </c>
      <c r="Q19" s="76" t="str">
        <f t="shared" si="0"/>
        <v>TEXT</v>
      </c>
      <c r="R19" s="76" t="str">
        <f t="shared" si="1"/>
        <v/>
      </c>
      <c r="S19" s="76" t="str">
        <f t="shared" si="5"/>
        <v/>
      </c>
      <c r="T19" s="76" t="str">
        <f t="shared" si="6"/>
        <v>-- 疾患終了日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milscm_2023_010.azn_202310_backup_text_mml_mmlrd_body.end_date IS '疾患終了日';</v>
      </c>
    </row>
    <row r="20" spans="1:52" s="25" customFormat="1">
      <c r="A20" s="4"/>
      <c r="B20" s="21">
        <f t="shared" si="2"/>
        <v>8</v>
      </c>
      <c r="C20" s="6" t="s">
        <v>1305</v>
      </c>
      <c r="D20" s="6" t="s">
        <v>2789</v>
      </c>
      <c r="E20" s="8"/>
      <c r="F20" s="7" t="s">
        <v>1819</v>
      </c>
      <c r="G20" s="7" t="str">
        <f t="shared" si="3"/>
        <v>text</v>
      </c>
      <c r="H20" s="26"/>
      <c r="I20" s="10"/>
      <c r="J20" s="11"/>
      <c r="M20" s="4"/>
      <c r="N20" s="76"/>
      <c r="O20" s="76"/>
      <c r="P20" s="76" t="str">
        <f t="shared" si="4"/>
        <v>,outcome</v>
      </c>
      <c r="Q20" s="76" t="str">
        <f t="shared" si="0"/>
        <v>TEXT</v>
      </c>
      <c r="R20" s="76" t="str">
        <f t="shared" si="1"/>
        <v/>
      </c>
      <c r="S20" s="76" t="str">
        <f t="shared" si="5"/>
        <v/>
      </c>
      <c r="T20" s="76" t="str">
        <f t="shared" si="6"/>
        <v>-- 転帰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milscm_2023_010.azn_202310_backup_text_mml_mmlrd_body.outcome IS '転帰';</v>
      </c>
    </row>
    <row r="21" spans="1:52" s="25" customFormat="1" ht="19.5" thickBot="1">
      <c r="A21" s="4"/>
      <c r="B21" s="27">
        <f>ROW()-12</f>
        <v>9</v>
      </c>
      <c r="C21" s="57" t="s">
        <v>1307</v>
      </c>
      <c r="D21" s="57" t="s">
        <v>2790</v>
      </c>
      <c r="E21" s="56"/>
      <c r="F21" s="56" t="s">
        <v>1819</v>
      </c>
      <c r="G21" s="56" t="str">
        <f t="shared" si="3"/>
        <v>text</v>
      </c>
      <c r="H21" s="59"/>
      <c r="I21" s="60"/>
      <c r="J21" s="63"/>
      <c r="N21" s="76"/>
      <c r="O21" s="76"/>
      <c r="P21" s="76" t="str">
        <f t="shared" si="4"/>
        <v>,first_encounter_date</v>
      </c>
      <c r="Q21" s="76" t="str">
        <f t="shared" si="0"/>
        <v>TEXT</v>
      </c>
      <c r="R21" s="76" t="str">
        <f t="shared" si="1"/>
        <v/>
      </c>
      <c r="S21" s="76" t="str">
        <f t="shared" si="5"/>
        <v/>
      </c>
      <c r="T21" s="76" t="str">
        <f t="shared" si="6"/>
        <v>-- 疾患の初診日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milscm_2023_010.azn_202310_backup_text_mml_mmlrd_body.first_encounter_date IS '疾患の初診日';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ENT_01_A6-04</v>
      </c>
      <c r="E6" s="272"/>
      <c r="F6" s="272"/>
      <c r="G6" s="272"/>
      <c r="H6" s="272"/>
      <c r="I6" s="272"/>
      <c r="J6" s="273"/>
    </row>
    <row r="7" spans="1:45">
      <c r="B7" s="261" t="s">
        <v>115</v>
      </c>
      <c r="C7" s="262"/>
      <c r="D7" s="263" t="s">
        <v>2793</v>
      </c>
      <c r="E7" s="264"/>
      <c r="F7" s="264"/>
      <c r="G7" s="264"/>
      <c r="H7" s="264"/>
      <c r="I7" s="264"/>
      <c r="J7" s="265"/>
    </row>
    <row r="8" spans="1:45">
      <c r="B8" s="261" t="s">
        <v>116</v>
      </c>
      <c r="C8" s="262"/>
      <c r="D8" s="263" t="str">
        <f>エンティティ一覧!AE2&amp;"_"&amp;D5&amp;"_text_mml_mmlrd_byomei"</f>
        <v>azn_202310_backup_text_mml_mmlrd_byomei</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MML_診断履歴情報モジュール_病名テーブルから組入れ条件の第一条件で絞り込んだ結果を格納するテーブル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milscm_2023_010.azn_202310_backup_text_mml_mmlrd_byomei;</v>
      </c>
      <c r="O10" s="76"/>
      <c r="P10" s="76"/>
      <c r="Q10" s="76"/>
      <c r="R10" s="76"/>
      <c r="S10" s="76"/>
      <c r="T10" s="76"/>
      <c r="AJ10" s="76" t="str">
        <f>"ALTER TABLE ONLY "&amp;エンティティ一覧!$O$2&amp;"."&amp;D$8</f>
        <v>ALTER TABLE ONLY milscm_2023_010.azn_202310_backup_text_mml_mmlrd_byomei</v>
      </c>
      <c r="AS10" s="76" t="str">
        <f>"ALTER TABLE "&amp;エンティティ一覧!$O$2&amp;"."&amp;D$8&amp;" OWNER TO pgmisgrp1;"</f>
        <v>ALTER TABLE milscm_2023_010.azn_202310_backup_text_mml_mmlrd_byomei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milscm_2023_010.azn_202310_backup_text_mml_mmlrd_byomei</v>
      </c>
      <c r="O11" s="76"/>
      <c r="P11" s="76"/>
      <c r="Q11" s="76"/>
      <c r="R11" s="76"/>
      <c r="S11" s="76"/>
      <c r="T11" s="76"/>
      <c r="AJ11" s="76" t="str">
        <f>"ADD CONSTRAINT "&amp;D$8&amp;"_pkey PRIMARY KEY"</f>
        <v>ADD CONSTRAINT azn_202310_backup_text_mml_mmlrd_byomei_pkey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milscm_2023_010.azn_202310_backup_text_mml_mmlrd_byomei IS 'バックアップ_MML_診断履歴情報モジュール_病名';</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milscm_2023_010.azn_202310_backup_text_mml_mmlrd_byomei.zip_no IS 'ZipファイルNo';</v>
      </c>
    </row>
    <row r="14" spans="1:45" s="25" customFormat="1">
      <c r="A14" s="4"/>
      <c r="B14" s="21">
        <f t="shared" ref="B14:B21" si="2">ROW()-12</f>
        <v>2</v>
      </c>
      <c r="C14" s="6" t="s">
        <v>2781</v>
      </c>
      <c r="D14" s="6" t="s">
        <v>2782</v>
      </c>
      <c r="E14" s="8" t="s">
        <v>127</v>
      </c>
      <c r="F14" s="7" t="s">
        <v>2780</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milscm_2023_010.azn_202310_backup_text_mml_mmlrd_byomei.file_no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milscm_2023_010.azn_202310_backup_text_mml_mmlrd_byomei.body_no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milscm_2023_010.azn_202310_backup_text_mml_mmlrd_byomei.facility_id_mml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milscm_2023_010.azn_202310_backup_text_mml_mmlrd_byomei.master_id IS '患者ID';</v>
      </c>
    </row>
    <row r="18" spans="1:52" s="25" customFormat="1">
      <c r="A18" s="4"/>
      <c r="B18" s="21">
        <f t="shared" si="2"/>
        <v>6</v>
      </c>
      <c r="C18" s="6" t="s">
        <v>2794</v>
      </c>
      <c r="D18" s="6" t="s">
        <v>2795</v>
      </c>
      <c r="E18" s="8" t="s">
        <v>127</v>
      </c>
      <c r="F18" s="7" t="s">
        <v>2780</v>
      </c>
      <c r="G18" s="7" t="str">
        <f t="shared" si="3"/>
        <v>integer</v>
      </c>
      <c r="H18" s="26"/>
      <c r="I18" s="10" t="s">
        <v>127</v>
      </c>
      <c r="J18" s="11"/>
      <c r="M18" s="4"/>
      <c r="N18" s="76"/>
      <c r="O18" s="76"/>
      <c r="P18" s="76" t="str">
        <f t="shared" si="4"/>
        <v>,byomei_no</v>
      </c>
      <c r="Q18" s="76" t="str">
        <f t="shared" si="0"/>
        <v>INTEGER</v>
      </c>
      <c r="R18" s="76" t="str">
        <f t="shared" si="1"/>
        <v/>
      </c>
      <c r="S18" s="76" t="str">
        <f t="shared" si="5"/>
        <v>NOT NULL</v>
      </c>
      <c r="T18" s="76" t="str">
        <f t="shared" si="6"/>
        <v>-- 病名No</v>
      </c>
      <c r="U18" s="4"/>
      <c r="AA18" s="4"/>
      <c r="AB18" s="4"/>
      <c r="AC18" s="4"/>
      <c r="AD18" s="4"/>
      <c r="AE18" s="4"/>
      <c r="AF18" s="4"/>
      <c r="AG18" s="4"/>
      <c r="AH18" s="4"/>
      <c r="AI18" s="4"/>
      <c r="AJ18" s="76" t="str">
        <f>IF(E18="○",IF(COUNTA(E$13:E18)=1,"",",")&amp;D18,"")</f>
        <v>,byomei_no</v>
      </c>
      <c r="AK18" s="4"/>
      <c r="AL18" s="4"/>
      <c r="AM18" s="4"/>
      <c r="AN18" s="4"/>
      <c r="AO18" s="4"/>
      <c r="AP18" s="4"/>
      <c r="AQ18" s="4"/>
      <c r="AR18" s="4"/>
      <c r="AS18" s="76" t="str">
        <f>"COMMENT ON COLUMN "&amp;エンティティ一覧!$O$2&amp;"."&amp;D$8&amp;"."&amp;D18&amp;" IS '"&amp;C18&amp;"';"</f>
        <v>COMMENT ON COLUMN milscm_2023_010.azn_202310_backup_text_mml_mmlrd_byomei.byomei_no IS '病名No';</v>
      </c>
    </row>
    <row r="19" spans="1:52" s="25" customFormat="1">
      <c r="A19" s="4"/>
      <c r="B19" s="21">
        <f t="shared" si="2"/>
        <v>7</v>
      </c>
      <c r="C19" s="6" t="s">
        <v>2796</v>
      </c>
      <c r="D19" s="6" t="s">
        <v>2797</v>
      </c>
      <c r="E19" s="8"/>
      <c r="F19" s="7" t="s">
        <v>1819</v>
      </c>
      <c r="G19" s="7" t="str">
        <f t="shared" si="3"/>
        <v>text</v>
      </c>
      <c r="H19" s="26"/>
      <c r="I19" s="10"/>
      <c r="J19" s="11" t="s">
        <v>2802</v>
      </c>
      <c r="M19" s="4"/>
      <c r="N19" s="76"/>
      <c r="O19" s="76"/>
      <c r="P19" s="76" t="str">
        <f t="shared" si="4"/>
        <v>,tag_name</v>
      </c>
      <c r="Q19" s="76" t="str">
        <f t="shared" si="0"/>
        <v>TEXT</v>
      </c>
      <c r="R19" s="76" t="str">
        <f t="shared" si="1"/>
        <v/>
      </c>
      <c r="S19" s="76" t="str">
        <f t="shared" si="5"/>
        <v/>
      </c>
      <c r="T19" s="76" t="str">
        <f t="shared" si="6"/>
        <v>-- タグ名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milscm_2023_010.azn_202310_backup_text_mml_mmlrd_byomei.tag_name IS 'タグ名';</v>
      </c>
    </row>
    <row r="20" spans="1:52" s="25" customFormat="1" ht="37.5">
      <c r="A20" s="4"/>
      <c r="B20" s="21">
        <f t="shared" si="2"/>
        <v>8</v>
      </c>
      <c r="C20" s="6" t="s">
        <v>1319</v>
      </c>
      <c r="D20" s="6" t="s">
        <v>2798</v>
      </c>
      <c r="E20" s="8"/>
      <c r="F20" s="7" t="s">
        <v>1819</v>
      </c>
      <c r="G20" s="7" t="str">
        <f t="shared" ref="G20" si="7">IF(F20="フラグ","boolean",IF(F20="文字列","text",IF(F20="整数","integer",IF(F20="実数","numeric",""))))</f>
        <v>text</v>
      </c>
      <c r="H20" s="26"/>
      <c r="I20" s="10"/>
      <c r="J20" s="11" t="s">
        <v>2803</v>
      </c>
      <c r="M20" s="4"/>
      <c r="N20" s="76"/>
      <c r="O20" s="76"/>
      <c r="P20" s="76" t="str">
        <f t="shared" ref="P20" si="8">IF(B20&lt;&gt;1,","&amp;D20,D20)</f>
        <v>,diagnosis</v>
      </c>
      <c r="Q20" s="76" t="str">
        <f t="shared" ref="Q20" si="9">UPPER(G20)</f>
        <v>TEXT</v>
      </c>
      <c r="R20" s="76" t="str">
        <f t="shared" ref="R20" si="10">IF(H20&lt;&gt;"","default "&amp;IF(G20="text","'"&amp;H20&amp;"'",H20),"")</f>
        <v/>
      </c>
      <c r="S20" s="76" t="str">
        <f t="shared" ref="S20" si="11">IF(I20="○","NOT NULL","")</f>
        <v/>
      </c>
      <c r="T20" s="76" t="str">
        <f t="shared" ref="T20" si="12">"-- "&amp;C20</f>
        <v>-- 病名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milscm_2023_010.azn_202310_backup_text_mml_mmlrd_byomei.diagnosis IS '病名';</v>
      </c>
    </row>
    <row r="21" spans="1:52" s="25" customFormat="1">
      <c r="A21" s="4"/>
      <c r="B21" s="21">
        <f t="shared" si="2"/>
        <v>9</v>
      </c>
      <c r="C21" s="6" t="s">
        <v>2799</v>
      </c>
      <c r="D21" s="6" t="s">
        <v>358</v>
      </c>
      <c r="E21" s="8"/>
      <c r="F21" s="7" t="s">
        <v>1819</v>
      </c>
      <c r="G21" s="7" t="str">
        <f t="shared" si="3"/>
        <v>text</v>
      </c>
      <c r="H21" s="26"/>
      <c r="I21" s="10"/>
      <c r="J21" s="11"/>
      <c r="M21" s="4"/>
      <c r="N21" s="76"/>
      <c r="O21" s="76"/>
      <c r="P21" s="76" t="str">
        <f t="shared" si="4"/>
        <v>,code</v>
      </c>
      <c r="Q21" s="76" t="str">
        <f t="shared" si="0"/>
        <v>TEXT</v>
      </c>
      <c r="R21" s="76" t="str">
        <f t="shared" si="1"/>
        <v/>
      </c>
      <c r="S21" s="76" t="str">
        <f t="shared" si="5"/>
        <v/>
      </c>
      <c r="T21" s="76" t="str">
        <f t="shared" si="6"/>
        <v>-- コード値</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milscm_2023_010.azn_202310_backup_text_mml_mmlrd_byomei.code IS 'コード値';</v>
      </c>
    </row>
    <row r="22" spans="1:52" s="25" customFormat="1" ht="19.5" thickBot="1">
      <c r="A22" s="4"/>
      <c r="B22" s="27">
        <f>ROW()-12</f>
        <v>10</v>
      </c>
      <c r="C22" s="57" t="s">
        <v>2800</v>
      </c>
      <c r="D22" s="57" t="s">
        <v>2801</v>
      </c>
      <c r="E22" s="56"/>
      <c r="F22" s="56" t="s">
        <v>1819</v>
      </c>
      <c r="G22" s="56" t="str">
        <f t="shared" si="3"/>
        <v>text</v>
      </c>
      <c r="H22" s="59"/>
      <c r="I22" s="60"/>
      <c r="J22" s="63"/>
      <c r="N22" s="76"/>
      <c r="O22" s="76"/>
      <c r="P22" s="76" t="str">
        <f t="shared" si="4"/>
        <v>,system</v>
      </c>
      <c r="Q22" s="76" t="str">
        <f t="shared" si="0"/>
        <v>TEXT</v>
      </c>
      <c r="R22" s="76" t="str">
        <f t="shared" si="1"/>
        <v/>
      </c>
      <c r="S22" s="76" t="str">
        <f t="shared" si="5"/>
        <v/>
      </c>
      <c r="T22" s="76" t="str">
        <f t="shared" si="6"/>
        <v>-- コード体系名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milscm_2023_010.azn_202310_backup_text_mml_mmlrd_byomei.system IS 'コード体系名';</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ENT_01_A6-05</v>
      </c>
      <c r="E6" s="272"/>
      <c r="F6" s="272"/>
      <c r="G6" s="272"/>
      <c r="H6" s="272"/>
      <c r="I6" s="272"/>
      <c r="J6" s="273"/>
    </row>
    <row r="7" spans="1:45">
      <c r="B7" s="261" t="s">
        <v>115</v>
      </c>
      <c r="C7" s="262"/>
      <c r="D7" s="263" t="s">
        <v>2804</v>
      </c>
      <c r="E7" s="264"/>
      <c r="F7" s="264"/>
      <c r="G7" s="264"/>
      <c r="H7" s="264"/>
      <c r="I7" s="264"/>
      <c r="J7" s="265"/>
    </row>
    <row r="8" spans="1:45">
      <c r="B8" s="261" t="s">
        <v>116</v>
      </c>
      <c r="C8" s="262"/>
      <c r="D8" s="263" t="str">
        <f>エンティティ一覧!AE2&amp;"_"&amp;D5&amp;"_text_mml_mmlrd_category"</f>
        <v>azn_202310_backup_text_mml_mmlrd_category</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MML_診断履歴情報モジュール_カテゴリ名テーブルから組入れ条件の第一条件で絞り込んだ結果を格納するテーブル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milscm_2023_010.azn_202310_backup_text_mml_mmlrd_category;</v>
      </c>
      <c r="O10" s="76"/>
      <c r="P10" s="76"/>
      <c r="Q10" s="76"/>
      <c r="R10" s="76"/>
      <c r="S10" s="76"/>
      <c r="T10" s="76"/>
      <c r="AJ10" s="76" t="str">
        <f>"ALTER TABLE ONLY "&amp;エンティティ一覧!$O$2&amp;"."&amp;D$8</f>
        <v>ALTER TABLE ONLY milscm_2023_010.azn_202310_backup_text_mml_mmlrd_category</v>
      </c>
      <c r="AS10" s="76" t="str">
        <f>"ALTER TABLE "&amp;エンティティ一覧!$O$2&amp;"."&amp;D$8&amp;" OWNER TO pgmisgrp1;"</f>
        <v>ALTER TABLE milscm_2023_010.azn_202310_backup_text_mml_mmlrd_category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milscm_2023_010.azn_202310_backup_text_mml_mmlrd_category</v>
      </c>
      <c r="O11" s="76"/>
      <c r="P11" s="76"/>
      <c r="Q11" s="76"/>
      <c r="R11" s="76"/>
      <c r="S11" s="76"/>
      <c r="T11" s="76"/>
      <c r="AJ11" s="76" t="str">
        <f>"ADD CONSTRAINT "&amp;D$8&amp;"_pkey PRIMARY KEY"</f>
        <v>ADD CONSTRAINT azn_202310_backup_text_mml_mmlrd_category_pkey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milscm_2023_010.azn_202310_backup_text_mml_mmlrd_category IS 'バックアップ_MML_診断履歴情報モジュール_カテゴリ名';</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0" si="0">UPPER(G13)</f>
        <v>INTEGER</v>
      </c>
      <c r="R13" s="76" t="str">
        <f t="shared" ref="R13:R20"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milscm_2023_010.azn_202310_backup_text_mml_mmlrd_category.zip_no IS 'ZipファイルNo';</v>
      </c>
    </row>
    <row r="14" spans="1:45" s="25" customFormat="1">
      <c r="A14" s="4"/>
      <c r="B14" s="21">
        <f t="shared" ref="B14:B19" si="2">ROW()-12</f>
        <v>2</v>
      </c>
      <c r="C14" s="6" t="s">
        <v>2781</v>
      </c>
      <c r="D14" s="6" t="s">
        <v>2782</v>
      </c>
      <c r="E14" s="8" t="s">
        <v>127</v>
      </c>
      <c r="F14" s="7" t="s">
        <v>2780</v>
      </c>
      <c r="G14" s="7" t="str">
        <f t="shared" ref="G14:G20" si="3">IF(F14="フラグ","boolean",IF(F14="文字列","text",IF(F14="整数","integer",IF(F14="実数","numeric",""))))</f>
        <v>integer</v>
      </c>
      <c r="H14" s="26"/>
      <c r="I14" s="10" t="s">
        <v>127</v>
      </c>
      <c r="J14" s="11"/>
      <c r="M14" s="4"/>
      <c r="N14" s="76"/>
      <c r="O14" s="76"/>
      <c r="P14" s="76" t="str">
        <f t="shared" ref="P14:P20" si="4">IF(B14&lt;&gt;1,","&amp;D14,D14)</f>
        <v>,file_no</v>
      </c>
      <c r="Q14" s="76" t="str">
        <f t="shared" si="0"/>
        <v>INTEGER</v>
      </c>
      <c r="R14" s="76" t="str">
        <f t="shared" si="1"/>
        <v/>
      </c>
      <c r="S14" s="76" t="str">
        <f t="shared" ref="S14:S20" si="5">IF(I14="○","NOT NULL","")</f>
        <v>NOT NULL</v>
      </c>
      <c r="T14" s="76" t="str">
        <f t="shared" ref="T14:T20"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milscm_2023_010.azn_202310_backup_text_mml_mmlrd_category.file_no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milscm_2023_010.azn_202310_backup_text_mml_mmlrd_category.body_no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milscm_2023_010.azn_202310_backup_text_mml_mmlrd_category.facility_id_mml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milscm_2023_010.azn_202310_backup_text_mml_mmlrd_category.master_id IS '患者ID';</v>
      </c>
    </row>
    <row r="18" spans="1:52" s="25" customFormat="1">
      <c r="A18" s="4"/>
      <c r="B18" s="21">
        <f t="shared" si="2"/>
        <v>6</v>
      </c>
      <c r="C18" s="6" t="s">
        <v>2805</v>
      </c>
      <c r="D18" s="6" t="s">
        <v>2806</v>
      </c>
      <c r="E18" s="8" t="s">
        <v>127</v>
      </c>
      <c r="F18" s="7" t="s">
        <v>2780</v>
      </c>
      <c r="G18" s="7" t="str">
        <f t="shared" si="3"/>
        <v>integer</v>
      </c>
      <c r="H18" s="26"/>
      <c r="I18" s="10" t="s">
        <v>127</v>
      </c>
      <c r="J18" s="11"/>
      <c r="M18" s="4"/>
      <c r="N18" s="76"/>
      <c r="O18" s="76"/>
      <c r="P18" s="76" t="str">
        <f t="shared" si="4"/>
        <v>,category_no</v>
      </c>
      <c r="Q18" s="76" t="str">
        <f t="shared" si="0"/>
        <v>INTEGER</v>
      </c>
      <c r="R18" s="76" t="str">
        <f t="shared" si="1"/>
        <v/>
      </c>
      <c r="S18" s="76" t="str">
        <f t="shared" si="5"/>
        <v>NOT NULL</v>
      </c>
      <c r="T18" s="76" t="str">
        <f t="shared" si="6"/>
        <v>-- カテゴリ名No</v>
      </c>
      <c r="U18" s="4"/>
      <c r="AA18" s="4"/>
      <c r="AB18" s="4"/>
      <c r="AC18" s="4"/>
      <c r="AD18" s="4"/>
      <c r="AE18" s="4"/>
      <c r="AF18" s="4"/>
      <c r="AG18" s="4"/>
      <c r="AH18" s="4"/>
      <c r="AI18" s="4"/>
      <c r="AJ18" s="76" t="str">
        <f>IF(E18="○",IF(COUNTA(E$13:E18)=1,"",",")&amp;D18,"")</f>
        <v>,category_no</v>
      </c>
      <c r="AK18" s="4"/>
      <c r="AL18" s="4"/>
      <c r="AM18" s="4"/>
      <c r="AN18" s="4"/>
      <c r="AO18" s="4"/>
      <c r="AP18" s="4"/>
      <c r="AQ18" s="4"/>
      <c r="AR18" s="4"/>
      <c r="AS18" s="76" t="str">
        <f>"COMMENT ON COLUMN "&amp;エンティティ一覧!$O$2&amp;"."&amp;D$8&amp;"."&amp;D18&amp;" IS '"&amp;C18&amp;"';"</f>
        <v>COMMENT ON COLUMN milscm_2023_010.azn_202310_backup_text_mml_mmlrd_category.category_no IS 'カテゴリ名No';</v>
      </c>
    </row>
    <row r="19" spans="1:52" s="25" customFormat="1">
      <c r="A19" s="4"/>
      <c r="B19" s="21">
        <f t="shared" si="2"/>
        <v>7</v>
      </c>
      <c r="C19" s="6" t="s">
        <v>1333</v>
      </c>
      <c r="D19" s="6" t="s">
        <v>2807</v>
      </c>
      <c r="E19" s="8"/>
      <c r="F19" s="7" t="s">
        <v>1819</v>
      </c>
      <c r="G19" s="7" t="str">
        <f t="shared" si="3"/>
        <v>text</v>
      </c>
      <c r="H19" s="26"/>
      <c r="I19" s="10"/>
      <c r="J19" s="11"/>
      <c r="M19" s="4"/>
      <c r="N19" s="76"/>
      <c r="O19" s="76"/>
      <c r="P19" s="76" t="str">
        <f t="shared" si="4"/>
        <v>,category</v>
      </c>
      <c r="Q19" s="76" t="str">
        <f t="shared" si="0"/>
        <v>TEXT</v>
      </c>
      <c r="R19" s="76" t="str">
        <f t="shared" si="1"/>
        <v/>
      </c>
      <c r="S19" s="76" t="str">
        <f t="shared" si="5"/>
        <v/>
      </c>
      <c r="T19" s="76" t="str">
        <f t="shared" si="6"/>
        <v>-- 分類名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milscm_2023_010.azn_202310_backup_text_mml_mmlrd_category.category IS '分類名';</v>
      </c>
    </row>
    <row r="20" spans="1:52" s="25" customFormat="1" ht="19.5" thickBot="1">
      <c r="A20" s="4"/>
      <c r="B20" s="27">
        <f>ROW()-12</f>
        <v>8</v>
      </c>
      <c r="C20" s="57" t="s">
        <v>1335</v>
      </c>
      <c r="D20" s="57" t="s">
        <v>2808</v>
      </c>
      <c r="E20" s="56"/>
      <c r="F20" s="56" t="s">
        <v>1819</v>
      </c>
      <c r="G20" s="56" t="str">
        <f t="shared" si="3"/>
        <v>text</v>
      </c>
      <c r="H20" s="59"/>
      <c r="I20" s="60"/>
      <c r="J20" s="63"/>
      <c r="N20" s="76"/>
      <c r="O20" s="76"/>
      <c r="P20" s="76" t="str">
        <f t="shared" si="4"/>
        <v>,table_id</v>
      </c>
      <c r="Q20" s="76" t="str">
        <f t="shared" si="0"/>
        <v>TEXT</v>
      </c>
      <c r="R20" s="76" t="str">
        <f t="shared" si="1"/>
        <v/>
      </c>
      <c r="S20" s="76" t="str">
        <f t="shared" si="5"/>
        <v/>
      </c>
      <c r="T20" s="76" t="str">
        <f t="shared" si="6"/>
        <v>-- 分類コード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milscm_2023_010.azn_202310_backup_text_mml_mmlrd_category.table_id IS '分類コード';</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ENT_01_A6-18</v>
      </c>
      <c r="E6" s="272"/>
      <c r="F6" s="272"/>
      <c r="G6" s="272"/>
      <c r="H6" s="272"/>
      <c r="I6" s="272"/>
      <c r="J6" s="273"/>
    </row>
    <row r="7" spans="1:45">
      <c r="B7" s="261" t="s">
        <v>115</v>
      </c>
      <c r="C7" s="262"/>
      <c r="D7" s="263" t="s">
        <v>3800</v>
      </c>
      <c r="E7" s="264"/>
      <c r="F7" s="264"/>
      <c r="G7" s="264"/>
      <c r="H7" s="264"/>
      <c r="I7" s="264"/>
      <c r="J7" s="265"/>
    </row>
    <row r="8" spans="1:45">
      <c r="B8" s="261" t="s">
        <v>116</v>
      </c>
      <c r="C8" s="262"/>
      <c r="D8" s="263" t="str">
        <f>エンティティ一覧!AE2&amp;"_"&amp;D5&amp;"_text_mml_mmllb_body"</f>
        <v>azn_202310_backup_text_mml_mmllb_body</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MML_検歴情報モジュール_本文テーブルから組入れ条件の第一条件で絞り込んだ結果を格納するテーブル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milscm_2023_010.azn_202310_backup_text_mml_mmllb_body;</v>
      </c>
      <c r="O10" s="76"/>
      <c r="P10" s="76"/>
      <c r="Q10" s="76"/>
      <c r="R10" s="76"/>
      <c r="S10" s="76"/>
      <c r="T10" s="76"/>
      <c r="AJ10" s="76" t="str">
        <f>"ALTER TABLE ONLY "&amp;エンティティ一覧!$O$2&amp;"."&amp;D$8</f>
        <v>ALTER TABLE ONLY milscm_2023_010.azn_202310_backup_text_mml_mmllb_body</v>
      </c>
      <c r="AS10" s="76" t="str">
        <f>"ALTER TABLE "&amp;エンティティ一覧!$O$2&amp;"."&amp;D$8&amp;" OWNER TO pgmisgrp1;"</f>
        <v>ALTER TABLE milscm_2023_010.azn_202310_backup_text_mml_mmllb_body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milscm_2023_010.azn_202310_backup_text_mml_mmllb_body</v>
      </c>
      <c r="O11" s="76"/>
      <c r="P11" s="76"/>
      <c r="Q11" s="76"/>
      <c r="R11" s="76"/>
      <c r="S11" s="76"/>
      <c r="T11" s="76"/>
      <c r="AJ11" s="76" t="str">
        <f>"ADD CONSTRAINT "&amp;D$8&amp;"_pkey PRIMARY KEY"</f>
        <v>ADD CONSTRAINT azn_202310_backup_text_mml_mmllb_body_pkey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milscm_2023_010.azn_202310_backup_text_mml_mmllb_body IS 'バックアップ_MML_検歴情報モジュール_本文';</v>
      </c>
    </row>
    <row r="13" spans="1:45" s="25" customFormat="1">
      <c r="A13" s="4"/>
      <c r="B13" s="21">
        <f>ROW()-12</f>
        <v>1</v>
      </c>
      <c r="C13" s="6" t="s">
        <v>2778</v>
      </c>
      <c r="D13" s="6" t="s">
        <v>2779</v>
      </c>
      <c r="E13" s="8" t="s">
        <v>127</v>
      </c>
      <c r="F13" s="8" t="s">
        <v>3275</v>
      </c>
      <c r="G13" s="7" t="str">
        <f>IF(F13="フラグ","boolean",IF(F13="文字列","text",IF(F13="整数","integer",IF(F13="実数","numeric",""))))</f>
        <v>integer</v>
      </c>
      <c r="H13" s="9"/>
      <c r="I13" s="10" t="s">
        <v>127</v>
      </c>
      <c r="J13" s="11"/>
      <c r="M13" s="4"/>
      <c r="N13" s="76"/>
      <c r="O13" s="76"/>
      <c r="P13" s="76" t="str">
        <f>IF(B13&lt;&gt;1,","&amp;D13,D13)</f>
        <v>zip_no</v>
      </c>
      <c r="Q13" s="76" t="str">
        <f t="shared" ref="Q13:Q46" si="0">UPPER(G13)</f>
        <v>INTEGER</v>
      </c>
      <c r="R13" s="76" t="str">
        <f t="shared" ref="R13:R46"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milscm_2023_010.azn_202310_backup_text_mml_mmllb_body.zip_no IS 'ZipファイルNo';</v>
      </c>
    </row>
    <row r="14" spans="1:45" s="25" customFormat="1">
      <c r="A14" s="4"/>
      <c r="B14" s="21">
        <f t="shared" ref="B14:B45" si="2">ROW()-12</f>
        <v>2</v>
      </c>
      <c r="C14" s="6" t="s">
        <v>2781</v>
      </c>
      <c r="D14" s="6" t="s">
        <v>2782</v>
      </c>
      <c r="E14" s="8" t="s">
        <v>127</v>
      </c>
      <c r="F14" s="7" t="s">
        <v>3275</v>
      </c>
      <c r="G14" s="7" t="str">
        <f t="shared" ref="G14:G46" si="3">IF(F14="フラグ","boolean",IF(F14="文字列","text",IF(F14="整数","integer",IF(F14="実数","numeric",""))))</f>
        <v>integer</v>
      </c>
      <c r="H14" s="26"/>
      <c r="I14" s="10" t="s">
        <v>127</v>
      </c>
      <c r="J14" s="11"/>
      <c r="M14" s="4"/>
      <c r="N14" s="76"/>
      <c r="O14" s="76"/>
      <c r="P14" s="76" t="str">
        <f t="shared" ref="P14:P46" si="4">IF(B14&lt;&gt;1,","&amp;D14,D14)</f>
        <v>,file_no</v>
      </c>
      <c r="Q14" s="76" t="str">
        <f t="shared" si="0"/>
        <v>INTEGER</v>
      </c>
      <c r="R14" s="76" t="str">
        <f t="shared" si="1"/>
        <v/>
      </c>
      <c r="S14" s="76" t="str">
        <f t="shared" ref="S14:S46" si="5">IF(I14="○","NOT NULL","")</f>
        <v>NOT NULL</v>
      </c>
      <c r="T14" s="76" t="str">
        <f t="shared" ref="T14:T46"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milscm_2023_010.azn_202310_backup_text_mml_mmllb_body.file_no IS 'ファイルNo';</v>
      </c>
    </row>
    <row r="15" spans="1:45" s="25" customFormat="1">
      <c r="A15" s="4"/>
      <c r="B15" s="21">
        <f t="shared" si="2"/>
        <v>3</v>
      </c>
      <c r="C15" s="6" t="s">
        <v>3259</v>
      </c>
      <c r="D15" s="6" t="s">
        <v>2784</v>
      </c>
      <c r="E15" s="8" t="s">
        <v>127</v>
      </c>
      <c r="F15" s="7" t="s">
        <v>3275</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milscm_2023_010.azn_202310_backup_text_mml_mmllb_body.body_no IS '本文No';</v>
      </c>
    </row>
    <row r="16" spans="1:45" s="25" customFormat="1">
      <c r="A16" s="4"/>
      <c r="B16" s="21">
        <f t="shared" si="2"/>
        <v>4</v>
      </c>
      <c r="C16" s="6" t="s">
        <v>3276</v>
      </c>
      <c r="D16" s="6" t="s">
        <v>2401</v>
      </c>
      <c r="E16" s="8"/>
      <c r="F16" s="7" t="s">
        <v>3277</v>
      </c>
      <c r="G16" s="7" t="str">
        <f t="shared" si="3"/>
        <v>text</v>
      </c>
      <c r="H16" s="26"/>
      <c r="I16" s="10" t="s">
        <v>127</v>
      </c>
      <c r="J16" s="11" t="s">
        <v>3271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milscm_2023_010.azn_202310_backup_text_mml_mmllb_body.facility_id_mml IS '施設ID（MML）';</v>
      </c>
    </row>
    <row r="17" spans="1:45" s="25" customFormat="1">
      <c r="A17" s="4"/>
      <c r="B17" s="21">
        <f t="shared" si="2"/>
        <v>5</v>
      </c>
      <c r="C17" s="6" t="s">
        <v>2786</v>
      </c>
      <c r="D17" s="6" t="s">
        <v>1244</v>
      </c>
      <c r="E17" s="8"/>
      <c r="F17" s="7" t="s">
        <v>3277</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milscm_2023_010.azn_202310_backup_text_mml_mmllb_body.master_id IS '患者ID';</v>
      </c>
    </row>
    <row r="18" spans="1:45" s="25" customFormat="1">
      <c r="A18" s="4"/>
      <c r="B18" s="21">
        <f t="shared" si="2"/>
        <v>6</v>
      </c>
      <c r="C18" s="6" t="s">
        <v>1544</v>
      </c>
      <c r="D18" s="6" t="s">
        <v>3825</v>
      </c>
      <c r="E18" s="8"/>
      <c r="F18" s="7" t="s">
        <v>3277</v>
      </c>
      <c r="G18" s="7" t="str">
        <f t="shared" si="3"/>
        <v>text</v>
      </c>
      <c r="H18" s="26"/>
      <c r="I18" s="10"/>
      <c r="J18" s="11"/>
      <c r="M18" s="4"/>
      <c r="N18" s="76"/>
      <c r="O18" s="76"/>
      <c r="P18" s="76" t="str">
        <f t="shared" si="4"/>
        <v>,regist_id</v>
      </c>
      <c r="Q18" s="76" t="str">
        <f t="shared" si="0"/>
        <v>TEXT</v>
      </c>
      <c r="R18" s="76" t="str">
        <f t="shared" si="1"/>
        <v/>
      </c>
      <c r="S18" s="76" t="str">
        <f t="shared" si="5"/>
        <v/>
      </c>
      <c r="T18" s="76" t="str">
        <f t="shared" si="6"/>
        <v>-- 依頼ID</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milscm_2023_010.azn_202310_backup_text_mml_mmllb_body.regist_id IS '依頼ID';</v>
      </c>
    </row>
    <row r="19" spans="1:45" s="25" customFormat="1">
      <c r="A19" s="4"/>
      <c r="B19" s="21">
        <f t="shared" si="2"/>
        <v>7</v>
      </c>
      <c r="C19" s="6" t="s">
        <v>1546</v>
      </c>
      <c r="D19" s="6" t="s">
        <v>1547</v>
      </c>
      <c r="E19" s="8"/>
      <c r="F19" s="7" t="s">
        <v>3277</v>
      </c>
      <c r="G19" s="7" t="str">
        <f t="shared" ref="G19:G45" si="7">IF(F19="フラグ","boolean",IF(F19="文字列","text",IF(F19="整数","integer",IF(F19="実数","numeric",""))))</f>
        <v>text</v>
      </c>
      <c r="H19" s="26"/>
      <c r="I19" s="10"/>
      <c r="J19" s="11" t="s">
        <v>2792</v>
      </c>
      <c r="M19" s="4"/>
      <c r="N19" s="76"/>
      <c r="O19" s="76"/>
      <c r="P19" s="76" t="str">
        <f t="shared" ref="P19:P45" si="8">IF(B19&lt;&gt;1,","&amp;D19,D19)</f>
        <v>,sample_time</v>
      </c>
      <c r="Q19" s="76" t="str">
        <f t="shared" ref="Q19:Q45" si="9">UPPER(G19)</f>
        <v>TEXT</v>
      </c>
      <c r="R19" s="76" t="str">
        <f t="shared" ref="R19:R45" si="10">IF(H19&lt;&gt;"","default "&amp;IF(G19="text","'"&amp;H19&amp;"'",H19),"")</f>
        <v/>
      </c>
      <c r="S19" s="76" t="str">
        <f t="shared" ref="S19:S45" si="11">IF(I19="○","NOT NULL","")</f>
        <v/>
      </c>
      <c r="T19" s="76" t="str">
        <f t="shared" ref="T19:T45" si="12">"-- "&amp;C19</f>
        <v>-- 採取日時</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milscm_2023_010.azn_202310_backup_text_mml_mmllb_body.sample_time IS '採取日時';</v>
      </c>
    </row>
    <row r="20" spans="1:45" s="25" customFormat="1">
      <c r="A20" s="4"/>
      <c r="B20" s="21">
        <f t="shared" si="2"/>
        <v>8</v>
      </c>
      <c r="C20" s="6" t="s">
        <v>1548</v>
      </c>
      <c r="D20" s="6" t="s">
        <v>3826</v>
      </c>
      <c r="E20" s="8"/>
      <c r="F20" s="7" t="s">
        <v>3277</v>
      </c>
      <c r="G20" s="7" t="str">
        <f t="shared" si="7"/>
        <v>text</v>
      </c>
      <c r="H20" s="26"/>
      <c r="I20" s="10"/>
      <c r="J20" s="11" t="s">
        <v>2792</v>
      </c>
      <c r="M20" s="4"/>
      <c r="N20" s="76"/>
      <c r="O20" s="76"/>
      <c r="P20" s="76" t="str">
        <f t="shared" si="8"/>
        <v>,regist_time</v>
      </c>
      <c r="Q20" s="76" t="str">
        <f t="shared" si="9"/>
        <v>TEXT</v>
      </c>
      <c r="R20" s="76" t="str">
        <f t="shared" si="10"/>
        <v/>
      </c>
      <c r="S20" s="76" t="str">
        <f t="shared" si="11"/>
        <v/>
      </c>
      <c r="T20" s="76" t="str">
        <f t="shared" si="12"/>
        <v>-- 受付日時</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milscm_2023_010.azn_202310_backup_text_mml_mmllb_body.regist_time IS '受付日時';</v>
      </c>
    </row>
    <row r="21" spans="1:45" s="25" customFormat="1">
      <c r="A21" s="4"/>
      <c r="B21" s="21">
        <f t="shared" si="2"/>
        <v>9</v>
      </c>
      <c r="C21" s="6" t="s">
        <v>1550</v>
      </c>
      <c r="D21" s="6" t="s">
        <v>1551</v>
      </c>
      <c r="E21" s="8"/>
      <c r="F21" s="7" t="s">
        <v>3277</v>
      </c>
      <c r="G21" s="7" t="str">
        <f t="shared" si="7"/>
        <v>text</v>
      </c>
      <c r="H21" s="26"/>
      <c r="I21" s="10"/>
      <c r="J21" s="11" t="s">
        <v>2792</v>
      </c>
      <c r="M21" s="4"/>
      <c r="N21" s="76"/>
      <c r="O21" s="76"/>
      <c r="P21" s="76" t="str">
        <f t="shared" si="8"/>
        <v>,report_time</v>
      </c>
      <c r="Q21" s="76" t="str">
        <f t="shared" si="9"/>
        <v>TEXT</v>
      </c>
      <c r="R21" s="76" t="str">
        <f t="shared" si="10"/>
        <v/>
      </c>
      <c r="S21" s="76" t="str">
        <f t="shared" si="11"/>
        <v/>
      </c>
      <c r="T21" s="76" t="str">
        <f t="shared" si="12"/>
        <v>-- 報告日時</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milscm_2023_010.azn_202310_backup_text_mml_mmllb_body.report_time IS '報告日時';</v>
      </c>
    </row>
    <row r="22" spans="1:45" s="25" customFormat="1">
      <c r="A22" s="4"/>
      <c r="B22" s="21">
        <f t="shared" si="2"/>
        <v>10</v>
      </c>
      <c r="C22" s="6" t="s">
        <v>1552</v>
      </c>
      <c r="D22" s="6" t="s">
        <v>2941</v>
      </c>
      <c r="E22" s="8"/>
      <c r="F22" s="7" t="s">
        <v>3277</v>
      </c>
      <c r="G22" s="7" t="str">
        <f t="shared" si="7"/>
        <v>text</v>
      </c>
      <c r="H22" s="26"/>
      <c r="I22" s="10"/>
      <c r="J22" s="11"/>
      <c r="M22" s="4"/>
      <c r="N22" s="76"/>
      <c r="O22" s="76"/>
      <c r="P22" s="76" t="str">
        <f t="shared" si="8"/>
        <v>,report_status</v>
      </c>
      <c r="Q22" s="76" t="str">
        <f t="shared" si="9"/>
        <v>TEXT</v>
      </c>
      <c r="R22" s="76" t="str">
        <f t="shared" si="10"/>
        <v/>
      </c>
      <c r="S22" s="76" t="str">
        <f t="shared" si="11"/>
        <v/>
      </c>
      <c r="T22" s="76" t="str">
        <f t="shared" si="12"/>
        <v>-- 報告状態</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milscm_2023_010.azn_202310_backup_text_mml_mmllb_body.report_status IS '報告状態';</v>
      </c>
    </row>
    <row r="23" spans="1:45" s="25" customFormat="1">
      <c r="A23" s="4"/>
      <c r="B23" s="21">
        <f t="shared" si="2"/>
        <v>11</v>
      </c>
      <c r="C23" s="6" t="s">
        <v>1554</v>
      </c>
      <c r="D23" s="6" t="s">
        <v>1555</v>
      </c>
      <c r="E23" s="8"/>
      <c r="F23" s="7" t="s">
        <v>3277</v>
      </c>
      <c r="G23" s="7" t="str">
        <f t="shared" si="7"/>
        <v>text</v>
      </c>
      <c r="H23" s="26"/>
      <c r="I23" s="10"/>
      <c r="J23" s="11"/>
      <c r="M23" s="4"/>
      <c r="N23" s="76"/>
      <c r="O23" s="76"/>
      <c r="P23" s="76" t="str">
        <f t="shared" si="8"/>
        <v>,status_code</v>
      </c>
      <c r="Q23" s="76" t="str">
        <f t="shared" si="9"/>
        <v>TEXT</v>
      </c>
      <c r="R23" s="76" t="str">
        <f t="shared" si="10"/>
        <v/>
      </c>
      <c r="S23" s="76" t="str">
        <f t="shared" si="11"/>
        <v/>
      </c>
      <c r="T23" s="76" t="str">
        <f t="shared" si="12"/>
        <v>-- 報告状態コード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milscm_2023_010.azn_202310_backup_text_mml_mmllb_body.status_code IS '報告状態コード';</v>
      </c>
    </row>
    <row r="24" spans="1:45" s="25" customFormat="1">
      <c r="A24" s="4"/>
      <c r="B24" s="21">
        <f t="shared" si="2"/>
        <v>12</v>
      </c>
      <c r="C24" s="6" t="s">
        <v>2943</v>
      </c>
      <c r="D24" s="6" t="s">
        <v>3827</v>
      </c>
      <c r="E24" s="8"/>
      <c r="F24" s="7" t="s">
        <v>3277</v>
      </c>
      <c r="G24" s="7" t="str">
        <f t="shared" si="7"/>
        <v>text</v>
      </c>
      <c r="H24" s="26"/>
      <c r="I24" s="10"/>
      <c r="J24" s="11"/>
      <c r="M24" s="4"/>
      <c r="N24" s="76"/>
      <c r="O24" s="76"/>
      <c r="P24" s="76" t="str">
        <f t="shared" si="8"/>
        <v>,status_code_id</v>
      </c>
      <c r="Q24" s="76" t="str">
        <f t="shared" si="9"/>
        <v>TEXT</v>
      </c>
      <c r="R24" s="76" t="str">
        <f t="shared" si="10"/>
        <v/>
      </c>
      <c r="S24" s="76" t="str">
        <f t="shared" si="11"/>
        <v/>
      </c>
      <c r="T24" s="76" t="str">
        <f t="shared" si="12"/>
        <v>-- 報告状態コードID</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milscm_2023_010.azn_202310_backup_text_mml_mmllb_body.status_code_id IS '報告状態コードID';</v>
      </c>
    </row>
    <row r="25" spans="1:45" s="25" customFormat="1">
      <c r="A25" s="4"/>
      <c r="B25" s="21">
        <f t="shared" si="2"/>
        <v>13</v>
      </c>
      <c r="C25" s="6" t="s">
        <v>1556</v>
      </c>
      <c r="D25" s="6" t="s">
        <v>3828</v>
      </c>
      <c r="E25" s="8"/>
      <c r="F25" s="7" t="s">
        <v>3277</v>
      </c>
      <c r="G25" s="7" t="str">
        <f t="shared" si="7"/>
        <v>text</v>
      </c>
      <c r="H25" s="26"/>
      <c r="I25" s="10"/>
      <c r="J25" s="11"/>
      <c r="M25" s="4"/>
      <c r="N25" s="76"/>
      <c r="O25" s="76"/>
      <c r="P25" s="76" t="str">
        <f t="shared" si="8"/>
        <v>,set</v>
      </c>
      <c r="Q25" s="76" t="str">
        <f t="shared" si="9"/>
        <v>TEXT</v>
      </c>
      <c r="R25" s="76" t="str">
        <f t="shared" si="10"/>
        <v/>
      </c>
      <c r="S25" s="76" t="str">
        <f t="shared" si="11"/>
        <v/>
      </c>
      <c r="T25" s="76" t="str">
        <f t="shared" si="12"/>
        <v>-- セット名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milscm_2023_010.azn_202310_backup_text_mml_mmllb_body.set IS 'セット名';</v>
      </c>
    </row>
    <row r="26" spans="1:45" s="25" customFormat="1">
      <c r="A26" s="4"/>
      <c r="B26" s="21">
        <f t="shared" si="2"/>
        <v>14</v>
      </c>
      <c r="C26" s="6" t="s">
        <v>1558</v>
      </c>
      <c r="D26" s="6" t="s">
        <v>3829</v>
      </c>
      <c r="E26" s="8"/>
      <c r="F26" s="7" t="s">
        <v>3277</v>
      </c>
      <c r="G26" s="7" t="str">
        <f t="shared" si="7"/>
        <v>text</v>
      </c>
      <c r="H26" s="26"/>
      <c r="I26" s="10"/>
      <c r="J26" s="11"/>
      <c r="M26" s="4"/>
      <c r="N26" s="76"/>
      <c r="O26" s="76"/>
      <c r="P26" s="76" t="str">
        <f t="shared" si="8"/>
        <v>,set_code</v>
      </c>
      <c r="Q26" s="76" t="str">
        <f t="shared" si="9"/>
        <v>TEXT</v>
      </c>
      <c r="R26" s="76" t="str">
        <f t="shared" si="10"/>
        <v/>
      </c>
      <c r="S26" s="76" t="str">
        <f t="shared" si="11"/>
        <v/>
      </c>
      <c r="T26" s="76" t="str">
        <f t="shared" si="12"/>
        <v>-- セット名コード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milscm_2023_010.azn_202310_backup_text_mml_mmllb_body.set_code IS 'セット名コード';</v>
      </c>
    </row>
    <row r="27" spans="1:45" s="25" customFormat="1">
      <c r="A27" s="4"/>
      <c r="B27" s="21">
        <f t="shared" si="2"/>
        <v>15</v>
      </c>
      <c r="C27" s="6" t="s">
        <v>1560</v>
      </c>
      <c r="D27" s="6" t="s">
        <v>3830</v>
      </c>
      <c r="E27" s="8"/>
      <c r="F27" s="7" t="s">
        <v>3277</v>
      </c>
      <c r="G27" s="7" t="str">
        <f t="shared" si="7"/>
        <v>text</v>
      </c>
      <c r="H27" s="26"/>
      <c r="I27" s="10"/>
      <c r="J27" s="11"/>
      <c r="M27" s="4"/>
      <c r="N27" s="76"/>
      <c r="O27" s="76"/>
      <c r="P27" s="76" t="str">
        <f t="shared" si="8"/>
        <v>,set_code_id</v>
      </c>
      <c r="Q27" s="76" t="str">
        <f t="shared" si="9"/>
        <v>TEXT</v>
      </c>
      <c r="R27" s="76" t="str">
        <f t="shared" si="10"/>
        <v/>
      </c>
      <c r="S27" s="76" t="str">
        <f t="shared" si="11"/>
        <v/>
      </c>
      <c r="T27" s="76" t="str">
        <f t="shared" si="12"/>
        <v>-- セット名コードID</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milscm_2023_010.azn_202310_backup_text_mml_mmllb_body.set_code_id IS 'セット名コードID';</v>
      </c>
    </row>
    <row r="28" spans="1:45" s="25" customFormat="1">
      <c r="A28" s="4"/>
      <c r="B28" s="21">
        <f t="shared" si="2"/>
        <v>16</v>
      </c>
      <c r="C28" s="6" t="s">
        <v>2959</v>
      </c>
      <c r="D28" s="6" t="s">
        <v>3831</v>
      </c>
      <c r="E28" s="8"/>
      <c r="F28" s="7" t="s">
        <v>3277</v>
      </c>
      <c r="G28" s="7" t="str">
        <f t="shared" si="7"/>
        <v>text</v>
      </c>
      <c r="H28" s="26"/>
      <c r="I28" s="10"/>
      <c r="J28" s="11"/>
      <c r="M28" s="4"/>
      <c r="N28" s="76"/>
      <c r="O28" s="76"/>
      <c r="P28" s="76" t="str">
        <f t="shared" si="8"/>
        <v>,facility</v>
      </c>
      <c r="Q28" s="76" t="str">
        <f t="shared" si="9"/>
        <v>TEXT</v>
      </c>
      <c r="R28" s="76" t="str">
        <f t="shared" si="10"/>
        <v/>
      </c>
      <c r="S28" s="76" t="str">
        <f t="shared" si="11"/>
        <v/>
      </c>
      <c r="T28" s="76" t="str">
        <f t="shared" si="12"/>
        <v>-- 依頼施設</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milscm_2023_010.azn_202310_backup_text_mml_mmllb_body.facility IS '依頼施設';</v>
      </c>
    </row>
    <row r="29" spans="1:45" s="25" customFormat="1">
      <c r="A29" s="4"/>
      <c r="B29" s="21">
        <f t="shared" si="2"/>
        <v>17</v>
      </c>
      <c r="C29" s="6" t="s">
        <v>1564</v>
      </c>
      <c r="D29" s="6" t="s">
        <v>3832</v>
      </c>
      <c r="E29" s="8"/>
      <c r="F29" s="7" t="s">
        <v>3277</v>
      </c>
      <c r="G29" s="7" t="str">
        <f t="shared" si="7"/>
        <v>text</v>
      </c>
      <c r="H29" s="26"/>
      <c r="I29" s="10"/>
      <c r="J29" s="11"/>
      <c r="M29" s="4"/>
      <c r="N29" s="76"/>
      <c r="O29" s="76"/>
      <c r="P29" s="76" t="str">
        <f t="shared" si="8"/>
        <v>,facility_code</v>
      </c>
      <c r="Q29" s="76" t="str">
        <f t="shared" si="9"/>
        <v>TEXT</v>
      </c>
      <c r="R29" s="76" t="str">
        <f t="shared" si="10"/>
        <v/>
      </c>
      <c r="S29" s="76" t="str">
        <f t="shared" si="11"/>
        <v/>
      </c>
      <c r="T29" s="76" t="str">
        <f t="shared" si="12"/>
        <v>-- 依頼施設コード</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milscm_2023_010.azn_202310_backup_text_mml_mmllb_body.facility_code IS '依頼施設コード';</v>
      </c>
    </row>
    <row r="30" spans="1:45" s="25" customFormat="1">
      <c r="A30" s="4"/>
      <c r="B30" s="21">
        <f t="shared" si="2"/>
        <v>18</v>
      </c>
      <c r="C30" s="6" t="s">
        <v>1566</v>
      </c>
      <c r="D30" s="6" t="s">
        <v>3833</v>
      </c>
      <c r="E30" s="8"/>
      <c r="F30" s="7" t="s">
        <v>3277</v>
      </c>
      <c r="G30" s="7" t="str">
        <f t="shared" si="7"/>
        <v>text</v>
      </c>
      <c r="H30" s="26"/>
      <c r="I30" s="10"/>
      <c r="J30" s="11"/>
      <c r="M30" s="4"/>
      <c r="N30" s="76"/>
      <c r="O30" s="76"/>
      <c r="P30" s="76" t="str">
        <f t="shared" si="8"/>
        <v>,facility_code_id</v>
      </c>
      <c r="Q30" s="76" t="str">
        <f t="shared" si="9"/>
        <v>TEXT</v>
      </c>
      <c r="R30" s="76" t="str">
        <f t="shared" si="10"/>
        <v/>
      </c>
      <c r="S30" s="76" t="str">
        <f t="shared" si="11"/>
        <v/>
      </c>
      <c r="T30" s="76" t="str">
        <f t="shared" si="12"/>
        <v>-- 依頼施設コードID</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milscm_2023_010.azn_202310_backup_text_mml_mmllb_body.facility_code_id IS '依頼施設コードID';</v>
      </c>
    </row>
    <row r="31" spans="1:45" s="25" customFormat="1">
      <c r="A31" s="4"/>
      <c r="B31" s="21">
        <f t="shared" si="2"/>
        <v>19</v>
      </c>
      <c r="C31" s="6" t="s">
        <v>1568</v>
      </c>
      <c r="D31" s="6" t="s">
        <v>3834</v>
      </c>
      <c r="E31" s="8"/>
      <c r="F31" s="7" t="s">
        <v>3277</v>
      </c>
      <c r="G31" s="7" t="str">
        <f t="shared" si="7"/>
        <v>text</v>
      </c>
      <c r="H31" s="26"/>
      <c r="I31" s="10"/>
      <c r="J31" s="11"/>
      <c r="M31" s="4"/>
      <c r="N31" s="76"/>
      <c r="O31" s="76"/>
      <c r="P31" s="76" t="str">
        <f t="shared" si="8"/>
        <v>,department</v>
      </c>
      <c r="Q31" s="76" t="str">
        <f t="shared" si="9"/>
        <v>TEXT</v>
      </c>
      <c r="R31" s="76" t="str">
        <f t="shared" si="10"/>
        <v/>
      </c>
      <c r="S31" s="76" t="str">
        <f t="shared" si="11"/>
        <v/>
      </c>
      <c r="T31" s="76" t="str">
        <f t="shared" si="12"/>
        <v>-- 依頼診療科</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milscm_2023_010.azn_202310_backup_text_mml_mmllb_body.department IS '依頼診療科';</v>
      </c>
    </row>
    <row r="32" spans="1:45" s="25" customFormat="1">
      <c r="A32" s="4"/>
      <c r="B32" s="21">
        <f t="shared" si="2"/>
        <v>20</v>
      </c>
      <c r="C32" s="6" t="s">
        <v>1570</v>
      </c>
      <c r="D32" s="6" t="s">
        <v>1681</v>
      </c>
      <c r="E32" s="8"/>
      <c r="F32" s="7" t="s">
        <v>3277</v>
      </c>
      <c r="G32" s="7" t="str">
        <f t="shared" si="7"/>
        <v>text</v>
      </c>
      <c r="H32" s="26"/>
      <c r="I32" s="10"/>
      <c r="J32" s="11"/>
      <c r="M32" s="4"/>
      <c r="N32" s="76"/>
      <c r="O32" s="76"/>
      <c r="P32" s="76" t="str">
        <f t="shared" si="8"/>
        <v>,department_code</v>
      </c>
      <c r="Q32" s="76" t="str">
        <f t="shared" si="9"/>
        <v>TEXT</v>
      </c>
      <c r="R32" s="76" t="str">
        <f t="shared" si="10"/>
        <v/>
      </c>
      <c r="S32" s="76" t="str">
        <f t="shared" si="11"/>
        <v/>
      </c>
      <c r="T32" s="76" t="str">
        <f t="shared" si="12"/>
        <v>-- 依頼診療科コード</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milscm_2023_010.azn_202310_backup_text_mml_mmllb_body.department_code IS '依頼診療科コード';</v>
      </c>
    </row>
    <row r="33" spans="1:52" s="25" customFormat="1">
      <c r="A33" s="4"/>
      <c r="B33" s="21">
        <f t="shared" si="2"/>
        <v>21</v>
      </c>
      <c r="C33" s="6" t="s">
        <v>2965</v>
      </c>
      <c r="D33" s="6" t="s">
        <v>3835</v>
      </c>
      <c r="E33" s="8"/>
      <c r="F33" s="7" t="s">
        <v>3277</v>
      </c>
      <c r="G33" s="7" t="str">
        <f t="shared" si="7"/>
        <v>text</v>
      </c>
      <c r="H33" s="26"/>
      <c r="I33" s="10"/>
      <c r="J33" s="11"/>
      <c r="M33" s="4"/>
      <c r="N33" s="76"/>
      <c r="O33" s="76"/>
      <c r="P33" s="76" t="str">
        <f t="shared" si="8"/>
        <v>,department_code_id</v>
      </c>
      <c r="Q33" s="76" t="str">
        <f t="shared" si="9"/>
        <v>TEXT</v>
      </c>
      <c r="R33" s="76" t="str">
        <f t="shared" si="10"/>
        <v/>
      </c>
      <c r="S33" s="76" t="str">
        <f t="shared" si="11"/>
        <v/>
      </c>
      <c r="T33" s="76" t="str">
        <f t="shared" si="12"/>
        <v>-- 依頼診療科コードID</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milscm_2023_010.azn_202310_backup_text_mml_mmllb_body.department_code_id IS '依頼診療科コードID';</v>
      </c>
    </row>
    <row r="34" spans="1:52" s="25" customFormat="1">
      <c r="A34" s="4"/>
      <c r="B34" s="21">
        <f t="shared" si="2"/>
        <v>22</v>
      </c>
      <c r="C34" s="6" t="s">
        <v>1572</v>
      </c>
      <c r="D34" s="6" t="s">
        <v>1683</v>
      </c>
      <c r="E34" s="8"/>
      <c r="F34" s="7" t="s">
        <v>3277</v>
      </c>
      <c r="G34" s="7" t="str">
        <f t="shared" si="7"/>
        <v>text</v>
      </c>
      <c r="H34" s="26"/>
      <c r="I34" s="10"/>
      <c r="J34" s="11"/>
      <c r="M34" s="4"/>
      <c r="N34" s="76"/>
      <c r="O34" s="76"/>
      <c r="P34" s="76" t="str">
        <f t="shared" si="8"/>
        <v>,ward</v>
      </c>
      <c r="Q34" s="76" t="str">
        <f t="shared" si="9"/>
        <v>TEXT</v>
      </c>
      <c r="R34" s="76" t="str">
        <f t="shared" si="10"/>
        <v/>
      </c>
      <c r="S34" s="76" t="str">
        <f t="shared" si="11"/>
        <v/>
      </c>
      <c r="T34" s="76" t="str">
        <f t="shared" si="12"/>
        <v>-- 依頼病棟</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milscm_2023_010.azn_202310_backup_text_mml_mmllb_body.ward IS '依頼病棟';</v>
      </c>
    </row>
    <row r="35" spans="1:52" s="25" customFormat="1">
      <c r="A35" s="4"/>
      <c r="B35" s="21">
        <f t="shared" si="2"/>
        <v>23</v>
      </c>
      <c r="C35" s="6" t="s">
        <v>1574</v>
      </c>
      <c r="D35" s="6" t="s">
        <v>238</v>
      </c>
      <c r="E35" s="8"/>
      <c r="F35" s="7" t="s">
        <v>3277</v>
      </c>
      <c r="G35" s="7" t="str">
        <f t="shared" si="7"/>
        <v>text</v>
      </c>
      <c r="H35" s="26"/>
      <c r="I35" s="10"/>
      <c r="J35" s="11"/>
      <c r="M35" s="4"/>
      <c r="N35" s="76"/>
      <c r="O35" s="76"/>
      <c r="P35" s="76" t="str">
        <f t="shared" si="8"/>
        <v>,ward_code</v>
      </c>
      <c r="Q35" s="76" t="str">
        <f t="shared" si="9"/>
        <v>TEXT</v>
      </c>
      <c r="R35" s="76" t="str">
        <f t="shared" si="10"/>
        <v/>
      </c>
      <c r="S35" s="76" t="str">
        <f t="shared" si="11"/>
        <v/>
      </c>
      <c r="T35" s="76" t="str">
        <f t="shared" si="12"/>
        <v>-- 依頼病棟コード</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milscm_2023_010.azn_202310_backup_text_mml_mmllb_body.ward_code IS '依頼病棟コード';</v>
      </c>
    </row>
    <row r="36" spans="1:52" s="25" customFormat="1">
      <c r="A36" s="4"/>
      <c r="B36" s="21">
        <f t="shared" si="2"/>
        <v>24</v>
      </c>
      <c r="C36" s="6" t="s">
        <v>1576</v>
      </c>
      <c r="D36" s="6" t="s">
        <v>1685</v>
      </c>
      <c r="E36" s="8"/>
      <c r="F36" s="7" t="s">
        <v>3277</v>
      </c>
      <c r="G36" s="7" t="str">
        <f t="shared" si="7"/>
        <v>text</v>
      </c>
      <c r="H36" s="26"/>
      <c r="I36" s="10"/>
      <c r="J36" s="11"/>
      <c r="M36" s="4"/>
      <c r="N36" s="76"/>
      <c r="O36" s="76"/>
      <c r="P36" s="76" t="str">
        <f t="shared" si="8"/>
        <v>,ward_code_id</v>
      </c>
      <c r="Q36" s="76" t="str">
        <f t="shared" si="9"/>
        <v>TEXT</v>
      </c>
      <c r="R36" s="76" t="str">
        <f t="shared" si="10"/>
        <v/>
      </c>
      <c r="S36" s="76" t="str">
        <f t="shared" si="11"/>
        <v/>
      </c>
      <c r="T36" s="76" t="str">
        <f t="shared" si="12"/>
        <v>-- 依頼病棟コードID</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milscm_2023_010.azn_202310_backup_text_mml_mmllb_body.ward_code_id IS '依頼病棟コードID';</v>
      </c>
    </row>
    <row r="37" spans="1:52" s="25" customFormat="1">
      <c r="A37" s="4"/>
      <c r="B37" s="21">
        <f t="shared" si="2"/>
        <v>25</v>
      </c>
      <c r="C37" s="6" t="s">
        <v>3836</v>
      </c>
      <c r="D37" s="6" t="s">
        <v>3837</v>
      </c>
      <c r="E37" s="8"/>
      <c r="F37" s="7" t="s">
        <v>3277</v>
      </c>
      <c r="G37" s="7" t="str">
        <f t="shared" si="7"/>
        <v>text</v>
      </c>
      <c r="H37" s="26"/>
      <c r="I37" s="10"/>
      <c r="J37" s="11"/>
      <c r="M37" s="4"/>
      <c r="N37" s="76"/>
      <c r="O37" s="76"/>
      <c r="P37" s="76" t="str">
        <f t="shared" si="8"/>
        <v>,client</v>
      </c>
      <c r="Q37" s="76" t="str">
        <f t="shared" si="9"/>
        <v>TEXT</v>
      </c>
      <c r="R37" s="76" t="str">
        <f t="shared" si="10"/>
        <v/>
      </c>
      <c r="S37" s="76" t="str">
        <f t="shared" si="11"/>
        <v/>
      </c>
      <c r="T37" s="76" t="str">
        <f t="shared" si="12"/>
        <v>-- 依頼者</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milscm_2023_010.azn_202310_backup_text_mml_mmllb_body.client IS '依頼者';</v>
      </c>
    </row>
    <row r="38" spans="1:52" s="25" customFormat="1">
      <c r="A38" s="4"/>
      <c r="B38" s="21">
        <f t="shared" si="2"/>
        <v>26</v>
      </c>
      <c r="C38" s="6" t="s">
        <v>3838</v>
      </c>
      <c r="D38" s="6" t="s">
        <v>3839</v>
      </c>
      <c r="E38" s="8"/>
      <c r="F38" s="7" t="s">
        <v>3277</v>
      </c>
      <c r="G38" s="7" t="str">
        <f t="shared" si="7"/>
        <v>text</v>
      </c>
      <c r="H38" s="26"/>
      <c r="I38" s="10"/>
      <c r="J38" s="11"/>
      <c r="M38" s="4"/>
      <c r="N38" s="76"/>
      <c r="O38" s="76"/>
      <c r="P38" s="76" t="str">
        <f t="shared" si="8"/>
        <v>,client_code</v>
      </c>
      <c r="Q38" s="76" t="str">
        <f t="shared" si="9"/>
        <v>TEXT</v>
      </c>
      <c r="R38" s="76" t="str">
        <f t="shared" si="10"/>
        <v/>
      </c>
      <c r="S38" s="76" t="str">
        <f t="shared" si="11"/>
        <v/>
      </c>
      <c r="T38" s="76" t="str">
        <f t="shared" si="12"/>
        <v>-- 依頼者コード</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milscm_2023_010.azn_202310_backup_text_mml_mmllb_body.client_code IS '依頼者コード';</v>
      </c>
    </row>
    <row r="39" spans="1:52" s="25" customFormat="1">
      <c r="A39" s="4"/>
      <c r="B39" s="21">
        <f t="shared" si="2"/>
        <v>27</v>
      </c>
      <c r="C39" s="6" t="s">
        <v>3840</v>
      </c>
      <c r="D39" s="6" t="s">
        <v>3841</v>
      </c>
      <c r="E39" s="8"/>
      <c r="F39" s="7" t="s">
        <v>3277</v>
      </c>
      <c r="G39" s="7" t="str">
        <f t="shared" si="7"/>
        <v>text</v>
      </c>
      <c r="H39" s="26"/>
      <c r="I39" s="10"/>
      <c r="J39" s="11"/>
      <c r="M39" s="4"/>
      <c r="N39" s="76"/>
      <c r="O39" s="76"/>
      <c r="P39" s="76" t="str">
        <f t="shared" si="8"/>
        <v>,client_code_id</v>
      </c>
      <c r="Q39" s="76" t="str">
        <f t="shared" si="9"/>
        <v>TEXT</v>
      </c>
      <c r="R39" s="76" t="str">
        <f t="shared" si="10"/>
        <v/>
      </c>
      <c r="S39" s="76" t="str">
        <f t="shared" si="11"/>
        <v/>
      </c>
      <c r="T39" s="76" t="str">
        <f t="shared" si="12"/>
        <v>-- 依頼者コードID</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milscm_2023_010.azn_202310_backup_text_mml_mmllb_body.client_code_id IS '依頼者コードID';</v>
      </c>
    </row>
    <row r="40" spans="1:52" s="25" customFormat="1">
      <c r="A40" s="4"/>
      <c r="B40" s="21">
        <f t="shared" si="2"/>
        <v>28</v>
      </c>
      <c r="C40" s="6" t="s">
        <v>3842</v>
      </c>
      <c r="D40" s="6" t="s">
        <v>3843</v>
      </c>
      <c r="E40" s="8"/>
      <c r="F40" s="7" t="s">
        <v>3277</v>
      </c>
      <c r="G40" s="7" t="str">
        <f t="shared" si="7"/>
        <v>text</v>
      </c>
      <c r="H40" s="26"/>
      <c r="I40" s="10"/>
      <c r="J40" s="11"/>
      <c r="M40" s="4"/>
      <c r="N40" s="76"/>
      <c r="O40" s="76"/>
      <c r="P40" s="76" t="str">
        <f t="shared" si="8"/>
        <v>,laboratory_center</v>
      </c>
      <c r="Q40" s="76" t="str">
        <f t="shared" si="9"/>
        <v>TEXT</v>
      </c>
      <c r="R40" s="76" t="str">
        <f t="shared" si="10"/>
        <v/>
      </c>
      <c r="S40" s="76" t="str">
        <f t="shared" si="11"/>
        <v/>
      </c>
      <c r="T40" s="76" t="str">
        <f t="shared" si="12"/>
        <v>-- 検査実施施設</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milscm_2023_010.azn_202310_backup_text_mml_mmllb_body.laboratory_center IS '検査実施施設';</v>
      </c>
    </row>
    <row r="41" spans="1:52" s="25" customFormat="1">
      <c r="A41" s="4"/>
      <c r="B41" s="21">
        <f t="shared" si="2"/>
        <v>29</v>
      </c>
      <c r="C41" s="6" t="s">
        <v>3844</v>
      </c>
      <c r="D41" s="6" t="s">
        <v>3845</v>
      </c>
      <c r="E41" s="8"/>
      <c r="F41" s="7" t="s">
        <v>3277</v>
      </c>
      <c r="G41" s="7" t="str">
        <f t="shared" si="7"/>
        <v>text</v>
      </c>
      <c r="H41" s="26"/>
      <c r="I41" s="10"/>
      <c r="J41" s="11"/>
      <c r="M41" s="4"/>
      <c r="N41" s="76"/>
      <c r="O41" s="76"/>
      <c r="P41" s="76" t="str">
        <f t="shared" si="8"/>
        <v>,laboratory_center_code</v>
      </c>
      <c r="Q41" s="76" t="str">
        <f t="shared" si="9"/>
        <v>TEXT</v>
      </c>
      <c r="R41" s="76" t="str">
        <f t="shared" si="10"/>
        <v/>
      </c>
      <c r="S41" s="76" t="str">
        <f t="shared" si="11"/>
        <v/>
      </c>
      <c r="T41" s="76" t="str">
        <f t="shared" si="12"/>
        <v>-- 検査実施施設コード</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milscm_2023_010.azn_202310_backup_text_mml_mmllb_body.laboratory_center_code IS '検査実施施設コード';</v>
      </c>
    </row>
    <row r="42" spans="1:52" s="25" customFormat="1" ht="31.5">
      <c r="A42" s="4"/>
      <c r="B42" s="21">
        <f t="shared" si="2"/>
        <v>30</v>
      </c>
      <c r="C42" s="6" t="s">
        <v>3846</v>
      </c>
      <c r="D42" s="6" t="s">
        <v>3847</v>
      </c>
      <c r="E42" s="8"/>
      <c r="F42" s="7" t="s">
        <v>3277</v>
      </c>
      <c r="G42" s="7" t="str">
        <f t="shared" si="7"/>
        <v>text</v>
      </c>
      <c r="H42" s="26"/>
      <c r="I42" s="10"/>
      <c r="J42" s="11"/>
      <c r="M42" s="4"/>
      <c r="N42" s="76"/>
      <c r="O42" s="76"/>
      <c r="P42" s="76" t="str">
        <f t="shared" si="8"/>
        <v>,laboratory_center_code_id</v>
      </c>
      <c r="Q42" s="76" t="str">
        <f t="shared" si="9"/>
        <v>TEXT</v>
      </c>
      <c r="R42" s="76" t="str">
        <f t="shared" si="10"/>
        <v/>
      </c>
      <c r="S42" s="76" t="str">
        <f t="shared" si="11"/>
        <v/>
      </c>
      <c r="T42" s="76" t="str">
        <f t="shared" si="12"/>
        <v>-- 検査実施施設コードID</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milscm_2023_010.azn_202310_backup_text_mml_mmllb_body.laboratory_center_code_id IS '検査実施施設コードID';</v>
      </c>
    </row>
    <row r="43" spans="1:52" s="25" customFormat="1">
      <c r="A43" s="4"/>
      <c r="B43" s="21">
        <f t="shared" si="2"/>
        <v>31</v>
      </c>
      <c r="C43" s="6" t="s">
        <v>3848</v>
      </c>
      <c r="D43" s="6" t="s">
        <v>3849</v>
      </c>
      <c r="E43" s="8"/>
      <c r="F43" s="7" t="s">
        <v>3277</v>
      </c>
      <c r="G43" s="7" t="str">
        <f t="shared" si="7"/>
        <v>text</v>
      </c>
      <c r="H43" s="26"/>
      <c r="I43" s="10"/>
      <c r="J43" s="11"/>
      <c r="M43" s="4"/>
      <c r="N43" s="76"/>
      <c r="O43" s="76"/>
      <c r="P43" s="76" t="str">
        <f t="shared" si="8"/>
        <v>,technician</v>
      </c>
      <c r="Q43" s="76" t="str">
        <f t="shared" si="9"/>
        <v>TEXT</v>
      </c>
      <c r="R43" s="76" t="str">
        <f t="shared" si="10"/>
        <v/>
      </c>
      <c r="S43" s="76" t="str">
        <f t="shared" si="11"/>
        <v/>
      </c>
      <c r="T43" s="76" t="str">
        <f t="shared" si="12"/>
        <v>-- 検査実施者</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milscm_2023_010.azn_202310_backup_text_mml_mmllb_body.technician IS '検査実施者';</v>
      </c>
    </row>
    <row r="44" spans="1:52" s="25" customFormat="1">
      <c r="A44" s="4"/>
      <c r="B44" s="21">
        <f t="shared" si="2"/>
        <v>32</v>
      </c>
      <c r="C44" s="6" t="s">
        <v>3850</v>
      </c>
      <c r="D44" s="6" t="s">
        <v>3851</v>
      </c>
      <c r="E44" s="8"/>
      <c r="F44" s="7" t="s">
        <v>3277</v>
      </c>
      <c r="G44" s="7" t="str">
        <f t="shared" si="7"/>
        <v>text</v>
      </c>
      <c r="H44" s="26"/>
      <c r="I44" s="10"/>
      <c r="J44" s="11"/>
      <c r="M44" s="4"/>
      <c r="N44" s="76"/>
      <c r="O44" s="76"/>
      <c r="P44" s="76" t="str">
        <f t="shared" si="8"/>
        <v>,technician_code</v>
      </c>
      <c r="Q44" s="76" t="str">
        <f t="shared" si="9"/>
        <v>TEXT</v>
      </c>
      <c r="R44" s="76" t="str">
        <f t="shared" si="10"/>
        <v/>
      </c>
      <c r="S44" s="76" t="str">
        <f t="shared" si="11"/>
        <v/>
      </c>
      <c r="T44" s="76" t="str">
        <f t="shared" si="12"/>
        <v>-- 検査実施者コード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milscm_2023_010.azn_202310_backup_text_mml_mmllb_body.technician_code IS '検査実施者コード';</v>
      </c>
    </row>
    <row r="45" spans="1:52" s="25" customFormat="1">
      <c r="A45" s="4"/>
      <c r="B45" s="21">
        <f t="shared" si="2"/>
        <v>33</v>
      </c>
      <c r="C45" s="6" t="s">
        <v>3852</v>
      </c>
      <c r="D45" s="6" t="s">
        <v>3853</v>
      </c>
      <c r="E45" s="8"/>
      <c r="F45" s="7" t="s">
        <v>3277</v>
      </c>
      <c r="G45" s="7" t="str">
        <f t="shared" si="7"/>
        <v>text</v>
      </c>
      <c r="H45" s="26"/>
      <c r="I45" s="10"/>
      <c r="J45" s="11"/>
      <c r="M45" s="4"/>
      <c r="N45" s="76"/>
      <c r="O45" s="76"/>
      <c r="P45" s="76" t="str">
        <f t="shared" si="8"/>
        <v>,technician_code_id</v>
      </c>
      <c r="Q45" s="76" t="str">
        <f t="shared" si="9"/>
        <v>TEXT</v>
      </c>
      <c r="R45" s="76" t="str">
        <f t="shared" si="10"/>
        <v/>
      </c>
      <c r="S45" s="76" t="str">
        <f t="shared" si="11"/>
        <v/>
      </c>
      <c r="T45" s="76" t="str">
        <f t="shared" si="12"/>
        <v>-- 検査実施者コードID</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milscm_2023_010.azn_202310_backup_text_mml_mmllb_body.technician_code_id IS '検査実施者コードID';</v>
      </c>
    </row>
    <row r="46" spans="1:52" s="25" customFormat="1" ht="19.5" thickBot="1">
      <c r="A46" s="4"/>
      <c r="B46" s="27">
        <f>ROW()-12</f>
        <v>34</v>
      </c>
      <c r="C46" s="57" t="s">
        <v>1578</v>
      </c>
      <c r="D46" s="57" t="s">
        <v>3854</v>
      </c>
      <c r="E46" s="56"/>
      <c r="F46" s="56" t="s">
        <v>3277</v>
      </c>
      <c r="G46" s="56" t="str">
        <f t="shared" si="3"/>
        <v>text</v>
      </c>
      <c r="H46" s="59"/>
      <c r="I46" s="60"/>
      <c r="J46" s="63"/>
      <c r="N46" s="76"/>
      <c r="O46" s="76"/>
      <c r="P46" s="76" t="str">
        <f t="shared" si="4"/>
        <v>,rep_memo</v>
      </c>
      <c r="Q46" s="76" t="str">
        <f t="shared" si="0"/>
        <v>TEXT</v>
      </c>
      <c r="R46" s="76" t="str">
        <f t="shared" si="1"/>
        <v/>
      </c>
      <c r="S46" s="76" t="str">
        <f t="shared" si="5"/>
        <v/>
      </c>
      <c r="T46" s="76" t="str">
        <f t="shared" si="6"/>
        <v>-- 報告フリーコメント</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milscm_2023_010.azn_202310_backup_text_mml_mmllb_body.rep_memo IS '報告フリーコメント';</v>
      </c>
    </row>
    <row r="47" spans="1:52">
      <c r="L47" s="25"/>
      <c r="M47" s="25"/>
      <c r="N47" s="76" t="s">
        <v>142</v>
      </c>
      <c r="O47" s="76"/>
      <c r="P47" s="76"/>
      <c r="Q47" s="76"/>
      <c r="R47" s="76"/>
      <c r="S47" s="76"/>
      <c r="T47" s="76"/>
      <c r="V47" s="25"/>
      <c r="W47" s="25"/>
      <c r="X47" s="25"/>
      <c r="Y47" s="25"/>
      <c r="Z47" s="25"/>
      <c r="AJ47" s="76" t="s">
        <v>142</v>
      </c>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M50" s="25"/>
    </row>
    <row r="51" spans="12:52">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ENT_01_A6-19</v>
      </c>
      <c r="E6" s="272"/>
      <c r="F6" s="272"/>
      <c r="G6" s="272"/>
      <c r="H6" s="272"/>
      <c r="I6" s="272"/>
      <c r="J6" s="273"/>
    </row>
    <row r="7" spans="1:45">
      <c r="B7" s="261" t="s">
        <v>115</v>
      </c>
      <c r="C7" s="262"/>
      <c r="D7" s="263" t="s">
        <v>3802</v>
      </c>
      <c r="E7" s="264"/>
      <c r="F7" s="264"/>
      <c r="G7" s="264"/>
      <c r="H7" s="264"/>
      <c r="I7" s="264"/>
      <c r="J7" s="265"/>
    </row>
    <row r="8" spans="1:45">
      <c r="B8" s="261" t="s">
        <v>116</v>
      </c>
      <c r="C8" s="262"/>
      <c r="D8" s="263" t="str">
        <f>エンティティ一覧!AE2&amp;"_"&amp;D5&amp;"_text_mml_mmllb_memo"</f>
        <v>azn_202310_backup_text_mml_mmllb_memo</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MML_検歴情報モジュール_報告コメントテーブルから組入れ条件の第一条件で絞り込んだ結果を格納するテーブル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milscm_2023_010.azn_202310_backup_text_mml_mmllb_memo;</v>
      </c>
      <c r="O10" s="76"/>
      <c r="P10" s="76"/>
      <c r="Q10" s="76"/>
      <c r="R10" s="76"/>
      <c r="S10" s="76"/>
      <c r="T10" s="76"/>
      <c r="AJ10" s="76" t="str">
        <f>"ALTER TABLE ONLY "&amp;エンティティ一覧!$O$2&amp;"."&amp;D$8</f>
        <v>ALTER TABLE ONLY milscm_2023_010.azn_202310_backup_text_mml_mmllb_memo</v>
      </c>
      <c r="AS10" s="76" t="str">
        <f>"ALTER TABLE "&amp;エンティティ一覧!$O$2&amp;"."&amp;D$8&amp;" OWNER TO pgmisgrp1;"</f>
        <v>ALTER TABLE milscm_2023_010.azn_202310_backup_text_mml_mmllb_memo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milscm_2023_010.azn_202310_backup_text_mml_mmllb_memo</v>
      </c>
      <c r="O11" s="76"/>
      <c r="P11" s="76"/>
      <c r="Q11" s="76"/>
      <c r="R11" s="76"/>
      <c r="S11" s="76"/>
      <c r="T11" s="76"/>
      <c r="AJ11" s="76" t="str">
        <f>"ADD CONSTRAINT "&amp;D$8&amp;"_pkey PRIMARY KEY"</f>
        <v>ADD CONSTRAINT azn_202310_backup_text_mml_mmllb_memo_pkey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milscm_2023_010.azn_202310_backup_text_mml_mmllb_memo IS 'バックアップ_MML_検歴情報モジュール_報告コメント';</v>
      </c>
    </row>
    <row r="13" spans="1:45" s="25" customFormat="1">
      <c r="A13" s="4"/>
      <c r="B13" s="21">
        <f>ROW()-12</f>
        <v>1</v>
      </c>
      <c r="C13" s="6" t="s">
        <v>2778</v>
      </c>
      <c r="D13" s="6" t="s">
        <v>2779</v>
      </c>
      <c r="E13" s="8" t="s">
        <v>127</v>
      </c>
      <c r="F13" s="8" t="s">
        <v>3275</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milscm_2023_010.azn_202310_backup_text_mml_mmllb_memo.zip_no IS 'ZipファイルNo';</v>
      </c>
    </row>
    <row r="14" spans="1:45" s="25" customFormat="1">
      <c r="A14" s="4"/>
      <c r="B14" s="21">
        <f t="shared" ref="B14:B21" si="2">ROW()-12</f>
        <v>2</v>
      </c>
      <c r="C14" s="6" t="s">
        <v>2781</v>
      </c>
      <c r="D14" s="6" t="s">
        <v>2782</v>
      </c>
      <c r="E14" s="8" t="s">
        <v>127</v>
      </c>
      <c r="F14" s="7" t="s">
        <v>3275</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milscm_2023_010.azn_202310_backup_text_mml_mmllb_memo.file_no IS 'ファイルNo';</v>
      </c>
    </row>
    <row r="15" spans="1:45" s="25" customFormat="1">
      <c r="A15" s="4"/>
      <c r="B15" s="21">
        <f t="shared" si="2"/>
        <v>3</v>
      </c>
      <c r="C15" s="6" t="s">
        <v>3259</v>
      </c>
      <c r="D15" s="6" t="s">
        <v>2784</v>
      </c>
      <c r="E15" s="8" t="s">
        <v>127</v>
      </c>
      <c r="F15" s="7" t="s">
        <v>3275</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milscm_2023_010.azn_202310_backup_text_mml_mmllb_memo.body_no IS '本文No';</v>
      </c>
    </row>
    <row r="16" spans="1:45" s="25" customFormat="1">
      <c r="A16" s="4"/>
      <c r="B16" s="21">
        <f t="shared" si="2"/>
        <v>4</v>
      </c>
      <c r="C16" s="6" t="s">
        <v>3276</v>
      </c>
      <c r="D16" s="6" t="s">
        <v>2401</v>
      </c>
      <c r="E16" s="8"/>
      <c r="F16" s="7" t="s">
        <v>3277</v>
      </c>
      <c r="G16" s="7" t="str">
        <f t="shared" si="3"/>
        <v>text</v>
      </c>
      <c r="H16" s="26"/>
      <c r="I16" s="10" t="s">
        <v>127</v>
      </c>
      <c r="J16" s="11" t="s">
        <v>3271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milscm_2023_010.azn_202310_backup_text_mml_mmllb_memo.facility_id_mml IS '施設ID（MML）';</v>
      </c>
    </row>
    <row r="17" spans="1:52" s="25" customFormat="1">
      <c r="A17" s="4"/>
      <c r="B17" s="21">
        <f t="shared" si="2"/>
        <v>5</v>
      </c>
      <c r="C17" s="6" t="s">
        <v>2786</v>
      </c>
      <c r="D17" s="6" t="s">
        <v>1244</v>
      </c>
      <c r="E17" s="8"/>
      <c r="F17" s="7" t="s">
        <v>3277</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milscm_2023_010.azn_202310_backup_text_mml_mmllb_memo.master_id IS '患者ID';</v>
      </c>
    </row>
    <row r="18" spans="1:52" s="25" customFormat="1">
      <c r="A18" s="4"/>
      <c r="B18" s="21">
        <f t="shared" si="2"/>
        <v>6</v>
      </c>
      <c r="C18" s="6" t="s">
        <v>3855</v>
      </c>
      <c r="D18" s="6" t="s">
        <v>3856</v>
      </c>
      <c r="E18" s="8" t="s">
        <v>127</v>
      </c>
      <c r="F18" s="7" t="s">
        <v>3275</v>
      </c>
      <c r="G18" s="7" t="str">
        <f t="shared" si="3"/>
        <v>integer</v>
      </c>
      <c r="H18" s="26"/>
      <c r="I18" s="10" t="s">
        <v>127</v>
      </c>
      <c r="J18" s="11"/>
      <c r="M18" s="4"/>
      <c r="N18" s="76"/>
      <c r="O18" s="76"/>
      <c r="P18" s="76" t="str">
        <f t="shared" si="4"/>
        <v>,memo_no</v>
      </c>
      <c r="Q18" s="76" t="str">
        <f t="shared" si="0"/>
        <v>INTEGER</v>
      </c>
      <c r="R18" s="76" t="str">
        <f t="shared" si="1"/>
        <v/>
      </c>
      <c r="S18" s="76" t="str">
        <f t="shared" si="5"/>
        <v>NOT NULL</v>
      </c>
      <c r="T18" s="76" t="str">
        <f t="shared" si="6"/>
        <v>-- メモNo</v>
      </c>
      <c r="U18" s="4"/>
      <c r="AA18" s="4"/>
      <c r="AB18" s="4"/>
      <c r="AC18" s="4"/>
      <c r="AD18" s="4"/>
      <c r="AE18" s="4"/>
      <c r="AF18" s="4"/>
      <c r="AG18" s="4"/>
      <c r="AH18" s="4"/>
      <c r="AI18" s="4"/>
      <c r="AJ18" s="76" t="str">
        <f>IF(E18="○",IF(COUNTA(E$13:E18)=1,"",",")&amp;D18,"")</f>
        <v>,memo_no</v>
      </c>
      <c r="AK18" s="4"/>
      <c r="AL18" s="4"/>
      <c r="AM18" s="4"/>
      <c r="AN18" s="4"/>
      <c r="AO18" s="4"/>
      <c r="AP18" s="4"/>
      <c r="AQ18" s="4"/>
      <c r="AR18" s="4"/>
      <c r="AS18" s="76" t="str">
        <f>"COMMENT ON COLUMN "&amp;エンティティ一覧!$O$2&amp;"."&amp;D$8&amp;"."&amp;D18&amp;" IS '"&amp;C18&amp;"';"</f>
        <v>COMMENT ON COLUMN milscm_2023_010.azn_202310_backup_text_mml_mmllb_memo.memo_no IS 'メモNo';</v>
      </c>
    </row>
    <row r="19" spans="1:52" s="25" customFormat="1">
      <c r="A19" s="4"/>
      <c r="B19" s="21">
        <f t="shared" si="2"/>
        <v>7</v>
      </c>
      <c r="C19" s="6" t="s">
        <v>3857</v>
      </c>
      <c r="D19" s="6" t="s">
        <v>3854</v>
      </c>
      <c r="E19" s="8"/>
      <c r="F19" s="7" t="s">
        <v>3277</v>
      </c>
      <c r="G19" s="7" t="str">
        <f t="shared" si="3"/>
        <v>text</v>
      </c>
      <c r="H19" s="26"/>
      <c r="I19" s="10"/>
      <c r="J19" s="11"/>
      <c r="M19" s="4"/>
      <c r="N19" s="76"/>
      <c r="O19" s="76"/>
      <c r="P19" s="76" t="str">
        <f t="shared" si="4"/>
        <v>,rep_memo</v>
      </c>
      <c r="Q19" s="76" t="str">
        <f t="shared" si="0"/>
        <v>TEXT</v>
      </c>
      <c r="R19" s="76" t="str">
        <f t="shared" si="1"/>
        <v/>
      </c>
      <c r="S19" s="76" t="str">
        <f t="shared" si="5"/>
        <v/>
      </c>
      <c r="T19" s="76" t="str">
        <f t="shared" si="6"/>
        <v>-- 報告コメント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milscm_2023_010.azn_202310_backup_text_mml_mmllb_memo.rep_memo IS '報告コメント';</v>
      </c>
    </row>
    <row r="20" spans="1:52" s="25" customFormat="1">
      <c r="A20" s="4"/>
      <c r="B20" s="21">
        <f t="shared" si="2"/>
        <v>8</v>
      </c>
      <c r="C20" s="6" t="s">
        <v>3858</v>
      </c>
      <c r="D20" s="6" t="s">
        <v>3859</v>
      </c>
      <c r="E20" s="8"/>
      <c r="F20" s="7" t="s">
        <v>3277</v>
      </c>
      <c r="G20" s="7" t="str">
        <f t="shared" si="3"/>
        <v>text</v>
      </c>
      <c r="H20" s="26"/>
      <c r="I20" s="10"/>
      <c r="J20" s="11"/>
      <c r="M20" s="4"/>
      <c r="N20" s="76"/>
      <c r="O20" s="76"/>
      <c r="P20" s="76" t="str">
        <f t="shared" si="4"/>
        <v>,rep_code_name</v>
      </c>
      <c r="Q20" s="76" t="str">
        <f t="shared" si="0"/>
        <v>TEXT</v>
      </c>
      <c r="R20" s="76" t="str">
        <f t="shared" si="1"/>
        <v/>
      </c>
      <c r="S20" s="76" t="str">
        <f t="shared" si="5"/>
        <v/>
      </c>
      <c r="T20" s="76" t="str">
        <f t="shared" si="6"/>
        <v>-- 報告コメントコード名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milscm_2023_010.azn_202310_backup_text_mml_mmllb_memo.rep_code_name IS '報告コメントコード名';</v>
      </c>
    </row>
    <row r="21" spans="1:52" s="25" customFormat="1">
      <c r="A21" s="4"/>
      <c r="B21" s="21">
        <f t="shared" si="2"/>
        <v>9</v>
      </c>
      <c r="C21" s="6" t="s">
        <v>3860</v>
      </c>
      <c r="D21" s="6" t="s">
        <v>3055</v>
      </c>
      <c r="E21" s="8"/>
      <c r="F21" s="7" t="s">
        <v>3277</v>
      </c>
      <c r="G21" s="7" t="str">
        <f t="shared" si="3"/>
        <v>text</v>
      </c>
      <c r="H21" s="26"/>
      <c r="I21" s="10"/>
      <c r="J21" s="11"/>
      <c r="M21" s="4"/>
      <c r="N21" s="76"/>
      <c r="O21" s="76"/>
      <c r="P21" s="76" t="str">
        <f t="shared" si="4"/>
        <v>,rep_code</v>
      </c>
      <c r="Q21" s="76" t="str">
        <f t="shared" si="0"/>
        <v>TEXT</v>
      </c>
      <c r="R21" s="76" t="str">
        <f t="shared" si="1"/>
        <v/>
      </c>
      <c r="S21" s="76" t="str">
        <f t="shared" si="5"/>
        <v/>
      </c>
      <c r="T21" s="76" t="str">
        <f t="shared" si="6"/>
        <v>-- 報告コメントコード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milscm_2023_010.azn_202310_backup_text_mml_mmllb_memo.rep_code IS '報告コメントコード';</v>
      </c>
    </row>
    <row r="22" spans="1:52" s="25" customFormat="1" ht="19.5" thickBot="1">
      <c r="A22" s="4"/>
      <c r="B22" s="27">
        <f>ROW()-12</f>
        <v>10</v>
      </c>
      <c r="C22" s="57" t="s">
        <v>3861</v>
      </c>
      <c r="D22" s="57" t="s">
        <v>3862</v>
      </c>
      <c r="E22" s="56"/>
      <c r="F22" s="56" t="s">
        <v>3277</v>
      </c>
      <c r="G22" s="56" t="str">
        <f t="shared" si="3"/>
        <v>text</v>
      </c>
      <c r="H22" s="59"/>
      <c r="I22" s="60"/>
      <c r="J22" s="63"/>
      <c r="N22" s="76"/>
      <c r="O22" s="76"/>
      <c r="P22" s="76" t="str">
        <f t="shared" si="4"/>
        <v>,rep_code_id</v>
      </c>
      <c r="Q22" s="76" t="str">
        <f t="shared" si="0"/>
        <v>TEXT</v>
      </c>
      <c r="R22" s="76" t="str">
        <f t="shared" si="1"/>
        <v/>
      </c>
      <c r="S22" s="76" t="str">
        <f t="shared" si="5"/>
        <v/>
      </c>
      <c r="T22" s="76" t="str">
        <f t="shared" si="6"/>
        <v>-- 報告コメントコードID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milscm_2023_010.azn_202310_backup_text_mml_mmllb_memo.rep_code_id IS '報告コメントコードID';</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ENT_01_A6-20</v>
      </c>
      <c r="E6" s="272"/>
      <c r="F6" s="272"/>
      <c r="G6" s="272"/>
      <c r="H6" s="272"/>
      <c r="I6" s="272"/>
      <c r="J6" s="273"/>
    </row>
    <row r="7" spans="1:45">
      <c r="B7" s="261" t="s">
        <v>115</v>
      </c>
      <c r="C7" s="262"/>
      <c r="D7" s="263" t="s">
        <v>3804</v>
      </c>
      <c r="E7" s="264"/>
      <c r="F7" s="264"/>
      <c r="G7" s="264"/>
      <c r="H7" s="264"/>
      <c r="I7" s="264"/>
      <c r="J7" s="265"/>
    </row>
    <row r="8" spans="1:45">
      <c r="B8" s="261" t="s">
        <v>116</v>
      </c>
      <c r="C8" s="262"/>
      <c r="D8" s="263" t="str">
        <f>エンティティ一覧!AE2&amp;"_"&amp;D5&amp;"_text_mml_mmllb_labo_test"</f>
        <v>azn_202310_backup_text_mml_mmllb_labo_test</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MML_検歴情報モジュール_検体検査結果情報テーブルから組入れ条件の第一条件で絞り込んだ結果を格納するテーブル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milscm_2023_010.azn_202310_backup_text_mml_mmllb_labo_test;</v>
      </c>
      <c r="O10" s="76"/>
      <c r="P10" s="76"/>
      <c r="Q10" s="76"/>
      <c r="R10" s="76"/>
      <c r="S10" s="76"/>
      <c r="T10" s="76"/>
      <c r="AJ10" s="76" t="str">
        <f>"ALTER TABLE ONLY "&amp;エンティティ一覧!$O$2&amp;"."&amp;D$8</f>
        <v>ALTER TABLE ONLY milscm_2023_010.azn_202310_backup_text_mml_mmllb_labo_test</v>
      </c>
      <c r="AS10" s="76" t="str">
        <f>"ALTER TABLE "&amp;エンティティ一覧!$O$2&amp;"."&amp;D$8&amp;" OWNER TO pgmisgrp1;"</f>
        <v>ALTER TABLE milscm_2023_010.azn_202310_backup_text_mml_mmllb_labo_test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milscm_2023_010.azn_202310_backup_text_mml_mmllb_labo_test</v>
      </c>
      <c r="O11" s="76"/>
      <c r="P11" s="76"/>
      <c r="Q11" s="76"/>
      <c r="R11" s="76"/>
      <c r="S11" s="76"/>
      <c r="T11" s="76"/>
      <c r="AJ11" s="76" t="str">
        <f>"ADD CONSTRAINT "&amp;D$8&amp;"_pkey PRIMARY KEY"</f>
        <v>ADD CONSTRAINT azn_202310_backup_text_mml_mmllb_labo_test_pkey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milscm_2023_010.azn_202310_backup_text_mml_mmllb_labo_test IS 'バックアップ_MML_検歴情報モジュール_検体検査結果情報';</v>
      </c>
    </row>
    <row r="13" spans="1:45" s="25" customFormat="1">
      <c r="A13" s="4"/>
      <c r="B13" s="21">
        <f>ROW()-12</f>
        <v>1</v>
      </c>
      <c r="C13" s="6" t="s">
        <v>2778</v>
      </c>
      <c r="D13" s="6" t="s">
        <v>2779</v>
      </c>
      <c r="E13" s="8" t="s">
        <v>127</v>
      </c>
      <c r="F13" s="8" t="s">
        <v>3275</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milscm_2023_010.azn_202310_backup_text_mml_mmllb_labo_test.zip_no IS 'ZipファイルNo';</v>
      </c>
    </row>
    <row r="14" spans="1:45" s="25" customFormat="1">
      <c r="A14" s="4"/>
      <c r="B14" s="21">
        <f t="shared" ref="B14:B21" si="2">ROW()-12</f>
        <v>2</v>
      </c>
      <c r="C14" s="6" t="s">
        <v>2781</v>
      </c>
      <c r="D14" s="6" t="s">
        <v>2782</v>
      </c>
      <c r="E14" s="8" t="s">
        <v>127</v>
      </c>
      <c r="F14" s="7" t="s">
        <v>3275</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milscm_2023_010.azn_202310_backup_text_mml_mmllb_labo_test.file_no IS 'ファイルNo';</v>
      </c>
    </row>
    <row r="15" spans="1:45" s="25" customFormat="1">
      <c r="A15" s="4"/>
      <c r="B15" s="21">
        <f t="shared" si="2"/>
        <v>3</v>
      </c>
      <c r="C15" s="6" t="s">
        <v>3259</v>
      </c>
      <c r="D15" s="6" t="s">
        <v>2784</v>
      </c>
      <c r="E15" s="8" t="s">
        <v>127</v>
      </c>
      <c r="F15" s="7" t="s">
        <v>3275</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milscm_2023_010.azn_202310_backup_text_mml_mmllb_labo_test.body_no IS '本文No';</v>
      </c>
    </row>
    <row r="16" spans="1:45" s="25" customFormat="1">
      <c r="A16" s="4"/>
      <c r="B16" s="21">
        <f t="shared" si="2"/>
        <v>4</v>
      </c>
      <c r="C16" s="6" t="s">
        <v>3276</v>
      </c>
      <c r="D16" s="6" t="s">
        <v>2401</v>
      </c>
      <c r="E16" s="8"/>
      <c r="F16" s="7" t="s">
        <v>3277</v>
      </c>
      <c r="G16" s="7" t="str">
        <f t="shared" si="3"/>
        <v>text</v>
      </c>
      <c r="H16" s="26"/>
      <c r="I16" s="10" t="s">
        <v>127</v>
      </c>
      <c r="J16" s="11" t="s">
        <v>3271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milscm_2023_010.azn_202310_backup_text_mml_mmllb_labo_test.facility_id_mml IS '施設ID（MML）';</v>
      </c>
    </row>
    <row r="17" spans="1:52" s="25" customFormat="1">
      <c r="A17" s="4"/>
      <c r="B17" s="21">
        <f t="shared" si="2"/>
        <v>5</v>
      </c>
      <c r="C17" s="6" t="s">
        <v>2786</v>
      </c>
      <c r="D17" s="6" t="s">
        <v>1244</v>
      </c>
      <c r="E17" s="8"/>
      <c r="F17" s="7" t="s">
        <v>3277</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milscm_2023_010.azn_202310_backup_text_mml_mmllb_labo_test.master_id IS '患者ID';</v>
      </c>
    </row>
    <row r="18" spans="1:52" s="25" customFormat="1">
      <c r="A18" s="4"/>
      <c r="B18" s="21">
        <f t="shared" si="2"/>
        <v>6</v>
      </c>
      <c r="C18" s="6" t="s">
        <v>3863</v>
      </c>
      <c r="D18" s="6" t="s">
        <v>3864</v>
      </c>
      <c r="E18" s="8" t="s">
        <v>127</v>
      </c>
      <c r="F18" s="7" t="s">
        <v>3275</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milscm_2023_010.azn_202310_backup_text_mml_mmllb_labo_test.labo_test_no IS '検体検査結果情報No';</v>
      </c>
    </row>
    <row r="19" spans="1:52" s="25" customFormat="1">
      <c r="A19" s="4"/>
      <c r="B19" s="21">
        <f t="shared" si="2"/>
        <v>7</v>
      </c>
      <c r="C19" s="6" t="s">
        <v>1604</v>
      </c>
      <c r="D19" s="6" t="s">
        <v>1605</v>
      </c>
      <c r="E19" s="8"/>
      <c r="F19" s="7" t="s">
        <v>3277</v>
      </c>
      <c r="G19" s="7" t="str">
        <f t="shared" si="3"/>
        <v>text</v>
      </c>
      <c r="H19" s="26"/>
      <c r="I19" s="10"/>
      <c r="J19" s="11"/>
      <c r="M19" s="4"/>
      <c r="N19" s="76"/>
      <c r="O19" s="76"/>
      <c r="P19" s="76" t="str">
        <f t="shared" si="4"/>
        <v>,specimen_name</v>
      </c>
      <c r="Q19" s="76" t="str">
        <f t="shared" si="0"/>
        <v>TEXT</v>
      </c>
      <c r="R19" s="76" t="str">
        <f t="shared" si="1"/>
        <v/>
      </c>
      <c r="S19" s="76" t="str">
        <f t="shared" si="5"/>
        <v/>
      </c>
      <c r="T19" s="76" t="str">
        <f t="shared" si="6"/>
        <v>-- 検体材料</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milscm_2023_010.azn_202310_backup_text_mml_mmllb_labo_test.specimen_name IS '検体材料';</v>
      </c>
    </row>
    <row r="20" spans="1:52" s="25" customFormat="1">
      <c r="A20" s="4"/>
      <c r="B20" s="21">
        <f t="shared" si="2"/>
        <v>8</v>
      </c>
      <c r="C20" s="6" t="s">
        <v>1606</v>
      </c>
      <c r="D20" s="6" t="s">
        <v>1607</v>
      </c>
      <c r="E20" s="8"/>
      <c r="F20" s="7" t="s">
        <v>3277</v>
      </c>
      <c r="G20" s="7" t="str">
        <f t="shared" si="3"/>
        <v>text</v>
      </c>
      <c r="H20" s="26"/>
      <c r="I20" s="10"/>
      <c r="J20" s="11"/>
      <c r="M20" s="4"/>
      <c r="N20" s="76"/>
      <c r="O20" s="76"/>
      <c r="P20" s="76" t="str">
        <f t="shared" si="4"/>
        <v>,sp_code</v>
      </c>
      <c r="Q20" s="76" t="str">
        <f t="shared" si="0"/>
        <v>TEXT</v>
      </c>
      <c r="R20" s="76" t="str">
        <f t="shared" si="1"/>
        <v/>
      </c>
      <c r="S20" s="76" t="str">
        <f t="shared" si="5"/>
        <v/>
      </c>
      <c r="T20" s="76" t="str">
        <f t="shared" si="6"/>
        <v>-- 検体材料コード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milscm_2023_010.azn_202310_backup_text_mml_mmllb_labo_test.sp_code IS '検体材料コード';</v>
      </c>
    </row>
    <row r="21" spans="1:52" s="25" customFormat="1">
      <c r="A21" s="4"/>
      <c r="B21" s="21">
        <f t="shared" si="2"/>
        <v>9</v>
      </c>
      <c r="C21" s="6" t="s">
        <v>3865</v>
      </c>
      <c r="D21" s="6" t="s">
        <v>1609</v>
      </c>
      <c r="E21" s="8"/>
      <c r="F21" s="7" t="s">
        <v>3277</v>
      </c>
      <c r="G21" s="7" t="str">
        <f t="shared" si="3"/>
        <v>text</v>
      </c>
      <c r="H21" s="26"/>
      <c r="I21" s="10"/>
      <c r="J21" s="11"/>
      <c r="M21" s="4"/>
      <c r="N21" s="76"/>
      <c r="O21" s="76"/>
      <c r="P21" s="76" t="str">
        <f t="shared" si="4"/>
        <v>,sp_code_id</v>
      </c>
      <c r="Q21" s="76" t="str">
        <f t="shared" si="0"/>
        <v>TEXT</v>
      </c>
      <c r="R21" s="76" t="str">
        <f t="shared" si="1"/>
        <v/>
      </c>
      <c r="S21" s="76" t="str">
        <f t="shared" si="5"/>
        <v/>
      </c>
      <c r="T21" s="76" t="str">
        <f t="shared" si="6"/>
        <v>-- 検体材料コードID</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milscm_2023_010.azn_202310_backup_text_mml_mmllb_labo_test.sp_code_id IS '検体材料コードID';</v>
      </c>
    </row>
    <row r="22" spans="1:52" s="25" customFormat="1" ht="19.5" thickBot="1">
      <c r="A22" s="4"/>
      <c r="B22" s="27">
        <f>ROW()-12</f>
        <v>10</v>
      </c>
      <c r="C22" s="57" t="s">
        <v>1610</v>
      </c>
      <c r="D22" s="57" t="s">
        <v>3866</v>
      </c>
      <c r="E22" s="56"/>
      <c r="F22" s="56" t="s">
        <v>3277</v>
      </c>
      <c r="G22" s="56" t="str">
        <f t="shared" si="3"/>
        <v>text</v>
      </c>
      <c r="H22" s="59"/>
      <c r="I22" s="60"/>
      <c r="J22" s="63"/>
      <c r="N22" s="76"/>
      <c r="O22" s="76"/>
      <c r="P22" s="76" t="str">
        <f t="shared" si="4"/>
        <v>,spc_memo_f</v>
      </c>
      <c r="Q22" s="76" t="str">
        <f t="shared" si="0"/>
        <v>TEXT</v>
      </c>
      <c r="R22" s="76" t="str">
        <f t="shared" si="1"/>
        <v/>
      </c>
      <c r="S22" s="76" t="str">
        <f t="shared" si="5"/>
        <v/>
      </c>
      <c r="T22" s="76" t="str">
        <f t="shared" si="6"/>
        <v>-- 検体フリーコメント</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milscm_2023_010.azn_202310_backup_text_mml_mmllb_labo_test.spc_memo_f IS '検体フリーコメント';</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ENT_01_A6-21</v>
      </c>
      <c r="E6" s="272"/>
      <c r="F6" s="272"/>
      <c r="G6" s="272"/>
      <c r="H6" s="272"/>
      <c r="I6" s="272"/>
      <c r="J6" s="273"/>
    </row>
    <row r="7" spans="1:45">
      <c r="B7" s="261" t="s">
        <v>115</v>
      </c>
      <c r="C7" s="262"/>
      <c r="D7" s="263" t="s">
        <v>3806</v>
      </c>
      <c r="E7" s="264"/>
      <c r="F7" s="264"/>
      <c r="G7" s="264"/>
      <c r="H7" s="264"/>
      <c r="I7" s="264"/>
      <c r="J7" s="265"/>
    </row>
    <row r="8" spans="1:45">
      <c r="B8" s="261" t="s">
        <v>116</v>
      </c>
      <c r="C8" s="262"/>
      <c r="D8" s="263" t="str">
        <f>エンティティ一覧!AE2&amp;"_"&amp;D5&amp;"_text_mml_mmllb_spc_memo"</f>
        <v>azn_202310_backup_text_mml_mmllb_spc_memo</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MML_検歴情報モジュール_検体コメントテーブルから組入れ条件の第一条件で絞り込んだ結果を格納するテーブル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milscm_2023_010.azn_202310_backup_text_mml_mmllb_spc_memo;</v>
      </c>
      <c r="O10" s="76"/>
      <c r="P10" s="76"/>
      <c r="Q10" s="76"/>
      <c r="R10" s="76"/>
      <c r="S10" s="76"/>
      <c r="T10" s="76"/>
      <c r="AJ10" s="76" t="str">
        <f>"ALTER TABLE ONLY "&amp;エンティティ一覧!$O$2&amp;"."&amp;D$8</f>
        <v>ALTER TABLE ONLY milscm_2023_010.azn_202310_backup_text_mml_mmllb_spc_memo</v>
      </c>
      <c r="AS10" s="76" t="str">
        <f>"ALTER TABLE "&amp;エンティティ一覧!$O$2&amp;"."&amp;D$8&amp;" OWNER TO pgmisgrp1;"</f>
        <v>ALTER TABLE milscm_2023_010.azn_202310_backup_text_mml_mmllb_spc_memo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milscm_2023_010.azn_202310_backup_text_mml_mmllb_spc_memo</v>
      </c>
      <c r="O11" s="76"/>
      <c r="P11" s="76"/>
      <c r="Q11" s="76"/>
      <c r="R11" s="76"/>
      <c r="S11" s="76"/>
      <c r="T11" s="76"/>
      <c r="AJ11" s="76" t="str">
        <f>"ADD CONSTRAINT "&amp;D$8&amp;"_pkey PRIMARY KEY"</f>
        <v>ADD CONSTRAINT azn_202310_backup_text_mml_mmllb_spc_memo_pkey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milscm_2023_010.azn_202310_backup_text_mml_mmllb_spc_memo IS 'バックアップ_MML_検歴情報モジュール_検体コメント';</v>
      </c>
    </row>
    <row r="13" spans="1:45" s="25" customFormat="1">
      <c r="A13" s="4"/>
      <c r="B13" s="21">
        <f>ROW()-12</f>
        <v>1</v>
      </c>
      <c r="C13" s="6" t="s">
        <v>2778</v>
      </c>
      <c r="D13" s="6" t="s">
        <v>2779</v>
      </c>
      <c r="E13" s="8" t="s">
        <v>127</v>
      </c>
      <c r="F13" s="8" t="s">
        <v>3275</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milscm_2023_010.azn_202310_backup_text_mml_mmllb_spc_memo.zip_no IS 'ZipファイルNo';</v>
      </c>
    </row>
    <row r="14" spans="1:45" s="25" customFormat="1">
      <c r="A14" s="4"/>
      <c r="B14" s="21">
        <f t="shared" ref="B14:B22" si="2">ROW()-12</f>
        <v>2</v>
      </c>
      <c r="C14" s="6" t="s">
        <v>2781</v>
      </c>
      <c r="D14" s="6" t="s">
        <v>2782</v>
      </c>
      <c r="E14" s="8" t="s">
        <v>127</v>
      </c>
      <c r="F14" s="7" t="s">
        <v>3275</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milscm_2023_010.azn_202310_backup_text_mml_mmllb_spc_memo.file_no IS 'ファイルNo';</v>
      </c>
    </row>
    <row r="15" spans="1:45" s="25" customFormat="1">
      <c r="A15" s="4"/>
      <c r="B15" s="21">
        <f t="shared" si="2"/>
        <v>3</v>
      </c>
      <c r="C15" s="6" t="s">
        <v>3259</v>
      </c>
      <c r="D15" s="6" t="s">
        <v>2784</v>
      </c>
      <c r="E15" s="8" t="s">
        <v>127</v>
      </c>
      <c r="F15" s="7" t="s">
        <v>3275</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milscm_2023_010.azn_202310_backup_text_mml_mmllb_spc_memo.body_no IS '本文No';</v>
      </c>
    </row>
    <row r="16" spans="1:45" s="25" customFormat="1">
      <c r="A16" s="4"/>
      <c r="B16" s="21">
        <f t="shared" si="2"/>
        <v>4</v>
      </c>
      <c r="C16" s="6" t="s">
        <v>3276</v>
      </c>
      <c r="D16" s="6" t="s">
        <v>2401</v>
      </c>
      <c r="E16" s="8"/>
      <c r="F16" s="7" t="s">
        <v>3277</v>
      </c>
      <c r="G16" s="7" t="str">
        <f t="shared" si="3"/>
        <v>text</v>
      </c>
      <c r="H16" s="26"/>
      <c r="I16" s="10" t="s">
        <v>127</v>
      </c>
      <c r="J16" s="11" t="s">
        <v>3271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milscm_2023_010.azn_202310_backup_text_mml_mmllb_spc_memo.facility_id_mml IS '施設ID（MML）';</v>
      </c>
    </row>
    <row r="17" spans="1:52" s="25" customFormat="1">
      <c r="A17" s="4"/>
      <c r="B17" s="21">
        <f t="shared" si="2"/>
        <v>5</v>
      </c>
      <c r="C17" s="6" t="s">
        <v>2786</v>
      </c>
      <c r="D17" s="6" t="s">
        <v>1244</v>
      </c>
      <c r="E17" s="8"/>
      <c r="F17" s="7" t="s">
        <v>3277</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milscm_2023_010.azn_202310_backup_text_mml_mmllb_spc_memo.master_id IS '患者ID';</v>
      </c>
    </row>
    <row r="18" spans="1:52" s="25" customFormat="1">
      <c r="A18" s="4"/>
      <c r="B18" s="21">
        <f t="shared" si="2"/>
        <v>6</v>
      </c>
      <c r="C18" s="6" t="s">
        <v>3863</v>
      </c>
      <c r="D18" s="6" t="s">
        <v>3864</v>
      </c>
      <c r="E18" s="8" t="s">
        <v>127</v>
      </c>
      <c r="F18" s="7" t="s">
        <v>3275</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milscm_2023_010.azn_202310_backup_text_mml_mmllb_spc_memo.labo_test_no IS '検体検査結果情報No';</v>
      </c>
    </row>
    <row r="19" spans="1:52" s="25" customFormat="1">
      <c r="A19" s="4"/>
      <c r="B19" s="21">
        <f t="shared" si="2"/>
        <v>7</v>
      </c>
      <c r="C19" s="6" t="s">
        <v>3867</v>
      </c>
      <c r="D19" s="6" t="s">
        <v>3868</v>
      </c>
      <c r="E19" s="8" t="s">
        <v>127</v>
      </c>
      <c r="F19" s="7" t="s">
        <v>3275</v>
      </c>
      <c r="G19" s="7" t="str">
        <f t="shared" si="3"/>
        <v>integer</v>
      </c>
      <c r="H19" s="26"/>
      <c r="I19" s="10" t="s">
        <v>127</v>
      </c>
      <c r="J19" s="11"/>
      <c r="M19" s="4"/>
      <c r="N19" s="76"/>
      <c r="O19" s="76"/>
      <c r="P19" s="76" t="str">
        <f t="shared" si="4"/>
        <v>,spc_memo_no</v>
      </c>
      <c r="Q19" s="76" t="str">
        <f t="shared" si="0"/>
        <v>INTEGER</v>
      </c>
      <c r="R19" s="76" t="str">
        <f t="shared" si="1"/>
        <v/>
      </c>
      <c r="S19" s="76" t="str">
        <f t="shared" si="5"/>
        <v>NOT NULL</v>
      </c>
      <c r="T19" s="76" t="str">
        <f t="shared" si="6"/>
        <v>-- 検体コメントNo</v>
      </c>
      <c r="U19" s="4"/>
      <c r="AA19" s="4"/>
      <c r="AB19" s="4"/>
      <c r="AC19" s="4"/>
      <c r="AD19" s="4"/>
      <c r="AE19" s="4"/>
      <c r="AF19" s="4"/>
      <c r="AG19" s="4"/>
      <c r="AH19" s="4"/>
      <c r="AI19" s="4"/>
      <c r="AJ19" s="76" t="str">
        <f>IF(E19="○",IF(COUNTA(E$13:E19)=1,"",",")&amp;D19,"")</f>
        <v>,spc_memo_no</v>
      </c>
      <c r="AK19" s="4"/>
      <c r="AL19" s="4"/>
      <c r="AM19" s="4"/>
      <c r="AN19" s="4"/>
      <c r="AO19" s="4"/>
      <c r="AP19" s="4"/>
      <c r="AQ19" s="4"/>
      <c r="AR19" s="4"/>
      <c r="AS19" s="76" t="str">
        <f>"COMMENT ON COLUMN "&amp;エンティティ一覧!$O$2&amp;"."&amp;D$8&amp;"."&amp;D19&amp;" IS '"&amp;C19&amp;"';"</f>
        <v>COMMENT ON COLUMN milscm_2023_010.azn_202310_backup_text_mml_mmllb_spc_memo.spc_memo_no IS '検体コメントNo';</v>
      </c>
    </row>
    <row r="20" spans="1:52" s="25" customFormat="1">
      <c r="A20" s="4"/>
      <c r="B20" s="21">
        <f t="shared" si="2"/>
        <v>8</v>
      </c>
      <c r="C20" s="6" t="s">
        <v>3869</v>
      </c>
      <c r="D20" s="6" t="s">
        <v>3870</v>
      </c>
      <c r="E20" s="8"/>
      <c r="F20" s="7" t="s">
        <v>3277</v>
      </c>
      <c r="G20" s="7" t="str">
        <f t="shared" si="3"/>
        <v>text</v>
      </c>
      <c r="H20" s="26"/>
      <c r="I20" s="10"/>
      <c r="J20" s="11"/>
      <c r="M20" s="4"/>
      <c r="N20" s="76"/>
      <c r="O20" s="76"/>
      <c r="P20" s="76" t="str">
        <f t="shared" si="4"/>
        <v>,spc_memo</v>
      </c>
      <c r="Q20" s="76" t="str">
        <f t="shared" si="0"/>
        <v>TEXT</v>
      </c>
      <c r="R20" s="76" t="str">
        <f t="shared" si="1"/>
        <v/>
      </c>
      <c r="S20" s="76" t="str">
        <f t="shared" si="5"/>
        <v/>
      </c>
      <c r="T20" s="76" t="str">
        <f t="shared" si="6"/>
        <v>-- 検体コメント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milscm_2023_010.azn_202310_backup_text_mml_mmllb_spc_memo.spc_memo IS '検体コメント';</v>
      </c>
    </row>
    <row r="21" spans="1:52" s="25" customFormat="1">
      <c r="A21" s="4"/>
      <c r="B21" s="21">
        <f t="shared" si="2"/>
        <v>9</v>
      </c>
      <c r="C21" s="6" t="s">
        <v>3871</v>
      </c>
      <c r="D21" s="6" t="s">
        <v>3872</v>
      </c>
      <c r="E21" s="8"/>
      <c r="F21" s="7" t="s">
        <v>3277</v>
      </c>
      <c r="G21" s="7" t="str">
        <f t="shared" ref="G21" si="7">IF(F21="フラグ","boolean",IF(F21="文字列","text",IF(F21="整数","integer",IF(F21="実数","numeric",""))))</f>
        <v>text</v>
      </c>
      <c r="H21" s="26"/>
      <c r="I21" s="10"/>
      <c r="J21" s="11"/>
      <c r="M21" s="4"/>
      <c r="N21" s="76"/>
      <c r="O21" s="76"/>
      <c r="P21" s="76" t="str">
        <f t="shared" ref="P21" si="8">IF(B21&lt;&gt;1,","&amp;D21,D21)</f>
        <v>,sm_code_name</v>
      </c>
      <c r="Q21" s="76" t="str">
        <f t="shared" ref="Q21" si="9">UPPER(G21)</f>
        <v>TEXT</v>
      </c>
      <c r="R21" s="76" t="str">
        <f t="shared" ref="R21" si="10">IF(H21&lt;&gt;"","default "&amp;IF(G21="text","'"&amp;H21&amp;"'",H21),"")</f>
        <v/>
      </c>
      <c r="S21" s="76" t="str">
        <f t="shared" ref="S21" si="11">IF(I21="○","NOT NULL","")</f>
        <v/>
      </c>
      <c r="T21" s="76" t="str">
        <f t="shared" ref="T21" si="12">"-- "&amp;C21</f>
        <v>-- 検体コメントコード名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milscm_2023_010.azn_202310_backup_text_mml_mmllb_spc_memo.sm_code_name IS '検体コメントコード名';</v>
      </c>
    </row>
    <row r="22" spans="1:52" s="25" customFormat="1">
      <c r="A22" s="4"/>
      <c r="B22" s="21">
        <f t="shared" si="2"/>
        <v>10</v>
      </c>
      <c r="C22" s="6" t="s">
        <v>3873</v>
      </c>
      <c r="D22" s="6" t="s">
        <v>3874</v>
      </c>
      <c r="E22" s="8"/>
      <c r="F22" s="7" t="s">
        <v>3277</v>
      </c>
      <c r="G22" s="7" t="str">
        <f t="shared" si="3"/>
        <v>text</v>
      </c>
      <c r="H22" s="26"/>
      <c r="I22" s="10"/>
      <c r="J22" s="11"/>
      <c r="M22" s="4"/>
      <c r="N22" s="76"/>
      <c r="O22" s="76"/>
      <c r="P22" s="76" t="str">
        <f t="shared" si="4"/>
        <v>,sm_code</v>
      </c>
      <c r="Q22" s="76" t="str">
        <f t="shared" si="0"/>
        <v>TEXT</v>
      </c>
      <c r="R22" s="76" t="str">
        <f t="shared" si="1"/>
        <v/>
      </c>
      <c r="S22" s="76" t="str">
        <f t="shared" si="5"/>
        <v/>
      </c>
      <c r="T22" s="76" t="str">
        <f t="shared" si="6"/>
        <v>-- 検体コメントコード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milscm_2023_010.azn_202310_backup_text_mml_mmllb_spc_memo.sm_code IS '検体コメントコード';</v>
      </c>
    </row>
    <row r="23" spans="1:52" s="25" customFormat="1" ht="19.5" thickBot="1">
      <c r="A23" s="4"/>
      <c r="B23" s="27">
        <f>ROW()-12</f>
        <v>11</v>
      </c>
      <c r="C23" s="57" t="s">
        <v>3875</v>
      </c>
      <c r="D23" s="57" t="s">
        <v>3876</v>
      </c>
      <c r="E23" s="56"/>
      <c r="F23" s="56" t="s">
        <v>3277</v>
      </c>
      <c r="G23" s="56" t="str">
        <f t="shared" si="3"/>
        <v>text</v>
      </c>
      <c r="H23" s="59"/>
      <c r="I23" s="60"/>
      <c r="J23" s="63"/>
      <c r="N23" s="76"/>
      <c r="O23" s="76"/>
      <c r="P23" s="76" t="str">
        <f t="shared" si="4"/>
        <v>,sm_code_id</v>
      </c>
      <c r="Q23" s="76" t="str">
        <f t="shared" si="0"/>
        <v>TEXT</v>
      </c>
      <c r="R23" s="76" t="str">
        <f t="shared" si="1"/>
        <v/>
      </c>
      <c r="S23" s="76" t="str">
        <f t="shared" si="5"/>
        <v/>
      </c>
      <c r="T23" s="76" t="str">
        <f t="shared" si="6"/>
        <v>-- 検体コメントコードID</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milscm_2023_010.azn_202310_backup_text_mml_mmllb_spc_memo.sm_code_id IS '検体コメントコードID';</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ENT_01_A6-22</v>
      </c>
      <c r="E6" s="272"/>
      <c r="F6" s="272"/>
      <c r="G6" s="272"/>
      <c r="H6" s="272"/>
      <c r="I6" s="272"/>
      <c r="J6" s="273"/>
    </row>
    <row r="7" spans="1:45">
      <c r="B7" s="261" t="s">
        <v>115</v>
      </c>
      <c r="C7" s="262"/>
      <c r="D7" s="263" t="s">
        <v>3808</v>
      </c>
      <c r="E7" s="264"/>
      <c r="F7" s="264"/>
      <c r="G7" s="264"/>
      <c r="H7" s="264"/>
      <c r="I7" s="264"/>
      <c r="J7" s="265"/>
    </row>
    <row r="8" spans="1:45">
      <c r="B8" s="261" t="s">
        <v>116</v>
      </c>
      <c r="C8" s="262"/>
      <c r="D8" s="263" t="str">
        <f>エンティティ一覧!AE2&amp;"_"&amp;D5&amp;"_text_mml_mmllb_item"</f>
        <v>azn_202310_backup_text_mml_mmllb_item</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MML_検歴情報モジュール_検査項目テーブルから組入れ条件の第一条件で絞り込んだ結果を格納するテーブル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milscm_2023_010.azn_202310_backup_text_mml_mmllb_item;</v>
      </c>
      <c r="O10" s="76"/>
      <c r="P10" s="76"/>
      <c r="Q10" s="76"/>
      <c r="R10" s="76"/>
      <c r="S10" s="76"/>
      <c r="T10" s="76"/>
      <c r="AJ10" s="76" t="str">
        <f>"ALTER TABLE ONLY "&amp;エンティティ一覧!$O$2&amp;"."&amp;D$8</f>
        <v>ALTER TABLE ONLY milscm_2023_010.azn_202310_backup_text_mml_mmllb_item</v>
      </c>
      <c r="AS10" s="76" t="str">
        <f>"ALTER TABLE "&amp;エンティティ一覧!$O$2&amp;"."&amp;D$8&amp;" OWNER TO pgmisgrp1;"</f>
        <v>ALTER TABLE milscm_2023_010.azn_202310_backup_text_mml_mmllb_item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milscm_2023_010.azn_202310_backup_text_mml_mmllb_item</v>
      </c>
      <c r="O11" s="76"/>
      <c r="P11" s="76"/>
      <c r="Q11" s="76"/>
      <c r="R11" s="76"/>
      <c r="S11" s="76"/>
      <c r="T11" s="76"/>
      <c r="AJ11" s="76" t="str">
        <f>"ADD CONSTRAINT "&amp;D$8&amp;"_pkey PRIMARY KEY"</f>
        <v>ADD CONSTRAINT azn_202310_backup_text_mml_mmllb_item_pkey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milscm_2023_010.azn_202310_backup_text_mml_mmllb_item IS 'バックアップ_MML_検歴情報モジュール_検査項目';</v>
      </c>
    </row>
    <row r="13" spans="1:45" s="25" customFormat="1">
      <c r="A13" s="4"/>
      <c r="B13" s="21">
        <f>ROW()-12</f>
        <v>1</v>
      </c>
      <c r="C13" s="6" t="s">
        <v>2778</v>
      </c>
      <c r="D13" s="6" t="s">
        <v>2779</v>
      </c>
      <c r="E13" s="8" t="s">
        <v>127</v>
      </c>
      <c r="F13" s="8" t="s">
        <v>3275</v>
      </c>
      <c r="G13" s="7" t="str">
        <f>IF(F13="フラグ","boolean",IF(F13="文字列","text",IF(F13="整数","integer",IF(F13="実数","numeric",""))))</f>
        <v>integer</v>
      </c>
      <c r="H13" s="9"/>
      <c r="I13" s="10" t="s">
        <v>127</v>
      </c>
      <c r="J13" s="11"/>
      <c r="M13" s="4"/>
      <c r="N13" s="76"/>
      <c r="O13" s="76"/>
      <c r="P13" s="76" t="str">
        <f>IF(B13&lt;&gt;1,","&amp;D13,D13)</f>
        <v>zip_no</v>
      </c>
      <c r="Q13" s="76" t="str">
        <f t="shared" ref="Q13:Q41" si="0">UPPER(G13)</f>
        <v>INTEGER</v>
      </c>
      <c r="R13" s="76" t="str">
        <f t="shared" ref="R13:R4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milscm_2023_010.azn_202310_backup_text_mml_mmllb_item.zip_no IS 'ZipファイルNo';</v>
      </c>
    </row>
    <row r="14" spans="1:45" s="25" customFormat="1">
      <c r="A14" s="4"/>
      <c r="B14" s="21">
        <f t="shared" ref="B14:B40" si="2">ROW()-12</f>
        <v>2</v>
      </c>
      <c r="C14" s="6" t="s">
        <v>2781</v>
      </c>
      <c r="D14" s="6" t="s">
        <v>2782</v>
      </c>
      <c r="E14" s="8" t="s">
        <v>127</v>
      </c>
      <c r="F14" s="7" t="s">
        <v>3275</v>
      </c>
      <c r="G14" s="7" t="str">
        <f t="shared" ref="G14:G41" si="3">IF(F14="フラグ","boolean",IF(F14="文字列","text",IF(F14="整数","integer",IF(F14="実数","numeric",""))))</f>
        <v>integer</v>
      </c>
      <c r="H14" s="26"/>
      <c r="I14" s="10" t="s">
        <v>127</v>
      </c>
      <c r="J14" s="11"/>
      <c r="M14" s="4"/>
      <c r="N14" s="76"/>
      <c r="O14" s="76"/>
      <c r="P14" s="76" t="str">
        <f t="shared" ref="P14:P41" si="4">IF(B14&lt;&gt;1,","&amp;D14,D14)</f>
        <v>,file_no</v>
      </c>
      <c r="Q14" s="76" t="str">
        <f t="shared" si="0"/>
        <v>INTEGER</v>
      </c>
      <c r="R14" s="76" t="str">
        <f t="shared" si="1"/>
        <v/>
      </c>
      <c r="S14" s="76" t="str">
        <f t="shared" ref="S14:S41" si="5">IF(I14="○","NOT NULL","")</f>
        <v>NOT NULL</v>
      </c>
      <c r="T14" s="76" t="str">
        <f t="shared" ref="T14:T4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milscm_2023_010.azn_202310_backup_text_mml_mmllb_item.file_no IS 'ファイルNo';</v>
      </c>
    </row>
    <row r="15" spans="1:45" s="25" customFormat="1">
      <c r="A15" s="4"/>
      <c r="B15" s="21">
        <f t="shared" si="2"/>
        <v>3</v>
      </c>
      <c r="C15" s="6" t="s">
        <v>3259</v>
      </c>
      <c r="D15" s="6" t="s">
        <v>2784</v>
      </c>
      <c r="E15" s="8" t="s">
        <v>127</v>
      </c>
      <c r="F15" s="7" t="s">
        <v>3275</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milscm_2023_010.azn_202310_backup_text_mml_mmllb_item.body_no IS '本文No';</v>
      </c>
    </row>
    <row r="16" spans="1:45" s="25" customFormat="1">
      <c r="A16" s="4"/>
      <c r="B16" s="21">
        <f t="shared" si="2"/>
        <v>4</v>
      </c>
      <c r="C16" s="6" t="s">
        <v>3276</v>
      </c>
      <c r="D16" s="6" t="s">
        <v>2401</v>
      </c>
      <c r="E16" s="8"/>
      <c r="F16" s="7" t="s">
        <v>3277</v>
      </c>
      <c r="G16" s="7" t="str">
        <f t="shared" si="3"/>
        <v>text</v>
      </c>
      <c r="H16" s="26"/>
      <c r="I16" s="10" t="s">
        <v>127</v>
      </c>
      <c r="J16" s="11" t="s">
        <v>3271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milscm_2023_010.azn_202310_backup_text_mml_mmllb_item.facility_id_mml IS '施設ID（MML）';</v>
      </c>
    </row>
    <row r="17" spans="1:45" s="25" customFormat="1">
      <c r="A17" s="4"/>
      <c r="B17" s="21">
        <f t="shared" si="2"/>
        <v>5</v>
      </c>
      <c r="C17" s="6" t="s">
        <v>2786</v>
      </c>
      <c r="D17" s="6" t="s">
        <v>1244</v>
      </c>
      <c r="E17" s="8"/>
      <c r="F17" s="7" t="s">
        <v>3277</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milscm_2023_010.azn_202310_backup_text_mml_mmllb_item.master_id IS '患者ID';</v>
      </c>
    </row>
    <row r="18" spans="1:45" s="25" customFormat="1">
      <c r="A18" s="4"/>
      <c r="B18" s="21">
        <f t="shared" si="2"/>
        <v>6</v>
      </c>
      <c r="C18" s="6" t="s">
        <v>3863</v>
      </c>
      <c r="D18" s="6" t="s">
        <v>3864</v>
      </c>
      <c r="E18" s="8" t="s">
        <v>127</v>
      </c>
      <c r="F18" s="7" t="s">
        <v>3275</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milscm_2023_010.azn_202310_backup_text_mml_mmllb_item.labo_test_no IS '検体検査結果情報No';</v>
      </c>
    </row>
    <row r="19" spans="1:45" s="25" customFormat="1">
      <c r="A19" s="4"/>
      <c r="B19" s="21">
        <f t="shared" si="2"/>
        <v>7</v>
      </c>
      <c r="C19" s="6" t="s">
        <v>3877</v>
      </c>
      <c r="D19" s="6" t="s">
        <v>3878</v>
      </c>
      <c r="E19" s="8" t="s">
        <v>127</v>
      </c>
      <c r="F19" s="7" t="s">
        <v>3275</v>
      </c>
      <c r="G19" s="7" t="str">
        <f t="shared" si="3"/>
        <v>integer</v>
      </c>
      <c r="H19" s="26"/>
      <c r="I19" s="10" t="s">
        <v>127</v>
      </c>
      <c r="J19" s="11"/>
      <c r="M19" s="4"/>
      <c r="N19" s="76"/>
      <c r="O19" s="76"/>
      <c r="P19" s="76" t="str">
        <f t="shared" si="4"/>
        <v>,item_no</v>
      </c>
      <c r="Q19" s="76" t="str">
        <f t="shared" si="0"/>
        <v>INTEGER</v>
      </c>
      <c r="R19" s="76" t="str">
        <f t="shared" si="1"/>
        <v/>
      </c>
      <c r="S19" s="76" t="str">
        <f t="shared" si="5"/>
        <v>NOT NULL</v>
      </c>
      <c r="T19" s="76" t="str">
        <f t="shared" si="6"/>
        <v>-- 項目No</v>
      </c>
      <c r="U19" s="4"/>
      <c r="AA19" s="4"/>
      <c r="AB19" s="4"/>
      <c r="AC19" s="4"/>
      <c r="AD19" s="4"/>
      <c r="AE19" s="4"/>
      <c r="AF19" s="4"/>
      <c r="AG19" s="4"/>
      <c r="AH19" s="4"/>
      <c r="AI19" s="4"/>
      <c r="AJ19" s="76" t="str">
        <f>IF(E19="○",IF(COUNTA(E$13:E19)=1,"",",")&amp;D19,"")</f>
        <v>,item_no</v>
      </c>
      <c r="AK19" s="4"/>
      <c r="AL19" s="4"/>
      <c r="AM19" s="4"/>
      <c r="AN19" s="4"/>
      <c r="AO19" s="4"/>
      <c r="AP19" s="4"/>
      <c r="AQ19" s="4"/>
      <c r="AR19" s="4"/>
      <c r="AS19" s="76" t="str">
        <f>"COMMENT ON COLUMN "&amp;エンティティ一覧!$O$2&amp;"."&amp;D$8&amp;"."&amp;D19&amp;" IS '"&amp;C19&amp;"';"</f>
        <v>COMMENT ON COLUMN milscm_2023_010.azn_202310_backup_text_mml_mmllb_item.item_no IS '項目No';</v>
      </c>
    </row>
    <row r="20" spans="1:45" s="25" customFormat="1">
      <c r="A20" s="4"/>
      <c r="B20" s="21">
        <f t="shared" si="2"/>
        <v>8</v>
      </c>
      <c r="C20" s="6" t="s">
        <v>3879</v>
      </c>
      <c r="D20" s="6" t="s">
        <v>1622</v>
      </c>
      <c r="E20" s="8"/>
      <c r="F20" s="7" t="s">
        <v>3277</v>
      </c>
      <c r="G20" s="7" t="str">
        <f t="shared" si="3"/>
        <v>text</v>
      </c>
      <c r="H20" s="26"/>
      <c r="I20" s="10"/>
      <c r="J20" s="11"/>
      <c r="M20" s="4"/>
      <c r="N20" s="76"/>
      <c r="O20" s="76"/>
      <c r="P20" s="76" t="str">
        <f t="shared" si="4"/>
        <v>,item_name</v>
      </c>
      <c r="Q20" s="76" t="str">
        <f t="shared" si="0"/>
        <v>TEXT</v>
      </c>
      <c r="R20" s="76" t="str">
        <f t="shared" si="1"/>
        <v/>
      </c>
      <c r="S20" s="76" t="str">
        <f t="shared" si="5"/>
        <v/>
      </c>
      <c r="T20" s="76" t="str">
        <f t="shared" si="6"/>
        <v>-- 検査名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milscm_2023_010.azn_202310_backup_text_mml_mmllb_item.item_name IS '検査名';</v>
      </c>
    </row>
    <row r="21" spans="1:45" s="25" customFormat="1">
      <c r="A21" s="4"/>
      <c r="B21" s="21">
        <f t="shared" si="2"/>
        <v>9</v>
      </c>
      <c r="C21" s="6" t="s">
        <v>3880</v>
      </c>
      <c r="D21" s="6" t="s">
        <v>3881</v>
      </c>
      <c r="E21" s="8"/>
      <c r="F21" s="7" t="s">
        <v>3277</v>
      </c>
      <c r="G21" s="7" t="str">
        <f t="shared" si="3"/>
        <v>text</v>
      </c>
      <c r="H21" s="26"/>
      <c r="I21" s="10"/>
      <c r="J21" s="11"/>
      <c r="M21" s="4"/>
      <c r="N21" s="76"/>
      <c r="O21" s="76"/>
      <c r="P21" s="76" t="str">
        <f t="shared" si="4"/>
        <v>,item_code</v>
      </c>
      <c r="Q21" s="76" t="str">
        <f t="shared" si="0"/>
        <v>TEXT</v>
      </c>
      <c r="R21" s="76" t="str">
        <f t="shared" si="1"/>
        <v/>
      </c>
      <c r="S21" s="76" t="str">
        <f t="shared" si="5"/>
        <v/>
      </c>
      <c r="T21" s="76" t="str">
        <f t="shared" si="6"/>
        <v>-- 検査名_施設固有コード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milscm_2023_010.azn_202310_backup_text_mml_mmllb_item.item_code IS '検査名_施設固有コード';</v>
      </c>
    </row>
    <row r="22" spans="1:45" s="25" customFormat="1">
      <c r="A22" s="4"/>
      <c r="B22" s="21">
        <f t="shared" si="2"/>
        <v>10</v>
      </c>
      <c r="C22" s="6" t="s">
        <v>3882</v>
      </c>
      <c r="D22" s="6" t="s">
        <v>3883</v>
      </c>
      <c r="E22" s="8"/>
      <c r="F22" s="7" t="s">
        <v>3277</v>
      </c>
      <c r="G22" s="7" t="str">
        <f t="shared" ref="G22:G39" si="7">IF(F22="フラグ","boolean",IF(F22="文字列","text",IF(F22="整数","integer",IF(F22="実数","numeric",""))))</f>
        <v>text</v>
      </c>
      <c r="H22" s="26"/>
      <c r="I22" s="10"/>
      <c r="J22" s="11"/>
      <c r="M22" s="4"/>
      <c r="N22" s="76"/>
      <c r="O22" s="76"/>
      <c r="P22" s="76" t="str">
        <f t="shared" ref="P22:P39" si="8">IF(B22&lt;&gt;1,","&amp;D22,D22)</f>
        <v>,item_code_id</v>
      </c>
      <c r="Q22" s="76" t="str">
        <f t="shared" ref="Q22:Q39" si="9">UPPER(G22)</f>
        <v>TEXT</v>
      </c>
      <c r="R22" s="76" t="str">
        <f t="shared" ref="R22:R39" si="10">IF(H22&lt;&gt;"","default "&amp;IF(G22="text","'"&amp;H22&amp;"'",H22),"")</f>
        <v/>
      </c>
      <c r="S22" s="76" t="str">
        <f t="shared" ref="S22:S39" si="11">IF(I22="○","NOT NULL","")</f>
        <v/>
      </c>
      <c r="T22" s="76" t="str">
        <f t="shared" ref="T22:T39" si="12">"-- "&amp;C22</f>
        <v>-- 検査名_施設固有コードID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milscm_2023_010.azn_202310_backup_text_mml_mmllb_item.item_code_id IS '検査名_施設固有コードID';</v>
      </c>
    </row>
    <row r="23" spans="1:45" s="25" customFormat="1">
      <c r="A23" s="4"/>
      <c r="B23" s="21">
        <f t="shared" si="2"/>
        <v>11</v>
      </c>
      <c r="C23" s="6" t="s">
        <v>3884</v>
      </c>
      <c r="D23" s="6" t="s">
        <v>3885</v>
      </c>
      <c r="E23" s="8"/>
      <c r="F23" s="7" t="s">
        <v>3277</v>
      </c>
      <c r="G23" s="7" t="str">
        <f t="shared" si="7"/>
        <v>text</v>
      </c>
      <c r="H23" s="26"/>
      <c r="I23" s="10"/>
      <c r="J23" s="11" t="s">
        <v>1627</v>
      </c>
      <c r="M23" s="4"/>
      <c r="N23" s="76"/>
      <c r="O23" s="76"/>
      <c r="P23" s="76" t="str">
        <f t="shared" si="8"/>
        <v>,a_code</v>
      </c>
      <c r="Q23" s="76" t="str">
        <f t="shared" si="9"/>
        <v>TEXT</v>
      </c>
      <c r="R23" s="76" t="str">
        <f t="shared" si="10"/>
        <v/>
      </c>
      <c r="S23" s="76" t="str">
        <f t="shared" si="11"/>
        <v/>
      </c>
      <c r="T23" s="76" t="str">
        <f t="shared" si="12"/>
        <v>-- 検査名_分析物コード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milscm_2023_010.azn_202310_backup_text_mml_mmllb_item.a_code IS '検査名_分析物コード';</v>
      </c>
    </row>
    <row r="24" spans="1:45" s="25" customFormat="1">
      <c r="A24" s="4"/>
      <c r="B24" s="21">
        <f t="shared" si="2"/>
        <v>12</v>
      </c>
      <c r="C24" s="6" t="s">
        <v>3886</v>
      </c>
      <c r="D24" s="6" t="s">
        <v>3887</v>
      </c>
      <c r="E24" s="8"/>
      <c r="F24" s="7" t="s">
        <v>3277</v>
      </c>
      <c r="G24" s="7" t="str">
        <f t="shared" si="7"/>
        <v>text</v>
      </c>
      <c r="H24" s="26"/>
      <c r="I24" s="10"/>
      <c r="J24" s="11" t="s">
        <v>1629</v>
      </c>
      <c r="M24" s="4"/>
      <c r="N24" s="76"/>
      <c r="O24" s="76"/>
      <c r="P24" s="76" t="str">
        <f t="shared" si="8"/>
        <v>,i_code</v>
      </c>
      <c r="Q24" s="76" t="str">
        <f t="shared" si="9"/>
        <v>TEXT</v>
      </c>
      <c r="R24" s="76" t="str">
        <f t="shared" si="10"/>
        <v/>
      </c>
      <c r="S24" s="76" t="str">
        <f t="shared" si="11"/>
        <v/>
      </c>
      <c r="T24" s="76" t="str">
        <f t="shared" si="12"/>
        <v>-- 検査名_識別コード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milscm_2023_010.azn_202310_backup_text_mml_mmllb_item.i_code IS '検査名_識別コード';</v>
      </c>
    </row>
    <row r="25" spans="1:45" s="25" customFormat="1">
      <c r="A25" s="4"/>
      <c r="B25" s="21">
        <f t="shared" si="2"/>
        <v>13</v>
      </c>
      <c r="C25" s="6" t="s">
        <v>3888</v>
      </c>
      <c r="D25" s="6" t="s">
        <v>3889</v>
      </c>
      <c r="E25" s="8"/>
      <c r="F25" s="7" t="s">
        <v>3277</v>
      </c>
      <c r="G25" s="7" t="str">
        <f t="shared" si="7"/>
        <v>text</v>
      </c>
      <c r="H25" s="26"/>
      <c r="I25" s="10"/>
      <c r="J25" s="11" t="s">
        <v>1631</v>
      </c>
      <c r="M25" s="4"/>
      <c r="N25" s="76"/>
      <c r="O25" s="76"/>
      <c r="P25" s="76" t="str">
        <f t="shared" si="8"/>
        <v>,s_code</v>
      </c>
      <c r="Q25" s="76" t="str">
        <f t="shared" si="9"/>
        <v>TEXT</v>
      </c>
      <c r="R25" s="76" t="str">
        <f t="shared" si="10"/>
        <v/>
      </c>
      <c r="S25" s="76" t="str">
        <f t="shared" si="11"/>
        <v/>
      </c>
      <c r="T25" s="76" t="str">
        <f t="shared" si="12"/>
        <v>-- 検査名_材料コード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milscm_2023_010.azn_202310_backup_text_mml_mmllb_item.s_code IS '検査名_材料コード';</v>
      </c>
    </row>
    <row r="26" spans="1:45" s="25" customFormat="1">
      <c r="A26" s="4"/>
      <c r="B26" s="21">
        <f t="shared" si="2"/>
        <v>14</v>
      </c>
      <c r="C26" s="6" t="s">
        <v>3890</v>
      </c>
      <c r="D26" s="6" t="s">
        <v>3891</v>
      </c>
      <c r="E26" s="8"/>
      <c r="F26" s="7" t="s">
        <v>3277</v>
      </c>
      <c r="G26" s="7" t="str">
        <f t="shared" si="7"/>
        <v>text</v>
      </c>
      <c r="H26" s="26"/>
      <c r="I26" s="10"/>
      <c r="J26" s="11" t="s">
        <v>1633</v>
      </c>
      <c r="M26" s="4"/>
      <c r="N26" s="76"/>
      <c r="O26" s="76"/>
      <c r="P26" s="76" t="str">
        <f t="shared" si="8"/>
        <v>,m_code</v>
      </c>
      <c r="Q26" s="76" t="str">
        <f t="shared" si="9"/>
        <v>TEXT</v>
      </c>
      <c r="R26" s="76" t="str">
        <f t="shared" si="10"/>
        <v/>
      </c>
      <c r="S26" s="76" t="str">
        <f t="shared" si="11"/>
        <v/>
      </c>
      <c r="T26" s="76" t="str">
        <f t="shared" si="12"/>
        <v>-- 検査名_測定法コード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milscm_2023_010.azn_202310_backup_text_mml_mmllb_item.m_code IS '検査名_測定法コード';</v>
      </c>
    </row>
    <row r="27" spans="1:45" s="25" customFormat="1">
      <c r="A27" s="4"/>
      <c r="B27" s="21">
        <f t="shared" si="2"/>
        <v>15</v>
      </c>
      <c r="C27" s="6" t="s">
        <v>3892</v>
      </c>
      <c r="D27" s="6" t="s">
        <v>3893</v>
      </c>
      <c r="E27" s="8"/>
      <c r="F27" s="7" t="s">
        <v>3277</v>
      </c>
      <c r="G27" s="7" t="str">
        <f t="shared" si="7"/>
        <v>text</v>
      </c>
      <c r="H27" s="26"/>
      <c r="I27" s="10"/>
      <c r="J27" s="11" t="s">
        <v>1635</v>
      </c>
      <c r="M27" s="4"/>
      <c r="N27" s="76"/>
      <c r="O27" s="76"/>
      <c r="P27" s="76" t="str">
        <f t="shared" si="8"/>
        <v>,r_code</v>
      </c>
      <c r="Q27" s="76" t="str">
        <f t="shared" si="9"/>
        <v>TEXT</v>
      </c>
      <c r="R27" s="76" t="str">
        <f t="shared" si="10"/>
        <v/>
      </c>
      <c r="S27" s="76" t="str">
        <f t="shared" si="11"/>
        <v/>
      </c>
      <c r="T27" s="76" t="str">
        <f t="shared" si="12"/>
        <v>-- 検査名_結果識別コード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milscm_2023_010.azn_202310_backup_text_mml_mmllb_item.r_code IS '検査名_結果識別コード';</v>
      </c>
    </row>
    <row r="28" spans="1:45" s="25" customFormat="1">
      <c r="A28" s="4"/>
      <c r="B28" s="21">
        <f t="shared" si="2"/>
        <v>16</v>
      </c>
      <c r="C28" s="6" t="s">
        <v>3894</v>
      </c>
      <c r="D28" s="6" t="s">
        <v>1638</v>
      </c>
      <c r="E28" s="8"/>
      <c r="F28" s="7" t="s">
        <v>3277</v>
      </c>
      <c r="G28" s="7" t="str">
        <f t="shared" si="7"/>
        <v>text</v>
      </c>
      <c r="H28" s="26"/>
      <c r="I28" s="10"/>
      <c r="J28" s="11"/>
      <c r="M28" s="4"/>
      <c r="N28" s="76"/>
      <c r="O28" s="76"/>
      <c r="P28" s="76" t="str">
        <f t="shared" si="8"/>
        <v>,value</v>
      </c>
      <c r="Q28" s="76" t="str">
        <f t="shared" si="9"/>
        <v>TEXT</v>
      </c>
      <c r="R28" s="76" t="str">
        <f t="shared" si="10"/>
        <v/>
      </c>
      <c r="S28" s="76" t="str">
        <f t="shared" si="11"/>
        <v/>
      </c>
      <c r="T28" s="76" t="str">
        <f t="shared" si="12"/>
        <v>-- 検査値（文字列）</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milscm_2023_010.azn_202310_backup_text_mml_mmllb_item.value IS '検査値（文字列）';</v>
      </c>
    </row>
    <row r="29" spans="1:45" s="25" customFormat="1">
      <c r="A29" s="4"/>
      <c r="B29" s="21">
        <f t="shared" si="2"/>
        <v>17</v>
      </c>
      <c r="C29" s="6" t="s">
        <v>3895</v>
      </c>
      <c r="D29" s="6" t="s">
        <v>3896</v>
      </c>
      <c r="E29" s="8"/>
      <c r="F29" s="7" t="s">
        <v>3277</v>
      </c>
      <c r="G29" s="7" t="str">
        <f t="shared" si="7"/>
        <v>text</v>
      </c>
      <c r="H29" s="26"/>
      <c r="I29" s="10"/>
      <c r="J29" s="11"/>
      <c r="M29" s="4"/>
      <c r="N29" s="76"/>
      <c r="O29" s="76"/>
      <c r="P29" s="76" t="str">
        <f t="shared" si="8"/>
        <v>,value_up</v>
      </c>
      <c r="Q29" s="76" t="str">
        <f t="shared" si="9"/>
        <v>TEXT</v>
      </c>
      <c r="R29" s="76" t="str">
        <f t="shared" si="10"/>
        <v/>
      </c>
      <c r="S29" s="76" t="str">
        <f t="shared" si="11"/>
        <v/>
      </c>
      <c r="T29" s="76" t="str">
        <f t="shared" si="12"/>
        <v>-- 検査値（文字列）_上限値</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milscm_2023_010.azn_202310_backup_text_mml_mmllb_item.value_up IS '検査値（文字列）_上限値';</v>
      </c>
    </row>
    <row r="30" spans="1:45" s="25" customFormat="1">
      <c r="A30" s="4"/>
      <c r="B30" s="21">
        <f t="shared" si="2"/>
        <v>18</v>
      </c>
      <c r="C30" s="6" t="s">
        <v>3897</v>
      </c>
      <c r="D30" s="6" t="s">
        <v>3898</v>
      </c>
      <c r="E30" s="8"/>
      <c r="F30" s="7" t="s">
        <v>3277</v>
      </c>
      <c r="G30" s="7" t="str">
        <f t="shared" si="7"/>
        <v>text</v>
      </c>
      <c r="H30" s="26"/>
      <c r="I30" s="10"/>
      <c r="J30" s="11"/>
      <c r="M30" s="4"/>
      <c r="N30" s="76"/>
      <c r="O30" s="76"/>
      <c r="P30" s="76" t="str">
        <f t="shared" si="8"/>
        <v>,value_low</v>
      </c>
      <c r="Q30" s="76" t="str">
        <f t="shared" si="9"/>
        <v>TEXT</v>
      </c>
      <c r="R30" s="76" t="str">
        <f t="shared" si="10"/>
        <v/>
      </c>
      <c r="S30" s="76" t="str">
        <f t="shared" si="11"/>
        <v/>
      </c>
      <c r="T30" s="76" t="str">
        <f t="shared" si="12"/>
        <v>-- 検査値（文字列）_下限値</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milscm_2023_010.azn_202310_backup_text_mml_mmllb_item.value_low IS '検査値（文字列）_下限値';</v>
      </c>
    </row>
    <row r="31" spans="1:45" s="25" customFormat="1">
      <c r="A31" s="4"/>
      <c r="B31" s="21">
        <f t="shared" si="2"/>
        <v>19</v>
      </c>
      <c r="C31" s="6" t="s">
        <v>3899</v>
      </c>
      <c r="D31" s="6" t="s">
        <v>3900</v>
      </c>
      <c r="E31" s="8"/>
      <c r="F31" s="7" t="s">
        <v>3277</v>
      </c>
      <c r="G31" s="7" t="str">
        <f t="shared" si="7"/>
        <v>text</v>
      </c>
      <c r="H31" s="26"/>
      <c r="I31" s="10"/>
      <c r="J31" s="11"/>
      <c r="M31" s="4"/>
      <c r="N31" s="76"/>
      <c r="O31" s="76"/>
      <c r="P31" s="76" t="str">
        <f t="shared" si="8"/>
        <v>,value_normal</v>
      </c>
      <c r="Q31" s="76" t="str">
        <f t="shared" si="9"/>
        <v>TEXT</v>
      </c>
      <c r="R31" s="76" t="str">
        <f t="shared" si="10"/>
        <v/>
      </c>
      <c r="S31" s="76" t="str">
        <f t="shared" si="11"/>
        <v/>
      </c>
      <c r="T31" s="76" t="str">
        <f t="shared" si="12"/>
        <v>-- 検査値（文字列）_基準値</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milscm_2023_010.azn_202310_backup_text_mml_mmllb_item.value_normal IS '検査値（文字列）_基準値';</v>
      </c>
    </row>
    <row r="32" spans="1:45" s="25" customFormat="1" ht="75">
      <c r="A32" s="4"/>
      <c r="B32" s="21">
        <f t="shared" si="2"/>
        <v>20</v>
      </c>
      <c r="C32" s="6" t="s">
        <v>3901</v>
      </c>
      <c r="D32" s="6" t="s">
        <v>3902</v>
      </c>
      <c r="E32" s="8"/>
      <c r="F32" s="7" t="s">
        <v>3277</v>
      </c>
      <c r="G32" s="7" t="str">
        <f t="shared" si="7"/>
        <v>text</v>
      </c>
      <c r="H32" s="26"/>
      <c r="I32" s="10"/>
      <c r="J32" s="11" t="s">
        <v>3915</v>
      </c>
      <c r="M32" s="4"/>
      <c r="N32" s="76"/>
      <c r="O32" s="76"/>
      <c r="P32" s="76" t="str">
        <f t="shared" si="8"/>
        <v>,value_out</v>
      </c>
      <c r="Q32" s="76" t="str">
        <f t="shared" si="9"/>
        <v>TEXT</v>
      </c>
      <c r="R32" s="76" t="str">
        <f t="shared" si="10"/>
        <v/>
      </c>
      <c r="S32" s="76" t="str">
        <f t="shared" si="11"/>
        <v/>
      </c>
      <c r="T32" s="76" t="str">
        <f t="shared" si="12"/>
        <v>-- 検査値（文字列）_異常値フラグ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milscm_2023_010.azn_202310_backup_text_mml_mmllb_item.value_out IS '検査値（文字列）_異常値フラグ';</v>
      </c>
    </row>
    <row r="33" spans="1:52" s="25" customFormat="1">
      <c r="A33" s="4"/>
      <c r="B33" s="21">
        <f t="shared" si="2"/>
        <v>21</v>
      </c>
      <c r="C33" s="6" t="s">
        <v>3903</v>
      </c>
      <c r="D33" s="6" t="s">
        <v>1640</v>
      </c>
      <c r="E33" s="8"/>
      <c r="F33" s="7" t="s">
        <v>3277</v>
      </c>
      <c r="G33" s="7" t="str">
        <f t="shared" si="7"/>
        <v>text</v>
      </c>
      <c r="H33" s="26"/>
      <c r="I33" s="10"/>
      <c r="J33" s="11"/>
      <c r="M33" s="4"/>
      <c r="N33" s="76"/>
      <c r="O33" s="76"/>
      <c r="P33" s="76" t="str">
        <f t="shared" si="8"/>
        <v>,num_value</v>
      </c>
      <c r="Q33" s="76" t="str">
        <f t="shared" si="9"/>
        <v>TEXT</v>
      </c>
      <c r="R33" s="76" t="str">
        <f t="shared" si="10"/>
        <v/>
      </c>
      <c r="S33" s="76" t="str">
        <f t="shared" si="11"/>
        <v/>
      </c>
      <c r="T33" s="76" t="str">
        <f t="shared" si="12"/>
        <v>-- 検査値（数値）</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milscm_2023_010.azn_202310_backup_text_mml_mmllb_item.num_value IS '検査値（数値）';</v>
      </c>
    </row>
    <row r="34" spans="1:52" s="25" customFormat="1">
      <c r="A34" s="4"/>
      <c r="B34" s="21">
        <f t="shared" si="2"/>
        <v>22</v>
      </c>
      <c r="C34" s="6" t="s">
        <v>3904</v>
      </c>
      <c r="D34" s="6" t="s">
        <v>3905</v>
      </c>
      <c r="E34" s="8"/>
      <c r="F34" s="7" t="s">
        <v>3277</v>
      </c>
      <c r="G34" s="7" t="str">
        <f t="shared" si="7"/>
        <v>text</v>
      </c>
      <c r="H34" s="26"/>
      <c r="I34" s="10"/>
      <c r="J34" s="11"/>
      <c r="M34" s="4"/>
      <c r="N34" s="76"/>
      <c r="O34" s="76"/>
      <c r="P34" s="76" t="str">
        <f t="shared" si="8"/>
        <v>,num_value_up</v>
      </c>
      <c r="Q34" s="76" t="str">
        <f t="shared" si="9"/>
        <v>TEXT</v>
      </c>
      <c r="R34" s="76" t="str">
        <f t="shared" si="10"/>
        <v/>
      </c>
      <c r="S34" s="76" t="str">
        <f t="shared" si="11"/>
        <v/>
      </c>
      <c r="T34" s="76" t="str">
        <f t="shared" si="12"/>
        <v>-- 検査値（数値）_上限値</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milscm_2023_010.azn_202310_backup_text_mml_mmllb_item.num_value_up IS '検査値（数値）_上限値';</v>
      </c>
    </row>
    <row r="35" spans="1:52" s="25" customFormat="1">
      <c r="A35" s="4"/>
      <c r="B35" s="21">
        <f t="shared" si="2"/>
        <v>23</v>
      </c>
      <c r="C35" s="6" t="s">
        <v>3906</v>
      </c>
      <c r="D35" s="6" t="s">
        <v>3907</v>
      </c>
      <c r="E35" s="8"/>
      <c r="F35" s="7" t="s">
        <v>3277</v>
      </c>
      <c r="G35" s="7" t="str">
        <f t="shared" si="7"/>
        <v>text</v>
      </c>
      <c r="H35" s="26"/>
      <c r="I35" s="10"/>
      <c r="J35" s="11"/>
      <c r="M35" s="4"/>
      <c r="N35" s="76"/>
      <c r="O35" s="76"/>
      <c r="P35" s="76" t="str">
        <f t="shared" si="8"/>
        <v>,num_value_low</v>
      </c>
      <c r="Q35" s="76" t="str">
        <f t="shared" si="9"/>
        <v>TEXT</v>
      </c>
      <c r="R35" s="76" t="str">
        <f t="shared" si="10"/>
        <v/>
      </c>
      <c r="S35" s="76" t="str">
        <f t="shared" si="11"/>
        <v/>
      </c>
      <c r="T35" s="76" t="str">
        <f t="shared" si="12"/>
        <v>-- 検査値（数値）_下限値</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milscm_2023_010.azn_202310_backup_text_mml_mmllb_item.num_value_low IS '検査値（数値）_下限値';</v>
      </c>
    </row>
    <row r="36" spans="1:52" s="25" customFormat="1">
      <c r="A36" s="4"/>
      <c r="B36" s="21">
        <f t="shared" si="2"/>
        <v>24</v>
      </c>
      <c r="C36" s="6" t="s">
        <v>3908</v>
      </c>
      <c r="D36" s="6" t="s">
        <v>3909</v>
      </c>
      <c r="E36" s="8"/>
      <c r="F36" s="7" t="s">
        <v>3277</v>
      </c>
      <c r="G36" s="7" t="str">
        <f t="shared" si="7"/>
        <v>text</v>
      </c>
      <c r="H36" s="26"/>
      <c r="I36" s="10"/>
      <c r="J36" s="11"/>
      <c r="M36" s="4"/>
      <c r="N36" s="76"/>
      <c r="O36" s="76"/>
      <c r="P36" s="76" t="str">
        <f t="shared" si="8"/>
        <v>,num_value_normal</v>
      </c>
      <c r="Q36" s="76" t="str">
        <f t="shared" si="9"/>
        <v>TEXT</v>
      </c>
      <c r="R36" s="76" t="str">
        <f t="shared" si="10"/>
        <v/>
      </c>
      <c r="S36" s="76" t="str">
        <f t="shared" si="11"/>
        <v/>
      </c>
      <c r="T36" s="76" t="str">
        <f t="shared" si="12"/>
        <v>-- 検査値（数値）_基準値</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milscm_2023_010.azn_202310_backup_text_mml_mmllb_item.num_value_normal IS '検査値（数値）_基準値';</v>
      </c>
    </row>
    <row r="37" spans="1:52" s="25" customFormat="1" ht="75">
      <c r="A37" s="4"/>
      <c r="B37" s="21">
        <f t="shared" si="2"/>
        <v>25</v>
      </c>
      <c r="C37" s="6" t="s">
        <v>3910</v>
      </c>
      <c r="D37" s="6" t="s">
        <v>3911</v>
      </c>
      <c r="E37" s="8"/>
      <c r="F37" s="7" t="s">
        <v>3277</v>
      </c>
      <c r="G37" s="7" t="str">
        <f t="shared" si="7"/>
        <v>text</v>
      </c>
      <c r="H37" s="26"/>
      <c r="I37" s="10"/>
      <c r="J37" s="11" t="s">
        <v>3915</v>
      </c>
      <c r="M37" s="4"/>
      <c r="N37" s="76"/>
      <c r="O37" s="76"/>
      <c r="P37" s="76" t="str">
        <f t="shared" si="8"/>
        <v>,num_value_out</v>
      </c>
      <c r="Q37" s="76" t="str">
        <f t="shared" si="9"/>
        <v>TEXT</v>
      </c>
      <c r="R37" s="76" t="str">
        <f t="shared" si="10"/>
        <v/>
      </c>
      <c r="S37" s="76" t="str">
        <f t="shared" si="11"/>
        <v/>
      </c>
      <c r="T37" s="76" t="str">
        <f t="shared" si="12"/>
        <v>-- 検査値（数値）_異常値フラグ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milscm_2023_010.azn_202310_backup_text_mml_mmllb_item.num_value_out IS '検査値（数値）_異常値フラグ';</v>
      </c>
    </row>
    <row r="38" spans="1:52" s="25" customFormat="1">
      <c r="A38" s="4"/>
      <c r="B38" s="21">
        <f t="shared" si="2"/>
        <v>26</v>
      </c>
      <c r="C38" s="6" t="s">
        <v>1649</v>
      </c>
      <c r="D38" s="6" t="s">
        <v>275</v>
      </c>
      <c r="E38" s="8"/>
      <c r="F38" s="7" t="s">
        <v>3277</v>
      </c>
      <c r="G38" s="7" t="str">
        <f t="shared" si="7"/>
        <v>text</v>
      </c>
      <c r="H38" s="26"/>
      <c r="I38" s="10"/>
      <c r="J38" s="11"/>
      <c r="M38" s="4"/>
      <c r="N38" s="76"/>
      <c r="O38" s="76"/>
      <c r="P38" s="76" t="str">
        <f t="shared" si="8"/>
        <v>,unit</v>
      </c>
      <c r="Q38" s="76" t="str">
        <f t="shared" si="9"/>
        <v>TEXT</v>
      </c>
      <c r="R38" s="76" t="str">
        <f t="shared" si="10"/>
        <v/>
      </c>
      <c r="S38" s="76" t="str">
        <f t="shared" si="11"/>
        <v/>
      </c>
      <c r="T38" s="76" t="str">
        <f t="shared" si="12"/>
        <v>-- 単位</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milscm_2023_010.azn_202310_backup_text_mml_mmllb_item.unit IS '単位';</v>
      </c>
    </row>
    <row r="39" spans="1:52" s="25" customFormat="1">
      <c r="A39" s="4"/>
      <c r="B39" s="21">
        <f t="shared" si="2"/>
        <v>27</v>
      </c>
      <c r="C39" s="6" t="s">
        <v>1650</v>
      </c>
      <c r="D39" s="6" t="s">
        <v>3912</v>
      </c>
      <c r="E39" s="8"/>
      <c r="F39" s="7" t="s">
        <v>3277</v>
      </c>
      <c r="G39" s="7" t="str">
        <f t="shared" si="7"/>
        <v>text</v>
      </c>
      <c r="H39" s="26"/>
      <c r="I39" s="10"/>
      <c r="J39" s="11"/>
      <c r="M39" s="4"/>
      <c r="N39" s="76"/>
      <c r="O39" s="76"/>
      <c r="P39" s="76" t="str">
        <f t="shared" si="8"/>
        <v>,u_code</v>
      </c>
      <c r="Q39" s="76" t="str">
        <f t="shared" si="9"/>
        <v>TEXT</v>
      </c>
      <c r="R39" s="76" t="str">
        <f t="shared" si="10"/>
        <v/>
      </c>
      <c r="S39" s="76" t="str">
        <f t="shared" si="11"/>
        <v/>
      </c>
      <c r="T39" s="76" t="str">
        <f t="shared" si="12"/>
        <v>-- 単位コード</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milscm_2023_010.azn_202310_backup_text_mml_mmllb_item.u_code IS '単位コード';</v>
      </c>
    </row>
    <row r="40" spans="1:52" s="25" customFormat="1">
      <c r="A40" s="4"/>
      <c r="B40" s="21">
        <f t="shared" si="2"/>
        <v>28</v>
      </c>
      <c r="C40" s="6" t="s">
        <v>1652</v>
      </c>
      <c r="D40" s="6" t="s">
        <v>3913</v>
      </c>
      <c r="E40" s="8"/>
      <c r="F40" s="7" t="s">
        <v>3277</v>
      </c>
      <c r="G40" s="7" t="str">
        <f t="shared" si="3"/>
        <v>text</v>
      </c>
      <c r="H40" s="26"/>
      <c r="I40" s="10"/>
      <c r="J40" s="11"/>
      <c r="M40" s="4"/>
      <c r="N40" s="76"/>
      <c r="O40" s="76"/>
      <c r="P40" s="76" t="str">
        <f t="shared" si="4"/>
        <v>,u_code_id</v>
      </c>
      <c r="Q40" s="76" t="str">
        <f t="shared" si="0"/>
        <v>TEXT</v>
      </c>
      <c r="R40" s="76" t="str">
        <f t="shared" si="1"/>
        <v/>
      </c>
      <c r="S40" s="76" t="str">
        <f t="shared" si="5"/>
        <v/>
      </c>
      <c r="T40" s="76" t="str">
        <f t="shared" si="6"/>
        <v>-- 単位コードID</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milscm_2023_010.azn_202310_backup_text_mml_mmllb_item.u_code_id IS '単位コードID';</v>
      </c>
    </row>
    <row r="41" spans="1:52" s="25" customFormat="1" ht="19.5" thickBot="1">
      <c r="A41" s="4"/>
      <c r="B41" s="27">
        <f>ROW()-12</f>
        <v>29</v>
      </c>
      <c r="C41" s="57" t="s">
        <v>1654</v>
      </c>
      <c r="D41" s="57" t="s">
        <v>3914</v>
      </c>
      <c r="E41" s="56"/>
      <c r="F41" s="56" t="s">
        <v>3277</v>
      </c>
      <c r="G41" s="56" t="str">
        <f t="shared" si="3"/>
        <v>text</v>
      </c>
      <c r="H41" s="59"/>
      <c r="I41" s="60"/>
      <c r="J41" s="63"/>
      <c r="N41" s="76"/>
      <c r="O41" s="76"/>
      <c r="P41" s="76" t="str">
        <f t="shared" si="4"/>
        <v>,item_memo_f</v>
      </c>
      <c r="Q41" s="76" t="str">
        <f t="shared" si="0"/>
        <v>TEXT</v>
      </c>
      <c r="R41" s="76" t="str">
        <f t="shared" si="1"/>
        <v/>
      </c>
      <c r="S41" s="76" t="str">
        <f t="shared" si="5"/>
        <v/>
      </c>
      <c r="T41" s="76" t="str">
        <f t="shared" si="6"/>
        <v>-- 項目フリーコメント</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milscm_2023_010.azn_202310_backup_text_mml_mmllb_item.item_memo_f IS '項目フリーコメント';</v>
      </c>
    </row>
    <row r="42" spans="1:52">
      <c r="L42" s="25"/>
      <c r="M42" s="25"/>
      <c r="N42" s="76" t="s">
        <v>142</v>
      </c>
      <c r="O42" s="76"/>
      <c r="P42" s="76"/>
      <c r="Q42" s="76"/>
      <c r="R42" s="76"/>
      <c r="S42" s="76"/>
      <c r="T42" s="76"/>
      <c r="V42" s="25"/>
      <c r="W42" s="25"/>
      <c r="X42" s="25"/>
      <c r="Y42" s="25"/>
      <c r="Z42" s="25"/>
      <c r="AJ42" s="76" t="s">
        <v>142</v>
      </c>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M45" s="25"/>
    </row>
    <row r="46" spans="1: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ENT_01_A6-23</v>
      </c>
      <c r="E6" s="272"/>
      <c r="F6" s="272"/>
      <c r="G6" s="272"/>
      <c r="H6" s="272"/>
      <c r="I6" s="272"/>
      <c r="J6" s="273"/>
    </row>
    <row r="7" spans="1:45">
      <c r="B7" s="261" t="s">
        <v>115</v>
      </c>
      <c r="C7" s="262"/>
      <c r="D7" s="263" t="s">
        <v>3810</v>
      </c>
      <c r="E7" s="264"/>
      <c r="F7" s="264"/>
      <c r="G7" s="264"/>
      <c r="H7" s="264"/>
      <c r="I7" s="264"/>
      <c r="J7" s="265"/>
    </row>
    <row r="8" spans="1:45">
      <c r="B8" s="261" t="s">
        <v>116</v>
      </c>
      <c r="C8" s="262"/>
      <c r="D8" s="263" t="str">
        <f>エンティティ一覧!AE2&amp;"_"&amp;D5&amp;"_text_mml_mmllb_item_memo"</f>
        <v>azn_202310_backup_text_mml_mmllb_item_memo</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MML_検歴情報モジュール_検査項目コメントテーブルから組入れ条件の第一条件で絞り込んだ結果を格納するテーブル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milscm_2023_010.azn_202310_backup_text_mml_mmllb_item_memo;</v>
      </c>
      <c r="O10" s="76"/>
      <c r="P10" s="76"/>
      <c r="Q10" s="76"/>
      <c r="R10" s="76"/>
      <c r="S10" s="76"/>
      <c r="T10" s="76"/>
      <c r="AJ10" s="76" t="str">
        <f>"ALTER TABLE ONLY "&amp;エンティティ一覧!$O$2&amp;"."&amp;D$8</f>
        <v>ALTER TABLE ONLY milscm_2023_010.azn_202310_backup_text_mml_mmllb_item_memo</v>
      </c>
      <c r="AS10" s="76" t="str">
        <f>"ALTER TABLE "&amp;エンティティ一覧!$O$2&amp;"."&amp;D$8&amp;" OWNER TO pgmisgrp1;"</f>
        <v>ALTER TABLE milscm_2023_010.azn_202310_backup_text_mml_mmllb_item_memo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milscm_2023_010.azn_202310_backup_text_mml_mmllb_item_memo</v>
      </c>
      <c r="O11" s="76"/>
      <c r="P11" s="76"/>
      <c r="Q11" s="76"/>
      <c r="R11" s="76"/>
      <c r="S11" s="76"/>
      <c r="T11" s="76"/>
      <c r="AJ11" s="76" t="str">
        <f>"ADD CONSTRAINT "&amp;D$8&amp;"_pkey PRIMARY KEY"</f>
        <v>ADD CONSTRAINT azn_202310_backup_text_mml_mmllb_item_memo_pkey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milscm_2023_010.azn_202310_backup_text_mml_mmllb_item_memo IS 'バックアップ_MML_検歴情報モジュール_検査項目コメント';</v>
      </c>
    </row>
    <row r="13" spans="1:45" s="25" customFormat="1">
      <c r="A13" s="4"/>
      <c r="B13" s="21">
        <f>ROW()-12</f>
        <v>1</v>
      </c>
      <c r="C13" s="6" t="s">
        <v>2778</v>
      </c>
      <c r="D13" s="6" t="s">
        <v>2779</v>
      </c>
      <c r="E13" s="8" t="s">
        <v>127</v>
      </c>
      <c r="F13" s="8" t="s">
        <v>3275</v>
      </c>
      <c r="G13" s="7" t="str">
        <f>IF(F13="フラグ","boolean",IF(F13="文字列","text",IF(F13="整数","integer",IF(F13="実数","numeric",""))))</f>
        <v>integer</v>
      </c>
      <c r="H13" s="9"/>
      <c r="I13" s="10" t="s">
        <v>127</v>
      </c>
      <c r="J13" s="11"/>
      <c r="M13" s="4"/>
      <c r="N13" s="76"/>
      <c r="O13" s="76"/>
      <c r="P13" s="76" t="str">
        <f>IF(B13&lt;&gt;1,","&amp;D13,D13)</f>
        <v>zip_no</v>
      </c>
      <c r="Q13" s="76" t="str">
        <f t="shared" ref="Q13:Q24" si="0">UPPER(G13)</f>
        <v>INTEGER</v>
      </c>
      <c r="R13" s="76" t="str">
        <f t="shared" ref="R13:R24"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milscm_2023_010.azn_202310_backup_text_mml_mmllb_item_memo.zip_no IS 'ZipファイルNo';</v>
      </c>
    </row>
    <row r="14" spans="1:45" s="25" customFormat="1">
      <c r="A14" s="4"/>
      <c r="B14" s="21">
        <f t="shared" ref="B14:B23" si="2">ROW()-12</f>
        <v>2</v>
      </c>
      <c r="C14" s="6" t="s">
        <v>2781</v>
      </c>
      <c r="D14" s="6" t="s">
        <v>2782</v>
      </c>
      <c r="E14" s="8" t="s">
        <v>127</v>
      </c>
      <c r="F14" s="7" t="s">
        <v>3275</v>
      </c>
      <c r="G14" s="7" t="str">
        <f t="shared" ref="G14:G24" si="3">IF(F14="フラグ","boolean",IF(F14="文字列","text",IF(F14="整数","integer",IF(F14="実数","numeric",""))))</f>
        <v>integer</v>
      </c>
      <c r="H14" s="26"/>
      <c r="I14" s="10" t="s">
        <v>127</v>
      </c>
      <c r="J14" s="11"/>
      <c r="M14" s="4"/>
      <c r="N14" s="76"/>
      <c r="O14" s="76"/>
      <c r="P14" s="76" t="str">
        <f t="shared" ref="P14:P24" si="4">IF(B14&lt;&gt;1,","&amp;D14,D14)</f>
        <v>,file_no</v>
      </c>
      <c r="Q14" s="76" t="str">
        <f t="shared" si="0"/>
        <v>INTEGER</v>
      </c>
      <c r="R14" s="76" t="str">
        <f t="shared" si="1"/>
        <v/>
      </c>
      <c r="S14" s="76" t="str">
        <f t="shared" ref="S14:S24" si="5">IF(I14="○","NOT NULL","")</f>
        <v>NOT NULL</v>
      </c>
      <c r="T14" s="76" t="str">
        <f t="shared" ref="T14:T24"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milscm_2023_010.azn_202310_backup_text_mml_mmllb_item_memo.file_no IS 'ファイルNo';</v>
      </c>
    </row>
    <row r="15" spans="1:45" s="25" customFormat="1">
      <c r="A15" s="4"/>
      <c r="B15" s="21">
        <f t="shared" si="2"/>
        <v>3</v>
      </c>
      <c r="C15" s="6" t="s">
        <v>3259</v>
      </c>
      <c r="D15" s="6" t="s">
        <v>2784</v>
      </c>
      <c r="E15" s="8" t="s">
        <v>127</v>
      </c>
      <c r="F15" s="7" t="s">
        <v>3275</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milscm_2023_010.azn_202310_backup_text_mml_mmllb_item_memo.body_no IS '本文No';</v>
      </c>
    </row>
    <row r="16" spans="1:45" s="25" customFormat="1">
      <c r="A16" s="4"/>
      <c r="B16" s="21">
        <f t="shared" si="2"/>
        <v>4</v>
      </c>
      <c r="C16" s="6" t="s">
        <v>3276</v>
      </c>
      <c r="D16" s="6" t="s">
        <v>2401</v>
      </c>
      <c r="E16" s="8"/>
      <c r="F16" s="7" t="s">
        <v>3277</v>
      </c>
      <c r="G16" s="7" t="str">
        <f t="shared" si="3"/>
        <v>text</v>
      </c>
      <c r="H16" s="26"/>
      <c r="I16" s="10" t="s">
        <v>127</v>
      </c>
      <c r="J16" s="11" t="s">
        <v>3271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milscm_2023_010.azn_202310_backup_text_mml_mmllb_item_memo.facility_id_mml IS '施設ID（MML）';</v>
      </c>
    </row>
    <row r="17" spans="1:52" s="25" customFormat="1">
      <c r="A17" s="4"/>
      <c r="B17" s="21">
        <f t="shared" si="2"/>
        <v>5</v>
      </c>
      <c r="C17" s="6" t="s">
        <v>2786</v>
      </c>
      <c r="D17" s="6" t="s">
        <v>1244</v>
      </c>
      <c r="E17" s="8"/>
      <c r="F17" s="7" t="s">
        <v>3277</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milscm_2023_010.azn_202310_backup_text_mml_mmllb_item_memo.master_id IS '患者ID';</v>
      </c>
    </row>
    <row r="18" spans="1:52" s="25" customFormat="1">
      <c r="A18" s="4"/>
      <c r="B18" s="21">
        <f t="shared" si="2"/>
        <v>6</v>
      </c>
      <c r="C18" s="6" t="s">
        <v>3863</v>
      </c>
      <c r="D18" s="6" t="s">
        <v>3864</v>
      </c>
      <c r="E18" s="8" t="s">
        <v>127</v>
      </c>
      <c r="F18" s="7" t="s">
        <v>3275</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milscm_2023_010.azn_202310_backup_text_mml_mmllb_item_memo.labo_test_no IS '検体検査結果情報No';</v>
      </c>
    </row>
    <row r="19" spans="1:52" s="25" customFormat="1">
      <c r="A19" s="4"/>
      <c r="B19" s="21">
        <f t="shared" si="2"/>
        <v>7</v>
      </c>
      <c r="C19" s="6" t="s">
        <v>3877</v>
      </c>
      <c r="D19" s="6" t="s">
        <v>3878</v>
      </c>
      <c r="E19" s="8" t="s">
        <v>127</v>
      </c>
      <c r="F19" s="7" t="s">
        <v>3275</v>
      </c>
      <c r="G19" s="7" t="str">
        <f t="shared" si="3"/>
        <v>integer</v>
      </c>
      <c r="H19" s="26"/>
      <c r="I19" s="10" t="s">
        <v>127</v>
      </c>
      <c r="J19" s="11"/>
      <c r="M19" s="4"/>
      <c r="N19" s="76"/>
      <c r="O19" s="76"/>
      <c r="P19" s="76" t="str">
        <f t="shared" si="4"/>
        <v>,item_no</v>
      </c>
      <c r="Q19" s="76" t="str">
        <f t="shared" si="0"/>
        <v>INTEGER</v>
      </c>
      <c r="R19" s="76" t="str">
        <f t="shared" si="1"/>
        <v/>
      </c>
      <c r="S19" s="76" t="str">
        <f t="shared" si="5"/>
        <v>NOT NULL</v>
      </c>
      <c r="T19" s="76" t="str">
        <f t="shared" si="6"/>
        <v>-- 項目No</v>
      </c>
      <c r="U19" s="4"/>
      <c r="AA19" s="4"/>
      <c r="AB19" s="4"/>
      <c r="AC19" s="4"/>
      <c r="AD19" s="4"/>
      <c r="AE19" s="4"/>
      <c r="AF19" s="4"/>
      <c r="AG19" s="4"/>
      <c r="AH19" s="4"/>
      <c r="AI19" s="4"/>
      <c r="AJ19" s="76" t="str">
        <f>IF(E19="○",IF(COUNTA(E$13:E19)=1,"",",")&amp;D19,"")</f>
        <v>,item_no</v>
      </c>
      <c r="AK19" s="4"/>
      <c r="AL19" s="4"/>
      <c r="AM19" s="4"/>
      <c r="AN19" s="4"/>
      <c r="AO19" s="4"/>
      <c r="AP19" s="4"/>
      <c r="AQ19" s="4"/>
      <c r="AR19" s="4"/>
      <c r="AS19" s="76" t="str">
        <f>"COMMENT ON COLUMN "&amp;エンティティ一覧!$O$2&amp;"."&amp;D$8&amp;"."&amp;D19&amp;" IS '"&amp;C19&amp;"';"</f>
        <v>COMMENT ON COLUMN milscm_2023_010.azn_202310_backup_text_mml_mmllb_item_memo.item_no IS '項目No';</v>
      </c>
    </row>
    <row r="20" spans="1:52" s="25" customFormat="1">
      <c r="A20" s="4"/>
      <c r="B20" s="21">
        <f t="shared" si="2"/>
        <v>8</v>
      </c>
      <c r="C20" s="6" t="s">
        <v>3916</v>
      </c>
      <c r="D20" s="6" t="s">
        <v>3917</v>
      </c>
      <c r="E20" s="8" t="s">
        <v>127</v>
      </c>
      <c r="F20" s="7" t="s">
        <v>3275</v>
      </c>
      <c r="G20" s="7" t="str">
        <f t="shared" si="3"/>
        <v>integer</v>
      </c>
      <c r="H20" s="26"/>
      <c r="I20" s="10" t="s">
        <v>127</v>
      </c>
      <c r="J20" s="11"/>
      <c r="M20" s="4"/>
      <c r="N20" s="76"/>
      <c r="O20" s="76"/>
      <c r="P20" s="76" t="str">
        <f t="shared" si="4"/>
        <v>,item_memo_no</v>
      </c>
      <c r="Q20" s="76" t="str">
        <f t="shared" si="0"/>
        <v>INTEGER</v>
      </c>
      <c r="R20" s="76" t="str">
        <f t="shared" si="1"/>
        <v/>
      </c>
      <c r="S20" s="76" t="str">
        <f t="shared" si="5"/>
        <v>NOT NULL</v>
      </c>
      <c r="T20" s="76" t="str">
        <f t="shared" si="6"/>
        <v>-- 項目コメントNo</v>
      </c>
      <c r="U20" s="4"/>
      <c r="AA20" s="4"/>
      <c r="AB20" s="4"/>
      <c r="AC20" s="4"/>
      <c r="AD20" s="4"/>
      <c r="AE20" s="4"/>
      <c r="AF20" s="4"/>
      <c r="AG20" s="4"/>
      <c r="AH20" s="4"/>
      <c r="AI20" s="4"/>
      <c r="AJ20" s="76" t="str">
        <f>IF(E20="○",IF(COUNTA(E$13:E20)=1,"",",")&amp;D20,"")</f>
        <v>,item_memo_no</v>
      </c>
      <c r="AK20" s="4"/>
      <c r="AL20" s="4"/>
      <c r="AM20" s="4"/>
      <c r="AN20" s="4"/>
      <c r="AO20" s="4"/>
      <c r="AP20" s="4"/>
      <c r="AQ20" s="4"/>
      <c r="AR20" s="4"/>
      <c r="AS20" s="76" t="str">
        <f>"COMMENT ON COLUMN "&amp;エンティティ一覧!$O$2&amp;"."&amp;D$8&amp;"."&amp;D20&amp;" IS '"&amp;C20&amp;"';"</f>
        <v>COMMENT ON COLUMN milscm_2023_010.azn_202310_backup_text_mml_mmllb_item_memo.item_memo_no IS '項目コメントNo';</v>
      </c>
    </row>
    <row r="21" spans="1:52" s="25" customFormat="1">
      <c r="A21" s="4"/>
      <c r="B21" s="21">
        <f t="shared" si="2"/>
        <v>9</v>
      </c>
      <c r="C21" s="6" t="s">
        <v>3918</v>
      </c>
      <c r="D21" s="6" t="s">
        <v>3919</v>
      </c>
      <c r="E21" s="8"/>
      <c r="F21" s="7" t="s">
        <v>3277</v>
      </c>
      <c r="G21" s="7" t="str">
        <f t="shared" si="3"/>
        <v>text</v>
      </c>
      <c r="H21" s="26"/>
      <c r="I21" s="10"/>
      <c r="J21" s="11"/>
      <c r="M21" s="4"/>
      <c r="N21" s="76"/>
      <c r="O21" s="76"/>
      <c r="P21" s="76" t="str">
        <f t="shared" si="4"/>
        <v>,item_memo</v>
      </c>
      <c r="Q21" s="76" t="str">
        <f t="shared" si="0"/>
        <v>TEXT</v>
      </c>
      <c r="R21" s="76" t="str">
        <f t="shared" si="1"/>
        <v/>
      </c>
      <c r="S21" s="76" t="str">
        <f t="shared" si="5"/>
        <v/>
      </c>
      <c r="T21" s="76" t="str">
        <f t="shared" si="6"/>
        <v>-- 項目コメント</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milscm_2023_010.azn_202310_backup_text_mml_mmllb_item_memo.item_memo IS '項目コメント';</v>
      </c>
    </row>
    <row r="22" spans="1:52" s="25" customFormat="1">
      <c r="A22" s="4"/>
      <c r="B22" s="21">
        <f t="shared" si="2"/>
        <v>10</v>
      </c>
      <c r="C22" s="6" t="s">
        <v>3920</v>
      </c>
      <c r="D22" s="6" t="s">
        <v>3921</v>
      </c>
      <c r="E22" s="8"/>
      <c r="F22" s="7" t="s">
        <v>3277</v>
      </c>
      <c r="G22" s="7" t="str">
        <f t="shared" si="3"/>
        <v>text</v>
      </c>
      <c r="H22" s="26"/>
      <c r="I22" s="10"/>
      <c r="J22" s="11"/>
      <c r="M22" s="4"/>
      <c r="N22" s="76"/>
      <c r="O22" s="76"/>
      <c r="P22" s="76" t="str">
        <f t="shared" si="4"/>
        <v>,im_code_name</v>
      </c>
      <c r="Q22" s="76" t="str">
        <f t="shared" si="0"/>
        <v>TEXT</v>
      </c>
      <c r="R22" s="76" t="str">
        <f t="shared" si="1"/>
        <v/>
      </c>
      <c r="S22" s="76" t="str">
        <f t="shared" si="5"/>
        <v/>
      </c>
      <c r="T22" s="76" t="str">
        <f t="shared" si="6"/>
        <v>-- 項目コメントコード名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milscm_2023_010.azn_202310_backup_text_mml_mmllb_item_memo.im_code_name IS '項目コメントコード名';</v>
      </c>
    </row>
    <row r="23" spans="1:52" s="25" customFormat="1">
      <c r="A23" s="4"/>
      <c r="B23" s="21">
        <f t="shared" si="2"/>
        <v>11</v>
      </c>
      <c r="C23" s="6" t="s">
        <v>3922</v>
      </c>
      <c r="D23" s="6" t="s">
        <v>3923</v>
      </c>
      <c r="E23" s="8"/>
      <c r="F23" s="7" t="s">
        <v>3277</v>
      </c>
      <c r="G23" s="7" t="str">
        <f t="shared" si="3"/>
        <v>text</v>
      </c>
      <c r="H23" s="26"/>
      <c r="I23" s="10"/>
      <c r="J23" s="11"/>
      <c r="M23" s="4"/>
      <c r="N23" s="76"/>
      <c r="O23" s="76"/>
      <c r="P23" s="76" t="str">
        <f t="shared" si="4"/>
        <v>,im_code</v>
      </c>
      <c r="Q23" s="76" t="str">
        <f t="shared" si="0"/>
        <v>TEXT</v>
      </c>
      <c r="R23" s="76" t="str">
        <f t="shared" si="1"/>
        <v/>
      </c>
      <c r="S23" s="76" t="str">
        <f t="shared" si="5"/>
        <v/>
      </c>
      <c r="T23" s="76" t="str">
        <f t="shared" si="6"/>
        <v>-- 項目コメントコード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milscm_2023_010.azn_202310_backup_text_mml_mmllb_item_memo.im_code IS '項目コメントコード';</v>
      </c>
    </row>
    <row r="24" spans="1:52" s="25" customFormat="1" ht="19.5" thickBot="1">
      <c r="A24" s="4"/>
      <c r="B24" s="27">
        <f>ROW()-12</f>
        <v>12</v>
      </c>
      <c r="C24" s="57" t="s">
        <v>3924</v>
      </c>
      <c r="D24" s="57" t="s">
        <v>3925</v>
      </c>
      <c r="E24" s="56"/>
      <c r="F24" s="56" t="s">
        <v>3277</v>
      </c>
      <c r="G24" s="56" t="str">
        <f t="shared" si="3"/>
        <v>text</v>
      </c>
      <c r="H24" s="59"/>
      <c r="I24" s="60"/>
      <c r="J24" s="63"/>
      <c r="N24" s="76"/>
      <c r="O24" s="76"/>
      <c r="P24" s="76" t="str">
        <f t="shared" si="4"/>
        <v>,im_code_id</v>
      </c>
      <c r="Q24" s="76" t="str">
        <f t="shared" si="0"/>
        <v>TEXT</v>
      </c>
      <c r="R24" s="76" t="str">
        <f t="shared" si="1"/>
        <v/>
      </c>
      <c r="S24" s="76" t="str">
        <f t="shared" si="5"/>
        <v/>
      </c>
      <c r="T24" s="76" t="str">
        <f t="shared" si="6"/>
        <v>-- 項目コメントコードID</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milscm_2023_010.azn_202310_backup_text_mml_mmllb_item_memo.im_code_id IS '項目コメントコードID';</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ENT_01_A6-24</v>
      </c>
      <c r="E6" s="272"/>
      <c r="F6" s="272"/>
      <c r="G6" s="272"/>
      <c r="H6" s="272"/>
      <c r="I6" s="272"/>
      <c r="J6" s="273"/>
    </row>
    <row r="7" spans="1:45">
      <c r="B7" s="261" t="s">
        <v>115</v>
      </c>
      <c r="C7" s="262"/>
      <c r="D7" s="263" t="s">
        <v>2809</v>
      </c>
      <c r="E7" s="264"/>
      <c r="F7" s="264"/>
      <c r="G7" s="264"/>
      <c r="H7" s="264"/>
      <c r="I7" s="264"/>
      <c r="J7" s="265"/>
    </row>
    <row r="8" spans="1:45">
      <c r="B8" s="261" t="s">
        <v>116</v>
      </c>
      <c r="C8" s="262"/>
      <c r="D8" s="263" t="str">
        <f>エンティティ一覧!AE2&amp;"_"&amp;D5&amp;"_text_mml_mmlps_body"</f>
        <v>azn_202310_backup_text_mml_mmlps_body</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MML_処方箋モジュール_本文テーブルから組入れ条件の第一条件で絞り込んだ結果を格納するテーブル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milscm_2023_010.azn_202310_backup_text_mml_mmlps_body;</v>
      </c>
      <c r="O10" s="76"/>
      <c r="P10" s="76"/>
      <c r="Q10" s="76"/>
      <c r="R10" s="76"/>
      <c r="S10" s="76"/>
      <c r="T10" s="76"/>
      <c r="AJ10" s="76" t="str">
        <f>"ALTER TABLE ONLY "&amp;エンティティ一覧!$O$2&amp;"."&amp;D$8</f>
        <v>ALTER TABLE ONLY milscm_2023_010.azn_202310_backup_text_mml_mmlps_body</v>
      </c>
      <c r="AS10" s="76" t="str">
        <f>"ALTER TABLE "&amp;エンティティ一覧!$O$2&amp;"."&amp;D$8&amp;" OWNER TO pgmisgrp1;"</f>
        <v>ALTER TABLE milscm_2023_010.azn_202310_backup_text_mml_mmlps_body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milscm_2023_010.azn_202310_backup_text_mml_mmlps_body</v>
      </c>
      <c r="O11" s="76"/>
      <c r="P11" s="76"/>
      <c r="Q11" s="76"/>
      <c r="R11" s="76"/>
      <c r="S11" s="76"/>
      <c r="T11" s="76"/>
      <c r="AJ11" s="76" t="str">
        <f>"ADD CONSTRAINT "&amp;D$8&amp;"_pkey PRIMARY KEY"</f>
        <v>ADD CONSTRAINT azn_202310_backup_text_mml_mmlps_body_pkey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milscm_2023_010.azn_202310_backup_text_mml_mmlps_body IS 'バックアップ_MML_処方箋モジュール_本文';</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0" si="0">UPPER(G13)</f>
        <v>INTEGER</v>
      </c>
      <c r="R13" s="76" t="str">
        <f t="shared" ref="R13:R20"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milscm_2023_010.azn_202310_backup_text_mml_mmlps_body.zip_no IS 'ZipファイルNo';</v>
      </c>
    </row>
    <row r="14" spans="1:45" s="25" customFormat="1">
      <c r="A14" s="4"/>
      <c r="B14" s="21">
        <f t="shared" ref="B14:B19" si="2">ROW()-12</f>
        <v>2</v>
      </c>
      <c r="C14" s="6" t="s">
        <v>2781</v>
      </c>
      <c r="D14" s="6" t="s">
        <v>2782</v>
      </c>
      <c r="E14" s="8" t="s">
        <v>127</v>
      </c>
      <c r="F14" s="7" t="s">
        <v>2780</v>
      </c>
      <c r="G14" s="7" t="str">
        <f t="shared" ref="G14:G20" si="3">IF(F14="フラグ","boolean",IF(F14="文字列","text",IF(F14="整数","integer",IF(F14="実数","numeric",""))))</f>
        <v>integer</v>
      </c>
      <c r="H14" s="26"/>
      <c r="I14" s="10" t="s">
        <v>127</v>
      </c>
      <c r="J14" s="11"/>
      <c r="M14" s="4"/>
      <c r="N14" s="76"/>
      <c r="O14" s="76"/>
      <c r="P14" s="76" t="str">
        <f t="shared" ref="P14:P20" si="4">IF(B14&lt;&gt;1,","&amp;D14,D14)</f>
        <v>,file_no</v>
      </c>
      <c r="Q14" s="76" t="str">
        <f t="shared" si="0"/>
        <v>INTEGER</v>
      </c>
      <c r="R14" s="76" t="str">
        <f t="shared" si="1"/>
        <v/>
      </c>
      <c r="S14" s="76" t="str">
        <f t="shared" ref="S14:S20" si="5">IF(I14="○","NOT NULL","")</f>
        <v>NOT NULL</v>
      </c>
      <c r="T14" s="76" t="str">
        <f t="shared" ref="T14:T20"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milscm_2023_010.azn_202310_backup_text_mml_mmlps_body.file_no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milscm_2023_010.azn_202310_backup_text_mml_mmlps_body.body_no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milscm_2023_010.azn_202310_backup_text_mml_mmlps_body.facility_id_mml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milscm_2023_010.azn_202310_backup_text_mml_mmlps_body.master_id IS '患者ID';</v>
      </c>
    </row>
    <row r="18" spans="1:52" s="25" customFormat="1" ht="37.5">
      <c r="A18" s="4"/>
      <c r="B18" s="21">
        <f t="shared" si="2"/>
        <v>6</v>
      </c>
      <c r="C18" s="6" t="s">
        <v>2810</v>
      </c>
      <c r="D18" s="6" t="s">
        <v>2811</v>
      </c>
      <c r="E18" s="8"/>
      <c r="F18" s="7" t="s">
        <v>1819</v>
      </c>
      <c r="G18" s="7" t="str">
        <f t="shared" si="3"/>
        <v>text</v>
      </c>
      <c r="H18" s="26"/>
      <c r="I18" s="10"/>
      <c r="J18" s="11" t="s">
        <v>2816</v>
      </c>
      <c r="M18" s="4"/>
      <c r="N18" s="76"/>
      <c r="O18" s="76"/>
      <c r="P18" s="76" t="str">
        <f t="shared" si="4"/>
        <v>,issued_to</v>
      </c>
      <c r="Q18" s="76" t="str">
        <f t="shared" si="0"/>
        <v>TEXT</v>
      </c>
      <c r="R18" s="76" t="str">
        <f t="shared" si="1"/>
        <v/>
      </c>
      <c r="S18" s="76" t="str">
        <f t="shared" si="5"/>
        <v/>
      </c>
      <c r="T18" s="76" t="str">
        <f t="shared" si="6"/>
        <v>-- 院外、院内処方箋の別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milscm_2023_010.azn_202310_backup_text_mml_mmlps_body.issued_to IS '院外、院内処方箋の別';</v>
      </c>
    </row>
    <row r="19" spans="1:52" s="25" customFormat="1" ht="31.5">
      <c r="A19" s="4"/>
      <c r="B19" s="21">
        <f t="shared" si="2"/>
        <v>7</v>
      </c>
      <c r="C19" s="6" t="s">
        <v>2812</v>
      </c>
      <c r="D19" s="6" t="s">
        <v>2813</v>
      </c>
      <c r="E19" s="8"/>
      <c r="F19" s="7" t="s">
        <v>1819</v>
      </c>
      <c r="G19" s="7" t="str">
        <f t="shared" si="3"/>
        <v>text</v>
      </c>
      <c r="H19" s="26"/>
      <c r="I19" s="10"/>
      <c r="J19" s="11"/>
      <c r="M19" s="4"/>
      <c r="N19" s="76"/>
      <c r="O19" s="76"/>
      <c r="P19" s="76" t="str">
        <f t="shared" si="4"/>
        <v>,narcotic_prescription_license_no</v>
      </c>
      <c r="Q19" s="76" t="str">
        <f t="shared" si="0"/>
        <v>TEXT</v>
      </c>
      <c r="R19" s="76" t="str">
        <f t="shared" si="1"/>
        <v/>
      </c>
      <c r="S19" s="76" t="str">
        <f t="shared" si="5"/>
        <v/>
      </c>
      <c r="T19" s="76" t="str">
        <f t="shared" si="6"/>
        <v>-- 麻薬施用者番号</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milscm_2023_010.azn_202310_backup_text_mml_mmlps_body.narcotic_prescription_license_no IS '麻薬施用者番号';</v>
      </c>
    </row>
    <row r="20" spans="1:52" s="25" customFormat="1" ht="19.5" thickBot="1">
      <c r="A20" s="4"/>
      <c r="B20" s="27">
        <f>ROW()-12</f>
        <v>8</v>
      </c>
      <c r="C20" s="57" t="s">
        <v>2814</v>
      </c>
      <c r="D20" s="57" t="s">
        <v>2815</v>
      </c>
      <c r="E20" s="56"/>
      <c r="F20" s="56" t="s">
        <v>1819</v>
      </c>
      <c r="G20" s="56" t="str">
        <f t="shared" si="3"/>
        <v>text</v>
      </c>
      <c r="H20" s="59"/>
      <c r="I20" s="60"/>
      <c r="J20" s="63"/>
      <c r="N20" s="76"/>
      <c r="O20" s="76"/>
      <c r="P20" s="76" t="str">
        <f t="shared" si="4"/>
        <v>,comment</v>
      </c>
      <c r="Q20" s="76" t="str">
        <f t="shared" si="0"/>
        <v>TEXT</v>
      </c>
      <c r="R20" s="76" t="str">
        <f t="shared" si="1"/>
        <v/>
      </c>
      <c r="S20" s="76" t="str">
        <f t="shared" si="5"/>
        <v/>
      </c>
      <c r="T20" s="76" t="str">
        <f t="shared" si="6"/>
        <v>-- コメント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milscm_2023_010.azn_202310_backup_text_mml_mmlps_body.comment IS 'コメント';</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ENT_01_A6-25</v>
      </c>
      <c r="E6" s="272"/>
      <c r="F6" s="272"/>
      <c r="G6" s="272"/>
      <c r="H6" s="272"/>
      <c r="I6" s="272"/>
      <c r="J6" s="273"/>
    </row>
    <row r="7" spans="1:45">
      <c r="B7" s="261" t="s">
        <v>115</v>
      </c>
      <c r="C7" s="262"/>
      <c r="D7" s="263" t="s">
        <v>2817</v>
      </c>
      <c r="E7" s="264"/>
      <c r="F7" s="264"/>
      <c r="G7" s="264"/>
      <c r="H7" s="264"/>
      <c r="I7" s="264"/>
      <c r="J7" s="265"/>
    </row>
    <row r="8" spans="1:45">
      <c r="B8" s="261" t="s">
        <v>116</v>
      </c>
      <c r="C8" s="262"/>
      <c r="D8" s="263" t="str">
        <f>エンティティ一覧!AE2&amp;"_"&amp;D5&amp;"_text_mml_mmlps_medication"</f>
        <v>azn_202310_backup_text_mml_mmlps_medication</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MML_処方箋モジュール_投薬テーブルから組入れ条件の第一条件で絞り込んだ結果を格納するテーブル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milscm_2023_010.azn_202310_backup_text_mml_mmlps_medication;</v>
      </c>
      <c r="O10" s="76"/>
      <c r="P10" s="76"/>
      <c r="Q10" s="76"/>
      <c r="R10" s="76"/>
      <c r="S10" s="76"/>
      <c r="T10" s="76"/>
      <c r="AJ10" s="76" t="str">
        <f>"ALTER TABLE ONLY "&amp;エンティティ一覧!$O$2&amp;"."&amp;D$8</f>
        <v>ALTER TABLE ONLY milscm_2023_010.azn_202310_backup_text_mml_mmlps_medication</v>
      </c>
      <c r="AS10" s="76" t="str">
        <f>"ALTER TABLE "&amp;エンティティ一覧!$O$2&amp;"."&amp;D$8&amp;" OWNER TO pgmisgrp1;"</f>
        <v>ALTER TABLE milscm_2023_010.azn_202310_backup_text_mml_mmlps_medication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milscm_2023_010.azn_202310_backup_text_mml_mmlps_medication</v>
      </c>
      <c r="O11" s="76"/>
      <c r="P11" s="76"/>
      <c r="Q11" s="76"/>
      <c r="R11" s="76"/>
      <c r="S11" s="76"/>
      <c r="T11" s="76"/>
      <c r="AJ11" s="76" t="str">
        <f>"ADD CONSTRAINT "&amp;D$8&amp;"_pkey PRIMARY KEY"</f>
        <v>ADD CONSTRAINT azn_202310_backup_text_mml_mmlps_medication_pkey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milscm_2023_010.azn_202310_backup_text_mml_mmlps_medication IS 'バックアップ_MML_処方箋モジュール_投薬';</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33" si="0">UPPER(G13)</f>
        <v>INTEGER</v>
      </c>
      <c r="R13" s="76" t="str">
        <f t="shared" ref="R13:R3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milscm_2023_010.azn_202310_backup_text_mml_mmlps_medication.zip_no IS 'ZipファイルNo';</v>
      </c>
    </row>
    <row r="14" spans="1:45" s="25" customFormat="1">
      <c r="A14" s="4"/>
      <c r="B14" s="21">
        <f t="shared" ref="B14:B32" si="2">ROW()-12</f>
        <v>2</v>
      </c>
      <c r="C14" s="6" t="s">
        <v>2781</v>
      </c>
      <c r="D14" s="6" t="s">
        <v>2782</v>
      </c>
      <c r="E14" s="8" t="s">
        <v>127</v>
      </c>
      <c r="F14" s="7" t="s">
        <v>2780</v>
      </c>
      <c r="G14" s="7" t="str">
        <f t="shared" ref="G14:G33" si="3">IF(F14="フラグ","boolean",IF(F14="文字列","text",IF(F14="整数","integer",IF(F14="実数","numeric",""))))</f>
        <v>integer</v>
      </c>
      <c r="H14" s="26"/>
      <c r="I14" s="10" t="s">
        <v>127</v>
      </c>
      <c r="J14" s="11"/>
      <c r="M14" s="4"/>
      <c r="N14" s="76"/>
      <c r="O14" s="76"/>
      <c r="P14" s="76" t="str">
        <f t="shared" ref="P14:P33" si="4">IF(B14&lt;&gt;1,","&amp;D14,D14)</f>
        <v>,file_no</v>
      </c>
      <c r="Q14" s="76" t="str">
        <f t="shared" si="0"/>
        <v>INTEGER</v>
      </c>
      <c r="R14" s="76" t="str">
        <f t="shared" si="1"/>
        <v/>
      </c>
      <c r="S14" s="76" t="str">
        <f t="shared" ref="S14:S33" si="5">IF(I14="○","NOT NULL","")</f>
        <v>NOT NULL</v>
      </c>
      <c r="T14" s="76" t="str">
        <f t="shared" ref="T14:T3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milscm_2023_010.azn_202310_backup_text_mml_mmlps_medication.file_no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milscm_2023_010.azn_202310_backup_text_mml_mmlps_medication.body_no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milscm_2023_010.azn_202310_backup_text_mml_mmlps_medication.facility_id_mml IS '施設ID（MML）';</v>
      </c>
    </row>
    <row r="17" spans="1:45"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milscm_2023_010.azn_202310_backup_text_mml_mmlps_medication.master_id IS '患者ID';</v>
      </c>
    </row>
    <row r="18" spans="1:45" s="25" customFormat="1">
      <c r="A18" s="4"/>
      <c r="B18" s="21">
        <f t="shared" si="2"/>
        <v>6</v>
      </c>
      <c r="C18" s="6" t="s">
        <v>2818</v>
      </c>
      <c r="D18" s="6" t="s">
        <v>2819</v>
      </c>
      <c r="E18" s="8" t="s">
        <v>127</v>
      </c>
      <c r="F18" s="7" t="s">
        <v>2780</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milscm_2023_010.azn_202310_backup_text_mml_mmlps_medication.medication_no IS '投薬No';</v>
      </c>
    </row>
    <row r="19" spans="1:45" s="25" customFormat="1">
      <c r="A19" s="4"/>
      <c r="B19" s="21">
        <f t="shared" si="2"/>
        <v>7</v>
      </c>
      <c r="C19" s="6" t="s">
        <v>2820</v>
      </c>
      <c r="D19" s="6" t="s">
        <v>2821</v>
      </c>
      <c r="E19" s="8"/>
      <c r="F19" s="7" t="s">
        <v>1819</v>
      </c>
      <c r="G19" s="7" t="str">
        <f t="shared" ref="G19:G32" si="7">IF(F19="フラグ","boolean",IF(F19="文字列","text",IF(F19="整数","integer",IF(F19="実数","numeric",""))))</f>
        <v>text</v>
      </c>
      <c r="H19" s="26"/>
      <c r="I19" s="10"/>
      <c r="J19" s="11"/>
      <c r="M19" s="4"/>
      <c r="N19" s="76"/>
      <c r="O19" s="76"/>
      <c r="P19" s="76" t="str">
        <f t="shared" ref="P19:P32" si="8">IF(B19&lt;&gt;1,","&amp;D19,D19)</f>
        <v>,medicine_name</v>
      </c>
      <c r="Q19" s="76" t="str">
        <f t="shared" ref="Q19:Q32" si="9">UPPER(G19)</f>
        <v>TEXT</v>
      </c>
      <c r="R19" s="76" t="str">
        <f t="shared" ref="R19:R32" si="10">IF(H19&lt;&gt;"","default "&amp;IF(G19="text","'"&amp;H19&amp;"'",H19),"")</f>
        <v/>
      </c>
      <c r="S19" s="76" t="str">
        <f t="shared" ref="S19:S32" si="11">IF(I19="○","NOT NULL","")</f>
        <v/>
      </c>
      <c r="T19" s="76" t="str">
        <f t="shared" ref="T19:T32" si="12">"-- "&amp;C19</f>
        <v>-- 薬剤名称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milscm_2023_010.azn_202310_backup_text_mml_mmlps_medication.medicine_name IS '薬剤名称';</v>
      </c>
    </row>
    <row r="20" spans="1:45" s="25" customFormat="1">
      <c r="A20" s="4"/>
      <c r="B20" s="21">
        <f t="shared" si="2"/>
        <v>8</v>
      </c>
      <c r="C20" s="6" t="s">
        <v>2822</v>
      </c>
      <c r="D20" s="6" t="s">
        <v>2823</v>
      </c>
      <c r="E20" s="8"/>
      <c r="F20" s="7" t="s">
        <v>1819</v>
      </c>
      <c r="G20" s="7" t="str">
        <f t="shared" si="7"/>
        <v>text</v>
      </c>
      <c r="H20" s="26"/>
      <c r="I20" s="10"/>
      <c r="J20" s="11"/>
      <c r="M20" s="4"/>
      <c r="N20" s="76"/>
      <c r="O20" s="76"/>
      <c r="P20" s="76" t="str">
        <f t="shared" si="8"/>
        <v>,dose</v>
      </c>
      <c r="Q20" s="76" t="str">
        <f t="shared" si="9"/>
        <v>TEXT</v>
      </c>
      <c r="R20" s="76" t="str">
        <f t="shared" si="10"/>
        <v/>
      </c>
      <c r="S20" s="76" t="str">
        <f t="shared" si="11"/>
        <v/>
      </c>
      <c r="T20" s="76" t="str">
        <f t="shared" si="12"/>
        <v>-- 用量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milscm_2023_010.azn_202310_backup_text_mml_mmlps_medication.dose IS '用量';</v>
      </c>
    </row>
    <row r="21" spans="1:45" s="25" customFormat="1">
      <c r="A21" s="4"/>
      <c r="B21" s="21">
        <f t="shared" si="2"/>
        <v>9</v>
      </c>
      <c r="C21" s="6" t="s">
        <v>2824</v>
      </c>
      <c r="D21" s="6" t="s">
        <v>2825</v>
      </c>
      <c r="E21" s="8"/>
      <c r="F21" s="7" t="s">
        <v>1819</v>
      </c>
      <c r="G21" s="7" t="str">
        <f t="shared" si="7"/>
        <v>text</v>
      </c>
      <c r="H21" s="26"/>
      <c r="I21" s="10"/>
      <c r="J21" s="11"/>
      <c r="M21" s="4"/>
      <c r="N21" s="76"/>
      <c r="O21" s="76"/>
      <c r="P21" s="76" t="str">
        <f t="shared" si="8"/>
        <v>,dose_unit</v>
      </c>
      <c r="Q21" s="76" t="str">
        <f t="shared" si="9"/>
        <v>TEXT</v>
      </c>
      <c r="R21" s="76" t="str">
        <f t="shared" si="10"/>
        <v/>
      </c>
      <c r="S21" s="76" t="str">
        <f t="shared" si="11"/>
        <v/>
      </c>
      <c r="T21" s="76" t="str">
        <f t="shared" si="12"/>
        <v>-- 用量の単位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milscm_2023_010.azn_202310_backup_text_mml_mmlps_medication.dose_unit IS '用量の単位';</v>
      </c>
    </row>
    <row r="22" spans="1:45" s="25" customFormat="1">
      <c r="A22" s="4"/>
      <c r="B22" s="21">
        <f t="shared" si="2"/>
        <v>10</v>
      </c>
      <c r="C22" s="6" t="s">
        <v>2826</v>
      </c>
      <c r="D22" s="6" t="s">
        <v>2827</v>
      </c>
      <c r="E22" s="8"/>
      <c r="F22" s="7" t="s">
        <v>1819</v>
      </c>
      <c r="G22" s="7" t="str">
        <f t="shared" si="7"/>
        <v>text</v>
      </c>
      <c r="H22" s="26"/>
      <c r="I22" s="10"/>
      <c r="J22" s="11"/>
      <c r="M22" s="4"/>
      <c r="N22" s="76"/>
      <c r="O22" s="76"/>
      <c r="P22" s="76" t="str">
        <f t="shared" si="8"/>
        <v>,frequency_per_day</v>
      </c>
      <c r="Q22" s="76" t="str">
        <f t="shared" si="9"/>
        <v>TEXT</v>
      </c>
      <c r="R22" s="76" t="str">
        <f t="shared" si="10"/>
        <v/>
      </c>
      <c r="S22" s="76" t="str">
        <f t="shared" si="11"/>
        <v/>
      </c>
      <c r="T22" s="76" t="str">
        <f t="shared" si="12"/>
        <v>-- 一日の内服回数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milscm_2023_010.azn_202310_backup_text_mml_mmlps_medication.frequency_per_day IS '一日の内服回数';</v>
      </c>
    </row>
    <row r="23" spans="1:45" s="25" customFormat="1">
      <c r="A23" s="4"/>
      <c r="B23" s="21">
        <f t="shared" si="2"/>
        <v>11</v>
      </c>
      <c r="C23" s="6" t="s">
        <v>2828</v>
      </c>
      <c r="D23" s="6" t="s">
        <v>2787</v>
      </c>
      <c r="E23" s="8"/>
      <c r="F23" s="7" t="s">
        <v>1819</v>
      </c>
      <c r="G23" s="7" t="str">
        <f t="shared" si="7"/>
        <v>text</v>
      </c>
      <c r="H23" s="26"/>
      <c r="I23" s="10"/>
      <c r="J23" s="11" t="s">
        <v>2849</v>
      </c>
      <c r="M23" s="4"/>
      <c r="N23" s="76"/>
      <c r="O23" s="76"/>
      <c r="P23" s="76" t="str">
        <f t="shared" si="8"/>
        <v>,start_date</v>
      </c>
      <c r="Q23" s="76" t="str">
        <f t="shared" si="9"/>
        <v>TEXT</v>
      </c>
      <c r="R23" s="76" t="str">
        <f t="shared" si="10"/>
        <v/>
      </c>
      <c r="S23" s="76" t="str">
        <f t="shared" si="11"/>
        <v/>
      </c>
      <c r="T23" s="76" t="str">
        <f t="shared" si="12"/>
        <v>-- 服薬開始日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milscm_2023_010.azn_202310_backup_text_mml_mmlps_medication.start_date IS '服薬開始日';</v>
      </c>
    </row>
    <row r="24" spans="1:45" s="25" customFormat="1">
      <c r="A24" s="4"/>
      <c r="B24" s="21">
        <f t="shared" si="2"/>
        <v>12</v>
      </c>
      <c r="C24" s="6" t="s">
        <v>2829</v>
      </c>
      <c r="D24" s="6" t="s">
        <v>2830</v>
      </c>
      <c r="E24" s="8"/>
      <c r="F24" s="7" t="s">
        <v>1819</v>
      </c>
      <c r="G24" s="7" t="str">
        <f t="shared" si="7"/>
        <v>text</v>
      </c>
      <c r="H24" s="26"/>
      <c r="I24" s="10"/>
      <c r="J24" s="11"/>
      <c r="M24" s="4"/>
      <c r="N24" s="76"/>
      <c r="O24" s="76"/>
      <c r="P24" s="76" t="str">
        <f t="shared" si="8"/>
        <v>,duration</v>
      </c>
      <c r="Q24" s="76" t="str">
        <f t="shared" si="9"/>
        <v>TEXT</v>
      </c>
      <c r="R24" s="76" t="str">
        <f t="shared" si="10"/>
        <v/>
      </c>
      <c r="S24" s="76" t="str">
        <f t="shared" si="11"/>
        <v/>
      </c>
      <c r="T24" s="76" t="str">
        <f t="shared" si="12"/>
        <v>-- 服薬期間（日数）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milscm_2023_010.azn_202310_backup_text_mml_mmlps_medication.duration IS '服薬期間（日数）';</v>
      </c>
    </row>
    <row r="25" spans="1:45" s="25" customFormat="1">
      <c r="A25" s="4"/>
      <c r="B25" s="21">
        <f t="shared" si="2"/>
        <v>13</v>
      </c>
      <c r="C25" s="6" t="s">
        <v>2831</v>
      </c>
      <c r="D25" s="6" t="s">
        <v>2832</v>
      </c>
      <c r="E25" s="8"/>
      <c r="F25" s="7" t="s">
        <v>1819</v>
      </c>
      <c r="G25" s="7" t="str">
        <f t="shared" si="7"/>
        <v>text</v>
      </c>
      <c r="H25" s="26"/>
      <c r="I25" s="10"/>
      <c r="J25" s="11"/>
      <c r="M25" s="4"/>
      <c r="N25" s="76"/>
      <c r="O25" s="76"/>
      <c r="P25" s="76" t="str">
        <f t="shared" si="8"/>
        <v>,instruction</v>
      </c>
      <c r="Q25" s="76" t="str">
        <f t="shared" si="9"/>
        <v>TEXT</v>
      </c>
      <c r="R25" s="76" t="str">
        <f t="shared" si="10"/>
        <v/>
      </c>
      <c r="S25" s="76" t="str">
        <f t="shared" si="11"/>
        <v/>
      </c>
      <c r="T25" s="76" t="str">
        <f t="shared" si="12"/>
        <v>-- 用法指示</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milscm_2023_010.azn_202310_backup_text_mml_mmlps_medication.instruction IS '用法指示';</v>
      </c>
    </row>
    <row r="26" spans="1:45" s="25" customFormat="1">
      <c r="A26" s="4"/>
      <c r="B26" s="21">
        <f t="shared" si="2"/>
        <v>14</v>
      </c>
      <c r="C26" s="6" t="s">
        <v>2833</v>
      </c>
      <c r="D26" s="6" t="s">
        <v>2834</v>
      </c>
      <c r="E26" s="8"/>
      <c r="F26" s="7" t="s">
        <v>1819</v>
      </c>
      <c r="G26" s="7" t="str">
        <f t="shared" si="7"/>
        <v>text</v>
      </c>
      <c r="H26" s="26"/>
      <c r="I26" s="10"/>
      <c r="J26" s="11" t="s">
        <v>2850</v>
      </c>
      <c r="M26" s="4"/>
      <c r="N26" s="76"/>
      <c r="O26" s="76"/>
      <c r="P26" s="76" t="str">
        <f t="shared" si="8"/>
        <v>,prn</v>
      </c>
      <c r="Q26" s="76" t="str">
        <f t="shared" si="9"/>
        <v>TEXT</v>
      </c>
      <c r="R26" s="76" t="str">
        <f t="shared" si="10"/>
        <v/>
      </c>
      <c r="S26" s="76" t="str">
        <f t="shared" si="11"/>
        <v/>
      </c>
      <c r="T26" s="76" t="str">
        <f t="shared" si="12"/>
        <v>-- 頓用指示</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milscm_2023_010.azn_202310_backup_text_mml_mmlps_medication.prn IS '頓用指示';</v>
      </c>
    </row>
    <row r="27" spans="1:45" s="25" customFormat="1">
      <c r="A27" s="4"/>
      <c r="B27" s="21">
        <f t="shared" si="2"/>
        <v>15</v>
      </c>
      <c r="C27" s="6" t="s">
        <v>2835</v>
      </c>
      <c r="D27" s="6" t="s">
        <v>2836</v>
      </c>
      <c r="E27" s="8"/>
      <c r="F27" s="7" t="s">
        <v>1819</v>
      </c>
      <c r="G27" s="7" t="str">
        <f t="shared" si="7"/>
        <v>text</v>
      </c>
      <c r="H27" s="26"/>
      <c r="I27" s="10"/>
      <c r="J27" s="11"/>
      <c r="M27" s="4"/>
      <c r="N27" s="76"/>
      <c r="O27" s="76"/>
      <c r="P27" s="76" t="str">
        <f t="shared" si="8"/>
        <v>,repetitions</v>
      </c>
      <c r="Q27" s="76" t="str">
        <f t="shared" si="9"/>
        <v>TEXT</v>
      </c>
      <c r="R27" s="76" t="str">
        <f t="shared" si="10"/>
        <v/>
      </c>
      <c r="S27" s="76" t="str">
        <f t="shared" si="11"/>
        <v/>
      </c>
      <c r="T27" s="76" t="str">
        <f t="shared" si="12"/>
        <v>-- 総投与回数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milscm_2023_010.azn_202310_backup_text_mml_mmlps_medication.repetitions IS '総投与回数';</v>
      </c>
    </row>
    <row r="28" spans="1:45" s="25" customFormat="1">
      <c r="A28" s="4"/>
      <c r="B28" s="21">
        <f t="shared" si="2"/>
        <v>16</v>
      </c>
      <c r="C28" s="6" t="s">
        <v>2837</v>
      </c>
      <c r="D28" s="6" t="s">
        <v>2838</v>
      </c>
      <c r="E28" s="8"/>
      <c r="F28" s="7" t="s">
        <v>1819</v>
      </c>
      <c r="G28" s="7" t="str">
        <f t="shared" si="7"/>
        <v>text</v>
      </c>
      <c r="H28" s="26"/>
      <c r="I28" s="10"/>
      <c r="J28" s="11"/>
      <c r="M28" s="4"/>
      <c r="N28" s="76"/>
      <c r="O28" s="76"/>
      <c r="P28" s="76" t="str">
        <f t="shared" si="8"/>
        <v>,route</v>
      </c>
      <c r="Q28" s="76" t="str">
        <f t="shared" si="9"/>
        <v>TEXT</v>
      </c>
      <c r="R28" s="76" t="str">
        <f t="shared" si="10"/>
        <v/>
      </c>
      <c r="S28" s="76" t="str">
        <f t="shared" si="11"/>
        <v/>
      </c>
      <c r="T28" s="76" t="str">
        <f t="shared" si="12"/>
        <v>-- 投与経路</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milscm_2023_010.azn_202310_backup_text_mml_mmlps_medication.route IS '投与経路';</v>
      </c>
    </row>
    <row r="29" spans="1:45" s="25" customFormat="1">
      <c r="A29" s="4"/>
      <c r="B29" s="21">
        <f t="shared" si="2"/>
        <v>17</v>
      </c>
      <c r="C29" s="6" t="s">
        <v>2839</v>
      </c>
      <c r="D29" s="6" t="s">
        <v>2840</v>
      </c>
      <c r="E29" s="8"/>
      <c r="F29" s="7" t="s">
        <v>1819</v>
      </c>
      <c r="G29" s="7" t="str">
        <f t="shared" si="7"/>
        <v>text</v>
      </c>
      <c r="H29" s="26"/>
      <c r="I29" s="10"/>
      <c r="J29" s="11"/>
      <c r="M29" s="4"/>
      <c r="N29" s="76"/>
      <c r="O29" s="76"/>
      <c r="P29" s="76" t="str">
        <f t="shared" si="8"/>
        <v>,form</v>
      </c>
      <c r="Q29" s="76" t="str">
        <f t="shared" si="9"/>
        <v>TEXT</v>
      </c>
      <c r="R29" s="76" t="str">
        <f t="shared" si="10"/>
        <v/>
      </c>
      <c r="S29" s="76" t="str">
        <f t="shared" si="11"/>
        <v/>
      </c>
      <c r="T29" s="76" t="str">
        <f t="shared" si="12"/>
        <v>-- 剤形</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milscm_2023_010.azn_202310_backup_text_mml_mmlps_medication.form IS '剤形';</v>
      </c>
    </row>
    <row r="30" spans="1:45" s="25" customFormat="1">
      <c r="A30" s="4"/>
      <c r="B30" s="21">
        <f t="shared" si="2"/>
        <v>18</v>
      </c>
      <c r="C30" s="6" t="s">
        <v>2841</v>
      </c>
      <c r="D30" s="6" t="s">
        <v>2842</v>
      </c>
      <c r="E30" s="8"/>
      <c r="F30" s="7" t="s">
        <v>1819</v>
      </c>
      <c r="G30" s="7" t="str">
        <f t="shared" si="7"/>
        <v>text</v>
      </c>
      <c r="H30" s="26"/>
      <c r="I30" s="10"/>
      <c r="J30" s="11"/>
      <c r="M30" s="4"/>
      <c r="N30" s="76"/>
      <c r="O30" s="76"/>
      <c r="P30" s="76" t="str">
        <f t="shared" si="8"/>
        <v>,batch_no</v>
      </c>
      <c r="Q30" s="76" t="str">
        <f t="shared" si="9"/>
        <v>TEXT</v>
      </c>
      <c r="R30" s="76" t="str">
        <f t="shared" si="10"/>
        <v/>
      </c>
      <c r="S30" s="76" t="str">
        <f t="shared" si="11"/>
        <v/>
      </c>
      <c r="T30" s="76" t="str">
        <f t="shared" si="12"/>
        <v>-- 処方番号</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milscm_2023_010.azn_202310_backup_text_mml_mmlps_medication.batch_no IS '処方番号';</v>
      </c>
    </row>
    <row r="31" spans="1:45" s="25" customFormat="1" ht="37.5">
      <c r="A31" s="4"/>
      <c r="B31" s="21">
        <f t="shared" si="2"/>
        <v>19</v>
      </c>
      <c r="C31" s="6" t="s">
        <v>2843</v>
      </c>
      <c r="D31" s="6" t="s">
        <v>2844</v>
      </c>
      <c r="E31" s="8"/>
      <c r="F31" s="7" t="s">
        <v>1819</v>
      </c>
      <c r="G31" s="7" t="str">
        <f t="shared" si="7"/>
        <v>text</v>
      </c>
      <c r="H31" s="26"/>
      <c r="I31" s="10"/>
      <c r="J31" s="11" t="s">
        <v>2851</v>
      </c>
      <c r="M31" s="4"/>
      <c r="N31" s="76"/>
      <c r="O31" s="76"/>
      <c r="P31" s="76" t="str">
        <f t="shared" si="8"/>
        <v>,brand_substitution_permitted</v>
      </c>
      <c r="Q31" s="76" t="str">
        <f t="shared" si="9"/>
        <v>TEXT</v>
      </c>
      <c r="R31" s="76" t="str">
        <f t="shared" si="10"/>
        <v/>
      </c>
      <c r="S31" s="76" t="str">
        <f t="shared" si="11"/>
        <v/>
      </c>
      <c r="T31" s="76" t="str">
        <f t="shared" si="12"/>
        <v>-- ジェネリック医薬品への代替可</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milscm_2023_010.azn_202310_backup_text_mml_mmlps_medication.brand_substitution_permitted IS 'ジェネリック医薬品への代替可';</v>
      </c>
    </row>
    <row r="32" spans="1:45" s="25" customFormat="1">
      <c r="A32" s="4"/>
      <c r="B32" s="21">
        <f t="shared" si="2"/>
        <v>20</v>
      </c>
      <c r="C32" s="6" t="s">
        <v>2845</v>
      </c>
      <c r="D32" s="6" t="s">
        <v>2846</v>
      </c>
      <c r="E32" s="8"/>
      <c r="F32" s="7" t="s">
        <v>1819</v>
      </c>
      <c r="G32" s="7" t="str">
        <f t="shared" si="7"/>
        <v>text</v>
      </c>
      <c r="H32" s="26"/>
      <c r="I32" s="10"/>
      <c r="J32" s="11" t="s">
        <v>2852</v>
      </c>
      <c r="M32" s="4"/>
      <c r="N32" s="76"/>
      <c r="O32" s="76"/>
      <c r="P32" s="76" t="str">
        <f t="shared" si="8"/>
        <v>,long_term</v>
      </c>
      <c r="Q32" s="76" t="str">
        <f t="shared" si="9"/>
        <v>TEXT</v>
      </c>
      <c r="R32" s="76" t="str">
        <f t="shared" si="10"/>
        <v/>
      </c>
      <c r="S32" s="76" t="str">
        <f t="shared" si="11"/>
        <v/>
      </c>
      <c r="T32" s="76" t="str">
        <f t="shared" si="12"/>
        <v>-- 長期処方可</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milscm_2023_010.azn_202310_backup_text_mml_mmlps_medication.long_term IS '長期処方可';</v>
      </c>
    </row>
    <row r="33" spans="1:52" s="25" customFormat="1" ht="19.5" thickBot="1">
      <c r="A33" s="4"/>
      <c r="B33" s="27">
        <f>ROW()-12</f>
        <v>21</v>
      </c>
      <c r="C33" s="57" t="s">
        <v>2847</v>
      </c>
      <c r="D33" s="57" t="s">
        <v>2848</v>
      </c>
      <c r="E33" s="56"/>
      <c r="F33" s="56" t="s">
        <v>1819</v>
      </c>
      <c r="G33" s="56" t="str">
        <f t="shared" si="3"/>
        <v>text</v>
      </c>
      <c r="H33" s="59"/>
      <c r="I33" s="60"/>
      <c r="J33" s="63"/>
      <c r="N33" s="76"/>
      <c r="O33" s="76"/>
      <c r="P33" s="76" t="str">
        <f t="shared" si="4"/>
        <v>,additional_instruction</v>
      </c>
      <c r="Q33" s="76" t="str">
        <f t="shared" si="0"/>
        <v>TEXT</v>
      </c>
      <c r="R33" s="76" t="str">
        <f t="shared" si="1"/>
        <v/>
      </c>
      <c r="S33" s="76" t="str">
        <f t="shared" si="5"/>
        <v/>
      </c>
      <c r="T33" s="76" t="str">
        <f t="shared" si="6"/>
        <v>-- 追加指示，コメント</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milscm_2023_010.azn_202310_backup_text_mml_mmlps_medication.additional_instruction IS '追加指示，コメント';</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ENT_01_A6-26</v>
      </c>
      <c r="E6" s="272"/>
      <c r="F6" s="272"/>
      <c r="G6" s="272"/>
      <c r="H6" s="272"/>
      <c r="I6" s="272"/>
      <c r="J6" s="273"/>
    </row>
    <row r="7" spans="1:45">
      <c r="B7" s="261" t="s">
        <v>115</v>
      </c>
      <c r="C7" s="262"/>
      <c r="D7" s="263" t="s">
        <v>2853</v>
      </c>
      <c r="E7" s="264"/>
      <c r="F7" s="264"/>
      <c r="G7" s="264"/>
      <c r="H7" s="264"/>
      <c r="I7" s="264"/>
      <c r="J7" s="265"/>
    </row>
    <row r="8" spans="1:45">
      <c r="B8" s="261" t="s">
        <v>116</v>
      </c>
      <c r="C8" s="262"/>
      <c r="D8" s="263" t="str">
        <f>エンティティ一覧!AE2&amp;"_"&amp;D5&amp;"_text_mml_mmlps_medicine"</f>
        <v>azn_202310_backup_text_mml_mmlps_medicine</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MML_処方箋モジュール_薬剤テーブルから組入れ条件の第一条件で絞り込んだ結果を格納するテーブル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milscm_2023_010.azn_202310_backup_text_mml_mmlps_medicine;</v>
      </c>
      <c r="O10" s="76"/>
      <c r="P10" s="76"/>
      <c r="Q10" s="76"/>
      <c r="R10" s="76"/>
      <c r="S10" s="76"/>
      <c r="T10" s="76"/>
      <c r="AJ10" s="76" t="str">
        <f>"ALTER TABLE ONLY "&amp;エンティティ一覧!$O$2&amp;"."&amp;D$8</f>
        <v>ALTER TABLE ONLY milscm_2023_010.azn_202310_backup_text_mml_mmlps_medicine</v>
      </c>
      <c r="AS10" s="76" t="str">
        <f>"ALTER TABLE "&amp;エンティティ一覧!$O$2&amp;"."&amp;D$8&amp;" OWNER TO pgmisgrp1;"</f>
        <v>ALTER TABLE milscm_2023_010.azn_202310_backup_text_mml_mmlps_medicine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milscm_2023_010.azn_202310_backup_text_mml_mmlps_medicine</v>
      </c>
      <c r="O11" s="76"/>
      <c r="P11" s="76"/>
      <c r="Q11" s="76"/>
      <c r="R11" s="76"/>
      <c r="S11" s="76"/>
      <c r="T11" s="76"/>
      <c r="AJ11" s="76" t="str">
        <f>"ADD CONSTRAINT "&amp;D$8&amp;"_pkey PRIMARY KEY"</f>
        <v>ADD CONSTRAINT azn_202310_backup_text_mml_mmlps_medicine_pkey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milscm_2023_010.azn_202310_backup_text_mml_mmlps_medicine IS 'バックアップ_MML_処方箋モジュール_薬剤';</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milscm_2023_010.azn_202310_backup_text_mml_mmlps_medicine.zip_no IS 'ZipファイルNo';</v>
      </c>
    </row>
    <row r="14" spans="1:45" s="25" customFormat="1">
      <c r="A14" s="4"/>
      <c r="B14" s="21">
        <f t="shared" ref="B14:B20" si="2">ROW()-12</f>
        <v>2</v>
      </c>
      <c r="C14" s="6" t="s">
        <v>2781</v>
      </c>
      <c r="D14" s="6" t="s">
        <v>2782</v>
      </c>
      <c r="E14" s="8" t="s">
        <v>127</v>
      </c>
      <c r="F14" s="7" t="s">
        <v>2780</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milscm_2023_010.azn_202310_backup_text_mml_mmlps_medicine.file_no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milscm_2023_010.azn_202310_backup_text_mml_mmlps_medicine.body_no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milscm_2023_010.azn_202310_backup_text_mml_mmlps_medicine.facility_id_mml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milscm_2023_010.azn_202310_backup_text_mml_mmlps_medicine.master_id IS '患者ID';</v>
      </c>
    </row>
    <row r="18" spans="1:52" s="25" customFormat="1">
      <c r="A18" s="4"/>
      <c r="B18" s="21">
        <f t="shared" si="2"/>
        <v>6</v>
      </c>
      <c r="C18" s="6" t="s">
        <v>2818</v>
      </c>
      <c r="D18" s="6" t="s">
        <v>2819</v>
      </c>
      <c r="E18" s="8" t="s">
        <v>127</v>
      </c>
      <c r="F18" s="7" t="s">
        <v>2780</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milscm_2023_010.azn_202310_backup_text_mml_mmlps_medicine.medication_no IS '投薬No';</v>
      </c>
    </row>
    <row r="19" spans="1:52" s="25" customFormat="1">
      <c r="A19" s="4"/>
      <c r="B19" s="21">
        <f t="shared" si="2"/>
        <v>7</v>
      </c>
      <c r="C19" s="6" t="s">
        <v>2854</v>
      </c>
      <c r="D19" s="6" t="s">
        <v>2855</v>
      </c>
      <c r="E19" s="8" t="s">
        <v>127</v>
      </c>
      <c r="F19" s="7" t="s">
        <v>2780</v>
      </c>
      <c r="G19" s="7" t="str">
        <f t="shared" ref="G19" si="7">IF(F19="フラグ","boolean",IF(F19="文字列","text",IF(F19="整数","integer",IF(F19="実数","numeric",""))))</f>
        <v>integer</v>
      </c>
      <c r="H19" s="26"/>
      <c r="I19" s="10" t="s">
        <v>127</v>
      </c>
      <c r="J19" s="11"/>
      <c r="M19" s="4"/>
      <c r="N19" s="76"/>
      <c r="O19" s="76"/>
      <c r="P19" s="76" t="str">
        <f t="shared" ref="P19" si="8">IF(B19&lt;&gt;1,","&amp;D19,D19)</f>
        <v>,medicine_no</v>
      </c>
      <c r="Q19" s="76" t="str">
        <f t="shared" ref="Q19" si="9">UPPER(G19)</f>
        <v>INTEGER</v>
      </c>
      <c r="R19" s="76" t="str">
        <f t="shared" ref="R19" si="10">IF(H19&lt;&gt;"","default "&amp;IF(G19="text","'"&amp;H19&amp;"'",H19),"")</f>
        <v/>
      </c>
      <c r="S19" s="76" t="str">
        <f t="shared" ref="S19" si="11">IF(I19="○","NOT NULL","")</f>
        <v>NOT NULL</v>
      </c>
      <c r="T19" s="76" t="str">
        <f t="shared" ref="T19" si="12">"-- "&amp;C19</f>
        <v>-- 薬剤No</v>
      </c>
      <c r="U19" s="4"/>
      <c r="AA19" s="4"/>
      <c r="AB19" s="4"/>
      <c r="AC19" s="4"/>
      <c r="AD19" s="4"/>
      <c r="AE19" s="4"/>
      <c r="AF19" s="4"/>
      <c r="AG19" s="4"/>
      <c r="AH19" s="4"/>
      <c r="AI19" s="4"/>
      <c r="AJ19" s="76" t="str">
        <f>IF(E19="○",IF(COUNTA(E$13:E19)=1,"",",")&amp;D19,"")</f>
        <v>,medicine_no</v>
      </c>
      <c r="AK19" s="4"/>
      <c r="AL19" s="4"/>
      <c r="AM19" s="4"/>
      <c r="AN19" s="4"/>
      <c r="AO19" s="4"/>
      <c r="AP19" s="4"/>
      <c r="AQ19" s="4"/>
      <c r="AR19" s="4"/>
      <c r="AS19" s="76" t="str">
        <f>"COMMENT ON COLUMN "&amp;エンティティ一覧!$O$2&amp;"."&amp;D$8&amp;"."&amp;D19&amp;" IS '"&amp;C19&amp;"';"</f>
        <v>COMMENT ON COLUMN milscm_2023_010.azn_202310_backup_text_mml_mmlps_medicine.medicine_no IS '薬剤No';</v>
      </c>
    </row>
    <row r="20" spans="1:52" s="25" customFormat="1">
      <c r="A20" s="4"/>
      <c r="B20" s="21">
        <f t="shared" si="2"/>
        <v>8</v>
      </c>
      <c r="C20" s="6" t="s">
        <v>2856</v>
      </c>
      <c r="D20" s="6" t="s">
        <v>358</v>
      </c>
      <c r="E20" s="8"/>
      <c r="F20" s="7" t="s">
        <v>1819</v>
      </c>
      <c r="G20" s="7" t="str">
        <f t="shared" si="3"/>
        <v>text</v>
      </c>
      <c r="H20" s="26"/>
      <c r="I20" s="10"/>
      <c r="J20" s="11"/>
      <c r="M20" s="4"/>
      <c r="N20" s="76"/>
      <c r="O20" s="76"/>
      <c r="P20" s="76" t="str">
        <f t="shared" si="4"/>
        <v>,code</v>
      </c>
      <c r="Q20" s="76" t="str">
        <f t="shared" si="0"/>
        <v>TEXT</v>
      </c>
      <c r="R20" s="76" t="str">
        <f t="shared" si="1"/>
        <v/>
      </c>
      <c r="S20" s="76" t="str">
        <f t="shared" si="5"/>
        <v/>
      </c>
      <c r="T20" s="76" t="str">
        <f t="shared" si="6"/>
        <v>-- 薬剤コード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milscm_2023_010.azn_202310_backup_text_mml_mmlps_medicine.code IS '薬剤コード';</v>
      </c>
    </row>
    <row r="21" spans="1:52" s="25" customFormat="1" ht="19.5" thickBot="1">
      <c r="A21" s="4"/>
      <c r="B21" s="27">
        <f>ROW()-12</f>
        <v>9</v>
      </c>
      <c r="C21" s="57" t="s">
        <v>2857</v>
      </c>
      <c r="D21" s="57" t="s">
        <v>2801</v>
      </c>
      <c r="E21" s="56"/>
      <c r="F21" s="56" t="s">
        <v>1819</v>
      </c>
      <c r="G21" s="56" t="str">
        <f t="shared" si="3"/>
        <v>text</v>
      </c>
      <c r="H21" s="59"/>
      <c r="I21" s="60"/>
      <c r="J21" s="63"/>
      <c r="N21" s="76"/>
      <c r="O21" s="76"/>
      <c r="P21" s="76" t="str">
        <f t="shared" si="4"/>
        <v>,system</v>
      </c>
      <c r="Q21" s="76" t="str">
        <f t="shared" si="0"/>
        <v>TEXT</v>
      </c>
      <c r="R21" s="76" t="str">
        <f t="shared" si="1"/>
        <v/>
      </c>
      <c r="S21" s="76" t="str">
        <f t="shared" si="5"/>
        <v/>
      </c>
      <c r="T21" s="76" t="str">
        <f t="shared" si="6"/>
        <v>-- 薬剤コード体系</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milscm_2023_010.azn_202310_backup_text_mml_mmlps_medicine.system IS '薬剤コード体系';</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ENT_01_A6-27</v>
      </c>
      <c r="E6" s="272"/>
      <c r="F6" s="272"/>
      <c r="G6" s="272"/>
      <c r="H6" s="272"/>
      <c r="I6" s="272"/>
      <c r="J6" s="273"/>
    </row>
    <row r="7" spans="1:45">
      <c r="B7" s="261" t="s">
        <v>115</v>
      </c>
      <c r="C7" s="262"/>
      <c r="D7" s="263" t="s">
        <v>2858</v>
      </c>
      <c r="E7" s="264"/>
      <c r="F7" s="264"/>
      <c r="G7" s="264"/>
      <c r="H7" s="264"/>
      <c r="I7" s="264"/>
      <c r="J7" s="265"/>
    </row>
    <row r="8" spans="1:45">
      <c r="B8" s="261" t="s">
        <v>116</v>
      </c>
      <c r="C8" s="262"/>
      <c r="D8" s="263" t="str">
        <f>エンティティ一覧!AE2&amp;"_"&amp;D5&amp;"_text_mml_mmlinj_body"</f>
        <v>azn_202310_backup_text_mml_mmlinj_body</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MML_注射記録モジュール_本文テーブルから組入れ条件の第一条件で絞り込んだ結果を格納するテーブル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milscm_2023_010.azn_202310_backup_text_mml_mmlinj_body;</v>
      </c>
      <c r="O10" s="76"/>
      <c r="P10" s="76"/>
      <c r="Q10" s="76"/>
      <c r="R10" s="76"/>
      <c r="S10" s="76"/>
      <c r="T10" s="76"/>
      <c r="AJ10" s="76" t="str">
        <f>"ALTER TABLE ONLY "&amp;エンティティ一覧!$O$2&amp;"."&amp;D$8</f>
        <v>ALTER TABLE ONLY milscm_2023_010.azn_202310_backup_text_mml_mmlinj_body</v>
      </c>
      <c r="AS10" s="76" t="str">
        <f>"ALTER TABLE "&amp;エンティティ一覧!$O$2&amp;"."&amp;D$8&amp;" OWNER TO pgmisgrp1;"</f>
        <v>ALTER TABLE milscm_2023_010.azn_202310_backup_text_mml_mmlinj_body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milscm_2023_010.azn_202310_backup_text_mml_mmlinj_body</v>
      </c>
      <c r="O11" s="76"/>
      <c r="P11" s="76"/>
      <c r="Q11" s="76"/>
      <c r="R11" s="76"/>
      <c r="S11" s="76"/>
      <c r="T11" s="76"/>
      <c r="AJ11" s="76" t="str">
        <f>"ADD CONSTRAINT "&amp;D$8&amp;"_pkey PRIMARY KEY"</f>
        <v>ADD CONSTRAINT azn_202310_backup_text_mml_mmlinj_body_pkey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milscm_2023_010.azn_202310_backup_text_mml_mmlinj_body IS 'バックアップ_MML_注射記録モジュール_本文';</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19" si="0">UPPER(G13)</f>
        <v>INTEGER</v>
      </c>
      <c r="R13" s="76" t="str">
        <f t="shared" ref="R13:R19"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milscm_2023_010.azn_202310_backup_text_mml_mmlinj_body.zip_no IS 'ZipファイルNo';</v>
      </c>
    </row>
    <row r="14" spans="1:45" s="25" customFormat="1">
      <c r="A14" s="4"/>
      <c r="B14" s="21">
        <f t="shared" ref="B14:B18" si="2">ROW()-12</f>
        <v>2</v>
      </c>
      <c r="C14" s="6" t="s">
        <v>2781</v>
      </c>
      <c r="D14" s="6" t="s">
        <v>2782</v>
      </c>
      <c r="E14" s="8" t="s">
        <v>127</v>
      </c>
      <c r="F14" s="7" t="s">
        <v>2780</v>
      </c>
      <c r="G14" s="7" t="str">
        <f t="shared" ref="G14:G19" si="3">IF(F14="フラグ","boolean",IF(F14="文字列","text",IF(F14="整数","integer",IF(F14="実数","numeric",""))))</f>
        <v>integer</v>
      </c>
      <c r="H14" s="26"/>
      <c r="I14" s="10" t="s">
        <v>127</v>
      </c>
      <c r="J14" s="11"/>
      <c r="M14" s="4"/>
      <c r="N14" s="76"/>
      <c r="O14" s="76"/>
      <c r="P14" s="76" t="str">
        <f t="shared" ref="P14:P19" si="4">IF(B14&lt;&gt;1,","&amp;D14,D14)</f>
        <v>,file_no</v>
      </c>
      <c r="Q14" s="76" t="str">
        <f t="shared" si="0"/>
        <v>INTEGER</v>
      </c>
      <c r="R14" s="76" t="str">
        <f t="shared" si="1"/>
        <v/>
      </c>
      <c r="S14" s="76" t="str">
        <f t="shared" ref="S14:S19" si="5">IF(I14="○","NOT NULL","")</f>
        <v>NOT NULL</v>
      </c>
      <c r="T14" s="76" t="str">
        <f t="shared" ref="T14:T19"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milscm_2023_010.azn_202310_backup_text_mml_mmlinj_body.file_no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milscm_2023_010.azn_202310_backup_text_mml_mmlinj_body.body_no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milscm_2023_010.azn_202310_backup_text_mml_mmlinj_body.facility_id_mml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milscm_2023_010.azn_202310_backup_text_mml_mmlinj_body.master_id IS '患者ID';</v>
      </c>
    </row>
    <row r="18" spans="1:52" s="25" customFormat="1" ht="31.5">
      <c r="A18" s="4"/>
      <c r="B18" s="21">
        <f t="shared" si="2"/>
        <v>6</v>
      </c>
      <c r="C18" s="6" t="s">
        <v>2812</v>
      </c>
      <c r="D18" s="6" t="s">
        <v>2813</v>
      </c>
      <c r="E18" s="8"/>
      <c r="F18" s="7" t="s">
        <v>1819</v>
      </c>
      <c r="G18" s="7" t="str">
        <f t="shared" si="3"/>
        <v>text</v>
      </c>
      <c r="H18" s="26"/>
      <c r="I18" s="10"/>
      <c r="J18" s="11"/>
      <c r="M18" s="4"/>
      <c r="N18" s="76"/>
      <c r="O18" s="76"/>
      <c r="P18" s="76" t="str">
        <f t="shared" si="4"/>
        <v>,narcotic_prescription_license_no</v>
      </c>
      <c r="Q18" s="76" t="str">
        <f t="shared" si="0"/>
        <v>TEXT</v>
      </c>
      <c r="R18" s="76" t="str">
        <f t="shared" si="1"/>
        <v/>
      </c>
      <c r="S18" s="76" t="str">
        <f t="shared" si="5"/>
        <v/>
      </c>
      <c r="T18" s="76" t="str">
        <f t="shared" si="6"/>
        <v>-- 麻薬施用者番号</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milscm_2023_010.azn_202310_backup_text_mml_mmlinj_body.narcotic_prescription_license_no IS '麻薬施用者番号';</v>
      </c>
    </row>
    <row r="19" spans="1:52" s="25" customFormat="1" ht="19.5" thickBot="1">
      <c r="A19" s="4"/>
      <c r="B19" s="27">
        <f>ROW()-12</f>
        <v>7</v>
      </c>
      <c r="C19" s="57" t="s">
        <v>2814</v>
      </c>
      <c r="D19" s="57" t="s">
        <v>2815</v>
      </c>
      <c r="E19" s="56"/>
      <c r="F19" s="56" t="s">
        <v>1819</v>
      </c>
      <c r="G19" s="56" t="str">
        <f t="shared" si="3"/>
        <v>text</v>
      </c>
      <c r="H19" s="59"/>
      <c r="I19" s="60"/>
      <c r="J19" s="63"/>
      <c r="N19" s="76"/>
      <c r="O19" s="76"/>
      <c r="P19" s="76" t="str">
        <f t="shared" si="4"/>
        <v>,comment</v>
      </c>
      <c r="Q19" s="76" t="str">
        <f t="shared" si="0"/>
        <v>TEXT</v>
      </c>
      <c r="R19" s="76" t="str">
        <f t="shared" si="1"/>
        <v/>
      </c>
      <c r="S19" s="76" t="str">
        <f t="shared" si="5"/>
        <v/>
      </c>
      <c r="T19" s="76" t="str">
        <f t="shared" si="6"/>
        <v>-- コメント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milscm_2023_010.azn_202310_backup_text_mml_mmlinj_body.comment IS 'コメント';</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M23" s="25"/>
    </row>
    <row r="24" spans="1:52">
      <c r="M2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ENT_01_A6-28</v>
      </c>
      <c r="E6" s="272"/>
      <c r="F6" s="272"/>
      <c r="G6" s="272"/>
      <c r="H6" s="272"/>
      <c r="I6" s="272"/>
      <c r="J6" s="273"/>
    </row>
    <row r="7" spans="1:45">
      <c r="B7" s="261" t="s">
        <v>115</v>
      </c>
      <c r="C7" s="262"/>
      <c r="D7" s="263" t="s">
        <v>2867</v>
      </c>
      <c r="E7" s="264"/>
      <c r="F7" s="264"/>
      <c r="G7" s="264"/>
      <c r="H7" s="264"/>
      <c r="I7" s="264"/>
      <c r="J7" s="265"/>
    </row>
    <row r="8" spans="1:45">
      <c r="B8" s="261" t="s">
        <v>116</v>
      </c>
      <c r="C8" s="262"/>
      <c r="D8" s="263" t="str">
        <f>エンティティ一覧!AE2&amp;"_"&amp;D5&amp;"_text_mml_mmlinj_medication"</f>
        <v>azn_202310_backup_text_mml_mmlinj_medication</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MML_注射記録モジュール_投薬テーブルから組入れ条件の第一条件で絞り込んだ結果を格納するテーブル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milscm_2023_010.azn_202310_backup_text_mml_mmlinj_medication;</v>
      </c>
      <c r="O10" s="76"/>
      <c r="P10" s="76"/>
      <c r="Q10" s="76"/>
      <c r="R10" s="76"/>
      <c r="S10" s="76"/>
      <c r="T10" s="76"/>
      <c r="AJ10" s="76" t="str">
        <f>"ALTER TABLE ONLY "&amp;エンティティ一覧!$O$2&amp;"."&amp;D$8</f>
        <v>ALTER TABLE ONLY milscm_2023_010.azn_202310_backup_text_mml_mmlinj_medication</v>
      </c>
      <c r="AS10" s="76" t="str">
        <f>"ALTER TABLE "&amp;エンティティ一覧!$O$2&amp;"."&amp;D$8&amp;" OWNER TO pgmisgrp1;"</f>
        <v>ALTER TABLE milscm_2023_010.azn_202310_backup_text_mml_mmlinj_medication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milscm_2023_010.azn_202310_backup_text_mml_mmlinj_medication</v>
      </c>
      <c r="O11" s="76"/>
      <c r="P11" s="76"/>
      <c r="Q11" s="76"/>
      <c r="R11" s="76"/>
      <c r="S11" s="76"/>
      <c r="T11" s="76"/>
      <c r="AJ11" s="76" t="str">
        <f>"ADD CONSTRAINT "&amp;D$8&amp;"_pkey PRIMARY KEY"</f>
        <v>ADD CONSTRAINT azn_202310_backup_text_mml_mmlinj_medication_pkey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milscm_2023_010.azn_202310_backup_text_mml_mmlinj_medication IS 'バックアップ_MML_注射記録モジュール_投薬';</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9" si="0">UPPER(G13)</f>
        <v>INTEGER</v>
      </c>
      <c r="R13" s="76" t="str">
        <f t="shared" ref="R13:R29"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milscm_2023_010.azn_202310_backup_text_mml_mmlinj_medication.zip_no IS 'ZipファイルNo';</v>
      </c>
    </row>
    <row r="14" spans="1:45" s="25" customFormat="1">
      <c r="A14" s="4"/>
      <c r="B14" s="21">
        <f t="shared" ref="B14:B28" si="2">ROW()-12</f>
        <v>2</v>
      </c>
      <c r="C14" s="6" t="s">
        <v>2781</v>
      </c>
      <c r="D14" s="6" t="s">
        <v>2782</v>
      </c>
      <c r="E14" s="8" t="s">
        <v>127</v>
      </c>
      <c r="F14" s="7" t="s">
        <v>2780</v>
      </c>
      <c r="G14" s="7" t="str">
        <f t="shared" ref="G14:G29" si="3">IF(F14="フラグ","boolean",IF(F14="文字列","text",IF(F14="整数","integer",IF(F14="実数","numeric",""))))</f>
        <v>integer</v>
      </c>
      <c r="H14" s="26"/>
      <c r="I14" s="10" t="s">
        <v>127</v>
      </c>
      <c r="J14" s="11"/>
      <c r="M14" s="4"/>
      <c r="N14" s="76"/>
      <c r="O14" s="76"/>
      <c r="P14" s="76" t="str">
        <f t="shared" ref="P14:P29" si="4">IF(B14&lt;&gt;1,","&amp;D14,D14)</f>
        <v>,file_no</v>
      </c>
      <c r="Q14" s="76" t="str">
        <f t="shared" si="0"/>
        <v>INTEGER</v>
      </c>
      <c r="R14" s="76" t="str">
        <f t="shared" si="1"/>
        <v/>
      </c>
      <c r="S14" s="76" t="str">
        <f t="shared" ref="S14:S29" si="5">IF(I14="○","NOT NULL","")</f>
        <v>NOT NULL</v>
      </c>
      <c r="T14" s="76" t="str">
        <f t="shared" ref="T14:T29"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milscm_2023_010.azn_202310_backup_text_mml_mmlinj_medication.file_no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milscm_2023_010.azn_202310_backup_text_mml_mmlinj_medication.body_no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milscm_2023_010.azn_202310_backup_text_mml_mmlinj_medication.facility_id_mml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milscm_2023_010.azn_202310_backup_text_mml_mmlinj_medication.master_id IS '患者ID';</v>
      </c>
    </row>
    <row r="18" spans="1:52" s="25" customFormat="1">
      <c r="A18" s="4"/>
      <c r="B18" s="21">
        <f t="shared" si="2"/>
        <v>6</v>
      </c>
      <c r="C18" s="6" t="s">
        <v>2818</v>
      </c>
      <c r="D18" s="6" t="s">
        <v>2819</v>
      </c>
      <c r="E18" s="8" t="s">
        <v>127</v>
      </c>
      <c r="F18" s="7" t="s">
        <v>2780</v>
      </c>
      <c r="G18" s="7" t="str">
        <f t="shared" ref="G18:G27" si="7">IF(F18="フラグ","boolean",IF(F18="文字列","text",IF(F18="整数","integer",IF(F18="実数","numeric",""))))</f>
        <v>integer</v>
      </c>
      <c r="H18" s="26"/>
      <c r="I18" s="10" t="s">
        <v>127</v>
      </c>
      <c r="J18" s="11"/>
      <c r="M18" s="4"/>
      <c r="N18" s="76"/>
      <c r="O18" s="76"/>
      <c r="P18" s="76" t="str">
        <f t="shared" ref="P18:P27" si="8">IF(B18&lt;&gt;1,","&amp;D18,D18)</f>
        <v>,medication_no</v>
      </c>
      <c r="Q18" s="76" t="str">
        <f t="shared" ref="Q18:Q27" si="9">UPPER(G18)</f>
        <v>INTEGER</v>
      </c>
      <c r="R18" s="76" t="str">
        <f t="shared" ref="R18:R27" si="10">IF(H18&lt;&gt;"","default "&amp;IF(G18="text","'"&amp;H18&amp;"'",H18),"")</f>
        <v/>
      </c>
      <c r="S18" s="76" t="str">
        <f t="shared" ref="S18:S27" si="11">IF(I18="○","NOT NULL","")</f>
        <v>NOT NULL</v>
      </c>
      <c r="T18" s="76" t="str">
        <f t="shared" ref="T18:T27" si="12">"-- "&amp;C18</f>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milscm_2023_010.azn_202310_backup_text_mml_mmlinj_medication.medication_no IS '投薬No';</v>
      </c>
    </row>
    <row r="19" spans="1:52" s="25" customFormat="1">
      <c r="A19" s="4"/>
      <c r="B19" s="21">
        <f t="shared" si="2"/>
        <v>7</v>
      </c>
      <c r="C19" s="6" t="s">
        <v>2820</v>
      </c>
      <c r="D19" s="6" t="s">
        <v>2821</v>
      </c>
      <c r="E19" s="8"/>
      <c r="F19" s="7" t="s">
        <v>1819</v>
      </c>
      <c r="G19" s="7" t="str">
        <f t="shared" si="7"/>
        <v>text</v>
      </c>
      <c r="H19" s="26"/>
      <c r="I19" s="10"/>
      <c r="J19" s="11"/>
      <c r="M19" s="4"/>
      <c r="N19" s="76"/>
      <c r="O19" s="76"/>
      <c r="P19" s="76" t="str">
        <f t="shared" si="8"/>
        <v>,medicine_name</v>
      </c>
      <c r="Q19" s="76" t="str">
        <f t="shared" si="9"/>
        <v>TEXT</v>
      </c>
      <c r="R19" s="76" t="str">
        <f t="shared" si="10"/>
        <v/>
      </c>
      <c r="S19" s="76" t="str">
        <f t="shared" si="11"/>
        <v/>
      </c>
      <c r="T19" s="76" t="str">
        <f t="shared" si="12"/>
        <v>-- 薬剤名称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milscm_2023_010.azn_202310_backup_text_mml_mmlinj_medication.medicine_name IS '薬剤名称';</v>
      </c>
    </row>
    <row r="20" spans="1:52" s="25" customFormat="1">
      <c r="A20" s="4"/>
      <c r="B20" s="21">
        <f t="shared" si="2"/>
        <v>8</v>
      </c>
      <c r="C20" s="6" t="s">
        <v>2822</v>
      </c>
      <c r="D20" s="6" t="s">
        <v>2823</v>
      </c>
      <c r="E20" s="8"/>
      <c r="F20" s="7" t="s">
        <v>1819</v>
      </c>
      <c r="G20" s="7" t="str">
        <f t="shared" si="7"/>
        <v>text</v>
      </c>
      <c r="H20" s="26"/>
      <c r="I20" s="10"/>
      <c r="J20" s="11"/>
      <c r="M20" s="4"/>
      <c r="N20" s="76"/>
      <c r="O20" s="76"/>
      <c r="P20" s="76" t="str">
        <f t="shared" si="8"/>
        <v>,dose</v>
      </c>
      <c r="Q20" s="76" t="str">
        <f t="shared" si="9"/>
        <v>TEXT</v>
      </c>
      <c r="R20" s="76" t="str">
        <f t="shared" si="10"/>
        <v/>
      </c>
      <c r="S20" s="76" t="str">
        <f t="shared" si="11"/>
        <v/>
      </c>
      <c r="T20" s="76" t="str">
        <f t="shared" si="12"/>
        <v>-- 用量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milscm_2023_010.azn_202310_backup_text_mml_mmlinj_medication.dose IS '用量';</v>
      </c>
    </row>
    <row r="21" spans="1:52" s="25" customFormat="1">
      <c r="A21" s="4"/>
      <c r="B21" s="21">
        <f t="shared" si="2"/>
        <v>9</v>
      </c>
      <c r="C21" s="6" t="s">
        <v>2824</v>
      </c>
      <c r="D21" s="6" t="s">
        <v>2825</v>
      </c>
      <c r="E21" s="8"/>
      <c r="F21" s="7" t="s">
        <v>1819</v>
      </c>
      <c r="G21" s="7" t="str">
        <f t="shared" si="7"/>
        <v>text</v>
      </c>
      <c r="H21" s="26"/>
      <c r="I21" s="10"/>
      <c r="J21" s="11"/>
      <c r="M21" s="4"/>
      <c r="N21" s="76"/>
      <c r="O21" s="76"/>
      <c r="P21" s="76" t="str">
        <f t="shared" si="8"/>
        <v>,dose_unit</v>
      </c>
      <c r="Q21" s="76" t="str">
        <f t="shared" si="9"/>
        <v>TEXT</v>
      </c>
      <c r="R21" s="76" t="str">
        <f t="shared" si="10"/>
        <v/>
      </c>
      <c r="S21" s="76" t="str">
        <f t="shared" si="11"/>
        <v/>
      </c>
      <c r="T21" s="76" t="str">
        <f t="shared" si="12"/>
        <v>-- 用量の単位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milscm_2023_010.azn_202310_backup_text_mml_mmlinj_medication.dose_unit IS '用量の単位';</v>
      </c>
    </row>
    <row r="22" spans="1:52" s="25" customFormat="1">
      <c r="A22" s="4"/>
      <c r="B22" s="21">
        <f t="shared" si="2"/>
        <v>10</v>
      </c>
      <c r="C22" s="6" t="s">
        <v>2859</v>
      </c>
      <c r="D22" s="6" t="s">
        <v>2860</v>
      </c>
      <c r="E22" s="8"/>
      <c r="F22" s="7" t="s">
        <v>1819</v>
      </c>
      <c r="G22" s="7" t="str">
        <f t="shared" si="7"/>
        <v>text</v>
      </c>
      <c r="H22" s="26"/>
      <c r="I22" s="10"/>
      <c r="J22" s="11" t="s">
        <v>2792</v>
      </c>
      <c r="M22" s="4"/>
      <c r="N22" s="76"/>
      <c r="O22" s="76"/>
      <c r="P22" s="76" t="str">
        <f t="shared" si="8"/>
        <v>,start_date_time</v>
      </c>
      <c r="Q22" s="76" t="str">
        <f t="shared" si="9"/>
        <v>TEXT</v>
      </c>
      <c r="R22" s="76" t="str">
        <f t="shared" si="10"/>
        <v/>
      </c>
      <c r="S22" s="76" t="str">
        <f t="shared" si="11"/>
        <v/>
      </c>
      <c r="T22" s="76" t="str">
        <f t="shared" si="12"/>
        <v>-- 投与開始日時</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milscm_2023_010.azn_202310_backup_text_mml_mmlinj_medication.start_date_time IS '投与開始日時';</v>
      </c>
    </row>
    <row r="23" spans="1:52" s="25" customFormat="1">
      <c r="A23" s="4"/>
      <c r="B23" s="21">
        <f t="shared" si="2"/>
        <v>11</v>
      </c>
      <c r="C23" s="6" t="s">
        <v>2861</v>
      </c>
      <c r="D23" s="6" t="s">
        <v>2862</v>
      </c>
      <c r="E23" s="8"/>
      <c r="F23" s="7" t="s">
        <v>1819</v>
      </c>
      <c r="G23" s="7" t="str">
        <f t="shared" si="7"/>
        <v>text</v>
      </c>
      <c r="H23" s="26"/>
      <c r="I23" s="10"/>
      <c r="J23" s="11" t="s">
        <v>2792</v>
      </c>
      <c r="M23" s="4"/>
      <c r="N23" s="76"/>
      <c r="O23" s="76"/>
      <c r="P23" s="76" t="str">
        <f t="shared" si="8"/>
        <v>,end_date_time</v>
      </c>
      <c r="Q23" s="76" t="str">
        <f t="shared" si="9"/>
        <v>TEXT</v>
      </c>
      <c r="R23" s="76" t="str">
        <f t="shared" si="10"/>
        <v/>
      </c>
      <c r="S23" s="76" t="str">
        <f t="shared" si="11"/>
        <v/>
      </c>
      <c r="T23" s="76" t="str">
        <f t="shared" si="12"/>
        <v>-- 投与終了日時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milscm_2023_010.azn_202310_backup_text_mml_mmlinj_medication.end_date_time IS '投与終了日時';</v>
      </c>
    </row>
    <row r="24" spans="1:52" s="25" customFormat="1">
      <c r="A24" s="4"/>
      <c r="B24" s="21">
        <f t="shared" si="2"/>
        <v>12</v>
      </c>
      <c r="C24" s="6" t="s">
        <v>2831</v>
      </c>
      <c r="D24" s="6" t="s">
        <v>2832</v>
      </c>
      <c r="E24" s="8"/>
      <c r="F24" s="7" t="s">
        <v>1819</v>
      </c>
      <c r="G24" s="7" t="str">
        <f t="shared" si="7"/>
        <v>text</v>
      </c>
      <c r="H24" s="26"/>
      <c r="I24" s="10"/>
      <c r="J24" s="11"/>
      <c r="M24" s="4"/>
      <c r="N24" s="76"/>
      <c r="O24" s="76"/>
      <c r="P24" s="76" t="str">
        <f t="shared" si="8"/>
        <v>,instruction</v>
      </c>
      <c r="Q24" s="76" t="str">
        <f t="shared" si="9"/>
        <v>TEXT</v>
      </c>
      <c r="R24" s="76" t="str">
        <f t="shared" si="10"/>
        <v/>
      </c>
      <c r="S24" s="76" t="str">
        <f t="shared" si="11"/>
        <v/>
      </c>
      <c r="T24" s="76" t="str">
        <f t="shared" si="12"/>
        <v>-- 用法指示</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milscm_2023_010.azn_202310_backup_text_mml_mmlinj_medication.instruction IS '用法指示';</v>
      </c>
    </row>
    <row r="25" spans="1:52" s="25" customFormat="1">
      <c r="A25" s="4"/>
      <c r="B25" s="21">
        <f t="shared" si="2"/>
        <v>13</v>
      </c>
      <c r="C25" s="6" t="s">
        <v>2837</v>
      </c>
      <c r="D25" s="6" t="s">
        <v>2838</v>
      </c>
      <c r="E25" s="8"/>
      <c r="F25" s="7" t="s">
        <v>1819</v>
      </c>
      <c r="G25" s="7" t="str">
        <f t="shared" si="7"/>
        <v>text</v>
      </c>
      <c r="H25" s="26"/>
      <c r="I25" s="10"/>
      <c r="J25" s="11"/>
      <c r="M25" s="4"/>
      <c r="N25" s="76"/>
      <c r="O25" s="76"/>
      <c r="P25" s="76" t="str">
        <f t="shared" si="8"/>
        <v>,route</v>
      </c>
      <c r="Q25" s="76" t="str">
        <f t="shared" si="9"/>
        <v>TEXT</v>
      </c>
      <c r="R25" s="76" t="str">
        <f t="shared" si="10"/>
        <v/>
      </c>
      <c r="S25" s="76" t="str">
        <f t="shared" si="11"/>
        <v/>
      </c>
      <c r="T25" s="76" t="str">
        <f t="shared" si="12"/>
        <v>-- 投与経路</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milscm_2023_010.azn_202310_backup_text_mml_mmlinj_medication.route IS '投与経路';</v>
      </c>
    </row>
    <row r="26" spans="1:52" s="25" customFormat="1">
      <c r="A26" s="4"/>
      <c r="B26" s="21">
        <f t="shared" si="2"/>
        <v>14</v>
      </c>
      <c r="C26" s="6" t="s">
        <v>2863</v>
      </c>
      <c r="D26" s="6" t="s">
        <v>2864</v>
      </c>
      <c r="E26" s="8"/>
      <c r="F26" s="7" t="s">
        <v>1819</v>
      </c>
      <c r="G26" s="7" t="str">
        <f t="shared" si="7"/>
        <v>text</v>
      </c>
      <c r="H26" s="26"/>
      <c r="I26" s="10"/>
      <c r="J26" s="11"/>
      <c r="M26" s="4"/>
      <c r="N26" s="76"/>
      <c r="O26" s="76"/>
      <c r="P26" s="76" t="str">
        <f t="shared" si="8"/>
        <v>,site</v>
      </c>
      <c r="Q26" s="76" t="str">
        <f t="shared" si="9"/>
        <v>TEXT</v>
      </c>
      <c r="R26" s="76" t="str">
        <f t="shared" si="10"/>
        <v/>
      </c>
      <c r="S26" s="76" t="str">
        <f t="shared" si="11"/>
        <v/>
      </c>
      <c r="T26" s="76" t="str">
        <f t="shared" si="12"/>
        <v>-- 投与部位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milscm_2023_010.azn_202310_backup_text_mml_mmlinj_medication.site IS '投与部位';</v>
      </c>
    </row>
    <row r="27" spans="1:52" s="25" customFormat="1">
      <c r="A27" s="4"/>
      <c r="B27" s="21">
        <f t="shared" si="2"/>
        <v>15</v>
      </c>
      <c r="C27" s="6" t="s">
        <v>2865</v>
      </c>
      <c r="D27" s="6" t="s">
        <v>2866</v>
      </c>
      <c r="E27" s="8"/>
      <c r="F27" s="7" t="s">
        <v>1819</v>
      </c>
      <c r="G27" s="7" t="str">
        <f t="shared" si="7"/>
        <v>text</v>
      </c>
      <c r="H27" s="26"/>
      <c r="I27" s="10"/>
      <c r="J27" s="11"/>
      <c r="M27" s="4"/>
      <c r="N27" s="76"/>
      <c r="O27" s="76"/>
      <c r="P27" s="76" t="str">
        <f t="shared" si="8"/>
        <v>,delivery_method</v>
      </c>
      <c r="Q27" s="76" t="str">
        <f t="shared" si="9"/>
        <v>TEXT</v>
      </c>
      <c r="R27" s="76" t="str">
        <f t="shared" si="10"/>
        <v/>
      </c>
      <c r="S27" s="76" t="str">
        <f t="shared" si="11"/>
        <v/>
      </c>
      <c r="T27" s="76" t="str">
        <f t="shared" si="12"/>
        <v>-- 注射方法</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milscm_2023_010.azn_202310_backup_text_mml_mmlinj_medication.delivery_method IS '注射方法';</v>
      </c>
    </row>
    <row r="28" spans="1:52" s="25" customFormat="1">
      <c r="A28" s="4"/>
      <c r="B28" s="21">
        <f t="shared" si="2"/>
        <v>16</v>
      </c>
      <c r="C28" s="6" t="s">
        <v>2841</v>
      </c>
      <c r="D28" s="6" t="s">
        <v>2842</v>
      </c>
      <c r="E28" s="8"/>
      <c r="F28" s="7" t="s">
        <v>1819</v>
      </c>
      <c r="G28" s="7" t="str">
        <f t="shared" si="3"/>
        <v>text</v>
      </c>
      <c r="H28" s="26"/>
      <c r="I28" s="10"/>
      <c r="J28" s="11"/>
      <c r="M28" s="4"/>
      <c r="N28" s="76"/>
      <c r="O28" s="76"/>
      <c r="P28" s="76" t="str">
        <f t="shared" si="4"/>
        <v>,batch_no</v>
      </c>
      <c r="Q28" s="76" t="str">
        <f t="shared" si="0"/>
        <v>TEXT</v>
      </c>
      <c r="R28" s="76" t="str">
        <f t="shared" si="1"/>
        <v/>
      </c>
      <c r="S28" s="76" t="str">
        <f t="shared" si="5"/>
        <v/>
      </c>
      <c r="T28" s="76" t="str">
        <f t="shared" si="6"/>
        <v>-- 処方番号</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milscm_2023_010.azn_202310_backup_text_mml_mmlinj_medication.batch_no IS '処方番号';</v>
      </c>
    </row>
    <row r="29" spans="1:52" s="25" customFormat="1" ht="19.5" thickBot="1">
      <c r="A29" s="4"/>
      <c r="B29" s="27">
        <f>ROW()-12</f>
        <v>17</v>
      </c>
      <c r="C29" s="57" t="s">
        <v>2847</v>
      </c>
      <c r="D29" s="57" t="s">
        <v>2848</v>
      </c>
      <c r="E29" s="56"/>
      <c r="F29" s="56" t="s">
        <v>1819</v>
      </c>
      <c r="G29" s="56" t="str">
        <f t="shared" si="3"/>
        <v>text</v>
      </c>
      <c r="H29" s="59"/>
      <c r="I29" s="60"/>
      <c r="J29" s="63"/>
      <c r="N29" s="76"/>
      <c r="O29" s="76"/>
      <c r="P29" s="76" t="str">
        <f t="shared" si="4"/>
        <v>,additional_instruction</v>
      </c>
      <c r="Q29" s="76" t="str">
        <f t="shared" si="0"/>
        <v>TEXT</v>
      </c>
      <c r="R29" s="76" t="str">
        <f t="shared" si="1"/>
        <v/>
      </c>
      <c r="S29" s="76" t="str">
        <f t="shared" si="5"/>
        <v/>
      </c>
      <c r="T29" s="76" t="str">
        <f t="shared" si="6"/>
        <v>-- 追加指示，コメント</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milscm_2023_010.azn_202310_backup_text_mml_mmlinj_medication.additional_instruction IS '追加指示，コメント';</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ENT_01_A6-29</v>
      </c>
      <c r="E6" s="272"/>
      <c r="F6" s="272"/>
      <c r="G6" s="272"/>
      <c r="H6" s="272"/>
      <c r="I6" s="272"/>
      <c r="J6" s="273"/>
    </row>
    <row r="7" spans="1:45">
      <c r="B7" s="261" t="s">
        <v>115</v>
      </c>
      <c r="C7" s="262"/>
      <c r="D7" s="263" t="s">
        <v>2868</v>
      </c>
      <c r="E7" s="264"/>
      <c r="F7" s="264"/>
      <c r="G7" s="264"/>
      <c r="H7" s="264"/>
      <c r="I7" s="264"/>
      <c r="J7" s="265"/>
    </row>
    <row r="8" spans="1:45">
      <c r="B8" s="261" t="s">
        <v>116</v>
      </c>
      <c r="C8" s="262"/>
      <c r="D8" s="263" t="str">
        <f>エンティティ一覧!AE2&amp;"_"&amp;D5&amp;"_text_mml_mmlinj_medicine"</f>
        <v>azn_202310_backup_text_mml_mmlinj_medicine</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MML_注射記録モジュール_薬剤テーブルから組入れ条件の第一条件で絞り込んだ結果を格納するテーブル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milscm_2023_010.azn_202310_backup_text_mml_mmlinj_medicine;</v>
      </c>
      <c r="O10" s="76"/>
      <c r="P10" s="76"/>
      <c r="Q10" s="76"/>
      <c r="R10" s="76"/>
      <c r="S10" s="76"/>
      <c r="T10" s="76"/>
      <c r="AJ10" s="76" t="str">
        <f>"ALTER TABLE ONLY "&amp;エンティティ一覧!$O$2&amp;"."&amp;D$8</f>
        <v>ALTER TABLE ONLY milscm_2023_010.azn_202310_backup_text_mml_mmlinj_medicine</v>
      </c>
      <c r="AS10" s="76" t="str">
        <f>"ALTER TABLE "&amp;エンティティ一覧!$O$2&amp;"."&amp;D$8&amp;" OWNER TO pgmisgrp1;"</f>
        <v>ALTER TABLE milscm_2023_010.azn_202310_backup_text_mml_mmlinj_medicine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milscm_2023_010.azn_202310_backup_text_mml_mmlinj_medicine</v>
      </c>
      <c r="O11" s="76"/>
      <c r="P11" s="76"/>
      <c r="Q11" s="76"/>
      <c r="R11" s="76"/>
      <c r="S11" s="76"/>
      <c r="T11" s="76"/>
      <c r="AJ11" s="76" t="str">
        <f>"ADD CONSTRAINT "&amp;D$8&amp;"_pkey PRIMARY KEY"</f>
        <v>ADD CONSTRAINT azn_202310_backup_text_mml_mmlinj_medicine_pkey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milscm_2023_010.azn_202310_backup_text_mml_mmlinj_medicine IS 'バックアップ_MML_注射記録モジュール_薬剤';</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milscm_2023_010.azn_202310_backup_text_mml_mmlinj_medicine.zip_no IS 'ZipファイルNo';</v>
      </c>
    </row>
    <row r="14" spans="1:45" s="25" customFormat="1">
      <c r="A14" s="4"/>
      <c r="B14" s="21">
        <f t="shared" ref="B14:B20" si="2">ROW()-12</f>
        <v>2</v>
      </c>
      <c r="C14" s="6" t="s">
        <v>2781</v>
      </c>
      <c r="D14" s="6" t="s">
        <v>2782</v>
      </c>
      <c r="E14" s="8" t="s">
        <v>127</v>
      </c>
      <c r="F14" s="7" t="s">
        <v>2780</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milscm_2023_010.azn_202310_backup_text_mml_mmlinj_medicine.file_no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milscm_2023_010.azn_202310_backup_text_mml_mmlinj_medicine.body_no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milscm_2023_010.azn_202310_backup_text_mml_mmlinj_medicine.facility_id_mml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milscm_2023_010.azn_202310_backup_text_mml_mmlinj_medicine.master_id IS '患者ID';</v>
      </c>
    </row>
    <row r="18" spans="1:52" s="25" customFormat="1">
      <c r="A18" s="4"/>
      <c r="B18" s="21">
        <f t="shared" si="2"/>
        <v>6</v>
      </c>
      <c r="C18" s="6" t="s">
        <v>2818</v>
      </c>
      <c r="D18" s="6" t="s">
        <v>2819</v>
      </c>
      <c r="E18" s="8" t="s">
        <v>127</v>
      </c>
      <c r="F18" s="7" t="s">
        <v>2780</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milscm_2023_010.azn_202310_backup_text_mml_mmlinj_medicine.medication_no IS '投薬No';</v>
      </c>
    </row>
    <row r="19" spans="1:52" s="25" customFormat="1">
      <c r="A19" s="4"/>
      <c r="B19" s="21">
        <f t="shared" si="2"/>
        <v>7</v>
      </c>
      <c r="C19" s="6" t="s">
        <v>2854</v>
      </c>
      <c r="D19" s="6" t="s">
        <v>2855</v>
      </c>
      <c r="E19" s="8" t="s">
        <v>127</v>
      </c>
      <c r="F19" s="7" t="s">
        <v>2780</v>
      </c>
      <c r="G19" s="7" t="str">
        <f t="shared" si="3"/>
        <v>integer</v>
      </c>
      <c r="H19" s="26"/>
      <c r="I19" s="10" t="s">
        <v>127</v>
      </c>
      <c r="J19" s="11"/>
      <c r="M19" s="4"/>
      <c r="N19" s="76"/>
      <c r="O19" s="76"/>
      <c r="P19" s="76" t="str">
        <f t="shared" si="4"/>
        <v>,medicine_no</v>
      </c>
      <c r="Q19" s="76" t="str">
        <f t="shared" si="0"/>
        <v>INTEGER</v>
      </c>
      <c r="R19" s="76" t="str">
        <f t="shared" si="1"/>
        <v/>
      </c>
      <c r="S19" s="76" t="str">
        <f t="shared" si="5"/>
        <v>NOT NULL</v>
      </c>
      <c r="T19" s="76" t="str">
        <f t="shared" si="6"/>
        <v>-- 薬剤No</v>
      </c>
      <c r="U19" s="4"/>
      <c r="AA19" s="4"/>
      <c r="AB19" s="4"/>
      <c r="AC19" s="4"/>
      <c r="AD19" s="4"/>
      <c r="AE19" s="4"/>
      <c r="AF19" s="4"/>
      <c r="AG19" s="4"/>
      <c r="AH19" s="4"/>
      <c r="AI19" s="4"/>
      <c r="AJ19" s="76" t="str">
        <f>IF(E19="○",IF(COUNTA(E$13:E19)=1,"",",")&amp;D19,"")</f>
        <v>,medicine_no</v>
      </c>
      <c r="AK19" s="4"/>
      <c r="AL19" s="4"/>
      <c r="AM19" s="4"/>
      <c r="AN19" s="4"/>
      <c r="AO19" s="4"/>
      <c r="AP19" s="4"/>
      <c r="AQ19" s="4"/>
      <c r="AR19" s="4"/>
      <c r="AS19" s="76" t="str">
        <f>"COMMENT ON COLUMN "&amp;エンティティ一覧!$O$2&amp;"."&amp;D$8&amp;"."&amp;D19&amp;" IS '"&amp;C19&amp;"';"</f>
        <v>COMMENT ON COLUMN milscm_2023_010.azn_202310_backup_text_mml_mmlinj_medicine.medicine_no IS '薬剤No';</v>
      </c>
    </row>
    <row r="20" spans="1:52" s="25" customFormat="1">
      <c r="A20" s="4"/>
      <c r="B20" s="21">
        <f t="shared" si="2"/>
        <v>8</v>
      </c>
      <c r="C20" s="6" t="s">
        <v>2856</v>
      </c>
      <c r="D20" s="6" t="s">
        <v>358</v>
      </c>
      <c r="E20" s="8"/>
      <c r="F20" s="7" t="s">
        <v>1819</v>
      </c>
      <c r="G20" s="7" t="str">
        <f t="shared" si="3"/>
        <v>text</v>
      </c>
      <c r="H20" s="26"/>
      <c r="I20" s="10"/>
      <c r="J20" s="11"/>
      <c r="M20" s="4"/>
      <c r="N20" s="76"/>
      <c r="O20" s="76"/>
      <c r="P20" s="76" t="str">
        <f t="shared" si="4"/>
        <v>,code</v>
      </c>
      <c r="Q20" s="76" t="str">
        <f t="shared" si="0"/>
        <v>TEXT</v>
      </c>
      <c r="R20" s="76" t="str">
        <f t="shared" si="1"/>
        <v/>
      </c>
      <c r="S20" s="76" t="str">
        <f t="shared" si="5"/>
        <v/>
      </c>
      <c r="T20" s="76" t="str">
        <f t="shared" si="6"/>
        <v>-- 薬剤コード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milscm_2023_010.azn_202310_backup_text_mml_mmlinj_medicine.code IS '薬剤コード';</v>
      </c>
    </row>
    <row r="21" spans="1:52" s="25" customFormat="1" ht="19.5" thickBot="1">
      <c r="A21" s="4"/>
      <c r="B21" s="27">
        <f>ROW()-12</f>
        <v>9</v>
      </c>
      <c r="C21" s="57" t="s">
        <v>2857</v>
      </c>
      <c r="D21" s="57" t="s">
        <v>2801</v>
      </c>
      <c r="E21" s="56"/>
      <c r="F21" s="56" t="s">
        <v>1819</v>
      </c>
      <c r="G21" s="56" t="str">
        <f t="shared" si="3"/>
        <v>text</v>
      </c>
      <c r="H21" s="59"/>
      <c r="I21" s="60"/>
      <c r="J21" s="63"/>
      <c r="N21" s="76"/>
      <c r="O21" s="76"/>
      <c r="P21" s="76" t="str">
        <f t="shared" si="4"/>
        <v>,system</v>
      </c>
      <c r="Q21" s="76" t="str">
        <f t="shared" si="0"/>
        <v>TEXT</v>
      </c>
      <c r="R21" s="76" t="str">
        <f t="shared" si="1"/>
        <v/>
      </c>
      <c r="S21" s="76" t="str">
        <f t="shared" si="5"/>
        <v/>
      </c>
      <c r="T21" s="76" t="str">
        <f t="shared" si="6"/>
        <v>-- 薬剤コード体系</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milscm_2023_010.azn_202310_backup_text_mml_mmlinj_medicine.system IS '薬剤コード体系';</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ENT_01_A6-42</v>
      </c>
      <c r="E6" s="272"/>
      <c r="F6" s="272"/>
      <c r="G6" s="272"/>
      <c r="H6" s="272"/>
      <c r="I6" s="272"/>
      <c r="J6" s="273"/>
    </row>
    <row r="7" spans="1:45">
      <c r="B7" s="261" t="s">
        <v>115</v>
      </c>
      <c r="C7" s="262"/>
      <c r="D7" s="263" t="s">
        <v>2869</v>
      </c>
      <c r="E7" s="264"/>
      <c r="F7" s="264"/>
      <c r="G7" s="264"/>
      <c r="H7" s="264"/>
      <c r="I7" s="264"/>
      <c r="J7" s="265"/>
    </row>
    <row r="8" spans="1:45">
      <c r="B8" s="261" t="s">
        <v>116</v>
      </c>
      <c r="C8" s="262"/>
      <c r="D8" s="263" t="str">
        <f>エンティティ一覧!AE2&amp;"_"&amp;D5&amp;"_text_mml_mmlsg_surgery_item"</f>
        <v>azn_202310_backup_text_mml_mmlsg_surgery_item</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MML_手術モジュール_手術項目テーブルから組入れ条件の第一条件で絞り込んだ結果を格納するテーブル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milscm_2023_010.azn_202310_backup_text_mml_mmlsg_surgery_item;</v>
      </c>
      <c r="O10" s="76"/>
      <c r="P10" s="76"/>
      <c r="Q10" s="76"/>
      <c r="R10" s="76"/>
      <c r="S10" s="76"/>
      <c r="T10" s="76"/>
      <c r="AJ10" s="76" t="str">
        <f>"ALTER TABLE ONLY "&amp;エンティティ一覧!$O$2&amp;"."&amp;D$8</f>
        <v>ALTER TABLE ONLY milscm_2023_010.azn_202310_backup_text_mml_mmlsg_surgery_item</v>
      </c>
      <c r="AS10" s="76" t="str">
        <f>"ALTER TABLE "&amp;エンティティ一覧!$O$2&amp;"."&amp;D$8&amp;" OWNER TO pgmisgrp1;"</f>
        <v>ALTER TABLE milscm_2023_010.azn_202310_backup_text_mml_mmlsg_surgery_item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milscm_2023_010.azn_202310_backup_text_mml_mmlsg_surgery_item</v>
      </c>
      <c r="O11" s="76"/>
      <c r="P11" s="76"/>
      <c r="Q11" s="76"/>
      <c r="R11" s="76"/>
      <c r="S11" s="76"/>
      <c r="T11" s="76"/>
      <c r="AJ11" s="76" t="str">
        <f>"ADD CONSTRAINT "&amp;D$8&amp;"_pkey PRIMARY KEY"</f>
        <v>ADD CONSTRAINT azn_202310_backup_text_mml_mmlsg_surgery_item_pkey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milscm_2023_010.azn_202310_backup_text_mml_mmlsg_surgery_item IS 'バックアップ_MML_手術モジュール_手術項目';</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5" si="0">UPPER(G13)</f>
        <v>INTEGER</v>
      </c>
      <c r="R13" s="76" t="str">
        <f t="shared" ref="R13:R25"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milscm_2023_010.azn_202310_backup_text_mml_mmlsg_surgery_item.zip_no IS 'ZipファイルNo';</v>
      </c>
    </row>
    <row r="14" spans="1:45" s="25" customFormat="1">
      <c r="A14" s="4"/>
      <c r="B14" s="21">
        <f t="shared" ref="B14:B24" si="2">ROW()-12</f>
        <v>2</v>
      </c>
      <c r="C14" s="6" t="s">
        <v>2781</v>
      </c>
      <c r="D14" s="6" t="s">
        <v>2782</v>
      </c>
      <c r="E14" s="8" t="s">
        <v>127</v>
      </c>
      <c r="F14" s="7" t="s">
        <v>2780</v>
      </c>
      <c r="G14" s="7" t="str">
        <f t="shared" ref="G14:G25" si="3">IF(F14="フラグ","boolean",IF(F14="文字列","text",IF(F14="整数","integer",IF(F14="実数","numeric",""))))</f>
        <v>integer</v>
      </c>
      <c r="H14" s="26"/>
      <c r="I14" s="10" t="s">
        <v>127</v>
      </c>
      <c r="J14" s="11"/>
      <c r="M14" s="4"/>
      <c r="N14" s="76"/>
      <c r="O14" s="76"/>
      <c r="P14" s="76" t="str">
        <f t="shared" ref="P14:P25" si="4">IF(B14&lt;&gt;1,","&amp;D14,D14)</f>
        <v>,file_no</v>
      </c>
      <c r="Q14" s="76" t="str">
        <f t="shared" si="0"/>
        <v>INTEGER</v>
      </c>
      <c r="R14" s="76" t="str">
        <f t="shared" si="1"/>
        <v/>
      </c>
      <c r="S14" s="76" t="str">
        <f t="shared" ref="S14:S25" si="5">IF(I14="○","NOT NULL","")</f>
        <v>NOT NULL</v>
      </c>
      <c r="T14" s="76" t="str">
        <f t="shared" ref="T14:T25"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milscm_2023_010.azn_202310_backup_text_mml_mmlsg_surgery_item.file_no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milscm_2023_010.azn_202310_backup_text_mml_mmlsg_surgery_item.body_no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milscm_2023_010.azn_202310_backup_text_mml_mmlsg_surgery_item.facility_id_mml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milscm_2023_010.azn_202310_backup_text_mml_mmlsg_surgery_item.master_id IS '患者ID';</v>
      </c>
    </row>
    <row r="18" spans="1:52" s="25" customFormat="1">
      <c r="A18" s="4"/>
      <c r="B18" s="21">
        <f t="shared" si="2"/>
        <v>6</v>
      </c>
      <c r="C18" s="6" t="s">
        <v>2870</v>
      </c>
      <c r="D18" s="6" t="s">
        <v>2871</v>
      </c>
      <c r="E18" s="8" t="s">
        <v>127</v>
      </c>
      <c r="F18" s="7" t="s">
        <v>2780</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milscm_2023_010.azn_202310_backup_text_mml_mmlsg_surgery_item.surgery_item_no IS '手術項目No';</v>
      </c>
    </row>
    <row r="19" spans="1:52" s="25" customFormat="1">
      <c r="A19" s="4"/>
      <c r="B19" s="21">
        <f t="shared" si="2"/>
        <v>7</v>
      </c>
      <c r="C19" s="6" t="s">
        <v>2872</v>
      </c>
      <c r="D19" s="6" t="s">
        <v>2873</v>
      </c>
      <c r="E19" s="8"/>
      <c r="F19" s="7" t="s">
        <v>1819</v>
      </c>
      <c r="G19" s="7" t="str">
        <f t="shared" si="3"/>
        <v>text</v>
      </c>
      <c r="H19" s="26"/>
      <c r="I19" s="10"/>
      <c r="J19" s="11"/>
      <c r="M19" s="4"/>
      <c r="N19" s="76"/>
      <c r="O19" s="76"/>
      <c r="P19" s="76" t="str">
        <f t="shared" si="4"/>
        <v>,surgical_info_type</v>
      </c>
      <c r="Q19" s="76" t="str">
        <f t="shared" si="0"/>
        <v>TEXT</v>
      </c>
      <c r="R19" s="76" t="str">
        <f t="shared" si="1"/>
        <v/>
      </c>
      <c r="S19" s="76" t="str">
        <f t="shared" si="5"/>
        <v/>
      </c>
      <c r="T19" s="76" t="str">
        <f t="shared" si="6"/>
        <v>-- 手術の種類コード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milscm_2023_010.azn_202310_backup_text_mml_mmlsg_surgery_item.surgical_info_type IS '手術の種類コード';</v>
      </c>
    </row>
    <row r="20" spans="1:52" s="25" customFormat="1">
      <c r="A20" s="4"/>
      <c r="B20" s="21">
        <f t="shared" si="2"/>
        <v>8</v>
      </c>
      <c r="C20" s="6" t="s">
        <v>2874</v>
      </c>
      <c r="D20" s="6" t="s">
        <v>2875</v>
      </c>
      <c r="E20" s="8"/>
      <c r="F20" s="7" t="s">
        <v>1819</v>
      </c>
      <c r="G20" s="7" t="str">
        <f t="shared" ref="G20:G23" si="7">IF(F20="フラグ","boolean",IF(F20="文字列","text",IF(F20="整数","integer",IF(F20="実数","numeric",""))))</f>
        <v>text</v>
      </c>
      <c r="H20" s="26"/>
      <c r="I20" s="10"/>
      <c r="J20" s="11" t="s">
        <v>2849</v>
      </c>
      <c r="M20" s="4"/>
      <c r="N20" s="76"/>
      <c r="O20" s="76"/>
      <c r="P20" s="76" t="str">
        <f t="shared" ref="P20:P23" si="8">IF(B20&lt;&gt;1,","&amp;D20,D20)</f>
        <v>,surgical_info_date</v>
      </c>
      <c r="Q20" s="76" t="str">
        <f t="shared" ref="Q20:Q23" si="9">UPPER(G20)</f>
        <v>TEXT</v>
      </c>
      <c r="R20" s="76" t="str">
        <f t="shared" ref="R20:R23" si="10">IF(H20&lt;&gt;"","default "&amp;IF(G20="text","'"&amp;H20&amp;"'",H20),"")</f>
        <v/>
      </c>
      <c r="S20" s="76" t="str">
        <f t="shared" ref="S20:S23" si="11">IF(I20="○","NOT NULL","")</f>
        <v/>
      </c>
      <c r="T20" s="76" t="str">
        <f t="shared" ref="T20:T23" si="12">"-- "&amp;C20</f>
        <v>-- 手術施行日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milscm_2023_010.azn_202310_backup_text_mml_mmlsg_surgery_item.surgical_info_date IS '手術施行日';</v>
      </c>
    </row>
    <row r="21" spans="1:52" s="25" customFormat="1" ht="29.45" customHeight="1">
      <c r="A21" s="4"/>
      <c r="B21" s="21">
        <f t="shared" si="2"/>
        <v>9</v>
      </c>
      <c r="C21" s="6" t="s">
        <v>2876</v>
      </c>
      <c r="D21" s="6" t="s">
        <v>2877</v>
      </c>
      <c r="E21" s="8"/>
      <c r="F21" s="7" t="s">
        <v>1819</v>
      </c>
      <c r="G21" s="7" t="str">
        <f t="shared" si="7"/>
        <v>text</v>
      </c>
      <c r="H21" s="26"/>
      <c r="I21" s="10"/>
      <c r="J21" s="11" t="s">
        <v>2886</v>
      </c>
      <c r="M21" s="4"/>
      <c r="N21" s="76"/>
      <c r="O21" s="76"/>
      <c r="P21" s="76" t="str">
        <f t="shared" si="8"/>
        <v>,surgical_info_start_time</v>
      </c>
      <c r="Q21" s="76" t="str">
        <f t="shared" si="9"/>
        <v>TEXT</v>
      </c>
      <c r="R21" s="76" t="str">
        <f t="shared" si="10"/>
        <v/>
      </c>
      <c r="S21" s="76" t="str">
        <f t="shared" si="11"/>
        <v/>
      </c>
      <c r="T21" s="76" t="str">
        <f t="shared" si="12"/>
        <v>-- 手術開始時刻</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milscm_2023_010.azn_202310_backup_text_mml_mmlsg_surgery_item.surgical_info_start_time IS '手術開始時刻';</v>
      </c>
    </row>
    <row r="22" spans="1:52" s="25" customFormat="1">
      <c r="A22" s="4"/>
      <c r="B22" s="21">
        <f t="shared" si="2"/>
        <v>10</v>
      </c>
      <c r="C22" s="6" t="s">
        <v>2878</v>
      </c>
      <c r="D22" s="6" t="s">
        <v>2879</v>
      </c>
      <c r="E22" s="8"/>
      <c r="F22" s="7" t="s">
        <v>1819</v>
      </c>
      <c r="G22" s="7" t="str">
        <f t="shared" si="7"/>
        <v>text</v>
      </c>
      <c r="H22" s="26"/>
      <c r="I22" s="10"/>
      <c r="J22" s="11" t="s">
        <v>2887</v>
      </c>
      <c r="M22" s="4"/>
      <c r="N22" s="76"/>
      <c r="O22" s="76"/>
      <c r="P22" s="76" t="str">
        <f t="shared" si="8"/>
        <v>,surgical_info_duration</v>
      </c>
      <c r="Q22" s="76" t="str">
        <f t="shared" si="9"/>
        <v>TEXT</v>
      </c>
      <c r="R22" s="76" t="str">
        <f t="shared" si="10"/>
        <v/>
      </c>
      <c r="S22" s="76" t="str">
        <f t="shared" si="11"/>
        <v/>
      </c>
      <c r="T22" s="76" t="str">
        <f t="shared" si="12"/>
        <v>-- 手術時間</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milscm_2023_010.azn_202310_backup_text_mml_mmlsg_surgery_item.surgical_info_duration IS '手術時間';</v>
      </c>
    </row>
    <row r="23" spans="1:52" s="25" customFormat="1">
      <c r="A23" s="4"/>
      <c r="B23" s="21">
        <f t="shared" si="2"/>
        <v>11</v>
      </c>
      <c r="C23" s="6" t="s">
        <v>2880</v>
      </c>
      <c r="D23" s="6" t="s">
        <v>2881</v>
      </c>
      <c r="E23" s="8"/>
      <c r="F23" s="7" t="s">
        <v>1819</v>
      </c>
      <c r="G23" s="7" t="str">
        <f t="shared" si="7"/>
        <v>text</v>
      </c>
      <c r="H23" s="26"/>
      <c r="I23" s="10"/>
      <c r="J23" s="11" t="s">
        <v>2887</v>
      </c>
      <c r="M23" s="4"/>
      <c r="N23" s="76"/>
      <c r="O23" s="76"/>
      <c r="P23" s="76" t="str">
        <f t="shared" si="8"/>
        <v>,anesthesia_duration</v>
      </c>
      <c r="Q23" s="76" t="str">
        <f t="shared" si="9"/>
        <v>TEXT</v>
      </c>
      <c r="R23" s="76" t="str">
        <f t="shared" si="10"/>
        <v/>
      </c>
      <c r="S23" s="76" t="str">
        <f t="shared" si="11"/>
        <v/>
      </c>
      <c r="T23" s="76" t="str">
        <f t="shared" si="12"/>
        <v>-- 麻酔時間</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milscm_2023_010.azn_202310_backup_text_mml_mmlsg_surgery_item.anesthesia_duration IS '麻酔時間';</v>
      </c>
    </row>
    <row r="24" spans="1:52" s="25" customFormat="1">
      <c r="A24" s="4"/>
      <c r="B24" s="21">
        <f t="shared" si="2"/>
        <v>12</v>
      </c>
      <c r="C24" s="6" t="s">
        <v>2882</v>
      </c>
      <c r="D24" s="6" t="s">
        <v>2883</v>
      </c>
      <c r="E24" s="8"/>
      <c r="F24" s="7" t="s">
        <v>1819</v>
      </c>
      <c r="G24" s="7" t="str">
        <f t="shared" si="3"/>
        <v>text</v>
      </c>
      <c r="H24" s="26"/>
      <c r="I24" s="10"/>
      <c r="J24" s="11"/>
      <c r="M24" s="4"/>
      <c r="N24" s="76"/>
      <c r="O24" s="76"/>
      <c r="P24" s="76" t="str">
        <f t="shared" si="4"/>
        <v>,operative_notes</v>
      </c>
      <c r="Q24" s="76" t="str">
        <f t="shared" si="0"/>
        <v>TEXT</v>
      </c>
      <c r="R24" s="76" t="str">
        <f t="shared" si="1"/>
        <v/>
      </c>
      <c r="S24" s="76" t="str">
        <f t="shared" si="5"/>
        <v/>
      </c>
      <c r="T24" s="76" t="str">
        <f t="shared" si="6"/>
        <v>-- 手術記録の自由文章表現</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milscm_2023_010.azn_202310_backup_text_mml_mmlsg_surgery_item.operative_notes IS '手術記録の自由文章表現';</v>
      </c>
    </row>
    <row r="25" spans="1:52" s="25" customFormat="1" ht="19.5" thickBot="1">
      <c r="A25" s="4"/>
      <c r="B25" s="27">
        <f>ROW()-12</f>
        <v>13</v>
      </c>
      <c r="C25" s="57" t="s">
        <v>2884</v>
      </c>
      <c r="D25" s="57" t="s">
        <v>2885</v>
      </c>
      <c r="E25" s="56"/>
      <c r="F25" s="56" t="s">
        <v>1819</v>
      </c>
      <c r="G25" s="56" t="str">
        <f t="shared" si="3"/>
        <v>text</v>
      </c>
      <c r="H25" s="59"/>
      <c r="I25" s="60"/>
      <c r="J25" s="63"/>
      <c r="N25" s="76"/>
      <c r="O25" s="76"/>
      <c r="P25" s="76" t="str">
        <f t="shared" si="4"/>
        <v>,memo</v>
      </c>
      <c r="Q25" s="76" t="str">
        <f t="shared" si="0"/>
        <v>TEXT</v>
      </c>
      <c r="R25" s="76" t="str">
        <f t="shared" si="1"/>
        <v/>
      </c>
      <c r="S25" s="76" t="str">
        <f t="shared" si="5"/>
        <v/>
      </c>
      <c r="T25" s="76" t="str">
        <f t="shared" si="6"/>
        <v>-- 手術に関する追加事項</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milscm_2023_010.azn_202310_backup_text_mml_mmlsg_surgery_item.memo IS '手術に関する追加事項';</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M29" s="25"/>
    </row>
    <row r="30" spans="1:52">
      <c r="M3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ENT_01_A6-43</v>
      </c>
      <c r="E6" s="272"/>
      <c r="F6" s="272"/>
      <c r="G6" s="272"/>
      <c r="H6" s="272"/>
      <c r="I6" s="272"/>
      <c r="J6" s="273"/>
    </row>
    <row r="7" spans="1:45">
      <c r="B7" s="261" t="s">
        <v>115</v>
      </c>
      <c r="C7" s="262"/>
      <c r="D7" s="263" t="s">
        <v>2888</v>
      </c>
      <c r="E7" s="264"/>
      <c r="F7" s="264"/>
      <c r="G7" s="264"/>
      <c r="H7" s="264"/>
      <c r="I7" s="264"/>
      <c r="J7" s="265"/>
    </row>
    <row r="8" spans="1:45">
      <c r="B8" s="261" t="s">
        <v>116</v>
      </c>
      <c r="C8" s="262"/>
      <c r="D8" s="263" t="str">
        <f>エンティティ一覧!AE2&amp;"_"&amp;D5&amp;"_text_mml_mmlsg_dp"</f>
        <v>azn_202310_backup_text_mml_mmlsg_dp</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MML_手術モジュール_診療科情報テーブルから組入れ条件の第一条件で絞り込んだ結果を格納するテーブル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milscm_2023_010.azn_202310_backup_text_mml_mmlsg_dp;</v>
      </c>
      <c r="O10" s="76"/>
      <c r="P10" s="76"/>
      <c r="Q10" s="76"/>
      <c r="R10" s="76"/>
      <c r="S10" s="76"/>
      <c r="T10" s="76"/>
      <c r="AJ10" s="76" t="str">
        <f>"ALTER TABLE ONLY "&amp;エンティティ一覧!$O$2&amp;"."&amp;D$8</f>
        <v>ALTER TABLE ONLY milscm_2023_010.azn_202310_backup_text_mml_mmlsg_dp</v>
      </c>
      <c r="AS10" s="76" t="str">
        <f>"ALTER TABLE "&amp;エンティティ一覧!$O$2&amp;"."&amp;D$8&amp;" OWNER TO pgmisgrp1;"</f>
        <v>ALTER TABLE milscm_2023_010.azn_202310_backup_text_mml_mmlsg_dp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milscm_2023_010.azn_202310_backup_text_mml_mmlsg_dp</v>
      </c>
      <c r="O11" s="76"/>
      <c r="P11" s="76"/>
      <c r="Q11" s="76"/>
      <c r="R11" s="76"/>
      <c r="S11" s="76"/>
      <c r="T11" s="76"/>
      <c r="AJ11" s="76" t="str">
        <f>"ADD CONSTRAINT "&amp;D$8&amp;"_pkey PRIMARY KEY"</f>
        <v>ADD CONSTRAINT azn_202310_backup_text_mml_mmlsg_dp_pkey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milscm_2023_010.azn_202310_backup_text_mml_mmlsg_dp IS 'バックアップ_MML_手術モジュール_診療科情報';</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9" si="0">UPPER(G13)</f>
        <v>INTEGER</v>
      </c>
      <c r="R13" s="76" t="str">
        <f t="shared" ref="R13:R29"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milscm_2023_010.azn_202310_backup_text_mml_mmlsg_dp.zip_no IS 'ZipファイルNo';</v>
      </c>
    </row>
    <row r="14" spans="1:45" s="25" customFormat="1">
      <c r="A14" s="4"/>
      <c r="B14" s="21">
        <f t="shared" ref="B14:B28" si="2">ROW()-12</f>
        <v>2</v>
      </c>
      <c r="C14" s="6" t="s">
        <v>2781</v>
      </c>
      <c r="D14" s="6" t="s">
        <v>2782</v>
      </c>
      <c r="E14" s="8" t="s">
        <v>127</v>
      </c>
      <c r="F14" s="7" t="s">
        <v>2780</v>
      </c>
      <c r="G14" s="7" t="str">
        <f t="shared" ref="G14:G29" si="3">IF(F14="フラグ","boolean",IF(F14="文字列","text",IF(F14="整数","integer",IF(F14="実数","numeric",""))))</f>
        <v>integer</v>
      </c>
      <c r="H14" s="26"/>
      <c r="I14" s="10" t="s">
        <v>127</v>
      </c>
      <c r="J14" s="11"/>
      <c r="M14" s="4"/>
      <c r="N14" s="76"/>
      <c r="O14" s="76"/>
      <c r="P14" s="76" t="str">
        <f t="shared" ref="P14:P29" si="4">IF(B14&lt;&gt;1,","&amp;D14,D14)</f>
        <v>,file_no</v>
      </c>
      <c r="Q14" s="76" t="str">
        <f t="shared" si="0"/>
        <v>INTEGER</v>
      </c>
      <c r="R14" s="76" t="str">
        <f t="shared" si="1"/>
        <v/>
      </c>
      <c r="S14" s="76" t="str">
        <f t="shared" ref="S14:S29" si="5">IF(I14="○","NOT NULL","")</f>
        <v>NOT NULL</v>
      </c>
      <c r="T14" s="76" t="str">
        <f t="shared" ref="T14:T29"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milscm_2023_010.azn_202310_backup_text_mml_mmlsg_dp.file_no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milscm_2023_010.azn_202310_backup_text_mml_mmlsg_dp.body_no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milscm_2023_010.azn_202310_backup_text_mml_mmlsg_dp.facility_id_mml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milscm_2023_010.azn_202310_backup_text_mml_mmlsg_dp.master_id IS '患者ID';</v>
      </c>
    </row>
    <row r="18" spans="1:52" s="25" customFormat="1">
      <c r="A18" s="4"/>
      <c r="B18" s="21">
        <f t="shared" si="2"/>
        <v>6</v>
      </c>
      <c r="C18" s="6" t="s">
        <v>2889</v>
      </c>
      <c r="D18" s="6" t="s">
        <v>2871</v>
      </c>
      <c r="E18" s="8" t="s">
        <v>127</v>
      </c>
      <c r="F18" s="7" t="s">
        <v>2780</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milscm_2023_010.azn_202310_backup_text_mml_mmlsg_dp.surgery_item_no IS '手術項目No';</v>
      </c>
    </row>
    <row r="19" spans="1:52" s="25" customFormat="1" ht="56.25">
      <c r="A19" s="4"/>
      <c r="B19" s="21">
        <f t="shared" si="2"/>
        <v>7</v>
      </c>
      <c r="C19" s="6" t="s">
        <v>2890</v>
      </c>
      <c r="D19" s="6" t="s">
        <v>2797</v>
      </c>
      <c r="E19" s="8" t="s">
        <v>127</v>
      </c>
      <c r="F19" s="7" t="s">
        <v>1819</v>
      </c>
      <c r="G19" s="7" t="str">
        <f t="shared" ref="G19:G22" si="7">IF(F19="フラグ","boolean",IF(F19="文字列","text",IF(F19="整数","integer",IF(F19="実数","numeric",""))))</f>
        <v>text</v>
      </c>
      <c r="H19" s="26"/>
      <c r="I19" s="10" t="s">
        <v>127</v>
      </c>
      <c r="J19" s="11" t="s">
        <v>2910</v>
      </c>
      <c r="M19" s="4"/>
      <c r="N19" s="76"/>
      <c r="O19" s="76"/>
      <c r="P19" s="76" t="str">
        <f t="shared" ref="P19:P22" si="8">IF(B19&lt;&gt;1,","&amp;D19,D19)</f>
        <v>,tag_name</v>
      </c>
      <c r="Q19" s="76" t="str">
        <f t="shared" ref="Q19:Q22" si="9">UPPER(G19)</f>
        <v>TEXT</v>
      </c>
      <c r="R19" s="76" t="str">
        <f t="shared" ref="R19:R22" si="10">IF(H19&lt;&gt;"","default "&amp;IF(G19="text","'"&amp;H19&amp;"'",H19),"")</f>
        <v/>
      </c>
      <c r="S19" s="76" t="str">
        <f t="shared" ref="S19:S22" si="11">IF(I19="○","NOT NULL","")</f>
        <v>NOT NULL</v>
      </c>
      <c r="T19" s="76" t="str">
        <f t="shared" ref="T19:T22" si="12">"-- "&amp;C19</f>
        <v>-- タグ名</v>
      </c>
      <c r="U19" s="4"/>
      <c r="AA19" s="4"/>
      <c r="AB19" s="4"/>
      <c r="AC19" s="4"/>
      <c r="AD19" s="4"/>
      <c r="AE19" s="4"/>
      <c r="AF19" s="4"/>
      <c r="AG19" s="4"/>
      <c r="AH19" s="4"/>
      <c r="AI19" s="4"/>
      <c r="AJ19" s="76" t="str">
        <f>IF(E19="○",IF(COUNTA(E$13:E19)=1,"",",")&amp;D19,"")</f>
        <v>,tag_name</v>
      </c>
      <c r="AK19" s="4"/>
      <c r="AL19" s="4"/>
      <c r="AM19" s="4"/>
      <c r="AN19" s="4"/>
      <c r="AO19" s="4"/>
      <c r="AP19" s="4"/>
      <c r="AQ19" s="4"/>
      <c r="AR19" s="4"/>
      <c r="AS19" s="76" t="str">
        <f>"COMMENT ON COLUMN "&amp;エンティティ一覧!$O$2&amp;"."&amp;D$8&amp;"."&amp;D19&amp;" IS '"&amp;C19&amp;"';"</f>
        <v>COMMENT ON COLUMN milscm_2023_010.azn_202310_backup_text_mml_mmlsg_dp.tag_name IS 'タグ名';</v>
      </c>
    </row>
    <row r="20" spans="1:52" s="25" customFormat="1">
      <c r="A20" s="4"/>
      <c r="B20" s="21">
        <f t="shared" si="2"/>
        <v>8</v>
      </c>
      <c r="C20" s="6" t="s">
        <v>2891</v>
      </c>
      <c r="D20" s="6" t="s">
        <v>2892</v>
      </c>
      <c r="E20" s="8" t="s">
        <v>127</v>
      </c>
      <c r="F20" s="7" t="s">
        <v>2780</v>
      </c>
      <c r="G20" s="7" t="str">
        <f t="shared" si="7"/>
        <v>integer</v>
      </c>
      <c r="H20" s="26"/>
      <c r="I20" s="10" t="s">
        <v>127</v>
      </c>
      <c r="J20" s="11" t="s">
        <v>2911</v>
      </c>
      <c r="M20" s="4"/>
      <c r="N20" s="76"/>
      <c r="O20" s="76"/>
      <c r="P20" s="76" t="str">
        <f t="shared" si="8"/>
        <v>,dp_no</v>
      </c>
      <c r="Q20" s="76" t="str">
        <f t="shared" si="9"/>
        <v>INTEGER</v>
      </c>
      <c r="R20" s="76" t="str">
        <f t="shared" si="10"/>
        <v/>
      </c>
      <c r="S20" s="76" t="str">
        <f t="shared" si="11"/>
        <v>NOT NULL</v>
      </c>
      <c r="T20" s="76" t="str">
        <f t="shared" si="12"/>
        <v>-- 診療科情報No</v>
      </c>
      <c r="U20" s="4"/>
      <c r="AA20" s="4"/>
      <c r="AB20" s="4"/>
      <c r="AC20" s="4"/>
      <c r="AD20" s="4"/>
      <c r="AE20" s="4"/>
      <c r="AF20" s="4"/>
      <c r="AG20" s="4"/>
      <c r="AH20" s="4"/>
      <c r="AI20" s="4"/>
      <c r="AJ20" s="76" t="str">
        <f>IF(E20="○",IF(COUNTA(E$13:E20)=1,"",",")&amp;D20,"")</f>
        <v>,dp_no</v>
      </c>
      <c r="AK20" s="4"/>
      <c r="AL20" s="4"/>
      <c r="AM20" s="4"/>
      <c r="AN20" s="4"/>
      <c r="AO20" s="4"/>
      <c r="AP20" s="4"/>
      <c r="AQ20" s="4"/>
      <c r="AR20" s="4"/>
      <c r="AS20" s="76" t="str">
        <f>"COMMENT ON COLUMN "&amp;エンティティ一覧!$O$2&amp;"."&amp;D$8&amp;"."&amp;D20&amp;" IS '"&amp;C20&amp;"';"</f>
        <v>COMMENT ON COLUMN milscm_2023_010.azn_202310_backup_text_mml_mmlsg_dp.dp_no IS '診療科情報No';</v>
      </c>
    </row>
    <row r="21" spans="1:52" s="25" customFormat="1">
      <c r="A21" s="4"/>
      <c r="B21" s="21">
        <f t="shared" si="2"/>
        <v>9</v>
      </c>
      <c r="C21" s="6" t="s">
        <v>2893</v>
      </c>
      <c r="D21" s="6" t="s">
        <v>2894</v>
      </c>
      <c r="E21" s="8" t="s">
        <v>127</v>
      </c>
      <c r="F21" s="7" t="s">
        <v>2780</v>
      </c>
      <c r="G21" s="7" t="str">
        <f t="shared" si="7"/>
        <v>integer</v>
      </c>
      <c r="H21" s="26"/>
      <c r="I21" s="10" t="s">
        <v>127</v>
      </c>
      <c r="J21" s="11" t="s">
        <v>2912</v>
      </c>
      <c r="M21" s="4"/>
      <c r="N21" s="76"/>
      <c r="O21" s="76"/>
      <c r="P21" s="76" t="str">
        <f t="shared" si="8"/>
        <v>,dp_name_no</v>
      </c>
      <c r="Q21" s="76" t="str">
        <f t="shared" si="9"/>
        <v>INTEGER</v>
      </c>
      <c r="R21" s="76" t="str">
        <f t="shared" si="10"/>
        <v/>
      </c>
      <c r="S21" s="76" t="str">
        <f t="shared" si="11"/>
        <v>NOT NULL</v>
      </c>
      <c r="T21" s="76" t="str">
        <f t="shared" si="12"/>
        <v>-- 診療科名称No</v>
      </c>
      <c r="U21" s="4"/>
      <c r="AA21" s="4"/>
      <c r="AB21" s="4"/>
      <c r="AC21" s="4"/>
      <c r="AD21" s="4"/>
      <c r="AE21" s="4"/>
      <c r="AF21" s="4"/>
      <c r="AG21" s="4"/>
      <c r="AH21" s="4"/>
      <c r="AI21" s="4"/>
      <c r="AJ21" s="76" t="str">
        <f>IF(E21="○",IF(COUNTA(E$13:E21)=1,"",",")&amp;D21,"")</f>
        <v>,dp_name_no</v>
      </c>
      <c r="AK21" s="4"/>
      <c r="AL21" s="4"/>
      <c r="AM21" s="4"/>
      <c r="AN21" s="4"/>
      <c r="AO21" s="4"/>
      <c r="AP21" s="4"/>
      <c r="AQ21" s="4"/>
      <c r="AR21" s="4"/>
      <c r="AS21" s="76" t="str">
        <f>"COMMENT ON COLUMN "&amp;エンティティ一覧!$O$2&amp;"."&amp;D$8&amp;"."&amp;D21&amp;" IS '"&amp;C21&amp;"';"</f>
        <v>COMMENT ON COLUMN milscm_2023_010.azn_202310_backup_text_mml_mmlsg_dp.dp_name_no IS '診療科名称No';</v>
      </c>
    </row>
    <row r="22" spans="1:52" s="25" customFormat="1">
      <c r="A22" s="4"/>
      <c r="B22" s="21">
        <f t="shared" si="2"/>
        <v>10</v>
      </c>
      <c r="C22" s="6" t="s">
        <v>2895</v>
      </c>
      <c r="D22" s="6" t="s">
        <v>2896</v>
      </c>
      <c r="E22" s="8"/>
      <c r="F22" s="7" t="s">
        <v>1819</v>
      </c>
      <c r="G22" s="7" t="str">
        <f t="shared" si="7"/>
        <v>text</v>
      </c>
      <c r="H22" s="26"/>
      <c r="I22" s="10"/>
      <c r="J22" s="11"/>
      <c r="M22" s="4"/>
      <c r="N22" s="76"/>
      <c r="O22" s="76"/>
      <c r="P22" s="76" t="str">
        <f t="shared" si="8"/>
        <v>,id</v>
      </c>
      <c r="Q22" s="76" t="str">
        <f t="shared" si="9"/>
        <v>TEXT</v>
      </c>
      <c r="R22" s="76" t="str">
        <f t="shared" si="10"/>
        <v/>
      </c>
      <c r="S22" s="76" t="str">
        <f t="shared" si="11"/>
        <v/>
      </c>
      <c r="T22" s="76" t="str">
        <f t="shared" si="12"/>
        <v>-- 診療科ID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milscm_2023_010.azn_202310_backup_text_mml_mmlsg_dp.id IS '診療科ID';</v>
      </c>
    </row>
    <row r="23" spans="1:52" s="25" customFormat="1">
      <c r="A23" s="4"/>
      <c r="B23" s="21">
        <f t="shared" si="2"/>
        <v>11</v>
      </c>
      <c r="C23" s="6" t="s">
        <v>2897</v>
      </c>
      <c r="D23" s="6" t="s">
        <v>2898</v>
      </c>
      <c r="E23" s="8"/>
      <c r="F23" s="7" t="s">
        <v>1819</v>
      </c>
      <c r="G23" s="7" t="str">
        <f t="shared" si="3"/>
        <v>text</v>
      </c>
      <c r="H23" s="26"/>
      <c r="I23" s="10"/>
      <c r="J23" s="11"/>
      <c r="M23" s="4"/>
      <c r="N23" s="76"/>
      <c r="O23" s="76"/>
      <c r="P23" s="76" t="str">
        <f t="shared" si="4"/>
        <v>,type</v>
      </c>
      <c r="Q23" s="76" t="str">
        <f t="shared" si="0"/>
        <v>TEXT</v>
      </c>
      <c r="R23" s="76" t="str">
        <f t="shared" si="1"/>
        <v/>
      </c>
      <c r="S23" s="76" t="str">
        <f t="shared" si="5"/>
        <v/>
      </c>
      <c r="T23" s="76" t="str">
        <f t="shared" si="6"/>
        <v>-- 診療科ID_種類コード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milscm_2023_010.azn_202310_backup_text_mml_mmlsg_dp.type IS '診療科ID_種類コード';</v>
      </c>
    </row>
    <row r="24" spans="1:52" s="25" customFormat="1">
      <c r="A24" s="4"/>
      <c r="B24" s="21">
        <f t="shared" si="2"/>
        <v>12</v>
      </c>
      <c r="C24" s="6" t="s">
        <v>2899</v>
      </c>
      <c r="D24" s="6" t="s">
        <v>2808</v>
      </c>
      <c r="E24" s="8"/>
      <c r="F24" s="7" t="s">
        <v>1819</v>
      </c>
      <c r="G24" s="7" t="str">
        <f t="shared" si="3"/>
        <v>text</v>
      </c>
      <c r="H24" s="26"/>
      <c r="I24" s="10"/>
      <c r="J24" s="11"/>
      <c r="M24" s="4"/>
      <c r="N24" s="76"/>
      <c r="O24" s="76"/>
      <c r="P24" s="76" t="str">
        <f t="shared" si="4"/>
        <v>,table_id</v>
      </c>
      <c r="Q24" s="76" t="str">
        <f t="shared" si="0"/>
        <v>TEXT</v>
      </c>
      <c r="R24" s="76" t="str">
        <f t="shared" si="1"/>
        <v/>
      </c>
      <c r="S24" s="76" t="str">
        <f t="shared" si="5"/>
        <v/>
      </c>
      <c r="T24" s="76" t="str">
        <f t="shared" si="6"/>
        <v>-- 診療科ID_テーブル名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milscm_2023_010.azn_202310_backup_text_mml_mmlsg_dp.table_id IS '診療科ID_テーブル名';</v>
      </c>
    </row>
    <row r="25" spans="1:52" s="25" customFormat="1" ht="29.45" customHeight="1">
      <c r="A25" s="4"/>
      <c r="B25" s="21">
        <f t="shared" si="2"/>
        <v>13</v>
      </c>
      <c r="C25" s="6" t="s">
        <v>2900</v>
      </c>
      <c r="D25" s="6" t="s">
        <v>2901</v>
      </c>
      <c r="E25" s="8"/>
      <c r="F25" s="7" t="s">
        <v>2780</v>
      </c>
      <c r="G25" s="7" t="str">
        <f t="shared" si="3"/>
        <v>integer</v>
      </c>
      <c r="H25" s="26"/>
      <c r="I25" s="10"/>
      <c r="J25" s="11"/>
      <c r="M25" s="4"/>
      <c r="N25" s="76"/>
      <c r="O25" s="76"/>
      <c r="P25" s="76" t="str">
        <f t="shared" si="4"/>
        <v>,check_digit</v>
      </c>
      <c r="Q25" s="76" t="str">
        <f t="shared" si="0"/>
        <v>INTEGER</v>
      </c>
      <c r="R25" s="76" t="str">
        <f t="shared" si="1"/>
        <v/>
      </c>
      <c r="S25" s="76" t="str">
        <f t="shared" si="5"/>
        <v/>
      </c>
      <c r="T25" s="76" t="str">
        <f t="shared" si="6"/>
        <v>-- 診療科ID_チェックディジット</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milscm_2023_010.azn_202310_backup_text_mml_mmlsg_dp.check_digit IS '診療科ID_チェックディジット';</v>
      </c>
    </row>
    <row r="26" spans="1:52" s="25" customFormat="1">
      <c r="A26" s="4"/>
      <c r="B26" s="21">
        <f t="shared" si="2"/>
        <v>14</v>
      </c>
      <c r="C26" s="6" t="s">
        <v>2902</v>
      </c>
      <c r="D26" s="6" t="s">
        <v>2903</v>
      </c>
      <c r="E26" s="8"/>
      <c r="F26" s="7" t="s">
        <v>1819</v>
      </c>
      <c r="G26" s="7" t="str">
        <f t="shared" si="3"/>
        <v>text</v>
      </c>
      <c r="H26" s="26"/>
      <c r="I26" s="10"/>
      <c r="J26" s="11"/>
      <c r="M26" s="4"/>
      <c r="N26" s="76"/>
      <c r="O26" s="76"/>
      <c r="P26" s="76" t="str">
        <f t="shared" si="4"/>
        <v>,check_digit_schema</v>
      </c>
      <c r="Q26" s="76" t="str">
        <f t="shared" si="0"/>
        <v>TEXT</v>
      </c>
      <c r="R26" s="76" t="str">
        <f t="shared" si="1"/>
        <v/>
      </c>
      <c r="S26" s="76" t="str">
        <f t="shared" si="5"/>
        <v/>
      </c>
      <c r="T26" s="76" t="str">
        <f t="shared" si="6"/>
        <v>-- 診療科ID_チェックディジット方式</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milscm_2023_010.azn_202310_backup_text_mml_mmlsg_dp.check_digit_schema IS '診療科ID_チェックディジット方式';</v>
      </c>
    </row>
    <row r="27" spans="1:52" s="25" customFormat="1">
      <c r="A27" s="4"/>
      <c r="B27" s="21">
        <f t="shared" si="2"/>
        <v>15</v>
      </c>
      <c r="C27" s="6" t="s">
        <v>2904</v>
      </c>
      <c r="D27" s="6" t="s">
        <v>2905</v>
      </c>
      <c r="E27" s="8"/>
      <c r="F27" s="7" t="s">
        <v>1819</v>
      </c>
      <c r="G27" s="7" t="str">
        <f t="shared" si="3"/>
        <v>text</v>
      </c>
      <c r="H27" s="26"/>
      <c r="I27" s="10"/>
      <c r="J27" s="11"/>
      <c r="M27" s="4"/>
      <c r="N27" s="76"/>
      <c r="O27" s="76"/>
      <c r="P27" s="76" t="str">
        <f t="shared" si="4"/>
        <v>,dp_name</v>
      </c>
      <c r="Q27" s="76" t="str">
        <f t="shared" si="0"/>
        <v>TEXT</v>
      </c>
      <c r="R27" s="76" t="str">
        <f t="shared" si="1"/>
        <v/>
      </c>
      <c r="S27" s="76" t="str">
        <f t="shared" si="5"/>
        <v/>
      </c>
      <c r="T27" s="76" t="str">
        <f t="shared" si="6"/>
        <v>-- 診療科名称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milscm_2023_010.azn_202310_backup_text_mml_mmlsg_dp.dp_name IS '診療科名称';</v>
      </c>
    </row>
    <row r="28" spans="1:52" s="25" customFormat="1">
      <c r="A28" s="4"/>
      <c r="B28" s="21">
        <f t="shared" si="2"/>
        <v>16</v>
      </c>
      <c r="C28" s="6" t="s">
        <v>2906</v>
      </c>
      <c r="D28" s="6" t="s">
        <v>2907</v>
      </c>
      <c r="E28" s="8"/>
      <c r="F28" s="7" t="s">
        <v>1819</v>
      </c>
      <c r="G28" s="7" t="str">
        <f t="shared" si="3"/>
        <v>text</v>
      </c>
      <c r="H28" s="26"/>
      <c r="I28" s="10"/>
      <c r="J28" s="11"/>
      <c r="M28" s="4"/>
      <c r="N28" s="76"/>
      <c r="O28" s="76"/>
      <c r="P28" s="76" t="str">
        <f t="shared" si="4"/>
        <v>,dp_name_rep_code</v>
      </c>
      <c r="Q28" s="76" t="str">
        <f t="shared" si="0"/>
        <v>TEXT</v>
      </c>
      <c r="R28" s="76" t="str">
        <f t="shared" si="1"/>
        <v/>
      </c>
      <c r="S28" s="76" t="str">
        <f t="shared" si="5"/>
        <v/>
      </c>
      <c r="T28" s="76" t="str">
        <f t="shared" si="6"/>
        <v>-- 診療科名称_表記法</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milscm_2023_010.azn_202310_backup_text_mml_mmlsg_dp.dp_name_rep_code IS '診療科名称_表記法';</v>
      </c>
    </row>
    <row r="29" spans="1:52" s="25" customFormat="1" ht="19.5" thickBot="1">
      <c r="A29" s="4"/>
      <c r="B29" s="27">
        <f>ROW()-12</f>
        <v>17</v>
      </c>
      <c r="C29" s="57" t="s">
        <v>2908</v>
      </c>
      <c r="D29" s="57" t="s">
        <v>2909</v>
      </c>
      <c r="E29" s="56"/>
      <c r="F29" s="56" t="s">
        <v>1819</v>
      </c>
      <c r="G29" s="56" t="str">
        <f t="shared" si="3"/>
        <v>text</v>
      </c>
      <c r="H29" s="59"/>
      <c r="I29" s="60"/>
      <c r="J29" s="63"/>
      <c r="N29" s="76"/>
      <c r="O29" s="76"/>
      <c r="P29" s="76" t="str">
        <f t="shared" si="4"/>
        <v>,dp_name_table_id</v>
      </c>
      <c r="Q29" s="76" t="str">
        <f t="shared" si="0"/>
        <v>TEXT</v>
      </c>
      <c r="R29" s="76" t="str">
        <f t="shared" si="1"/>
        <v/>
      </c>
      <c r="S29" s="76" t="str">
        <f t="shared" si="5"/>
        <v/>
      </c>
      <c r="T29" s="76" t="str">
        <f t="shared" si="6"/>
        <v>-- 診療科名称_テーブル名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milscm_2023_010.azn_202310_backup_text_mml_mmlsg_dp.dp_name_table_id IS '診療科名称_テーブル名';</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ENT_01_A6-44</v>
      </c>
      <c r="E6" s="272"/>
      <c r="F6" s="272"/>
      <c r="G6" s="272"/>
      <c r="H6" s="272"/>
      <c r="I6" s="272"/>
      <c r="J6" s="273"/>
    </row>
    <row r="7" spans="1:45">
      <c r="B7" s="261" t="s">
        <v>115</v>
      </c>
      <c r="C7" s="262"/>
      <c r="D7" s="263" t="s">
        <v>2913</v>
      </c>
      <c r="E7" s="264"/>
      <c r="F7" s="264"/>
      <c r="G7" s="264"/>
      <c r="H7" s="264"/>
      <c r="I7" s="264"/>
      <c r="J7" s="265"/>
    </row>
    <row r="8" spans="1:45">
      <c r="B8" s="261" t="s">
        <v>116</v>
      </c>
      <c r="C8" s="262"/>
      <c r="D8" s="263" t="str">
        <f>エンティティ一覧!AE2&amp;"_"&amp;D5&amp;"_text_mml_mmlsg_rd"</f>
        <v>azn_202310_backup_text_mml_mmlsg_rd</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MML_手術モジュール_診断履歴情報テーブルから組入れ条件の第一条件で絞り込んだ結果を格納するテーブル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milscm_2023_010.azn_202310_backup_text_mml_mmlsg_rd;</v>
      </c>
      <c r="O10" s="76"/>
      <c r="P10" s="76"/>
      <c r="Q10" s="76"/>
      <c r="R10" s="76"/>
      <c r="S10" s="76"/>
      <c r="T10" s="76"/>
      <c r="AJ10" s="76" t="str">
        <f>"ALTER TABLE ONLY "&amp;エンティティ一覧!$O$2&amp;"."&amp;D$8</f>
        <v>ALTER TABLE ONLY milscm_2023_010.azn_202310_backup_text_mml_mmlsg_rd</v>
      </c>
      <c r="AS10" s="76" t="str">
        <f>"ALTER TABLE "&amp;エンティティ一覧!$O$2&amp;"."&amp;D$8&amp;" OWNER TO pgmisgrp1;"</f>
        <v>ALTER TABLE milscm_2023_010.azn_202310_backup_text_mml_mmlsg_rd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milscm_2023_010.azn_202310_backup_text_mml_mmlsg_rd</v>
      </c>
      <c r="O11" s="76"/>
      <c r="P11" s="76"/>
      <c r="Q11" s="76"/>
      <c r="R11" s="76"/>
      <c r="S11" s="76"/>
      <c r="T11" s="76"/>
      <c r="AJ11" s="76" t="str">
        <f>"ADD CONSTRAINT "&amp;D$8&amp;"_pkey PRIMARY KEY"</f>
        <v>ADD CONSTRAINT azn_202310_backup_text_mml_mmlsg_rd_pkey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milscm_2023_010.azn_202310_backup_text_mml_mmlsg_rd IS 'バックアップ_MML_手術モジュール_診断履歴情報';</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milscm_2023_010.azn_202310_backup_text_mml_mmlsg_rd.zip_no IS 'ZipファイルNo';</v>
      </c>
    </row>
    <row r="14" spans="1:45" s="25" customFormat="1">
      <c r="A14" s="4"/>
      <c r="B14" s="21">
        <f t="shared" ref="B14:B22" si="2">ROW()-12</f>
        <v>2</v>
      </c>
      <c r="C14" s="6" t="s">
        <v>2781</v>
      </c>
      <c r="D14" s="6" t="s">
        <v>2782</v>
      </c>
      <c r="E14" s="8" t="s">
        <v>127</v>
      </c>
      <c r="F14" s="7" t="s">
        <v>2780</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milscm_2023_010.azn_202310_backup_text_mml_mmlsg_rd.file_no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milscm_2023_010.azn_202310_backup_text_mml_mmlsg_rd.body_no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milscm_2023_010.azn_202310_backup_text_mml_mmlsg_rd.facility_id_mml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milscm_2023_010.azn_202310_backup_text_mml_mmlsg_rd.master_id IS '患者ID';</v>
      </c>
    </row>
    <row r="18" spans="1:52" s="25" customFormat="1">
      <c r="A18" s="4"/>
      <c r="B18" s="21">
        <f t="shared" si="2"/>
        <v>6</v>
      </c>
      <c r="C18" s="6" t="s">
        <v>2870</v>
      </c>
      <c r="D18" s="6" t="s">
        <v>2871</v>
      </c>
      <c r="E18" s="8" t="s">
        <v>127</v>
      </c>
      <c r="F18" s="7" t="s">
        <v>2780</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milscm_2023_010.azn_202310_backup_text_mml_mmlsg_rd.surgery_item_no IS '手術項目No';</v>
      </c>
    </row>
    <row r="19" spans="1:52" s="25" customFormat="1">
      <c r="A19" s="4"/>
      <c r="B19" s="21">
        <f t="shared" si="2"/>
        <v>7</v>
      </c>
      <c r="C19" s="6" t="s">
        <v>2914</v>
      </c>
      <c r="D19" s="6" t="s">
        <v>2915</v>
      </c>
      <c r="E19" s="8" t="s">
        <v>127</v>
      </c>
      <c r="F19" s="7" t="s">
        <v>2780</v>
      </c>
      <c r="G19" s="7" t="str">
        <f t="shared" si="3"/>
        <v>integer</v>
      </c>
      <c r="H19" s="26"/>
      <c r="I19" s="10" t="s">
        <v>127</v>
      </c>
      <c r="J19" s="11"/>
      <c r="M19" s="4"/>
      <c r="N19" s="76"/>
      <c r="O19" s="76"/>
      <c r="P19" s="76" t="str">
        <f t="shared" si="4"/>
        <v>,rd_no</v>
      </c>
      <c r="Q19" s="76" t="str">
        <f t="shared" si="0"/>
        <v>INTEGER</v>
      </c>
      <c r="R19" s="76" t="str">
        <f t="shared" si="1"/>
        <v/>
      </c>
      <c r="S19" s="76" t="str">
        <f t="shared" si="5"/>
        <v>NOT NULL</v>
      </c>
      <c r="T19" s="76" t="str">
        <f t="shared" si="6"/>
        <v>-- 診断履歴情報No</v>
      </c>
      <c r="U19" s="4"/>
      <c r="AA19" s="4"/>
      <c r="AB19" s="4"/>
      <c r="AC19" s="4"/>
      <c r="AD19" s="4"/>
      <c r="AE19" s="4"/>
      <c r="AF19" s="4"/>
      <c r="AG19" s="4"/>
      <c r="AH19" s="4"/>
      <c r="AI19" s="4"/>
      <c r="AJ19" s="76" t="str">
        <f>IF(E19="○",IF(COUNTA(E$13:E19)=1,"",",")&amp;D19,"")</f>
        <v>,rd_no</v>
      </c>
      <c r="AK19" s="4"/>
      <c r="AL19" s="4"/>
      <c r="AM19" s="4"/>
      <c r="AN19" s="4"/>
      <c r="AO19" s="4"/>
      <c r="AP19" s="4"/>
      <c r="AQ19" s="4"/>
      <c r="AR19" s="4"/>
      <c r="AS19" s="76" t="str">
        <f>"COMMENT ON COLUMN "&amp;エンティティ一覧!$O$2&amp;"."&amp;D$8&amp;"."&amp;D19&amp;" IS '"&amp;C19&amp;"';"</f>
        <v>COMMENT ON COLUMN milscm_2023_010.azn_202310_backup_text_mml_mmlsg_rd.rd_no IS '診断履歴情報No';</v>
      </c>
    </row>
    <row r="20" spans="1:52" s="25" customFormat="1">
      <c r="A20" s="4"/>
      <c r="B20" s="21">
        <f t="shared" si="2"/>
        <v>8</v>
      </c>
      <c r="C20" s="6" t="s">
        <v>1301</v>
      </c>
      <c r="D20" s="6" t="s">
        <v>2787</v>
      </c>
      <c r="E20" s="8"/>
      <c r="F20" s="7" t="s">
        <v>1819</v>
      </c>
      <c r="G20" s="7" t="str">
        <f t="shared" si="3"/>
        <v>text</v>
      </c>
      <c r="H20" s="26"/>
      <c r="I20" s="10"/>
      <c r="J20" s="11" t="s">
        <v>2792</v>
      </c>
      <c r="M20" s="4"/>
      <c r="N20" s="76"/>
      <c r="O20" s="76"/>
      <c r="P20" s="76" t="str">
        <f t="shared" si="4"/>
        <v>,start_date</v>
      </c>
      <c r="Q20" s="76" t="str">
        <f t="shared" si="0"/>
        <v>TEXT</v>
      </c>
      <c r="R20" s="76" t="str">
        <f t="shared" si="1"/>
        <v/>
      </c>
      <c r="S20" s="76" t="str">
        <f t="shared" si="5"/>
        <v/>
      </c>
      <c r="T20" s="76" t="str">
        <f t="shared" si="6"/>
        <v>-- 疾患開始日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milscm_2023_010.azn_202310_backup_text_mml_mmlsg_rd.start_date IS '疾患開始日';</v>
      </c>
    </row>
    <row r="21" spans="1:52" s="25" customFormat="1" ht="29.45" customHeight="1">
      <c r="A21" s="4"/>
      <c r="B21" s="21">
        <f t="shared" si="2"/>
        <v>9</v>
      </c>
      <c r="C21" s="6" t="s">
        <v>1303</v>
      </c>
      <c r="D21" s="6" t="s">
        <v>2788</v>
      </c>
      <c r="E21" s="8"/>
      <c r="F21" s="7" t="s">
        <v>1819</v>
      </c>
      <c r="G21" s="7" t="str">
        <f t="shared" si="3"/>
        <v>text</v>
      </c>
      <c r="H21" s="26"/>
      <c r="I21" s="10"/>
      <c r="J21" s="11" t="s">
        <v>2792</v>
      </c>
      <c r="M21" s="4"/>
      <c r="N21" s="76"/>
      <c r="O21" s="76"/>
      <c r="P21" s="76" t="str">
        <f t="shared" si="4"/>
        <v>,end_date</v>
      </c>
      <c r="Q21" s="76" t="str">
        <f t="shared" si="0"/>
        <v>TEXT</v>
      </c>
      <c r="R21" s="76" t="str">
        <f t="shared" si="1"/>
        <v/>
      </c>
      <c r="S21" s="76" t="str">
        <f t="shared" si="5"/>
        <v/>
      </c>
      <c r="T21" s="76" t="str">
        <f t="shared" si="6"/>
        <v>-- 疾患終了日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milscm_2023_010.azn_202310_backup_text_mml_mmlsg_rd.end_date IS '疾患終了日';</v>
      </c>
    </row>
    <row r="22" spans="1:52" s="25" customFormat="1">
      <c r="A22" s="4"/>
      <c r="B22" s="21">
        <f t="shared" si="2"/>
        <v>10</v>
      </c>
      <c r="C22" s="6" t="s">
        <v>1305</v>
      </c>
      <c r="D22" s="6" t="s">
        <v>2789</v>
      </c>
      <c r="E22" s="8"/>
      <c r="F22" s="7" t="s">
        <v>1819</v>
      </c>
      <c r="G22" s="7" t="str">
        <f t="shared" si="3"/>
        <v>text</v>
      </c>
      <c r="H22" s="26"/>
      <c r="I22" s="10"/>
      <c r="J22" s="11"/>
      <c r="M22" s="4"/>
      <c r="N22" s="76"/>
      <c r="O22" s="76"/>
      <c r="P22" s="76" t="str">
        <f t="shared" si="4"/>
        <v>,outcome</v>
      </c>
      <c r="Q22" s="76" t="str">
        <f t="shared" si="0"/>
        <v>TEXT</v>
      </c>
      <c r="R22" s="76" t="str">
        <f t="shared" si="1"/>
        <v/>
      </c>
      <c r="S22" s="76" t="str">
        <f t="shared" si="5"/>
        <v/>
      </c>
      <c r="T22" s="76" t="str">
        <f t="shared" si="6"/>
        <v>-- 転帰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milscm_2023_010.azn_202310_backup_text_mml_mmlsg_rd.outcome IS '転帰';</v>
      </c>
    </row>
    <row r="23" spans="1:52" s="25" customFormat="1" ht="19.5" thickBot="1">
      <c r="A23" s="4"/>
      <c r="B23" s="27">
        <f>ROW()-12</f>
        <v>11</v>
      </c>
      <c r="C23" s="57" t="s">
        <v>1307</v>
      </c>
      <c r="D23" s="57" t="s">
        <v>2790</v>
      </c>
      <c r="E23" s="56"/>
      <c r="F23" s="56" t="s">
        <v>1819</v>
      </c>
      <c r="G23" s="56" t="str">
        <f t="shared" si="3"/>
        <v>text</v>
      </c>
      <c r="H23" s="59"/>
      <c r="I23" s="60"/>
      <c r="J23" s="63"/>
      <c r="N23" s="76"/>
      <c r="O23" s="76"/>
      <c r="P23" s="76" t="str">
        <f t="shared" si="4"/>
        <v>,first_encounter_date</v>
      </c>
      <c r="Q23" s="76" t="str">
        <f t="shared" si="0"/>
        <v>TEXT</v>
      </c>
      <c r="R23" s="76" t="str">
        <f t="shared" si="1"/>
        <v/>
      </c>
      <c r="S23" s="76" t="str">
        <f t="shared" si="5"/>
        <v/>
      </c>
      <c r="T23" s="76" t="str">
        <f t="shared" si="6"/>
        <v>-- 疾患の初診日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milscm_2023_010.azn_202310_backup_text_mml_mmlsg_rd.first_encounter_date IS '疾患の初診日';</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ENT_01_A6-45</v>
      </c>
      <c r="E6" s="272"/>
      <c r="F6" s="272"/>
      <c r="G6" s="272"/>
      <c r="H6" s="272"/>
      <c r="I6" s="272"/>
      <c r="J6" s="273"/>
    </row>
    <row r="7" spans="1:45">
      <c r="B7" s="261" t="s">
        <v>115</v>
      </c>
      <c r="C7" s="262"/>
      <c r="D7" s="263" t="s">
        <v>2916</v>
      </c>
      <c r="E7" s="264"/>
      <c r="F7" s="264"/>
      <c r="G7" s="264"/>
      <c r="H7" s="264"/>
      <c r="I7" s="264"/>
      <c r="J7" s="265"/>
    </row>
    <row r="8" spans="1:45">
      <c r="B8" s="261" t="s">
        <v>116</v>
      </c>
      <c r="C8" s="262"/>
      <c r="D8" s="263" t="str">
        <f>エンティティ一覧!AE2&amp;"_"&amp;D5&amp;"_text_mml_mmlsg_rd_byomei"</f>
        <v>azn_202310_backup_text_mml_mmlsg_rd_byomei</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MML_手術モジュール_病名テーブルから組入れ条件の第一条件で絞り込んだ結果を格納するテーブル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milscm_2023_010.azn_202310_backup_text_mml_mmlsg_rd_byomei;</v>
      </c>
      <c r="O10" s="76"/>
      <c r="P10" s="76"/>
      <c r="Q10" s="76"/>
      <c r="R10" s="76"/>
      <c r="S10" s="76"/>
      <c r="T10" s="76"/>
      <c r="AJ10" s="76" t="str">
        <f>"ALTER TABLE ONLY "&amp;エンティティ一覧!$O$2&amp;"."&amp;D$8</f>
        <v>ALTER TABLE ONLY milscm_2023_010.azn_202310_backup_text_mml_mmlsg_rd_byomei</v>
      </c>
      <c r="AS10" s="76" t="str">
        <f>"ALTER TABLE "&amp;エンティティ一覧!$O$2&amp;"."&amp;D$8&amp;" OWNER TO pgmisgrp1;"</f>
        <v>ALTER TABLE milscm_2023_010.azn_202310_backup_text_mml_mmlsg_rd_byomei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milscm_2023_010.azn_202310_backup_text_mml_mmlsg_rd_byomei</v>
      </c>
      <c r="O11" s="76"/>
      <c r="P11" s="76"/>
      <c r="Q11" s="76"/>
      <c r="R11" s="76"/>
      <c r="S11" s="76"/>
      <c r="T11" s="76"/>
      <c r="AJ11" s="76" t="str">
        <f>"ADD CONSTRAINT "&amp;D$8&amp;"_pkey PRIMARY KEY"</f>
        <v>ADD CONSTRAINT azn_202310_backup_text_mml_mmlsg_rd_byomei_pkey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milscm_2023_010.azn_202310_backup_text_mml_mmlsg_rd_byomei IS 'バックアップ_MML_手術モジュール_病名';</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4" si="0">UPPER(G13)</f>
        <v>INTEGER</v>
      </c>
      <c r="R13" s="76" t="str">
        <f t="shared" ref="R13:R24"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milscm_2023_010.azn_202310_backup_text_mml_mmlsg_rd_byomei.zip_no IS 'ZipファイルNo';</v>
      </c>
    </row>
    <row r="14" spans="1:45" s="25" customFormat="1">
      <c r="A14" s="4"/>
      <c r="B14" s="21">
        <f t="shared" ref="B14:B23" si="2">ROW()-12</f>
        <v>2</v>
      </c>
      <c r="C14" s="6" t="s">
        <v>2781</v>
      </c>
      <c r="D14" s="6" t="s">
        <v>2782</v>
      </c>
      <c r="E14" s="8" t="s">
        <v>127</v>
      </c>
      <c r="F14" s="7" t="s">
        <v>2780</v>
      </c>
      <c r="G14" s="7" t="str">
        <f t="shared" ref="G14:G24" si="3">IF(F14="フラグ","boolean",IF(F14="文字列","text",IF(F14="整数","integer",IF(F14="実数","numeric",""))))</f>
        <v>integer</v>
      </c>
      <c r="H14" s="26"/>
      <c r="I14" s="10" t="s">
        <v>127</v>
      </c>
      <c r="J14" s="11"/>
      <c r="M14" s="4"/>
      <c r="N14" s="76"/>
      <c r="O14" s="76"/>
      <c r="P14" s="76" t="str">
        <f t="shared" ref="P14:P24" si="4">IF(B14&lt;&gt;1,","&amp;D14,D14)</f>
        <v>,file_no</v>
      </c>
      <c r="Q14" s="76" t="str">
        <f t="shared" si="0"/>
        <v>INTEGER</v>
      </c>
      <c r="R14" s="76" t="str">
        <f t="shared" si="1"/>
        <v/>
      </c>
      <c r="S14" s="76" t="str">
        <f t="shared" ref="S14:S24" si="5">IF(I14="○","NOT NULL","")</f>
        <v>NOT NULL</v>
      </c>
      <c r="T14" s="76" t="str">
        <f t="shared" ref="T14:T24"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milscm_2023_010.azn_202310_backup_text_mml_mmlsg_rd_byomei.file_no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milscm_2023_010.azn_202310_backup_text_mml_mmlsg_rd_byomei.body_no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milscm_2023_010.azn_202310_backup_text_mml_mmlsg_rd_byomei.facility_id_mml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milscm_2023_010.azn_202310_backup_text_mml_mmlsg_rd_byomei.master_id IS '患者ID';</v>
      </c>
    </row>
    <row r="18" spans="1:52" s="25" customFormat="1">
      <c r="A18" s="4"/>
      <c r="B18" s="21">
        <f t="shared" si="2"/>
        <v>6</v>
      </c>
      <c r="C18" s="6" t="s">
        <v>2870</v>
      </c>
      <c r="D18" s="6" t="s">
        <v>2871</v>
      </c>
      <c r="E18" s="8" t="s">
        <v>127</v>
      </c>
      <c r="F18" s="7" t="s">
        <v>2780</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milscm_2023_010.azn_202310_backup_text_mml_mmlsg_rd_byomei.surgery_item_no IS '手術項目No';</v>
      </c>
    </row>
    <row r="19" spans="1:52" s="25" customFormat="1">
      <c r="A19" s="4"/>
      <c r="B19" s="21">
        <f t="shared" si="2"/>
        <v>7</v>
      </c>
      <c r="C19" s="6" t="s">
        <v>2914</v>
      </c>
      <c r="D19" s="6" t="s">
        <v>2915</v>
      </c>
      <c r="E19" s="8" t="s">
        <v>127</v>
      </c>
      <c r="F19" s="7" t="s">
        <v>2780</v>
      </c>
      <c r="G19" s="7" t="str">
        <f t="shared" si="3"/>
        <v>integer</v>
      </c>
      <c r="H19" s="26"/>
      <c r="I19" s="10" t="s">
        <v>127</v>
      </c>
      <c r="J19" s="11"/>
      <c r="M19" s="4"/>
      <c r="N19" s="76"/>
      <c r="O19" s="76"/>
      <c r="P19" s="76" t="str">
        <f t="shared" si="4"/>
        <v>,rd_no</v>
      </c>
      <c r="Q19" s="76" t="str">
        <f t="shared" si="0"/>
        <v>INTEGER</v>
      </c>
      <c r="R19" s="76" t="str">
        <f t="shared" si="1"/>
        <v/>
      </c>
      <c r="S19" s="76" t="str">
        <f t="shared" si="5"/>
        <v>NOT NULL</v>
      </c>
      <c r="T19" s="76" t="str">
        <f t="shared" si="6"/>
        <v>-- 診断履歴情報No</v>
      </c>
      <c r="U19" s="4"/>
      <c r="AA19" s="4"/>
      <c r="AB19" s="4"/>
      <c r="AC19" s="4"/>
      <c r="AD19" s="4"/>
      <c r="AE19" s="4"/>
      <c r="AF19" s="4"/>
      <c r="AG19" s="4"/>
      <c r="AH19" s="4"/>
      <c r="AI19" s="4"/>
      <c r="AJ19" s="76" t="str">
        <f>IF(E19="○",IF(COUNTA(E$13:E19)=1,"",",")&amp;D19,"")</f>
        <v>,rd_no</v>
      </c>
      <c r="AK19" s="4"/>
      <c r="AL19" s="4"/>
      <c r="AM19" s="4"/>
      <c r="AN19" s="4"/>
      <c r="AO19" s="4"/>
      <c r="AP19" s="4"/>
      <c r="AQ19" s="4"/>
      <c r="AR19" s="4"/>
      <c r="AS19" s="76" t="str">
        <f>"COMMENT ON COLUMN "&amp;エンティティ一覧!$O$2&amp;"."&amp;D$8&amp;"."&amp;D19&amp;" IS '"&amp;C19&amp;"';"</f>
        <v>COMMENT ON COLUMN milscm_2023_010.azn_202310_backup_text_mml_mmlsg_rd_byomei.rd_no IS '診断履歴情報No';</v>
      </c>
    </row>
    <row r="20" spans="1:52" s="25" customFormat="1">
      <c r="A20" s="4"/>
      <c r="B20" s="21">
        <f t="shared" si="2"/>
        <v>8</v>
      </c>
      <c r="C20" s="6" t="s">
        <v>2794</v>
      </c>
      <c r="D20" s="6" t="s">
        <v>2795</v>
      </c>
      <c r="E20" s="8" t="s">
        <v>127</v>
      </c>
      <c r="F20" s="7" t="s">
        <v>2780</v>
      </c>
      <c r="G20" s="7" t="str">
        <f t="shared" si="3"/>
        <v>integer</v>
      </c>
      <c r="H20" s="26"/>
      <c r="I20" s="10" t="s">
        <v>127</v>
      </c>
      <c r="J20" s="11"/>
      <c r="M20" s="4"/>
      <c r="N20" s="76"/>
      <c r="O20" s="76"/>
      <c r="P20" s="76" t="str">
        <f t="shared" si="4"/>
        <v>,byomei_no</v>
      </c>
      <c r="Q20" s="76" t="str">
        <f t="shared" si="0"/>
        <v>INTEGER</v>
      </c>
      <c r="R20" s="76" t="str">
        <f t="shared" si="1"/>
        <v/>
      </c>
      <c r="S20" s="76" t="str">
        <f t="shared" si="5"/>
        <v>NOT NULL</v>
      </c>
      <c r="T20" s="76" t="str">
        <f t="shared" si="6"/>
        <v>-- 病名No</v>
      </c>
      <c r="U20" s="4"/>
      <c r="AA20" s="4"/>
      <c r="AB20" s="4"/>
      <c r="AC20" s="4"/>
      <c r="AD20" s="4"/>
      <c r="AE20" s="4"/>
      <c r="AF20" s="4"/>
      <c r="AG20" s="4"/>
      <c r="AH20" s="4"/>
      <c r="AI20" s="4"/>
      <c r="AJ20" s="76" t="str">
        <f>IF(E20="○",IF(COUNTA(E$13:E20)=1,"",",")&amp;D20,"")</f>
        <v>,byomei_no</v>
      </c>
      <c r="AK20" s="4"/>
      <c r="AL20" s="4"/>
      <c r="AM20" s="4"/>
      <c r="AN20" s="4"/>
      <c r="AO20" s="4"/>
      <c r="AP20" s="4"/>
      <c r="AQ20" s="4"/>
      <c r="AR20" s="4"/>
      <c r="AS20" s="76" t="str">
        <f>"COMMENT ON COLUMN "&amp;エンティティ一覧!$O$2&amp;"."&amp;D$8&amp;"."&amp;D20&amp;" IS '"&amp;C20&amp;"';"</f>
        <v>COMMENT ON COLUMN milscm_2023_010.azn_202310_backup_text_mml_mmlsg_rd_byomei.byomei_no IS '病名No';</v>
      </c>
    </row>
    <row r="21" spans="1:52" s="25" customFormat="1" ht="29.45" customHeight="1">
      <c r="A21" s="4"/>
      <c r="B21" s="21">
        <f t="shared" si="2"/>
        <v>9</v>
      </c>
      <c r="C21" s="6" t="s">
        <v>2796</v>
      </c>
      <c r="D21" s="6" t="s">
        <v>2797</v>
      </c>
      <c r="E21" s="8"/>
      <c r="F21" s="7" t="s">
        <v>1819</v>
      </c>
      <c r="G21" s="7" t="str">
        <f t="shared" si="3"/>
        <v>text</v>
      </c>
      <c r="H21" s="26"/>
      <c r="I21" s="10"/>
      <c r="J21" s="11" t="s">
        <v>2802</v>
      </c>
      <c r="M21" s="4"/>
      <c r="N21" s="76"/>
      <c r="O21" s="76"/>
      <c r="P21" s="76" t="str">
        <f t="shared" si="4"/>
        <v>,tag_name</v>
      </c>
      <c r="Q21" s="76" t="str">
        <f t="shared" si="0"/>
        <v>TEXT</v>
      </c>
      <c r="R21" s="76" t="str">
        <f t="shared" si="1"/>
        <v/>
      </c>
      <c r="S21" s="76" t="str">
        <f t="shared" si="5"/>
        <v/>
      </c>
      <c r="T21" s="76" t="str">
        <f t="shared" si="6"/>
        <v>-- タグ名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milscm_2023_010.azn_202310_backup_text_mml_mmlsg_rd_byomei.tag_name IS 'タグ名';</v>
      </c>
    </row>
    <row r="22" spans="1:52" s="25" customFormat="1" ht="37.5">
      <c r="A22" s="4"/>
      <c r="B22" s="21">
        <f t="shared" si="2"/>
        <v>10</v>
      </c>
      <c r="C22" s="6" t="s">
        <v>1319</v>
      </c>
      <c r="D22" s="6" t="s">
        <v>2798</v>
      </c>
      <c r="E22" s="8"/>
      <c r="F22" s="7" t="s">
        <v>1819</v>
      </c>
      <c r="G22" s="7" t="str">
        <f t="shared" ref="G22" si="7">IF(F22="フラグ","boolean",IF(F22="文字列","text",IF(F22="整数","integer",IF(F22="実数","numeric",""))))</f>
        <v>text</v>
      </c>
      <c r="H22" s="26"/>
      <c r="I22" s="10"/>
      <c r="J22" s="11" t="s">
        <v>2803</v>
      </c>
      <c r="M22" s="4"/>
      <c r="N22" s="76"/>
      <c r="O22" s="76"/>
      <c r="P22" s="76" t="str">
        <f t="shared" ref="P22" si="8">IF(B22&lt;&gt;1,","&amp;D22,D22)</f>
        <v>,diagnosis</v>
      </c>
      <c r="Q22" s="76" t="str">
        <f t="shared" ref="Q22" si="9">UPPER(G22)</f>
        <v>TEXT</v>
      </c>
      <c r="R22" s="76" t="str">
        <f t="shared" ref="R22" si="10">IF(H22&lt;&gt;"","default "&amp;IF(G22="text","'"&amp;H22&amp;"'",H22),"")</f>
        <v/>
      </c>
      <c r="S22" s="76" t="str">
        <f t="shared" ref="S22" si="11">IF(I22="○","NOT NULL","")</f>
        <v/>
      </c>
      <c r="T22" s="76" t="str">
        <f t="shared" ref="T22" si="12">"-- "&amp;C22</f>
        <v>-- 病名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milscm_2023_010.azn_202310_backup_text_mml_mmlsg_rd_byomei.diagnosis IS '病名';</v>
      </c>
    </row>
    <row r="23" spans="1:52" s="25" customFormat="1">
      <c r="A23" s="4"/>
      <c r="B23" s="21">
        <f t="shared" si="2"/>
        <v>11</v>
      </c>
      <c r="C23" s="6" t="s">
        <v>2799</v>
      </c>
      <c r="D23" s="6" t="s">
        <v>358</v>
      </c>
      <c r="E23" s="8"/>
      <c r="F23" s="7" t="s">
        <v>1819</v>
      </c>
      <c r="G23" s="7" t="str">
        <f t="shared" si="3"/>
        <v>text</v>
      </c>
      <c r="H23" s="26"/>
      <c r="I23" s="10"/>
      <c r="J23" s="11"/>
      <c r="M23" s="4"/>
      <c r="N23" s="76"/>
      <c r="O23" s="76"/>
      <c r="P23" s="76" t="str">
        <f t="shared" si="4"/>
        <v>,code</v>
      </c>
      <c r="Q23" s="76" t="str">
        <f t="shared" si="0"/>
        <v>TEXT</v>
      </c>
      <c r="R23" s="76" t="str">
        <f t="shared" si="1"/>
        <v/>
      </c>
      <c r="S23" s="76" t="str">
        <f t="shared" si="5"/>
        <v/>
      </c>
      <c r="T23" s="76" t="str">
        <f t="shared" si="6"/>
        <v>-- コード値</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milscm_2023_010.azn_202310_backup_text_mml_mmlsg_rd_byomei.code IS 'コード値';</v>
      </c>
    </row>
    <row r="24" spans="1:52" s="25" customFormat="1" ht="19.5" thickBot="1">
      <c r="A24" s="4"/>
      <c r="B24" s="27">
        <f>ROW()-12</f>
        <v>12</v>
      </c>
      <c r="C24" s="57" t="s">
        <v>2800</v>
      </c>
      <c r="D24" s="57" t="s">
        <v>2801</v>
      </c>
      <c r="E24" s="56"/>
      <c r="F24" s="56" t="s">
        <v>1819</v>
      </c>
      <c r="G24" s="56" t="str">
        <f t="shared" si="3"/>
        <v>text</v>
      </c>
      <c r="H24" s="59"/>
      <c r="I24" s="60"/>
      <c r="J24" s="63"/>
      <c r="N24" s="76"/>
      <c r="O24" s="76"/>
      <c r="P24" s="76" t="str">
        <f t="shared" si="4"/>
        <v>,system</v>
      </c>
      <c r="Q24" s="76" t="str">
        <f t="shared" si="0"/>
        <v>TEXT</v>
      </c>
      <c r="R24" s="76" t="str">
        <f t="shared" si="1"/>
        <v/>
      </c>
      <c r="S24" s="76" t="str">
        <f t="shared" si="5"/>
        <v/>
      </c>
      <c r="T24" s="76" t="str">
        <f t="shared" si="6"/>
        <v>-- コード体系名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milscm_2023_010.azn_202310_backup_text_mml_mmlsg_rd_byomei.system IS 'コード体系名';</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ENT_01_A6-46</v>
      </c>
      <c r="E6" s="272"/>
      <c r="F6" s="272"/>
      <c r="G6" s="272"/>
      <c r="H6" s="272"/>
      <c r="I6" s="272"/>
      <c r="J6" s="273"/>
    </row>
    <row r="7" spans="1:45">
      <c r="B7" s="261" t="s">
        <v>115</v>
      </c>
      <c r="C7" s="262"/>
      <c r="D7" s="263" t="s">
        <v>2917</v>
      </c>
      <c r="E7" s="264"/>
      <c r="F7" s="264"/>
      <c r="G7" s="264"/>
      <c r="H7" s="264"/>
      <c r="I7" s="264"/>
      <c r="J7" s="265"/>
    </row>
    <row r="8" spans="1:45">
      <c r="B8" s="261" t="s">
        <v>116</v>
      </c>
      <c r="C8" s="262"/>
      <c r="D8" s="263" t="str">
        <f>エンティティ一覧!AE2&amp;"_"&amp;D5&amp;"_text_mml_mmlsg_rd_category"</f>
        <v>azn_202310_backup_text_mml_mmlsg_rd_category</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MML_手術モジュール_カテゴリ名テーブルから組入れ条件の第一条件で絞り込んだ結果を格納するテーブル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milscm_2023_010.azn_202310_backup_text_mml_mmlsg_rd_category;</v>
      </c>
      <c r="O10" s="76"/>
      <c r="P10" s="76"/>
      <c r="Q10" s="76"/>
      <c r="R10" s="76"/>
      <c r="S10" s="76"/>
      <c r="T10" s="76"/>
      <c r="AJ10" s="76" t="str">
        <f>"ALTER TABLE ONLY "&amp;エンティティ一覧!$O$2&amp;"."&amp;D$8</f>
        <v>ALTER TABLE ONLY milscm_2023_010.azn_202310_backup_text_mml_mmlsg_rd_category</v>
      </c>
      <c r="AS10" s="76" t="str">
        <f>"ALTER TABLE "&amp;エンティティ一覧!$O$2&amp;"."&amp;D$8&amp;" OWNER TO pgmisgrp1;"</f>
        <v>ALTER TABLE milscm_2023_010.azn_202310_backup_text_mml_mmlsg_rd_category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milscm_2023_010.azn_202310_backup_text_mml_mmlsg_rd_category</v>
      </c>
      <c r="O11" s="76"/>
      <c r="P11" s="76"/>
      <c r="Q11" s="76"/>
      <c r="R11" s="76"/>
      <c r="S11" s="76"/>
      <c r="T11" s="76"/>
      <c r="AJ11" s="76" t="str">
        <f>"ADD CONSTRAINT "&amp;D$8&amp;"_pkey PRIMARY KEY"</f>
        <v>ADD CONSTRAINT azn_202310_backup_text_mml_mmlsg_rd_category_pkey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milscm_2023_010.azn_202310_backup_text_mml_mmlsg_rd_category IS 'バックアップ_MML_手術モジュール_カテゴリ名';</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milscm_2023_010.azn_202310_backup_text_mml_mmlsg_rd_category.zip_no IS 'ZipファイルNo';</v>
      </c>
    </row>
    <row r="14" spans="1:45" s="25" customFormat="1">
      <c r="A14" s="4"/>
      <c r="B14" s="21">
        <f t="shared" ref="B14:B21" si="2">ROW()-12</f>
        <v>2</v>
      </c>
      <c r="C14" s="6" t="s">
        <v>2781</v>
      </c>
      <c r="D14" s="6" t="s">
        <v>2782</v>
      </c>
      <c r="E14" s="8" t="s">
        <v>127</v>
      </c>
      <c r="F14" s="7" t="s">
        <v>2780</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milscm_2023_010.azn_202310_backup_text_mml_mmlsg_rd_category.file_no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milscm_2023_010.azn_202310_backup_text_mml_mmlsg_rd_category.body_no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milscm_2023_010.azn_202310_backup_text_mml_mmlsg_rd_category.facility_id_mml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milscm_2023_010.azn_202310_backup_text_mml_mmlsg_rd_category.master_id IS '患者ID';</v>
      </c>
    </row>
    <row r="18" spans="1:52" s="25" customFormat="1">
      <c r="A18" s="4"/>
      <c r="B18" s="21">
        <f t="shared" si="2"/>
        <v>6</v>
      </c>
      <c r="C18" s="6" t="s">
        <v>2870</v>
      </c>
      <c r="D18" s="6" t="s">
        <v>2871</v>
      </c>
      <c r="E18" s="8" t="s">
        <v>127</v>
      </c>
      <c r="F18" s="7" t="s">
        <v>2780</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milscm_2023_010.azn_202310_backup_text_mml_mmlsg_rd_category.surgery_item_no IS '手術項目No';</v>
      </c>
    </row>
    <row r="19" spans="1:52" s="25" customFormat="1">
      <c r="A19" s="4"/>
      <c r="B19" s="21">
        <f t="shared" si="2"/>
        <v>7</v>
      </c>
      <c r="C19" s="6" t="s">
        <v>2914</v>
      </c>
      <c r="D19" s="6" t="s">
        <v>2915</v>
      </c>
      <c r="E19" s="8" t="s">
        <v>127</v>
      </c>
      <c r="F19" s="7" t="s">
        <v>2780</v>
      </c>
      <c r="G19" s="7" t="str">
        <f t="shared" si="3"/>
        <v>integer</v>
      </c>
      <c r="H19" s="26"/>
      <c r="I19" s="10" t="s">
        <v>127</v>
      </c>
      <c r="J19" s="11"/>
      <c r="M19" s="4"/>
      <c r="N19" s="76"/>
      <c r="O19" s="76"/>
      <c r="P19" s="76" t="str">
        <f t="shared" si="4"/>
        <v>,rd_no</v>
      </c>
      <c r="Q19" s="76" t="str">
        <f t="shared" si="0"/>
        <v>INTEGER</v>
      </c>
      <c r="R19" s="76" t="str">
        <f t="shared" si="1"/>
        <v/>
      </c>
      <c r="S19" s="76" t="str">
        <f t="shared" si="5"/>
        <v>NOT NULL</v>
      </c>
      <c r="T19" s="76" t="str">
        <f t="shared" si="6"/>
        <v>-- 診断履歴情報No</v>
      </c>
      <c r="U19" s="4"/>
      <c r="AA19" s="4"/>
      <c r="AB19" s="4"/>
      <c r="AC19" s="4"/>
      <c r="AD19" s="4"/>
      <c r="AE19" s="4"/>
      <c r="AF19" s="4"/>
      <c r="AG19" s="4"/>
      <c r="AH19" s="4"/>
      <c r="AI19" s="4"/>
      <c r="AJ19" s="76" t="str">
        <f>IF(E19="○",IF(COUNTA(E$13:E19)=1,"",",")&amp;D19,"")</f>
        <v>,rd_no</v>
      </c>
      <c r="AK19" s="4"/>
      <c r="AL19" s="4"/>
      <c r="AM19" s="4"/>
      <c r="AN19" s="4"/>
      <c r="AO19" s="4"/>
      <c r="AP19" s="4"/>
      <c r="AQ19" s="4"/>
      <c r="AR19" s="4"/>
      <c r="AS19" s="76" t="str">
        <f>"COMMENT ON COLUMN "&amp;エンティティ一覧!$O$2&amp;"."&amp;D$8&amp;"."&amp;D19&amp;" IS '"&amp;C19&amp;"';"</f>
        <v>COMMENT ON COLUMN milscm_2023_010.azn_202310_backup_text_mml_mmlsg_rd_category.rd_no IS '診断履歴情報No';</v>
      </c>
    </row>
    <row r="20" spans="1:52" s="25" customFormat="1">
      <c r="A20" s="4"/>
      <c r="B20" s="21">
        <f t="shared" si="2"/>
        <v>8</v>
      </c>
      <c r="C20" s="6" t="s">
        <v>2805</v>
      </c>
      <c r="D20" s="6" t="s">
        <v>2806</v>
      </c>
      <c r="E20" s="8" t="s">
        <v>127</v>
      </c>
      <c r="F20" s="7" t="s">
        <v>2780</v>
      </c>
      <c r="G20" s="7" t="str">
        <f t="shared" si="3"/>
        <v>integer</v>
      </c>
      <c r="H20" s="26"/>
      <c r="I20" s="10" t="s">
        <v>127</v>
      </c>
      <c r="J20" s="11"/>
      <c r="M20" s="4"/>
      <c r="N20" s="76"/>
      <c r="O20" s="76"/>
      <c r="P20" s="76" t="str">
        <f t="shared" si="4"/>
        <v>,category_no</v>
      </c>
      <c r="Q20" s="76" t="str">
        <f t="shared" si="0"/>
        <v>INTEGER</v>
      </c>
      <c r="R20" s="76" t="str">
        <f t="shared" si="1"/>
        <v/>
      </c>
      <c r="S20" s="76" t="str">
        <f t="shared" si="5"/>
        <v>NOT NULL</v>
      </c>
      <c r="T20" s="76" t="str">
        <f t="shared" si="6"/>
        <v>-- カテゴリ名No</v>
      </c>
      <c r="U20" s="4"/>
      <c r="AA20" s="4"/>
      <c r="AB20" s="4"/>
      <c r="AC20" s="4"/>
      <c r="AD20" s="4"/>
      <c r="AE20" s="4"/>
      <c r="AF20" s="4"/>
      <c r="AG20" s="4"/>
      <c r="AH20" s="4"/>
      <c r="AI20" s="4"/>
      <c r="AJ20" s="76" t="str">
        <f>IF(E20="○",IF(COUNTA(E$13:E20)=1,"",",")&amp;D20,"")</f>
        <v>,category_no</v>
      </c>
      <c r="AK20" s="4"/>
      <c r="AL20" s="4"/>
      <c r="AM20" s="4"/>
      <c r="AN20" s="4"/>
      <c r="AO20" s="4"/>
      <c r="AP20" s="4"/>
      <c r="AQ20" s="4"/>
      <c r="AR20" s="4"/>
      <c r="AS20" s="76" t="str">
        <f>"COMMENT ON COLUMN "&amp;エンティティ一覧!$O$2&amp;"."&amp;D$8&amp;"."&amp;D20&amp;" IS '"&amp;C20&amp;"';"</f>
        <v>COMMENT ON COLUMN milscm_2023_010.azn_202310_backup_text_mml_mmlsg_rd_category.category_no IS 'カテゴリ名No';</v>
      </c>
    </row>
    <row r="21" spans="1:52" s="25" customFormat="1">
      <c r="A21" s="4"/>
      <c r="B21" s="21">
        <f t="shared" si="2"/>
        <v>9</v>
      </c>
      <c r="C21" s="6" t="s">
        <v>1333</v>
      </c>
      <c r="D21" s="6" t="s">
        <v>2807</v>
      </c>
      <c r="E21" s="8"/>
      <c r="F21" s="7" t="s">
        <v>1819</v>
      </c>
      <c r="G21" s="7" t="str">
        <f t="shared" si="3"/>
        <v>text</v>
      </c>
      <c r="H21" s="26"/>
      <c r="I21" s="10"/>
      <c r="J21" s="11"/>
      <c r="M21" s="4"/>
      <c r="N21" s="76"/>
      <c r="O21" s="76"/>
      <c r="P21" s="76" t="str">
        <f t="shared" si="4"/>
        <v>,category</v>
      </c>
      <c r="Q21" s="76" t="str">
        <f t="shared" si="0"/>
        <v>TEXT</v>
      </c>
      <c r="R21" s="76" t="str">
        <f t="shared" si="1"/>
        <v/>
      </c>
      <c r="S21" s="76" t="str">
        <f t="shared" si="5"/>
        <v/>
      </c>
      <c r="T21" s="76" t="str">
        <f t="shared" si="6"/>
        <v>-- 分類名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milscm_2023_010.azn_202310_backup_text_mml_mmlsg_rd_category.category IS '分類名';</v>
      </c>
    </row>
    <row r="22" spans="1:52" s="25" customFormat="1" ht="19.5" thickBot="1">
      <c r="A22" s="4"/>
      <c r="B22" s="27">
        <f>ROW()-12</f>
        <v>10</v>
      </c>
      <c r="C22" s="57" t="s">
        <v>1335</v>
      </c>
      <c r="D22" s="57" t="s">
        <v>2808</v>
      </c>
      <c r="E22" s="56"/>
      <c r="F22" s="56" t="s">
        <v>1819</v>
      </c>
      <c r="G22" s="56" t="str">
        <f t="shared" si="3"/>
        <v>text</v>
      </c>
      <c r="H22" s="59"/>
      <c r="I22" s="60"/>
      <c r="J22" s="63"/>
      <c r="N22" s="76"/>
      <c r="O22" s="76"/>
      <c r="P22" s="76" t="str">
        <f t="shared" si="4"/>
        <v>,table_id</v>
      </c>
      <c r="Q22" s="76" t="str">
        <f t="shared" si="0"/>
        <v>TEXT</v>
      </c>
      <c r="R22" s="76" t="str">
        <f t="shared" si="1"/>
        <v/>
      </c>
      <c r="S22" s="76" t="str">
        <f t="shared" si="5"/>
        <v/>
      </c>
      <c r="T22" s="76" t="str">
        <f t="shared" si="6"/>
        <v>-- 分類コード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milscm_2023_010.azn_202310_backup_text_mml_mmlsg_rd_category.table_id IS '分類コード';</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ENT_01_A6-47</v>
      </c>
      <c r="E6" s="272"/>
      <c r="F6" s="272"/>
      <c r="G6" s="272"/>
      <c r="H6" s="272"/>
      <c r="I6" s="272"/>
      <c r="J6" s="273"/>
    </row>
    <row r="7" spans="1:45">
      <c r="B7" s="261" t="s">
        <v>115</v>
      </c>
      <c r="C7" s="262"/>
      <c r="D7" s="263" t="s">
        <v>2918</v>
      </c>
      <c r="E7" s="264"/>
      <c r="F7" s="264"/>
      <c r="G7" s="264"/>
      <c r="H7" s="264"/>
      <c r="I7" s="264"/>
      <c r="J7" s="265"/>
    </row>
    <row r="8" spans="1:45">
      <c r="B8" s="261" t="s">
        <v>116</v>
      </c>
      <c r="C8" s="262"/>
      <c r="D8" s="263" t="str">
        <f>エンティティ一覧!AE2&amp;"_"&amp;D5&amp;"_text_mml_mmlsg_procedure_item"</f>
        <v>azn_202310_backup_text_mml_mmlsg_procedure_item</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MML_手術モジュール_手術法テーブルから組入れ条件の第一条件で絞り込んだ結果を格納するテーブル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milscm_2023_010.azn_202310_backup_text_mml_mmlsg_procedure_item;</v>
      </c>
      <c r="O10" s="76"/>
      <c r="P10" s="76"/>
      <c r="Q10" s="76"/>
      <c r="R10" s="76"/>
      <c r="S10" s="76"/>
      <c r="T10" s="76"/>
      <c r="AJ10" s="76" t="str">
        <f>"ALTER TABLE ONLY "&amp;エンティティ一覧!$O$2&amp;"."&amp;D$8</f>
        <v>ALTER TABLE ONLY milscm_2023_010.azn_202310_backup_text_mml_mmlsg_procedure_item</v>
      </c>
      <c r="AS10" s="76" t="str">
        <f>"ALTER TABLE "&amp;エンティティ一覧!$O$2&amp;"."&amp;D$8&amp;" OWNER TO pgmisgrp1;"</f>
        <v>ALTER TABLE milscm_2023_010.azn_202310_backup_text_mml_mmlsg_procedure_item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milscm_2023_010.azn_202310_backup_text_mml_mmlsg_procedure_item</v>
      </c>
      <c r="O11" s="76"/>
      <c r="P11" s="76"/>
      <c r="Q11" s="76"/>
      <c r="R11" s="76"/>
      <c r="S11" s="76"/>
      <c r="T11" s="76"/>
      <c r="AJ11" s="76" t="str">
        <f>"ADD CONSTRAINT "&amp;D$8&amp;"_pkey PRIMARY KEY"</f>
        <v>ADD CONSTRAINT azn_202310_backup_text_mml_mmlsg_procedure_item_pkey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milscm_2023_010.azn_202310_backup_text_mml_mmlsg_procedure_item IS 'バックアップ_MML_手術モジュール_手術法';</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milscm_2023_010.azn_202310_backup_text_mml_mmlsg_procedure_item.zip_no IS 'ZipファイルNo';</v>
      </c>
    </row>
    <row r="14" spans="1:45" s="25" customFormat="1">
      <c r="A14" s="4"/>
      <c r="B14" s="21">
        <f t="shared" ref="B14:B22" si="2">ROW()-12</f>
        <v>2</v>
      </c>
      <c r="C14" s="6" t="s">
        <v>2781</v>
      </c>
      <c r="D14" s="6" t="s">
        <v>2782</v>
      </c>
      <c r="E14" s="8" t="s">
        <v>127</v>
      </c>
      <c r="F14" s="7" t="s">
        <v>2780</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milscm_2023_010.azn_202310_backup_text_mml_mmlsg_procedure_item.file_no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milscm_2023_010.azn_202310_backup_text_mml_mmlsg_procedure_item.body_no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milscm_2023_010.azn_202310_backup_text_mml_mmlsg_procedure_item.facility_id_mml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milscm_2023_010.azn_202310_backup_text_mml_mmlsg_procedure_item.master_id IS '患者ID';</v>
      </c>
    </row>
    <row r="18" spans="1:52" s="25" customFormat="1">
      <c r="A18" s="4"/>
      <c r="B18" s="21">
        <f t="shared" si="2"/>
        <v>6</v>
      </c>
      <c r="C18" s="6" t="s">
        <v>2870</v>
      </c>
      <c r="D18" s="6" t="s">
        <v>2871</v>
      </c>
      <c r="E18" s="8" t="s">
        <v>127</v>
      </c>
      <c r="F18" s="7" t="s">
        <v>2780</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milscm_2023_010.azn_202310_backup_text_mml_mmlsg_procedure_item.surgery_item_no IS '手術項目No';</v>
      </c>
    </row>
    <row r="19" spans="1:52" s="25" customFormat="1">
      <c r="A19" s="4"/>
      <c r="B19" s="21">
        <f t="shared" si="2"/>
        <v>7</v>
      </c>
      <c r="C19" s="6" t="s">
        <v>2919</v>
      </c>
      <c r="D19" s="6" t="s">
        <v>2920</v>
      </c>
      <c r="E19" s="8" t="s">
        <v>127</v>
      </c>
      <c r="F19" s="7" t="s">
        <v>2780</v>
      </c>
      <c r="G19" s="7" t="str">
        <f t="shared" si="3"/>
        <v>integer</v>
      </c>
      <c r="H19" s="26"/>
      <c r="I19" s="10" t="s">
        <v>127</v>
      </c>
      <c r="J19" s="11"/>
      <c r="M19" s="4"/>
      <c r="N19" s="76"/>
      <c r="O19" s="76"/>
      <c r="P19" s="76" t="str">
        <f t="shared" si="4"/>
        <v>,procedure_no</v>
      </c>
      <c r="Q19" s="76" t="str">
        <f t="shared" si="0"/>
        <v>INTEGER</v>
      </c>
      <c r="R19" s="76" t="str">
        <f t="shared" si="1"/>
        <v/>
      </c>
      <c r="S19" s="76" t="str">
        <f t="shared" si="5"/>
        <v>NOT NULL</v>
      </c>
      <c r="T19" s="76" t="str">
        <f t="shared" si="6"/>
        <v>-- 手術法No</v>
      </c>
      <c r="U19" s="4"/>
      <c r="AA19" s="4"/>
      <c r="AB19" s="4"/>
      <c r="AC19" s="4"/>
      <c r="AD19" s="4"/>
      <c r="AE19" s="4"/>
      <c r="AF19" s="4"/>
      <c r="AG19" s="4"/>
      <c r="AH19" s="4"/>
      <c r="AI19" s="4"/>
      <c r="AJ19" s="76" t="str">
        <f>IF(E19="○",IF(COUNTA(E$13:E19)=1,"",",")&amp;D19,"")</f>
        <v>,procedure_no</v>
      </c>
      <c r="AK19" s="4"/>
      <c r="AL19" s="4"/>
      <c r="AM19" s="4"/>
      <c r="AN19" s="4"/>
      <c r="AO19" s="4"/>
      <c r="AP19" s="4"/>
      <c r="AQ19" s="4"/>
      <c r="AR19" s="4"/>
      <c r="AS19" s="76" t="str">
        <f>"COMMENT ON COLUMN "&amp;エンティティ一覧!$O$2&amp;"."&amp;D$8&amp;"."&amp;D19&amp;" IS '"&amp;C19&amp;"';"</f>
        <v>COMMENT ON COLUMN milscm_2023_010.azn_202310_backup_text_mml_mmlsg_procedure_item.procedure_no IS '手術法No';</v>
      </c>
    </row>
    <row r="20" spans="1:52" s="25" customFormat="1">
      <c r="A20" s="4"/>
      <c r="B20" s="21">
        <f t="shared" si="2"/>
        <v>8</v>
      </c>
      <c r="C20" s="6" t="s">
        <v>2921</v>
      </c>
      <c r="D20" s="6" t="s">
        <v>2922</v>
      </c>
      <c r="E20" s="8"/>
      <c r="F20" s="7" t="s">
        <v>1819</v>
      </c>
      <c r="G20" s="7" t="str">
        <f t="shared" si="3"/>
        <v>text</v>
      </c>
      <c r="H20" s="26"/>
      <c r="I20" s="10"/>
      <c r="J20" s="11"/>
      <c r="M20" s="4"/>
      <c r="N20" s="76"/>
      <c r="O20" s="76"/>
      <c r="P20" s="76" t="str">
        <f t="shared" si="4"/>
        <v>,operation</v>
      </c>
      <c r="Q20" s="76" t="str">
        <f t="shared" si="0"/>
        <v>TEXT</v>
      </c>
      <c r="R20" s="76" t="str">
        <f t="shared" si="1"/>
        <v/>
      </c>
      <c r="S20" s="76" t="str">
        <f t="shared" si="5"/>
        <v/>
      </c>
      <c r="T20" s="76" t="str">
        <f t="shared" si="6"/>
        <v>-- 手術法</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milscm_2023_010.azn_202310_backup_text_mml_mmlsg_procedure_item.operation IS '手術法';</v>
      </c>
    </row>
    <row r="21" spans="1:52" s="25" customFormat="1">
      <c r="A21" s="4"/>
      <c r="B21" s="21">
        <f t="shared" si="2"/>
        <v>9</v>
      </c>
      <c r="C21" s="6" t="s">
        <v>2923</v>
      </c>
      <c r="D21" s="6" t="s">
        <v>358</v>
      </c>
      <c r="E21" s="8"/>
      <c r="F21" s="7" t="s">
        <v>1819</v>
      </c>
      <c r="G21" s="7" t="str">
        <f t="shared" ref="G21" si="7">IF(F21="フラグ","boolean",IF(F21="文字列","text",IF(F21="整数","integer",IF(F21="実数","numeric",""))))</f>
        <v>text</v>
      </c>
      <c r="H21" s="26"/>
      <c r="I21" s="10"/>
      <c r="J21" s="11"/>
      <c r="M21" s="4"/>
      <c r="N21" s="76"/>
      <c r="O21" s="76"/>
      <c r="P21" s="76" t="str">
        <f t="shared" ref="P21" si="8">IF(B21&lt;&gt;1,","&amp;D21,D21)</f>
        <v>,code</v>
      </c>
      <c r="Q21" s="76" t="str">
        <f t="shared" ref="Q21" si="9">UPPER(G21)</f>
        <v>TEXT</v>
      </c>
      <c r="R21" s="76" t="str">
        <f t="shared" ref="R21" si="10">IF(H21&lt;&gt;"","default "&amp;IF(G21="text","'"&amp;H21&amp;"'",H21),"")</f>
        <v/>
      </c>
      <c r="S21" s="76" t="str">
        <f t="shared" ref="S21" si="11">IF(I21="○","NOT NULL","")</f>
        <v/>
      </c>
      <c r="T21" s="76" t="str">
        <f t="shared" ref="T21" si="12">"-- "&amp;C21</f>
        <v>-- 手術法コード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milscm_2023_010.azn_202310_backup_text_mml_mmlsg_procedure_item.code IS '手術法コード';</v>
      </c>
    </row>
    <row r="22" spans="1:52" s="25" customFormat="1">
      <c r="A22" s="4"/>
      <c r="B22" s="21">
        <f t="shared" si="2"/>
        <v>10</v>
      </c>
      <c r="C22" s="6" t="s">
        <v>2924</v>
      </c>
      <c r="D22" s="6" t="s">
        <v>2801</v>
      </c>
      <c r="E22" s="8"/>
      <c r="F22" s="7" t="s">
        <v>1819</v>
      </c>
      <c r="G22" s="7" t="str">
        <f t="shared" si="3"/>
        <v>text</v>
      </c>
      <c r="H22" s="26"/>
      <c r="I22" s="10"/>
      <c r="J22" s="11"/>
      <c r="M22" s="4"/>
      <c r="N22" s="76"/>
      <c r="O22" s="76"/>
      <c r="P22" s="76" t="str">
        <f t="shared" si="4"/>
        <v>,system</v>
      </c>
      <c r="Q22" s="76" t="str">
        <f t="shared" si="0"/>
        <v>TEXT</v>
      </c>
      <c r="R22" s="76" t="str">
        <f t="shared" si="1"/>
        <v/>
      </c>
      <c r="S22" s="76" t="str">
        <f t="shared" si="5"/>
        <v/>
      </c>
      <c r="T22" s="76" t="str">
        <f t="shared" si="6"/>
        <v>-- 手術法コード体系名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milscm_2023_010.azn_202310_backup_text_mml_mmlsg_procedure_item.system IS '手術法コード体系名';</v>
      </c>
    </row>
    <row r="23" spans="1:52" s="25" customFormat="1" ht="19.5" thickBot="1">
      <c r="A23" s="4"/>
      <c r="B23" s="27">
        <f>ROW()-12</f>
        <v>11</v>
      </c>
      <c r="C23" s="57" t="s">
        <v>2925</v>
      </c>
      <c r="D23" s="57" t="s">
        <v>2926</v>
      </c>
      <c r="E23" s="56"/>
      <c r="F23" s="56" t="s">
        <v>1819</v>
      </c>
      <c r="G23" s="56" t="str">
        <f t="shared" si="3"/>
        <v>text</v>
      </c>
      <c r="H23" s="59"/>
      <c r="I23" s="60"/>
      <c r="J23" s="63"/>
      <c r="N23" s="76"/>
      <c r="O23" s="76"/>
      <c r="P23" s="76" t="str">
        <f t="shared" si="4"/>
        <v>,procedure_memo</v>
      </c>
      <c r="Q23" s="76" t="str">
        <f t="shared" si="0"/>
        <v>TEXT</v>
      </c>
      <c r="R23" s="76" t="str">
        <f t="shared" si="1"/>
        <v/>
      </c>
      <c r="S23" s="76" t="str">
        <f t="shared" si="5"/>
        <v/>
      </c>
      <c r="T23" s="76" t="str">
        <f t="shared" si="6"/>
        <v>-- 手術法に関する追加事項</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milscm_2023_010.azn_202310_backup_text_mml_mmlsg_procedure_item.procedure_memo IS '手術法に関する追加事項';</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ENT_01_A6-48</v>
      </c>
      <c r="E6" s="272"/>
      <c r="F6" s="272"/>
      <c r="G6" s="272"/>
      <c r="H6" s="272"/>
      <c r="I6" s="272"/>
      <c r="J6" s="273"/>
    </row>
    <row r="7" spans="1:45">
      <c r="B7" s="261" t="s">
        <v>115</v>
      </c>
      <c r="C7" s="262"/>
      <c r="D7" s="263" t="s">
        <v>2927</v>
      </c>
      <c r="E7" s="264"/>
      <c r="F7" s="264"/>
      <c r="G7" s="264"/>
      <c r="H7" s="264"/>
      <c r="I7" s="264"/>
      <c r="J7" s="265"/>
    </row>
    <row r="8" spans="1:45">
      <c r="B8" s="261" t="s">
        <v>116</v>
      </c>
      <c r="C8" s="262"/>
      <c r="D8" s="263" t="str">
        <f>エンティティ一覧!AE2&amp;"_"&amp;D5&amp;"_text_mml_mmlsg_operation_element"</f>
        <v>azn_202310_backup_text_mml_mmlsg_operation_element</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MML_手術モジュール_手術要素テーブルから組入れ条件の第一条件で絞り込んだ結果を格納するテーブル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milscm_2023_010.azn_202310_backup_text_mml_mmlsg_operation_element;</v>
      </c>
      <c r="O10" s="76"/>
      <c r="P10" s="76"/>
      <c r="Q10" s="76"/>
      <c r="R10" s="76"/>
      <c r="S10" s="76"/>
      <c r="T10" s="76"/>
      <c r="AJ10" s="76" t="str">
        <f>"ALTER TABLE ONLY "&amp;エンティティ一覧!$O$2&amp;"."&amp;D$8</f>
        <v>ALTER TABLE ONLY milscm_2023_010.azn_202310_backup_text_mml_mmlsg_operation_element</v>
      </c>
      <c r="AS10" s="76" t="str">
        <f>"ALTER TABLE "&amp;エンティティ一覧!$O$2&amp;"."&amp;D$8&amp;" OWNER TO pgmisgrp1;"</f>
        <v>ALTER TABLE milscm_2023_010.azn_202310_backup_text_mml_mmlsg_operation_element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milscm_2023_010.azn_202310_backup_text_mml_mmlsg_operation_element</v>
      </c>
      <c r="O11" s="76"/>
      <c r="P11" s="76"/>
      <c r="Q11" s="76"/>
      <c r="R11" s="76"/>
      <c r="S11" s="76"/>
      <c r="T11" s="76"/>
      <c r="AJ11" s="76" t="str">
        <f>"ADD CONSTRAINT "&amp;D$8&amp;"_pkey PRIMARY KEY"</f>
        <v>ADD CONSTRAINT azn_202310_backup_text_mml_mmlsg_operation_element_pkey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milscm_2023_010.azn_202310_backup_text_mml_mmlsg_operation_element IS 'バックアップ_MML_手術モジュール_手術要素';</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milscm_2023_010.azn_202310_backup_text_mml_mmlsg_operation_element.zip_no IS 'ZipファイルNo';</v>
      </c>
    </row>
    <row r="14" spans="1:45" s="25" customFormat="1">
      <c r="A14" s="4"/>
      <c r="B14" s="21">
        <f t="shared" ref="B14:B22" si="2">ROW()-12</f>
        <v>2</v>
      </c>
      <c r="C14" s="6" t="s">
        <v>2781</v>
      </c>
      <c r="D14" s="6" t="s">
        <v>2782</v>
      </c>
      <c r="E14" s="8" t="s">
        <v>127</v>
      </c>
      <c r="F14" s="7" t="s">
        <v>2780</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milscm_2023_010.azn_202310_backup_text_mml_mmlsg_operation_element.file_no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milscm_2023_010.azn_202310_backup_text_mml_mmlsg_operation_element.body_no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milscm_2023_010.azn_202310_backup_text_mml_mmlsg_operation_element.facility_id_mml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milscm_2023_010.azn_202310_backup_text_mml_mmlsg_operation_element.master_id IS '患者ID';</v>
      </c>
    </row>
    <row r="18" spans="1:52" s="25" customFormat="1">
      <c r="A18" s="4"/>
      <c r="B18" s="21">
        <f t="shared" si="2"/>
        <v>6</v>
      </c>
      <c r="C18" s="6" t="s">
        <v>2870</v>
      </c>
      <c r="D18" s="6" t="s">
        <v>2871</v>
      </c>
      <c r="E18" s="8" t="s">
        <v>127</v>
      </c>
      <c r="F18" s="7" t="s">
        <v>2780</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milscm_2023_010.azn_202310_backup_text_mml_mmlsg_operation_element.surgery_item_no IS '手術項目No';</v>
      </c>
    </row>
    <row r="19" spans="1:52" s="25" customFormat="1">
      <c r="A19" s="4"/>
      <c r="B19" s="21">
        <f t="shared" si="2"/>
        <v>7</v>
      </c>
      <c r="C19" s="6" t="s">
        <v>2919</v>
      </c>
      <c r="D19" s="6" t="s">
        <v>2920</v>
      </c>
      <c r="E19" s="8" t="s">
        <v>127</v>
      </c>
      <c r="F19" s="7" t="s">
        <v>2780</v>
      </c>
      <c r="G19" s="7" t="str">
        <f t="shared" si="3"/>
        <v>integer</v>
      </c>
      <c r="H19" s="26"/>
      <c r="I19" s="10" t="s">
        <v>127</v>
      </c>
      <c r="J19" s="11"/>
      <c r="M19" s="4"/>
      <c r="N19" s="76"/>
      <c r="O19" s="76"/>
      <c r="P19" s="76" t="str">
        <f t="shared" si="4"/>
        <v>,procedure_no</v>
      </c>
      <c r="Q19" s="76" t="str">
        <f t="shared" si="0"/>
        <v>INTEGER</v>
      </c>
      <c r="R19" s="76" t="str">
        <f t="shared" si="1"/>
        <v/>
      </c>
      <c r="S19" s="76" t="str">
        <f t="shared" si="5"/>
        <v>NOT NULL</v>
      </c>
      <c r="T19" s="76" t="str">
        <f t="shared" si="6"/>
        <v>-- 手術法No</v>
      </c>
      <c r="U19" s="4"/>
      <c r="AA19" s="4"/>
      <c r="AB19" s="4"/>
      <c r="AC19" s="4"/>
      <c r="AD19" s="4"/>
      <c r="AE19" s="4"/>
      <c r="AF19" s="4"/>
      <c r="AG19" s="4"/>
      <c r="AH19" s="4"/>
      <c r="AI19" s="4"/>
      <c r="AJ19" s="76" t="str">
        <f>IF(E19="○",IF(COUNTA(E$13:E19)=1,"",",")&amp;D19,"")</f>
        <v>,procedure_no</v>
      </c>
      <c r="AK19" s="4"/>
      <c r="AL19" s="4"/>
      <c r="AM19" s="4"/>
      <c r="AN19" s="4"/>
      <c r="AO19" s="4"/>
      <c r="AP19" s="4"/>
      <c r="AQ19" s="4"/>
      <c r="AR19" s="4"/>
      <c r="AS19" s="76" t="str">
        <f>"COMMENT ON COLUMN "&amp;エンティティ一覧!$O$2&amp;"."&amp;D$8&amp;"."&amp;D19&amp;" IS '"&amp;C19&amp;"';"</f>
        <v>COMMENT ON COLUMN milscm_2023_010.azn_202310_backup_text_mml_mmlsg_operation_element.procedure_no IS '手術法No';</v>
      </c>
    </row>
    <row r="20" spans="1:52" s="25" customFormat="1">
      <c r="A20" s="4"/>
      <c r="B20" s="21">
        <f t="shared" si="2"/>
        <v>8</v>
      </c>
      <c r="C20" s="6" t="s">
        <v>2928</v>
      </c>
      <c r="D20" s="6" t="s">
        <v>2929</v>
      </c>
      <c r="E20" s="8" t="s">
        <v>127</v>
      </c>
      <c r="F20" s="7" t="s">
        <v>2780</v>
      </c>
      <c r="G20" s="7" t="str">
        <f t="shared" si="3"/>
        <v>integer</v>
      </c>
      <c r="H20" s="26"/>
      <c r="I20" s="10" t="s">
        <v>127</v>
      </c>
      <c r="J20" s="11"/>
      <c r="M20" s="4"/>
      <c r="N20" s="76"/>
      <c r="O20" s="76"/>
      <c r="P20" s="76" t="str">
        <f t="shared" si="4"/>
        <v>,operation_element_no</v>
      </c>
      <c r="Q20" s="76" t="str">
        <f t="shared" si="0"/>
        <v>INTEGER</v>
      </c>
      <c r="R20" s="76" t="str">
        <f t="shared" si="1"/>
        <v/>
      </c>
      <c r="S20" s="76" t="str">
        <f t="shared" si="5"/>
        <v>NOT NULL</v>
      </c>
      <c r="T20" s="76" t="str">
        <f t="shared" si="6"/>
        <v>-- 手術要素No</v>
      </c>
      <c r="U20" s="4"/>
      <c r="AA20" s="4"/>
      <c r="AB20" s="4"/>
      <c r="AC20" s="4"/>
      <c r="AD20" s="4"/>
      <c r="AE20" s="4"/>
      <c r="AF20" s="4"/>
      <c r="AG20" s="4"/>
      <c r="AH20" s="4"/>
      <c r="AI20" s="4"/>
      <c r="AJ20" s="76" t="str">
        <f>IF(E20="○",IF(COUNTA(E$13:E20)=1,"",",")&amp;D20,"")</f>
        <v>,operation_element_no</v>
      </c>
      <c r="AK20" s="4"/>
      <c r="AL20" s="4"/>
      <c r="AM20" s="4"/>
      <c r="AN20" s="4"/>
      <c r="AO20" s="4"/>
      <c r="AP20" s="4"/>
      <c r="AQ20" s="4"/>
      <c r="AR20" s="4"/>
      <c r="AS20" s="76" t="str">
        <f>"COMMENT ON COLUMN "&amp;エンティティ一覧!$O$2&amp;"."&amp;D$8&amp;"."&amp;D20&amp;" IS '"&amp;C20&amp;"';"</f>
        <v>COMMENT ON COLUMN milscm_2023_010.azn_202310_backup_text_mml_mmlsg_operation_element.operation_element_no IS '手術要素No';</v>
      </c>
    </row>
    <row r="21" spans="1:52" s="25" customFormat="1">
      <c r="A21" s="4"/>
      <c r="B21" s="21">
        <f t="shared" si="2"/>
        <v>9</v>
      </c>
      <c r="C21" s="6" t="s">
        <v>2930</v>
      </c>
      <c r="D21" s="6" t="s">
        <v>2922</v>
      </c>
      <c r="E21" s="8"/>
      <c r="F21" s="7" t="s">
        <v>1819</v>
      </c>
      <c r="G21" s="7" t="str">
        <f t="shared" si="3"/>
        <v>text</v>
      </c>
      <c r="H21" s="26"/>
      <c r="I21" s="10"/>
      <c r="J21" s="11"/>
      <c r="M21" s="4"/>
      <c r="N21" s="76"/>
      <c r="O21" s="76"/>
      <c r="P21" s="76" t="str">
        <f t="shared" si="4"/>
        <v>,operation</v>
      </c>
      <c r="Q21" s="76" t="str">
        <f t="shared" si="0"/>
        <v>TEXT</v>
      </c>
      <c r="R21" s="76" t="str">
        <f t="shared" si="1"/>
        <v/>
      </c>
      <c r="S21" s="76" t="str">
        <f t="shared" si="5"/>
        <v/>
      </c>
      <c r="T21" s="76" t="str">
        <f t="shared" si="6"/>
        <v>-- 分割された手術要素名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milscm_2023_010.azn_202310_backup_text_mml_mmlsg_operation_element.operation IS '分割された手術要素名';</v>
      </c>
    </row>
    <row r="22" spans="1:52" s="25" customFormat="1">
      <c r="A22" s="4"/>
      <c r="B22" s="21">
        <f t="shared" si="2"/>
        <v>10</v>
      </c>
      <c r="C22" s="6" t="s">
        <v>2923</v>
      </c>
      <c r="D22" s="6" t="s">
        <v>358</v>
      </c>
      <c r="E22" s="8"/>
      <c r="F22" s="7" t="s">
        <v>1819</v>
      </c>
      <c r="G22" s="7" t="str">
        <f t="shared" si="3"/>
        <v>text</v>
      </c>
      <c r="H22" s="26"/>
      <c r="I22" s="10"/>
      <c r="J22" s="11"/>
      <c r="M22" s="4"/>
      <c r="N22" s="76"/>
      <c r="O22" s="76"/>
      <c r="P22" s="76" t="str">
        <f t="shared" si="4"/>
        <v>,code</v>
      </c>
      <c r="Q22" s="76" t="str">
        <f t="shared" si="0"/>
        <v>TEXT</v>
      </c>
      <c r="R22" s="76" t="str">
        <f t="shared" si="1"/>
        <v/>
      </c>
      <c r="S22" s="76" t="str">
        <f t="shared" si="5"/>
        <v/>
      </c>
      <c r="T22" s="76" t="str">
        <f t="shared" si="6"/>
        <v>-- 手術法コード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milscm_2023_010.azn_202310_backup_text_mml_mmlsg_operation_element.code IS '手術法コード';</v>
      </c>
    </row>
    <row r="23" spans="1:52" s="25" customFormat="1" ht="19.5" thickBot="1">
      <c r="A23" s="4"/>
      <c r="B23" s="27">
        <f>ROW()-12</f>
        <v>11</v>
      </c>
      <c r="C23" s="57" t="s">
        <v>2924</v>
      </c>
      <c r="D23" s="57" t="s">
        <v>2801</v>
      </c>
      <c r="E23" s="56"/>
      <c r="F23" s="56" t="s">
        <v>1819</v>
      </c>
      <c r="G23" s="56" t="str">
        <f t="shared" si="3"/>
        <v>text</v>
      </c>
      <c r="H23" s="59"/>
      <c r="I23" s="60"/>
      <c r="J23" s="63"/>
      <c r="N23" s="76"/>
      <c r="O23" s="76"/>
      <c r="P23" s="76" t="str">
        <f t="shared" si="4"/>
        <v>,system</v>
      </c>
      <c r="Q23" s="76" t="str">
        <f t="shared" si="0"/>
        <v>TEXT</v>
      </c>
      <c r="R23" s="76" t="str">
        <f t="shared" si="1"/>
        <v/>
      </c>
      <c r="S23" s="76" t="str">
        <f t="shared" si="5"/>
        <v/>
      </c>
      <c r="T23" s="76" t="str">
        <f t="shared" si="6"/>
        <v>-- 手術法コード体系名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milscm_2023_010.azn_202310_backup_text_mml_mmlsg_operation_element.system IS '手術法コード体系名';</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ENT_01_A6-49</v>
      </c>
      <c r="E6" s="272"/>
      <c r="F6" s="272"/>
      <c r="G6" s="272"/>
      <c r="H6" s="272"/>
      <c r="I6" s="272"/>
      <c r="J6" s="273"/>
    </row>
    <row r="7" spans="1:45">
      <c r="B7" s="261" t="s">
        <v>115</v>
      </c>
      <c r="C7" s="262"/>
      <c r="D7" s="263" t="s">
        <v>2931</v>
      </c>
      <c r="E7" s="264"/>
      <c r="F7" s="264"/>
      <c r="G7" s="264"/>
      <c r="H7" s="264"/>
      <c r="I7" s="264"/>
      <c r="J7" s="265"/>
    </row>
    <row r="8" spans="1:45">
      <c r="B8" s="261" t="s">
        <v>116</v>
      </c>
      <c r="C8" s="262"/>
      <c r="D8" s="263" t="str">
        <f>エンティティ一覧!AE2&amp;"_"&amp;D5&amp;"_text_mml_mmlsg_anesthesia_procedure"</f>
        <v>azn_202310_backup_text_mml_mmlsg_anesthesia_procedure</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MML_手術モジュール_麻酔法テーブルから組入れ条件の第一条件で絞り込んだ結果を格納するテーブル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milscm_2023_010.azn_202310_backup_text_mml_mmlsg_anesthesia_procedure;</v>
      </c>
      <c r="O10" s="76"/>
      <c r="P10" s="76"/>
      <c r="Q10" s="76"/>
      <c r="R10" s="76"/>
      <c r="S10" s="76"/>
      <c r="T10" s="76"/>
      <c r="AJ10" s="76" t="str">
        <f>"ALTER TABLE ONLY "&amp;エンティティ一覧!$O$2&amp;"."&amp;D$8</f>
        <v>ALTER TABLE ONLY milscm_2023_010.azn_202310_backup_text_mml_mmlsg_anesthesia_procedure</v>
      </c>
      <c r="AS10" s="76" t="str">
        <f>"ALTER TABLE "&amp;エンティティ一覧!$O$2&amp;"."&amp;D$8&amp;" OWNER TO pgmisgrp1;"</f>
        <v>ALTER TABLE milscm_2023_010.azn_202310_backup_text_mml_mmlsg_anesthesia_procedure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milscm_2023_010.azn_202310_backup_text_mml_mmlsg_anesthesia_procedure</v>
      </c>
      <c r="O11" s="76"/>
      <c r="P11" s="76"/>
      <c r="Q11" s="76"/>
      <c r="R11" s="76"/>
      <c r="S11" s="76"/>
      <c r="T11" s="76"/>
      <c r="AJ11" s="76" t="str">
        <f>"ADD CONSTRAINT "&amp;D$8&amp;"_pkey PRIMARY KEY"</f>
        <v>ADD CONSTRAINT azn_202310_backup_text_mml_mmlsg_anesthesia_procedure_pkey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milscm_2023_010.azn_202310_backup_text_mml_mmlsg_anesthesia_procedure IS 'バックアップ_MML_手術モジュール_麻酔法';</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milscm_2023_010.azn_202310_backup_text_mml_mmlsg_anesthesia_procedure.zip_no IS 'ZipファイルNo';</v>
      </c>
    </row>
    <row r="14" spans="1:45" s="25" customFormat="1">
      <c r="A14" s="4"/>
      <c r="B14" s="21">
        <f t="shared" ref="B14:B21" si="2">ROW()-12</f>
        <v>2</v>
      </c>
      <c r="C14" s="6" t="s">
        <v>2781</v>
      </c>
      <c r="D14" s="6" t="s">
        <v>2782</v>
      </c>
      <c r="E14" s="8" t="s">
        <v>127</v>
      </c>
      <c r="F14" s="7" t="s">
        <v>2780</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milscm_2023_010.azn_202310_backup_text_mml_mmlsg_anesthesia_procedure.file_no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milscm_2023_010.azn_202310_backup_text_mml_mmlsg_anesthesia_procedure.body_no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milscm_2023_010.azn_202310_backup_text_mml_mmlsg_anesthesia_procedure.facility_id_mml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milscm_2023_010.azn_202310_backup_text_mml_mmlsg_anesthesia_procedure.master_id IS '患者ID';</v>
      </c>
    </row>
    <row r="18" spans="1:52" s="25" customFormat="1">
      <c r="A18" s="4"/>
      <c r="B18" s="21">
        <f t="shared" si="2"/>
        <v>6</v>
      </c>
      <c r="C18" s="6" t="s">
        <v>2870</v>
      </c>
      <c r="D18" s="6" t="s">
        <v>2871</v>
      </c>
      <c r="E18" s="8" t="s">
        <v>127</v>
      </c>
      <c r="F18" s="7" t="s">
        <v>2780</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milscm_2023_010.azn_202310_backup_text_mml_mmlsg_anesthesia_procedure.surgery_item_no IS '手術項目No';</v>
      </c>
    </row>
    <row r="19" spans="1:52" s="25" customFormat="1">
      <c r="A19" s="4"/>
      <c r="B19" s="21">
        <f t="shared" si="2"/>
        <v>7</v>
      </c>
      <c r="C19" s="6" t="s">
        <v>2932</v>
      </c>
      <c r="D19" s="6" t="s">
        <v>2933</v>
      </c>
      <c r="E19" s="8" t="s">
        <v>127</v>
      </c>
      <c r="F19" s="7" t="s">
        <v>2780</v>
      </c>
      <c r="G19" s="7" t="str">
        <f t="shared" si="3"/>
        <v>integer</v>
      </c>
      <c r="H19" s="26"/>
      <c r="I19" s="10" t="s">
        <v>127</v>
      </c>
      <c r="J19" s="11"/>
      <c r="M19" s="4"/>
      <c r="N19" s="76"/>
      <c r="O19" s="76"/>
      <c r="P19" s="76" t="str">
        <f t="shared" si="4"/>
        <v>,anesthesia_no</v>
      </c>
      <c r="Q19" s="76" t="str">
        <f t="shared" si="0"/>
        <v>INTEGER</v>
      </c>
      <c r="R19" s="76" t="str">
        <f t="shared" si="1"/>
        <v/>
      </c>
      <c r="S19" s="76" t="str">
        <f t="shared" si="5"/>
        <v>NOT NULL</v>
      </c>
      <c r="T19" s="76" t="str">
        <f t="shared" si="6"/>
        <v>-- 麻酔法No</v>
      </c>
      <c r="U19" s="4"/>
      <c r="AA19" s="4"/>
      <c r="AB19" s="4"/>
      <c r="AC19" s="4"/>
      <c r="AD19" s="4"/>
      <c r="AE19" s="4"/>
      <c r="AF19" s="4"/>
      <c r="AG19" s="4"/>
      <c r="AH19" s="4"/>
      <c r="AI19" s="4"/>
      <c r="AJ19" s="76" t="str">
        <f>IF(E19="○",IF(COUNTA(E$13:E19)=1,"",",")&amp;D19,"")</f>
        <v>,anesthesia_no</v>
      </c>
      <c r="AK19" s="4"/>
      <c r="AL19" s="4"/>
      <c r="AM19" s="4"/>
      <c r="AN19" s="4"/>
      <c r="AO19" s="4"/>
      <c r="AP19" s="4"/>
      <c r="AQ19" s="4"/>
      <c r="AR19" s="4"/>
      <c r="AS19" s="76" t="str">
        <f>"COMMENT ON COLUMN "&amp;エンティティ一覧!$O$2&amp;"."&amp;D$8&amp;"."&amp;D19&amp;" IS '"&amp;C19&amp;"';"</f>
        <v>COMMENT ON COLUMN milscm_2023_010.azn_202310_backup_text_mml_mmlsg_anesthesia_procedure.anesthesia_no IS '麻酔法No';</v>
      </c>
    </row>
    <row r="20" spans="1:52" s="25" customFormat="1">
      <c r="A20" s="4"/>
      <c r="B20" s="21">
        <f t="shared" si="2"/>
        <v>8</v>
      </c>
      <c r="C20" s="6" t="s">
        <v>2934</v>
      </c>
      <c r="D20" s="6" t="s">
        <v>2935</v>
      </c>
      <c r="E20" s="8"/>
      <c r="F20" s="7" t="s">
        <v>1819</v>
      </c>
      <c r="G20" s="7" t="str">
        <f t="shared" si="3"/>
        <v>text</v>
      </c>
      <c r="H20" s="26"/>
      <c r="I20" s="10"/>
      <c r="J20" s="11"/>
      <c r="M20" s="4"/>
      <c r="N20" s="76"/>
      <c r="O20" s="76"/>
      <c r="P20" s="76" t="str">
        <f t="shared" si="4"/>
        <v>,title</v>
      </c>
      <c r="Q20" s="76" t="str">
        <f t="shared" si="0"/>
        <v>TEXT</v>
      </c>
      <c r="R20" s="76" t="str">
        <f t="shared" si="1"/>
        <v/>
      </c>
      <c r="S20" s="76" t="str">
        <f t="shared" si="5"/>
        <v/>
      </c>
      <c r="T20" s="76" t="str">
        <f t="shared" si="6"/>
        <v>-- 麻酔法名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milscm_2023_010.azn_202310_backup_text_mml_mmlsg_anesthesia_procedure.title IS '麻酔法名';</v>
      </c>
    </row>
    <row r="21" spans="1:52" s="25" customFormat="1">
      <c r="A21" s="4"/>
      <c r="B21" s="21">
        <f t="shared" si="2"/>
        <v>9</v>
      </c>
      <c r="C21" s="6" t="s">
        <v>2936</v>
      </c>
      <c r="D21" s="6" t="s">
        <v>358</v>
      </c>
      <c r="E21" s="8"/>
      <c r="F21" s="7" t="s">
        <v>1819</v>
      </c>
      <c r="G21" s="7" t="str">
        <f t="shared" si="3"/>
        <v>text</v>
      </c>
      <c r="H21" s="26"/>
      <c r="I21" s="10"/>
      <c r="J21" s="11"/>
      <c r="M21" s="4"/>
      <c r="N21" s="76"/>
      <c r="O21" s="76"/>
      <c r="P21" s="76" t="str">
        <f t="shared" si="4"/>
        <v>,code</v>
      </c>
      <c r="Q21" s="76" t="str">
        <f t="shared" si="0"/>
        <v>TEXT</v>
      </c>
      <c r="R21" s="76" t="str">
        <f t="shared" si="1"/>
        <v/>
      </c>
      <c r="S21" s="76" t="str">
        <f t="shared" si="5"/>
        <v/>
      </c>
      <c r="T21" s="76" t="str">
        <f t="shared" si="6"/>
        <v>-- 麻酔法名コード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milscm_2023_010.azn_202310_backup_text_mml_mmlsg_anesthesia_procedure.code IS '麻酔法名コード';</v>
      </c>
    </row>
    <row r="22" spans="1:52" s="25" customFormat="1" ht="19.5" thickBot="1">
      <c r="A22" s="4"/>
      <c r="B22" s="27">
        <f>ROW()-12</f>
        <v>10</v>
      </c>
      <c r="C22" s="57" t="s">
        <v>2937</v>
      </c>
      <c r="D22" s="57" t="s">
        <v>2801</v>
      </c>
      <c r="E22" s="56"/>
      <c r="F22" s="56" t="s">
        <v>1819</v>
      </c>
      <c r="G22" s="56" t="str">
        <f t="shared" si="3"/>
        <v>text</v>
      </c>
      <c r="H22" s="59"/>
      <c r="I22" s="60"/>
      <c r="J22" s="63"/>
      <c r="N22" s="76"/>
      <c r="O22" s="76"/>
      <c r="P22" s="76" t="str">
        <f t="shared" si="4"/>
        <v>,system</v>
      </c>
      <c r="Q22" s="76" t="str">
        <f t="shared" si="0"/>
        <v>TEXT</v>
      </c>
      <c r="R22" s="76" t="str">
        <f t="shared" si="1"/>
        <v/>
      </c>
      <c r="S22" s="76" t="str">
        <f t="shared" si="5"/>
        <v/>
      </c>
      <c r="T22" s="76" t="str">
        <f t="shared" si="6"/>
        <v>-- 麻酔法名コード体系名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milscm_2023_010.azn_202310_backup_text_mml_mmlsg_anesthesia_procedure.system IS '麻酔法名コード体系名';</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ENT_01_A6-50</v>
      </c>
      <c r="E6" s="272"/>
      <c r="F6" s="272"/>
      <c r="G6" s="272"/>
      <c r="H6" s="272"/>
      <c r="I6" s="272"/>
      <c r="J6" s="273"/>
    </row>
    <row r="7" spans="1:45">
      <c r="B7" s="261" t="s">
        <v>115</v>
      </c>
      <c r="C7" s="262"/>
      <c r="D7" s="263" t="s">
        <v>2938</v>
      </c>
      <c r="E7" s="264"/>
      <c r="F7" s="264"/>
      <c r="G7" s="264"/>
      <c r="H7" s="264"/>
      <c r="I7" s="264"/>
      <c r="J7" s="265"/>
    </row>
    <row r="8" spans="1:45">
      <c r="B8" s="261" t="s">
        <v>116</v>
      </c>
      <c r="C8" s="262"/>
      <c r="D8" s="263" t="str">
        <f>エンティティ一覧!AE2&amp;"_"&amp;D5&amp;"_text_mml_mmlrp_body"</f>
        <v>azn_202310_backup_text_mml_mmlrp_body</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MML_報告書情報モジュール_本文テーブルから組入れ条件の第一条件で絞り込んだ結果を格納するテーブル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milscm_2023_010.azn_202310_backup_text_mml_mmlrp_body;</v>
      </c>
      <c r="O10" s="76"/>
      <c r="P10" s="76"/>
      <c r="Q10" s="76"/>
      <c r="R10" s="76"/>
      <c r="S10" s="76"/>
      <c r="T10" s="76"/>
      <c r="AJ10" s="76" t="str">
        <f>"ALTER TABLE ONLY "&amp;エンティティ一覧!$O$2&amp;"."&amp;D$8</f>
        <v>ALTER TABLE ONLY milscm_2023_010.azn_202310_backup_text_mml_mmlrp_body</v>
      </c>
      <c r="AS10" s="76" t="str">
        <f>"ALTER TABLE "&amp;エンティティ一覧!$O$2&amp;"."&amp;D$8&amp;" OWNER TO pgmisgrp1;"</f>
        <v>ALTER TABLE milscm_2023_010.azn_202310_backup_text_mml_mmlrp_body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milscm_2023_010.azn_202310_backup_text_mml_mmlrp_body</v>
      </c>
      <c r="O11" s="76"/>
      <c r="P11" s="76"/>
      <c r="Q11" s="76"/>
      <c r="R11" s="76"/>
      <c r="S11" s="76"/>
      <c r="T11" s="76"/>
      <c r="AJ11" s="76" t="str">
        <f>"ADD CONSTRAINT "&amp;D$8&amp;"_pkey PRIMARY KEY"</f>
        <v>ADD CONSTRAINT azn_202310_backup_text_mml_mmlrp_body_pkey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milscm_2023_010.azn_202310_backup_text_mml_mmlrp_body IS 'バックアップ_MML_報告書情報モジュール_本文';</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52" si="0">UPPER(G13)</f>
        <v>INTEGER</v>
      </c>
      <c r="R13" s="76" t="str">
        <f t="shared" ref="R13:R5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milscm_2023_010.azn_202310_backup_text_mml_mmlrp_body.zip_no IS 'ZipファイルNo';</v>
      </c>
    </row>
    <row r="14" spans="1:45" s="25" customFormat="1">
      <c r="A14" s="4"/>
      <c r="B14" s="21">
        <f t="shared" ref="B14:B51" si="2">ROW()-12</f>
        <v>2</v>
      </c>
      <c r="C14" s="6" t="s">
        <v>2781</v>
      </c>
      <c r="D14" s="6" t="s">
        <v>2782</v>
      </c>
      <c r="E14" s="8" t="s">
        <v>127</v>
      </c>
      <c r="F14" s="7" t="s">
        <v>2780</v>
      </c>
      <c r="G14" s="7" t="str">
        <f t="shared" ref="G14:G52" si="3">IF(F14="フラグ","boolean",IF(F14="文字列","text",IF(F14="整数","integer",IF(F14="実数","numeric",""))))</f>
        <v>integer</v>
      </c>
      <c r="H14" s="26"/>
      <c r="I14" s="10" t="s">
        <v>127</v>
      </c>
      <c r="J14" s="11"/>
      <c r="M14" s="4"/>
      <c r="N14" s="76"/>
      <c r="O14" s="76"/>
      <c r="P14" s="76" t="str">
        <f t="shared" ref="P14:P52" si="4">IF(B14&lt;&gt;1,","&amp;D14,D14)</f>
        <v>,file_no</v>
      </c>
      <c r="Q14" s="76" t="str">
        <f t="shared" si="0"/>
        <v>INTEGER</v>
      </c>
      <c r="R14" s="76" t="str">
        <f t="shared" si="1"/>
        <v/>
      </c>
      <c r="S14" s="76" t="str">
        <f t="shared" ref="S14:S52" si="5">IF(I14="○","NOT NULL","")</f>
        <v>NOT NULL</v>
      </c>
      <c r="T14" s="76" t="str">
        <f t="shared" ref="T14:T5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milscm_2023_010.azn_202310_backup_text_mml_mmlrp_body.file_no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milscm_2023_010.azn_202310_backup_text_mml_mmlrp_body.body_no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milscm_2023_010.azn_202310_backup_text_mml_mmlrp_body.facility_id_mml IS '施設ID（MML）';</v>
      </c>
    </row>
    <row r="17" spans="1:45"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milscm_2023_010.azn_202310_backup_text_mml_mmlrp_body.master_id IS '患者ID';</v>
      </c>
    </row>
    <row r="18" spans="1:45" s="25" customFormat="1">
      <c r="A18" s="4"/>
      <c r="B18" s="21">
        <f t="shared" si="2"/>
        <v>6</v>
      </c>
      <c r="C18" s="6" t="s">
        <v>2939</v>
      </c>
      <c r="D18" s="6" t="s">
        <v>2940</v>
      </c>
      <c r="E18" s="8"/>
      <c r="F18" s="7" t="s">
        <v>1819</v>
      </c>
      <c r="G18" s="7" t="str">
        <f t="shared" si="3"/>
        <v>text</v>
      </c>
      <c r="H18" s="26"/>
      <c r="I18" s="10"/>
      <c r="J18" s="11" t="s">
        <v>2792</v>
      </c>
      <c r="M18" s="4"/>
      <c r="N18" s="76"/>
      <c r="O18" s="76"/>
      <c r="P18" s="76" t="str">
        <f t="shared" si="4"/>
        <v>,perform_time</v>
      </c>
      <c r="Q18" s="76" t="str">
        <f t="shared" si="0"/>
        <v>TEXT</v>
      </c>
      <c r="R18" s="76" t="str">
        <f t="shared" si="1"/>
        <v/>
      </c>
      <c r="S18" s="76" t="str">
        <f t="shared" si="5"/>
        <v/>
      </c>
      <c r="T18" s="76" t="str">
        <f t="shared" si="6"/>
        <v>-- 検査実施日時</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milscm_2023_010.azn_202310_backup_text_mml_mmlrp_body.perform_time IS '検査実施日時';</v>
      </c>
    </row>
    <row r="19" spans="1:45" s="25" customFormat="1">
      <c r="A19" s="4"/>
      <c r="B19" s="21">
        <f t="shared" si="2"/>
        <v>7</v>
      </c>
      <c r="C19" s="6" t="s">
        <v>1550</v>
      </c>
      <c r="D19" s="6" t="s">
        <v>1551</v>
      </c>
      <c r="E19" s="8"/>
      <c r="F19" s="7" t="s">
        <v>1819</v>
      </c>
      <c r="G19" s="7" t="str">
        <f t="shared" si="3"/>
        <v>text</v>
      </c>
      <c r="H19" s="26"/>
      <c r="I19" s="10"/>
      <c r="J19" s="11" t="s">
        <v>2792</v>
      </c>
      <c r="M19" s="4"/>
      <c r="N19" s="76"/>
      <c r="O19" s="76"/>
      <c r="P19" s="76" t="str">
        <f t="shared" si="4"/>
        <v>,report_time</v>
      </c>
      <c r="Q19" s="76" t="str">
        <f t="shared" si="0"/>
        <v>TEXT</v>
      </c>
      <c r="R19" s="76" t="str">
        <f t="shared" si="1"/>
        <v/>
      </c>
      <c r="S19" s="76" t="str">
        <f t="shared" si="5"/>
        <v/>
      </c>
      <c r="T19" s="76" t="str">
        <f t="shared" si="6"/>
        <v>-- 報告日時</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milscm_2023_010.azn_202310_backup_text_mml_mmlrp_body.report_time IS '報告日時';</v>
      </c>
    </row>
    <row r="20" spans="1:45" s="25" customFormat="1">
      <c r="A20" s="4"/>
      <c r="B20" s="21">
        <f t="shared" si="2"/>
        <v>8</v>
      </c>
      <c r="C20" s="6" t="s">
        <v>1552</v>
      </c>
      <c r="D20" s="6" t="s">
        <v>2941</v>
      </c>
      <c r="E20" s="8"/>
      <c r="F20" s="7" t="s">
        <v>1819</v>
      </c>
      <c r="G20" s="7" t="str">
        <f t="shared" si="3"/>
        <v>text</v>
      </c>
      <c r="H20" s="26"/>
      <c r="I20" s="10"/>
      <c r="J20" s="11"/>
      <c r="M20" s="4"/>
      <c r="N20" s="76"/>
      <c r="O20" s="76"/>
      <c r="P20" s="76" t="str">
        <f t="shared" si="4"/>
        <v>,report_status</v>
      </c>
      <c r="Q20" s="76" t="str">
        <f t="shared" si="0"/>
        <v>TEXT</v>
      </c>
      <c r="R20" s="76" t="str">
        <f t="shared" si="1"/>
        <v/>
      </c>
      <c r="S20" s="76" t="str">
        <f t="shared" si="5"/>
        <v/>
      </c>
      <c r="T20" s="76" t="str">
        <f t="shared" si="6"/>
        <v>-- 報告状態</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milscm_2023_010.azn_202310_backup_text_mml_mmlrp_body.report_status IS '報告状態';</v>
      </c>
    </row>
    <row r="21" spans="1:45" s="25" customFormat="1">
      <c r="A21" s="4"/>
      <c r="B21" s="21">
        <f t="shared" si="2"/>
        <v>9</v>
      </c>
      <c r="C21" s="6" t="s">
        <v>1554</v>
      </c>
      <c r="D21" s="6" t="s">
        <v>2942</v>
      </c>
      <c r="E21" s="8"/>
      <c r="F21" s="7" t="s">
        <v>1819</v>
      </c>
      <c r="G21" s="7" t="str">
        <f t="shared" ref="G21:G50" si="7">IF(F21="フラグ","boolean",IF(F21="文字列","text",IF(F21="整数","integer",IF(F21="実数","numeric",""))))</f>
        <v>text</v>
      </c>
      <c r="H21" s="26"/>
      <c r="I21" s="10"/>
      <c r="J21" s="11"/>
      <c r="M21" s="4"/>
      <c r="N21" s="76"/>
      <c r="O21" s="76"/>
      <c r="P21" s="76" t="str">
        <f t="shared" ref="P21:P50" si="8">IF(B21&lt;&gt;1,","&amp;D21,D21)</f>
        <v>,report_status_code</v>
      </c>
      <c r="Q21" s="76" t="str">
        <f t="shared" ref="Q21:Q50" si="9">UPPER(G21)</f>
        <v>TEXT</v>
      </c>
      <c r="R21" s="76" t="str">
        <f t="shared" ref="R21:R50" si="10">IF(H21&lt;&gt;"","default "&amp;IF(G21="text","'"&amp;H21&amp;"'",H21),"")</f>
        <v/>
      </c>
      <c r="S21" s="76" t="str">
        <f t="shared" ref="S21:S50" si="11">IF(I21="○","NOT NULL","")</f>
        <v/>
      </c>
      <c r="T21" s="76" t="str">
        <f t="shared" ref="T21:T50" si="12">"-- "&amp;C21</f>
        <v>-- 報告状態コード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milscm_2023_010.azn_202310_backup_text_mml_mmlrp_body.report_status_code IS '報告状態コード';</v>
      </c>
    </row>
    <row r="22" spans="1:45" s="25" customFormat="1">
      <c r="A22" s="4"/>
      <c r="B22" s="21">
        <f t="shared" si="2"/>
        <v>10</v>
      </c>
      <c r="C22" s="6" t="s">
        <v>2943</v>
      </c>
      <c r="D22" s="6" t="s">
        <v>2944</v>
      </c>
      <c r="E22" s="8"/>
      <c r="F22" s="7" t="s">
        <v>1819</v>
      </c>
      <c r="G22" s="7" t="str">
        <f t="shared" si="7"/>
        <v>text</v>
      </c>
      <c r="H22" s="26"/>
      <c r="I22" s="10"/>
      <c r="J22" s="11"/>
      <c r="M22" s="4"/>
      <c r="N22" s="76"/>
      <c r="O22" s="76"/>
      <c r="P22" s="76" t="str">
        <f t="shared" si="8"/>
        <v>,report_status_code_id</v>
      </c>
      <c r="Q22" s="76" t="str">
        <f t="shared" si="9"/>
        <v>TEXT</v>
      </c>
      <c r="R22" s="76" t="str">
        <f t="shared" si="10"/>
        <v/>
      </c>
      <c r="S22" s="76" t="str">
        <f t="shared" si="11"/>
        <v/>
      </c>
      <c r="T22" s="76" t="str">
        <f t="shared" si="12"/>
        <v>-- 報告状態コードID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milscm_2023_010.azn_202310_backup_text_mml_mmlrp_body.report_status_code_id IS '報告状態コードID';</v>
      </c>
    </row>
    <row r="23" spans="1:45" s="25" customFormat="1">
      <c r="A23" s="4"/>
      <c r="B23" s="21">
        <f t="shared" si="2"/>
        <v>11</v>
      </c>
      <c r="C23" s="6" t="s">
        <v>2945</v>
      </c>
      <c r="D23" s="6" t="s">
        <v>2946</v>
      </c>
      <c r="E23" s="8"/>
      <c r="F23" s="7" t="s">
        <v>1819</v>
      </c>
      <c r="G23" s="7" t="str">
        <f t="shared" si="7"/>
        <v>text</v>
      </c>
      <c r="H23" s="26"/>
      <c r="I23" s="10"/>
      <c r="J23" s="11"/>
      <c r="M23" s="4"/>
      <c r="N23" s="76"/>
      <c r="O23" s="76"/>
      <c r="P23" s="76" t="str">
        <f t="shared" si="8"/>
        <v>,test_class</v>
      </c>
      <c r="Q23" s="76" t="str">
        <f t="shared" si="9"/>
        <v>TEXT</v>
      </c>
      <c r="R23" s="76" t="str">
        <f t="shared" si="10"/>
        <v/>
      </c>
      <c r="S23" s="76" t="str">
        <f t="shared" si="11"/>
        <v/>
      </c>
      <c r="T23" s="76" t="str">
        <f t="shared" si="12"/>
        <v>-- 報告書種別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milscm_2023_010.azn_202310_backup_text_mml_mmlrp_body.test_class IS '報告書種別';</v>
      </c>
    </row>
    <row r="24" spans="1:45" s="25" customFormat="1">
      <c r="A24" s="4"/>
      <c r="B24" s="21">
        <f t="shared" si="2"/>
        <v>12</v>
      </c>
      <c r="C24" s="6" t="s">
        <v>2947</v>
      </c>
      <c r="D24" s="6" t="s">
        <v>2948</v>
      </c>
      <c r="E24" s="8"/>
      <c r="F24" s="7" t="s">
        <v>1819</v>
      </c>
      <c r="G24" s="7" t="str">
        <f t="shared" si="7"/>
        <v>text</v>
      </c>
      <c r="H24" s="26"/>
      <c r="I24" s="10"/>
      <c r="J24" s="11"/>
      <c r="M24" s="4"/>
      <c r="N24" s="76"/>
      <c r="O24" s="76"/>
      <c r="P24" s="76" t="str">
        <f t="shared" si="8"/>
        <v>,test_class_code</v>
      </c>
      <c r="Q24" s="76" t="str">
        <f t="shared" si="9"/>
        <v>TEXT</v>
      </c>
      <c r="R24" s="76" t="str">
        <f t="shared" si="10"/>
        <v/>
      </c>
      <c r="S24" s="76" t="str">
        <f t="shared" si="11"/>
        <v/>
      </c>
      <c r="T24" s="76" t="str">
        <f t="shared" si="12"/>
        <v>-- 報告書種別コード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milscm_2023_010.azn_202310_backup_text_mml_mmlrp_body.test_class_code IS '報告書種別コード';</v>
      </c>
    </row>
    <row r="25" spans="1:45" s="25" customFormat="1">
      <c r="A25" s="4"/>
      <c r="B25" s="21">
        <f t="shared" si="2"/>
        <v>13</v>
      </c>
      <c r="C25" s="6" t="s">
        <v>2949</v>
      </c>
      <c r="D25" s="6" t="s">
        <v>2950</v>
      </c>
      <c r="E25" s="8"/>
      <c r="F25" s="7" t="s">
        <v>1819</v>
      </c>
      <c r="G25" s="7" t="str">
        <f t="shared" si="7"/>
        <v>text</v>
      </c>
      <c r="H25" s="26"/>
      <c r="I25" s="10"/>
      <c r="J25" s="11"/>
      <c r="M25" s="4"/>
      <c r="N25" s="76"/>
      <c r="O25" s="76"/>
      <c r="P25" s="76" t="str">
        <f t="shared" si="8"/>
        <v>,test_class_code_id</v>
      </c>
      <c r="Q25" s="76" t="str">
        <f t="shared" si="9"/>
        <v>TEXT</v>
      </c>
      <c r="R25" s="76" t="str">
        <f t="shared" si="10"/>
        <v/>
      </c>
      <c r="S25" s="76" t="str">
        <f t="shared" si="11"/>
        <v/>
      </c>
      <c r="T25" s="76" t="str">
        <f t="shared" si="12"/>
        <v>-- 報告書種別コードID</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milscm_2023_010.azn_202310_backup_text_mml_mmlrp_body.test_class_code_id IS '報告書種別コードID';</v>
      </c>
    </row>
    <row r="26" spans="1:45" s="25" customFormat="1">
      <c r="A26" s="4"/>
      <c r="B26" s="21">
        <f t="shared" si="2"/>
        <v>14</v>
      </c>
      <c r="C26" s="6" t="s">
        <v>2951</v>
      </c>
      <c r="D26" s="6" t="s">
        <v>2952</v>
      </c>
      <c r="E26" s="8"/>
      <c r="F26" s="7" t="s">
        <v>1819</v>
      </c>
      <c r="G26" s="7" t="str">
        <f t="shared" si="7"/>
        <v>text</v>
      </c>
      <c r="H26" s="26"/>
      <c r="I26" s="10"/>
      <c r="J26" s="11"/>
      <c r="M26" s="4"/>
      <c r="N26" s="76"/>
      <c r="O26" s="76"/>
      <c r="P26" s="76" t="str">
        <f t="shared" si="8"/>
        <v>,test_sub_class</v>
      </c>
      <c r="Q26" s="76" t="str">
        <f t="shared" si="9"/>
        <v>TEXT</v>
      </c>
      <c r="R26" s="76" t="str">
        <f t="shared" si="10"/>
        <v/>
      </c>
      <c r="S26" s="76" t="str">
        <f t="shared" si="11"/>
        <v/>
      </c>
      <c r="T26" s="76" t="str">
        <f t="shared" si="12"/>
        <v>-- 報告書詳細種別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milscm_2023_010.azn_202310_backup_text_mml_mmlrp_body.test_sub_class IS '報告書詳細種別';</v>
      </c>
    </row>
    <row r="27" spans="1:45" s="25" customFormat="1">
      <c r="A27" s="4"/>
      <c r="B27" s="21">
        <f t="shared" si="2"/>
        <v>15</v>
      </c>
      <c r="C27" s="6" t="s">
        <v>2953</v>
      </c>
      <c r="D27" s="6" t="s">
        <v>2954</v>
      </c>
      <c r="E27" s="8"/>
      <c r="F27" s="7" t="s">
        <v>1819</v>
      </c>
      <c r="G27" s="7" t="str">
        <f t="shared" si="7"/>
        <v>text</v>
      </c>
      <c r="H27" s="26"/>
      <c r="I27" s="10"/>
      <c r="J27" s="11"/>
      <c r="M27" s="4"/>
      <c r="N27" s="76"/>
      <c r="O27" s="76"/>
      <c r="P27" s="76" t="str">
        <f t="shared" si="8"/>
        <v>,test_sub_class_code</v>
      </c>
      <c r="Q27" s="76" t="str">
        <f t="shared" si="9"/>
        <v>TEXT</v>
      </c>
      <c r="R27" s="76" t="str">
        <f t="shared" si="10"/>
        <v/>
      </c>
      <c r="S27" s="76" t="str">
        <f t="shared" si="11"/>
        <v/>
      </c>
      <c r="T27" s="76" t="str">
        <f t="shared" si="12"/>
        <v>-- 報告書詳細種別コード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milscm_2023_010.azn_202310_backup_text_mml_mmlrp_body.test_sub_class_code IS '報告書詳細種別コード';</v>
      </c>
    </row>
    <row r="28" spans="1:45" s="25" customFormat="1">
      <c r="A28" s="4"/>
      <c r="B28" s="21">
        <f t="shared" si="2"/>
        <v>16</v>
      </c>
      <c r="C28" s="6" t="s">
        <v>2955</v>
      </c>
      <c r="D28" s="6" t="s">
        <v>2956</v>
      </c>
      <c r="E28" s="8"/>
      <c r="F28" s="7" t="s">
        <v>1819</v>
      </c>
      <c r="G28" s="7" t="str">
        <f t="shared" si="7"/>
        <v>text</v>
      </c>
      <c r="H28" s="26"/>
      <c r="I28" s="10"/>
      <c r="J28" s="11"/>
      <c r="M28" s="4"/>
      <c r="N28" s="76"/>
      <c r="O28" s="76"/>
      <c r="P28" s="76" t="str">
        <f t="shared" si="8"/>
        <v>,test_sub_class_code_id</v>
      </c>
      <c r="Q28" s="76" t="str">
        <f t="shared" si="9"/>
        <v>TEXT</v>
      </c>
      <c r="R28" s="76" t="str">
        <f t="shared" si="10"/>
        <v/>
      </c>
      <c r="S28" s="76" t="str">
        <f t="shared" si="11"/>
        <v/>
      </c>
      <c r="T28" s="76" t="str">
        <f t="shared" si="12"/>
        <v>-- 報告書詳細種別コードID</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milscm_2023_010.azn_202310_backup_text_mml_mmlrp_body.test_sub_class_code_id IS '報告書詳細種別コードID';</v>
      </c>
    </row>
    <row r="29" spans="1:45" s="25" customFormat="1">
      <c r="A29" s="4"/>
      <c r="B29" s="21">
        <f t="shared" si="2"/>
        <v>17</v>
      </c>
      <c r="C29" s="6" t="s">
        <v>2957</v>
      </c>
      <c r="D29" s="6" t="s">
        <v>2958</v>
      </c>
      <c r="E29" s="8"/>
      <c r="F29" s="7" t="s">
        <v>1819</v>
      </c>
      <c r="G29" s="7" t="str">
        <f t="shared" si="7"/>
        <v>text</v>
      </c>
      <c r="H29" s="26"/>
      <c r="I29" s="10"/>
      <c r="J29" s="11"/>
      <c r="M29" s="4"/>
      <c r="N29" s="76"/>
      <c r="O29" s="76"/>
      <c r="P29" s="76" t="str">
        <f t="shared" si="8"/>
        <v>,organ</v>
      </c>
      <c r="Q29" s="76" t="str">
        <f t="shared" si="9"/>
        <v>TEXT</v>
      </c>
      <c r="R29" s="76" t="str">
        <f t="shared" si="10"/>
        <v/>
      </c>
      <c r="S29" s="76" t="str">
        <f t="shared" si="11"/>
        <v/>
      </c>
      <c r="T29" s="76" t="str">
        <f t="shared" si="12"/>
        <v>-- 臓器</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milscm_2023_010.azn_202310_backup_text_mml_mmlrp_body.organ IS '臓器';</v>
      </c>
    </row>
    <row r="30" spans="1:45" s="25" customFormat="1">
      <c r="A30" s="4"/>
      <c r="B30" s="21">
        <f t="shared" si="2"/>
        <v>18</v>
      </c>
      <c r="C30" s="6" t="s">
        <v>2959</v>
      </c>
      <c r="D30" s="6" t="s">
        <v>2960</v>
      </c>
      <c r="E30" s="8"/>
      <c r="F30" s="7" t="s">
        <v>1819</v>
      </c>
      <c r="G30" s="7" t="str">
        <f t="shared" si="7"/>
        <v>text</v>
      </c>
      <c r="H30" s="26"/>
      <c r="I30" s="10"/>
      <c r="J30" s="11"/>
      <c r="M30" s="4"/>
      <c r="N30" s="76"/>
      <c r="O30" s="76"/>
      <c r="P30" s="76" t="str">
        <f t="shared" si="8"/>
        <v>,con_facility</v>
      </c>
      <c r="Q30" s="76" t="str">
        <f t="shared" si="9"/>
        <v>TEXT</v>
      </c>
      <c r="R30" s="76" t="str">
        <f t="shared" si="10"/>
        <v/>
      </c>
      <c r="S30" s="76" t="str">
        <f t="shared" si="11"/>
        <v/>
      </c>
      <c r="T30" s="76" t="str">
        <f t="shared" si="12"/>
        <v>-- 依頼施設</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milscm_2023_010.azn_202310_backup_text_mml_mmlrp_body.con_facility IS '依頼施設';</v>
      </c>
    </row>
    <row r="31" spans="1:45" s="25" customFormat="1">
      <c r="A31" s="4"/>
      <c r="B31" s="21">
        <f t="shared" si="2"/>
        <v>19</v>
      </c>
      <c r="C31" s="6" t="s">
        <v>1564</v>
      </c>
      <c r="D31" s="6" t="s">
        <v>2961</v>
      </c>
      <c r="E31" s="8"/>
      <c r="F31" s="7" t="s">
        <v>1819</v>
      </c>
      <c r="G31" s="7" t="str">
        <f t="shared" si="7"/>
        <v>text</v>
      </c>
      <c r="H31" s="26"/>
      <c r="I31" s="10"/>
      <c r="J31" s="11"/>
      <c r="M31" s="4"/>
      <c r="N31" s="76"/>
      <c r="O31" s="76"/>
      <c r="P31" s="76" t="str">
        <f t="shared" si="8"/>
        <v>,con_facility_code</v>
      </c>
      <c r="Q31" s="76" t="str">
        <f t="shared" si="9"/>
        <v>TEXT</v>
      </c>
      <c r="R31" s="76" t="str">
        <f t="shared" si="10"/>
        <v/>
      </c>
      <c r="S31" s="76" t="str">
        <f t="shared" si="11"/>
        <v/>
      </c>
      <c r="T31" s="76" t="str">
        <f t="shared" si="12"/>
        <v>-- 依頼施設コード</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milscm_2023_010.azn_202310_backup_text_mml_mmlrp_body.con_facility_code IS '依頼施設コード';</v>
      </c>
    </row>
    <row r="32" spans="1:45" s="25" customFormat="1">
      <c r="A32" s="4"/>
      <c r="B32" s="21">
        <f t="shared" si="2"/>
        <v>20</v>
      </c>
      <c r="C32" s="6" t="s">
        <v>1566</v>
      </c>
      <c r="D32" s="6" t="s">
        <v>2962</v>
      </c>
      <c r="E32" s="8"/>
      <c r="F32" s="7" t="s">
        <v>1819</v>
      </c>
      <c r="G32" s="7" t="str">
        <f t="shared" si="7"/>
        <v>text</v>
      </c>
      <c r="H32" s="26"/>
      <c r="I32" s="10"/>
      <c r="J32" s="11"/>
      <c r="M32" s="4"/>
      <c r="N32" s="76"/>
      <c r="O32" s="76"/>
      <c r="P32" s="76" t="str">
        <f t="shared" si="8"/>
        <v>,con_facility_code_id</v>
      </c>
      <c r="Q32" s="76" t="str">
        <f t="shared" si="9"/>
        <v>TEXT</v>
      </c>
      <c r="R32" s="76" t="str">
        <f t="shared" si="10"/>
        <v/>
      </c>
      <c r="S32" s="76" t="str">
        <f t="shared" si="11"/>
        <v/>
      </c>
      <c r="T32" s="76" t="str">
        <f t="shared" si="12"/>
        <v>-- 依頼施設コードID</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milscm_2023_010.azn_202310_backup_text_mml_mmlrp_body.con_facility_code_id IS '依頼施設コードID';</v>
      </c>
    </row>
    <row r="33" spans="1:45" s="25" customFormat="1">
      <c r="A33" s="4"/>
      <c r="B33" s="21">
        <f t="shared" si="2"/>
        <v>21</v>
      </c>
      <c r="C33" s="6" t="s">
        <v>1568</v>
      </c>
      <c r="D33" s="6" t="s">
        <v>2963</v>
      </c>
      <c r="E33" s="8"/>
      <c r="F33" s="7" t="s">
        <v>1819</v>
      </c>
      <c r="G33" s="7" t="str">
        <f t="shared" si="7"/>
        <v>text</v>
      </c>
      <c r="H33" s="26"/>
      <c r="I33" s="10"/>
      <c r="J33" s="11"/>
      <c r="M33" s="4"/>
      <c r="N33" s="76"/>
      <c r="O33" s="76"/>
      <c r="P33" s="76" t="str">
        <f t="shared" si="8"/>
        <v>,con_department</v>
      </c>
      <c r="Q33" s="76" t="str">
        <f t="shared" si="9"/>
        <v>TEXT</v>
      </c>
      <c r="R33" s="76" t="str">
        <f t="shared" si="10"/>
        <v/>
      </c>
      <c r="S33" s="76" t="str">
        <f t="shared" si="11"/>
        <v/>
      </c>
      <c r="T33" s="76" t="str">
        <f t="shared" si="12"/>
        <v>-- 依頼診療科</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milscm_2023_010.azn_202310_backup_text_mml_mmlrp_body.con_department IS '依頼診療科';</v>
      </c>
    </row>
    <row r="34" spans="1:45" s="25" customFormat="1">
      <c r="A34" s="4"/>
      <c r="B34" s="21">
        <f t="shared" si="2"/>
        <v>22</v>
      </c>
      <c r="C34" s="6" t="s">
        <v>1570</v>
      </c>
      <c r="D34" s="6" t="s">
        <v>2964</v>
      </c>
      <c r="E34" s="8"/>
      <c r="F34" s="7" t="s">
        <v>1819</v>
      </c>
      <c r="G34" s="7" t="str">
        <f t="shared" si="7"/>
        <v>text</v>
      </c>
      <c r="H34" s="26"/>
      <c r="I34" s="10"/>
      <c r="J34" s="11"/>
      <c r="M34" s="4"/>
      <c r="N34" s="76"/>
      <c r="O34" s="76"/>
      <c r="P34" s="76" t="str">
        <f t="shared" si="8"/>
        <v>,con_department_code</v>
      </c>
      <c r="Q34" s="76" t="str">
        <f t="shared" si="9"/>
        <v>TEXT</v>
      </c>
      <c r="R34" s="76" t="str">
        <f t="shared" si="10"/>
        <v/>
      </c>
      <c r="S34" s="76" t="str">
        <f t="shared" si="11"/>
        <v/>
      </c>
      <c r="T34" s="76" t="str">
        <f t="shared" si="12"/>
        <v>-- 依頼診療科コード</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milscm_2023_010.azn_202310_backup_text_mml_mmlrp_body.con_department_code IS '依頼診療科コード';</v>
      </c>
    </row>
    <row r="35" spans="1:45" s="25" customFormat="1">
      <c r="A35" s="4"/>
      <c r="B35" s="21">
        <f t="shared" si="2"/>
        <v>23</v>
      </c>
      <c r="C35" s="6" t="s">
        <v>2965</v>
      </c>
      <c r="D35" s="6" t="s">
        <v>2966</v>
      </c>
      <c r="E35" s="8"/>
      <c r="F35" s="7" t="s">
        <v>1819</v>
      </c>
      <c r="G35" s="7" t="str">
        <f t="shared" si="7"/>
        <v>text</v>
      </c>
      <c r="H35" s="26"/>
      <c r="I35" s="10"/>
      <c r="J35" s="11"/>
      <c r="M35" s="4"/>
      <c r="N35" s="76"/>
      <c r="O35" s="76"/>
      <c r="P35" s="76" t="str">
        <f t="shared" si="8"/>
        <v>,con_department_code_id</v>
      </c>
      <c r="Q35" s="76" t="str">
        <f t="shared" si="9"/>
        <v>TEXT</v>
      </c>
      <c r="R35" s="76" t="str">
        <f t="shared" si="10"/>
        <v/>
      </c>
      <c r="S35" s="76" t="str">
        <f t="shared" si="11"/>
        <v/>
      </c>
      <c r="T35" s="76" t="str">
        <f t="shared" si="12"/>
        <v>-- 依頼診療科コードID</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milscm_2023_010.azn_202310_backup_text_mml_mmlrp_body.con_department_code_id IS '依頼診療科コードID';</v>
      </c>
    </row>
    <row r="36" spans="1:45" s="25" customFormat="1">
      <c r="A36" s="4"/>
      <c r="B36" s="21">
        <f t="shared" si="2"/>
        <v>24</v>
      </c>
      <c r="C36" s="6" t="s">
        <v>1572</v>
      </c>
      <c r="D36" s="6" t="s">
        <v>2967</v>
      </c>
      <c r="E36" s="8"/>
      <c r="F36" s="7" t="s">
        <v>1819</v>
      </c>
      <c r="G36" s="7" t="str">
        <f t="shared" si="7"/>
        <v>text</v>
      </c>
      <c r="H36" s="26"/>
      <c r="I36" s="10"/>
      <c r="J36" s="11"/>
      <c r="M36" s="4"/>
      <c r="N36" s="76"/>
      <c r="O36" s="76"/>
      <c r="P36" s="76" t="str">
        <f t="shared" si="8"/>
        <v>,con_ward</v>
      </c>
      <c r="Q36" s="76" t="str">
        <f t="shared" si="9"/>
        <v>TEXT</v>
      </c>
      <c r="R36" s="76" t="str">
        <f t="shared" si="10"/>
        <v/>
      </c>
      <c r="S36" s="76" t="str">
        <f t="shared" si="11"/>
        <v/>
      </c>
      <c r="T36" s="76" t="str">
        <f t="shared" si="12"/>
        <v>-- 依頼病棟</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milscm_2023_010.azn_202310_backup_text_mml_mmlrp_body.con_ward IS '依頼病棟';</v>
      </c>
    </row>
    <row r="37" spans="1:45" s="25" customFormat="1">
      <c r="A37" s="4"/>
      <c r="B37" s="21">
        <f t="shared" si="2"/>
        <v>25</v>
      </c>
      <c r="C37" s="6" t="s">
        <v>1574</v>
      </c>
      <c r="D37" s="6" t="s">
        <v>2968</v>
      </c>
      <c r="E37" s="8"/>
      <c r="F37" s="7" t="s">
        <v>1819</v>
      </c>
      <c r="G37" s="7" t="str">
        <f t="shared" si="7"/>
        <v>text</v>
      </c>
      <c r="H37" s="26"/>
      <c r="I37" s="10"/>
      <c r="J37" s="11"/>
      <c r="M37" s="4"/>
      <c r="N37" s="76"/>
      <c r="O37" s="76"/>
      <c r="P37" s="76" t="str">
        <f t="shared" si="8"/>
        <v>,con_ward_code</v>
      </c>
      <c r="Q37" s="76" t="str">
        <f t="shared" si="9"/>
        <v>TEXT</v>
      </c>
      <c r="R37" s="76" t="str">
        <f t="shared" si="10"/>
        <v/>
      </c>
      <c r="S37" s="76" t="str">
        <f t="shared" si="11"/>
        <v/>
      </c>
      <c r="T37" s="76" t="str">
        <f t="shared" si="12"/>
        <v>-- 依頼病棟コード</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milscm_2023_010.azn_202310_backup_text_mml_mmlrp_body.con_ward_code IS '依頼病棟コード';</v>
      </c>
    </row>
    <row r="38" spans="1:45" s="25" customFormat="1">
      <c r="A38" s="4"/>
      <c r="B38" s="21">
        <f t="shared" si="2"/>
        <v>26</v>
      </c>
      <c r="C38" s="6" t="s">
        <v>1576</v>
      </c>
      <c r="D38" s="6" t="s">
        <v>2969</v>
      </c>
      <c r="E38" s="8"/>
      <c r="F38" s="7" t="s">
        <v>1819</v>
      </c>
      <c r="G38" s="7" t="str">
        <f t="shared" si="7"/>
        <v>text</v>
      </c>
      <c r="H38" s="26"/>
      <c r="I38" s="10"/>
      <c r="J38" s="11"/>
      <c r="M38" s="4"/>
      <c r="N38" s="76"/>
      <c r="O38" s="76"/>
      <c r="P38" s="76" t="str">
        <f t="shared" si="8"/>
        <v>,con_ward_code_id</v>
      </c>
      <c r="Q38" s="76" t="str">
        <f t="shared" si="9"/>
        <v>TEXT</v>
      </c>
      <c r="R38" s="76" t="str">
        <f t="shared" si="10"/>
        <v/>
      </c>
      <c r="S38" s="76" t="str">
        <f t="shared" si="11"/>
        <v/>
      </c>
      <c r="T38" s="76" t="str">
        <f t="shared" si="12"/>
        <v>-- 依頼病棟コードID</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milscm_2023_010.azn_202310_backup_text_mml_mmlrp_body.con_ward_code_id IS '依頼病棟コードID';</v>
      </c>
    </row>
    <row r="39" spans="1:45" s="25" customFormat="1">
      <c r="A39" s="4"/>
      <c r="B39" s="21">
        <f t="shared" si="2"/>
        <v>27</v>
      </c>
      <c r="C39" s="6" t="s">
        <v>2970</v>
      </c>
      <c r="D39" s="6" t="s">
        <v>2971</v>
      </c>
      <c r="E39" s="8"/>
      <c r="F39" s="7" t="s">
        <v>1819</v>
      </c>
      <c r="G39" s="7" t="str">
        <f t="shared" si="7"/>
        <v>text</v>
      </c>
      <c r="H39" s="26"/>
      <c r="I39" s="10"/>
      <c r="J39" s="11"/>
      <c r="M39" s="4"/>
      <c r="N39" s="76"/>
      <c r="O39" s="76"/>
      <c r="P39" s="76" t="str">
        <f t="shared" si="8"/>
        <v>,p_facility</v>
      </c>
      <c r="Q39" s="76" t="str">
        <f t="shared" si="9"/>
        <v>TEXT</v>
      </c>
      <c r="R39" s="76" t="str">
        <f t="shared" si="10"/>
        <v/>
      </c>
      <c r="S39" s="76" t="str">
        <f t="shared" si="11"/>
        <v/>
      </c>
      <c r="T39" s="76" t="str">
        <f t="shared" si="12"/>
        <v>-- 実施施設</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milscm_2023_010.azn_202310_backup_text_mml_mmlrp_body.p_facility IS '実施施設';</v>
      </c>
    </row>
    <row r="40" spans="1:45" s="25" customFormat="1">
      <c r="A40" s="4"/>
      <c r="B40" s="21">
        <f t="shared" si="2"/>
        <v>28</v>
      </c>
      <c r="C40" s="6" t="s">
        <v>2972</v>
      </c>
      <c r="D40" s="6" t="s">
        <v>2973</v>
      </c>
      <c r="E40" s="8"/>
      <c r="F40" s="7" t="s">
        <v>1819</v>
      </c>
      <c r="G40" s="7" t="str">
        <f t="shared" si="7"/>
        <v>text</v>
      </c>
      <c r="H40" s="26"/>
      <c r="I40" s="10"/>
      <c r="J40" s="11"/>
      <c r="M40" s="4"/>
      <c r="N40" s="76"/>
      <c r="O40" s="76"/>
      <c r="P40" s="76" t="str">
        <f t="shared" si="8"/>
        <v>,p_facility_code</v>
      </c>
      <c r="Q40" s="76" t="str">
        <f t="shared" si="9"/>
        <v>TEXT</v>
      </c>
      <c r="R40" s="76" t="str">
        <f t="shared" si="10"/>
        <v/>
      </c>
      <c r="S40" s="76" t="str">
        <f t="shared" si="11"/>
        <v/>
      </c>
      <c r="T40" s="76" t="str">
        <f t="shared" si="12"/>
        <v>-- 実施施設コード</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milscm_2023_010.azn_202310_backup_text_mml_mmlrp_body.p_facility_code IS '実施施設コード';</v>
      </c>
    </row>
    <row r="41" spans="1:45" s="25" customFormat="1">
      <c r="A41" s="4"/>
      <c r="B41" s="21">
        <f t="shared" si="2"/>
        <v>29</v>
      </c>
      <c r="C41" s="6" t="s">
        <v>2974</v>
      </c>
      <c r="D41" s="6" t="s">
        <v>2975</v>
      </c>
      <c r="E41" s="8"/>
      <c r="F41" s="7" t="s">
        <v>1819</v>
      </c>
      <c r="G41" s="7" t="str">
        <f t="shared" si="7"/>
        <v>text</v>
      </c>
      <c r="H41" s="26"/>
      <c r="I41" s="10"/>
      <c r="J41" s="11"/>
      <c r="M41" s="4"/>
      <c r="N41" s="76"/>
      <c r="O41" s="76"/>
      <c r="P41" s="76" t="str">
        <f t="shared" si="8"/>
        <v>,p_facility_code_id</v>
      </c>
      <c r="Q41" s="76" t="str">
        <f t="shared" si="9"/>
        <v>TEXT</v>
      </c>
      <c r="R41" s="76" t="str">
        <f t="shared" si="10"/>
        <v/>
      </c>
      <c r="S41" s="76" t="str">
        <f t="shared" si="11"/>
        <v/>
      </c>
      <c r="T41" s="76" t="str">
        <f t="shared" si="12"/>
        <v>-- 実施施設コードID</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milscm_2023_010.azn_202310_backup_text_mml_mmlrp_body.p_facility_code_id IS '実施施設コードID';</v>
      </c>
    </row>
    <row r="42" spans="1:45" s="25" customFormat="1">
      <c r="A42" s="4"/>
      <c r="B42" s="21">
        <f t="shared" si="2"/>
        <v>30</v>
      </c>
      <c r="C42" s="6" t="s">
        <v>2976</v>
      </c>
      <c r="D42" s="6" t="s">
        <v>2977</v>
      </c>
      <c r="E42" s="8"/>
      <c r="F42" s="7" t="s">
        <v>1819</v>
      </c>
      <c r="G42" s="7" t="str">
        <f t="shared" si="7"/>
        <v>text</v>
      </c>
      <c r="H42" s="26"/>
      <c r="I42" s="10"/>
      <c r="J42" s="11"/>
      <c r="M42" s="4"/>
      <c r="N42" s="76"/>
      <c r="O42" s="76"/>
      <c r="P42" s="76" t="str">
        <f t="shared" si="8"/>
        <v>,p_department</v>
      </c>
      <c r="Q42" s="76" t="str">
        <f t="shared" si="9"/>
        <v>TEXT</v>
      </c>
      <c r="R42" s="76" t="str">
        <f t="shared" si="10"/>
        <v/>
      </c>
      <c r="S42" s="76" t="str">
        <f t="shared" si="11"/>
        <v/>
      </c>
      <c r="T42" s="76" t="str">
        <f t="shared" si="12"/>
        <v>-- 実施診療科</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milscm_2023_010.azn_202310_backup_text_mml_mmlrp_body.p_department IS '実施診療科';</v>
      </c>
    </row>
    <row r="43" spans="1:45" s="25" customFormat="1">
      <c r="A43" s="4"/>
      <c r="B43" s="21">
        <f t="shared" si="2"/>
        <v>31</v>
      </c>
      <c r="C43" s="6" t="s">
        <v>2978</v>
      </c>
      <c r="D43" s="6" t="s">
        <v>2979</v>
      </c>
      <c r="E43" s="8"/>
      <c r="F43" s="7" t="s">
        <v>1819</v>
      </c>
      <c r="G43" s="7" t="str">
        <f t="shared" si="7"/>
        <v>text</v>
      </c>
      <c r="H43" s="26"/>
      <c r="I43" s="10"/>
      <c r="J43" s="11"/>
      <c r="M43" s="4"/>
      <c r="N43" s="76"/>
      <c r="O43" s="76"/>
      <c r="P43" s="76" t="str">
        <f t="shared" si="8"/>
        <v>,p_department_code</v>
      </c>
      <c r="Q43" s="76" t="str">
        <f t="shared" si="9"/>
        <v>TEXT</v>
      </c>
      <c r="R43" s="76" t="str">
        <f t="shared" si="10"/>
        <v/>
      </c>
      <c r="S43" s="76" t="str">
        <f t="shared" si="11"/>
        <v/>
      </c>
      <c r="T43" s="76" t="str">
        <f t="shared" si="12"/>
        <v>-- 実施診療科コード</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milscm_2023_010.azn_202310_backup_text_mml_mmlrp_body.p_department_code IS '実施診療科コード';</v>
      </c>
    </row>
    <row r="44" spans="1:45" s="25" customFormat="1">
      <c r="A44" s="4"/>
      <c r="B44" s="21">
        <f t="shared" si="2"/>
        <v>32</v>
      </c>
      <c r="C44" s="6" t="s">
        <v>2980</v>
      </c>
      <c r="D44" s="6" t="s">
        <v>2981</v>
      </c>
      <c r="E44" s="8"/>
      <c r="F44" s="7" t="s">
        <v>1819</v>
      </c>
      <c r="G44" s="7" t="str">
        <f t="shared" ref="G44:G45" si="13">IF(F44="フラグ","boolean",IF(F44="文字列","text",IF(F44="整数","integer",IF(F44="実数","numeric",""))))</f>
        <v>text</v>
      </c>
      <c r="H44" s="26"/>
      <c r="I44" s="10"/>
      <c r="J44" s="11"/>
      <c r="M44" s="4"/>
      <c r="N44" s="76"/>
      <c r="O44" s="76"/>
      <c r="P44" s="76" t="str">
        <f t="shared" ref="P44:P45" si="14">IF(B44&lt;&gt;1,","&amp;D44,D44)</f>
        <v>,p_department_code_id</v>
      </c>
      <c r="Q44" s="76" t="str">
        <f t="shared" ref="Q44:Q45" si="15">UPPER(G44)</f>
        <v>TEXT</v>
      </c>
      <c r="R44" s="76" t="str">
        <f t="shared" ref="R44:R45" si="16">IF(H44&lt;&gt;"","default "&amp;IF(G44="text","'"&amp;H44&amp;"'",H44),"")</f>
        <v/>
      </c>
      <c r="S44" s="76" t="str">
        <f t="shared" ref="S44:S45" si="17">IF(I44="○","NOT NULL","")</f>
        <v/>
      </c>
      <c r="T44" s="76" t="str">
        <f t="shared" ref="T44:T45" si="18">"-- "&amp;C44</f>
        <v>-- 実施診療科コードID</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milscm_2023_010.azn_202310_backup_text_mml_mmlrp_body.p_department_code_id IS '実施診療科コードID';</v>
      </c>
    </row>
    <row r="45" spans="1:45" s="25" customFormat="1">
      <c r="A45" s="4"/>
      <c r="B45" s="21">
        <f t="shared" si="2"/>
        <v>33</v>
      </c>
      <c r="C45" s="6" t="s">
        <v>2982</v>
      </c>
      <c r="D45" s="6" t="s">
        <v>2983</v>
      </c>
      <c r="E45" s="8"/>
      <c r="F45" s="7" t="s">
        <v>1819</v>
      </c>
      <c r="G45" s="7" t="str">
        <f t="shared" si="13"/>
        <v>text</v>
      </c>
      <c r="H45" s="26"/>
      <c r="I45" s="10"/>
      <c r="J45" s="11"/>
      <c r="M45" s="4"/>
      <c r="N45" s="76"/>
      <c r="O45" s="76"/>
      <c r="P45" s="76" t="str">
        <f t="shared" si="14"/>
        <v>,p_ward</v>
      </c>
      <c r="Q45" s="76" t="str">
        <f t="shared" si="15"/>
        <v>TEXT</v>
      </c>
      <c r="R45" s="76" t="str">
        <f t="shared" si="16"/>
        <v/>
      </c>
      <c r="S45" s="76" t="str">
        <f t="shared" si="17"/>
        <v/>
      </c>
      <c r="T45" s="76" t="str">
        <f t="shared" si="18"/>
        <v>-- 実施病棟</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milscm_2023_010.azn_202310_backup_text_mml_mmlrp_body.p_ward IS '実施病棟';</v>
      </c>
    </row>
    <row r="46" spans="1:45" s="25" customFormat="1">
      <c r="A46" s="4"/>
      <c r="B46" s="21">
        <f t="shared" si="2"/>
        <v>34</v>
      </c>
      <c r="C46" s="6" t="s">
        <v>2984</v>
      </c>
      <c r="D46" s="6" t="s">
        <v>2985</v>
      </c>
      <c r="E46" s="8"/>
      <c r="F46" s="7" t="s">
        <v>1819</v>
      </c>
      <c r="G46" s="7" t="str">
        <f t="shared" si="7"/>
        <v>text</v>
      </c>
      <c r="H46" s="26"/>
      <c r="I46" s="10"/>
      <c r="J46" s="11"/>
      <c r="M46" s="4"/>
      <c r="N46" s="76"/>
      <c r="O46" s="76"/>
      <c r="P46" s="76" t="str">
        <f t="shared" si="8"/>
        <v>,p_ward_code</v>
      </c>
      <c r="Q46" s="76" t="str">
        <f t="shared" si="9"/>
        <v>TEXT</v>
      </c>
      <c r="R46" s="76" t="str">
        <f t="shared" si="10"/>
        <v/>
      </c>
      <c r="S46" s="76" t="str">
        <f t="shared" si="11"/>
        <v/>
      </c>
      <c r="T46" s="76" t="str">
        <f t="shared" si="12"/>
        <v>-- 実施病棟コード</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milscm_2023_010.azn_202310_backup_text_mml_mmlrp_body.p_ward_code IS '実施病棟コード';</v>
      </c>
    </row>
    <row r="47" spans="1:45" s="25" customFormat="1">
      <c r="A47" s="4"/>
      <c r="B47" s="21">
        <f t="shared" si="2"/>
        <v>35</v>
      </c>
      <c r="C47" s="6" t="s">
        <v>2986</v>
      </c>
      <c r="D47" s="6" t="s">
        <v>2987</v>
      </c>
      <c r="E47" s="8"/>
      <c r="F47" s="7" t="s">
        <v>1819</v>
      </c>
      <c r="G47" s="7" t="str">
        <f t="shared" si="7"/>
        <v>text</v>
      </c>
      <c r="H47" s="26"/>
      <c r="I47" s="10"/>
      <c r="J47" s="11"/>
      <c r="M47" s="4"/>
      <c r="N47" s="76"/>
      <c r="O47" s="76"/>
      <c r="P47" s="76" t="str">
        <f t="shared" si="8"/>
        <v>,p_ward_code_id</v>
      </c>
      <c r="Q47" s="76" t="str">
        <f t="shared" si="9"/>
        <v>TEXT</v>
      </c>
      <c r="R47" s="76" t="str">
        <f t="shared" si="10"/>
        <v/>
      </c>
      <c r="S47" s="76" t="str">
        <f t="shared" si="11"/>
        <v/>
      </c>
      <c r="T47" s="76" t="str">
        <f t="shared" si="12"/>
        <v>-- 実施病棟コードID</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milscm_2023_010.azn_202310_backup_text_mml_mmlrp_body.p_ward_code_id IS '実施病棟コードID';</v>
      </c>
    </row>
    <row r="48" spans="1:45" s="25" customFormat="1">
      <c r="A48" s="4"/>
      <c r="B48" s="21">
        <f t="shared" si="2"/>
        <v>36</v>
      </c>
      <c r="C48" s="6" t="s">
        <v>1443</v>
      </c>
      <c r="D48" s="6" t="s">
        <v>1444</v>
      </c>
      <c r="E48" s="8"/>
      <c r="F48" s="7" t="s">
        <v>1819</v>
      </c>
      <c r="G48" s="7" t="str">
        <f t="shared" si="7"/>
        <v>text</v>
      </c>
      <c r="H48" s="26"/>
      <c r="I48" s="10"/>
      <c r="J48" s="11"/>
      <c r="M48" s="4"/>
      <c r="N48" s="76"/>
      <c r="O48" s="76"/>
      <c r="P48" s="76" t="str">
        <f t="shared" si="8"/>
        <v>,chief_complaints</v>
      </c>
      <c r="Q48" s="76" t="str">
        <f t="shared" si="9"/>
        <v>TEXT</v>
      </c>
      <c r="R48" s="76" t="str">
        <f t="shared" si="10"/>
        <v/>
      </c>
      <c r="S48" s="76" t="str">
        <f t="shared" si="11"/>
        <v/>
      </c>
      <c r="T48" s="76" t="str">
        <f t="shared" si="12"/>
        <v>-- 主訴</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milscm_2023_010.azn_202310_backup_text_mml_mmlrp_body.chief_complaints IS '主訴';</v>
      </c>
    </row>
    <row r="49" spans="1:52" s="25" customFormat="1">
      <c r="A49" s="4"/>
      <c r="B49" s="21">
        <f t="shared" si="2"/>
        <v>37</v>
      </c>
      <c r="C49" s="6" t="s">
        <v>2988</v>
      </c>
      <c r="D49" s="6" t="s">
        <v>2989</v>
      </c>
      <c r="E49" s="8"/>
      <c r="F49" s="7" t="s">
        <v>1819</v>
      </c>
      <c r="G49" s="7" t="str">
        <f t="shared" si="7"/>
        <v>text</v>
      </c>
      <c r="H49" s="26"/>
      <c r="I49" s="10"/>
      <c r="J49" s="11"/>
      <c r="M49" s="4"/>
      <c r="N49" s="76"/>
      <c r="O49" s="76"/>
      <c r="P49" s="76" t="str">
        <f t="shared" si="8"/>
        <v>,test_purpose</v>
      </c>
      <c r="Q49" s="76" t="str">
        <f t="shared" si="9"/>
        <v>TEXT</v>
      </c>
      <c r="R49" s="76" t="str">
        <f t="shared" si="10"/>
        <v/>
      </c>
      <c r="S49" s="76" t="str">
        <f t="shared" si="11"/>
        <v/>
      </c>
      <c r="T49" s="76" t="str">
        <f t="shared" si="12"/>
        <v>-- 検査目的</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milscm_2023_010.azn_202310_backup_text_mml_mmlrp_body.test_purpose IS '検査目的';</v>
      </c>
    </row>
    <row r="50" spans="1:52" s="25" customFormat="1">
      <c r="A50" s="4"/>
      <c r="B50" s="21">
        <f t="shared" si="2"/>
        <v>38</v>
      </c>
      <c r="C50" s="6" t="s">
        <v>2990</v>
      </c>
      <c r="D50" s="6" t="s">
        <v>2991</v>
      </c>
      <c r="E50" s="8"/>
      <c r="F50" s="7" t="s">
        <v>1819</v>
      </c>
      <c r="G50" s="7" t="str">
        <f t="shared" si="7"/>
        <v>text</v>
      </c>
      <c r="H50" s="26"/>
      <c r="I50" s="10"/>
      <c r="J50" s="11"/>
      <c r="M50" s="4"/>
      <c r="N50" s="76"/>
      <c r="O50" s="76"/>
      <c r="P50" s="76" t="str">
        <f t="shared" si="8"/>
        <v>,test_dx</v>
      </c>
      <c r="Q50" s="76" t="str">
        <f t="shared" si="9"/>
        <v>TEXT</v>
      </c>
      <c r="R50" s="76" t="str">
        <f t="shared" si="10"/>
        <v/>
      </c>
      <c r="S50" s="76" t="str">
        <f t="shared" si="11"/>
        <v/>
      </c>
      <c r="T50" s="76" t="str">
        <f t="shared" si="12"/>
        <v>-- 検査診断</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milscm_2023_010.azn_202310_backup_text_mml_mmlrp_body.test_dx IS '検査診断';</v>
      </c>
    </row>
    <row r="51" spans="1:52" s="25" customFormat="1">
      <c r="A51" s="4"/>
      <c r="B51" s="21">
        <f t="shared" si="2"/>
        <v>39</v>
      </c>
      <c r="C51" s="6" t="s">
        <v>2992</v>
      </c>
      <c r="D51" s="6" t="s">
        <v>2993</v>
      </c>
      <c r="E51" s="8"/>
      <c r="F51" s="7" t="s">
        <v>1819</v>
      </c>
      <c r="G51" s="7" t="str">
        <f t="shared" si="3"/>
        <v>text</v>
      </c>
      <c r="H51" s="26"/>
      <c r="I51" s="10"/>
      <c r="J51" s="11"/>
      <c r="M51" s="4"/>
      <c r="N51" s="76"/>
      <c r="O51" s="76"/>
      <c r="P51" s="76" t="str">
        <f t="shared" si="4"/>
        <v>,test_notes</v>
      </c>
      <c r="Q51" s="76" t="str">
        <f t="shared" si="0"/>
        <v>TEXT</v>
      </c>
      <c r="R51" s="76" t="str">
        <f t="shared" si="1"/>
        <v/>
      </c>
      <c r="S51" s="76" t="str">
        <f t="shared" si="5"/>
        <v/>
      </c>
      <c r="T51" s="76" t="str">
        <f t="shared" si="6"/>
        <v>-- 検査所見記載</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milscm_2023_010.azn_202310_backup_text_mml_mmlrp_body.test_notes IS '検査所見記載';</v>
      </c>
    </row>
    <row r="52" spans="1:52" s="25" customFormat="1" ht="19.5" thickBot="1">
      <c r="A52" s="4"/>
      <c r="B52" s="27">
        <f>ROW()-12</f>
        <v>40</v>
      </c>
      <c r="C52" s="57" t="s">
        <v>2994</v>
      </c>
      <c r="D52" s="57" t="s">
        <v>2995</v>
      </c>
      <c r="E52" s="56"/>
      <c r="F52" s="56" t="s">
        <v>1819</v>
      </c>
      <c r="G52" s="56" t="str">
        <f t="shared" si="3"/>
        <v>text</v>
      </c>
      <c r="H52" s="59"/>
      <c r="I52" s="60"/>
      <c r="J52" s="63"/>
      <c r="N52" s="76"/>
      <c r="O52" s="76"/>
      <c r="P52" s="76" t="str">
        <f t="shared" si="4"/>
        <v>,test_memo_f</v>
      </c>
      <c r="Q52" s="76" t="str">
        <f t="shared" si="0"/>
        <v>TEXT</v>
      </c>
      <c r="R52" s="76" t="str">
        <f t="shared" si="1"/>
        <v/>
      </c>
      <c r="S52" s="76" t="str">
        <f t="shared" si="5"/>
        <v/>
      </c>
      <c r="T52" s="76" t="str">
        <f t="shared" si="6"/>
        <v>-- 検査フリーコメント</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milscm_2023_010.azn_202310_backup_text_mml_mmlrp_body.test_memo_f IS '検査フリーコメント';</v>
      </c>
    </row>
    <row r="53" spans="1:52">
      <c r="L53" s="25"/>
      <c r="M53" s="25"/>
      <c r="N53" s="76" t="s">
        <v>142</v>
      </c>
      <c r="O53" s="76"/>
      <c r="P53" s="76"/>
      <c r="Q53" s="76"/>
      <c r="R53" s="76"/>
      <c r="S53" s="76"/>
      <c r="T53" s="76"/>
      <c r="V53" s="25"/>
      <c r="W53" s="25"/>
      <c r="X53" s="25"/>
      <c r="Y53" s="25"/>
      <c r="Z53" s="25"/>
      <c r="AJ53" s="76" t="s">
        <v>142</v>
      </c>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M56" s="25"/>
    </row>
    <row r="57" spans="1:52">
      <c r="M5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ENT_01_A6-51</v>
      </c>
      <c r="E6" s="272"/>
      <c r="F6" s="272"/>
      <c r="G6" s="272"/>
      <c r="H6" s="272"/>
      <c r="I6" s="272"/>
      <c r="J6" s="273"/>
    </row>
    <row r="7" spans="1:45">
      <c r="B7" s="261" t="s">
        <v>115</v>
      </c>
      <c r="C7" s="262"/>
      <c r="D7" s="263" t="s">
        <v>2996</v>
      </c>
      <c r="E7" s="264"/>
      <c r="F7" s="264"/>
      <c r="G7" s="264"/>
      <c r="H7" s="264"/>
      <c r="I7" s="264"/>
      <c r="J7" s="265"/>
    </row>
    <row r="8" spans="1:45">
      <c r="B8" s="261" t="s">
        <v>116</v>
      </c>
      <c r="C8" s="262"/>
      <c r="D8" s="263" t="str">
        <f>エンティティ一覧!AE2&amp;"_"&amp;D5&amp;"_text_mml_mmlrp_test_memo"</f>
        <v>azn_202310_backup_text_mml_mmlrp_test_memo</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MML_報告書情報モジュール_検査コメントテーブルから組入れ条件の第一条件で絞り込んだ結果を格納するテーブル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milscm_2023_010.azn_202310_backup_text_mml_mmlrp_test_memo;</v>
      </c>
      <c r="O10" s="76"/>
      <c r="P10" s="76"/>
      <c r="Q10" s="76"/>
      <c r="R10" s="76"/>
      <c r="S10" s="76"/>
      <c r="T10" s="76"/>
      <c r="AJ10" s="76" t="str">
        <f>"ALTER TABLE ONLY "&amp;エンティティ一覧!$O$2&amp;"."&amp;D$8</f>
        <v>ALTER TABLE ONLY milscm_2023_010.azn_202310_backup_text_mml_mmlrp_test_memo</v>
      </c>
      <c r="AS10" s="76" t="str">
        <f>"ALTER TABLE "&amp;エンティティ一覧!$O$2&amp;"."&amp;D$8&amp;" OWNER TO pgmisgrp1;"</f>
        <v>ALTER TABLE milscm_2023_010.azn_202310_backup_text_mml_mmlrp_test_memo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milscm_2023_010.azn_202310_backup_text_mml_mmlrp_test_memo</v>
      </c>
      <c r="O11" s="76"/>
      <c r="P11" s="76"/>
      <c r="Q11" s="76"/>
      <c r="R11" s="76"/>
      <c r="S11" s="76"/>
      <c r="T11" s="76"/>
      <c r="AJ11" s="76" t="str">
        <f>"ADD CONSTRAINT "&amp;D$8&amp;"_pkey PRIMARY KEY"</f>
        <v>ADD CONSTRAINT azn_202310_backup_text_mml_mmlrp_test_memo_pkey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milscm_2023_010.azn_202310_backup_text_mml_mmlrp_test_memo IS 'バックアップ_MML_報告書情報モジュール_検査コメント';</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milscm_2023_010.azn_202310_backup_text_mml_mmlrp_test_memo.zip_no IS 'ZipファイルNo';</v>
      </c>
    </row>
    <row r="14" spans="1:45" s="25" customFormat="1">
      <c r="A14" s="4"/>
      <c r="B14" s="21">
        <f t="shared" ref="B14:B21" si="2">ROW()-12</f>
        <v>2</v>
      </c>
      <c r="C14" s="6" t="s">
        <v>2781</v>
      </c>
      <c r="D14" s="6" t="s">
        <v>2782</v>
      </c>
      <c r="E14" s="8" t="s">
        <v>127</v>
      </c>
      <c r="F14" s="7" t="s">
        <v>2780</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milscm_2023_010.azn_202310_backup_text_mml_mmlrp_test_memo.file_no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milscm_2023_010.azn_202310_backup_text_mml_mmlrp_test_memo.body_no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milscm_2023_010.azn_202310_backup_text_mml_mmlrp_test_memo.facility_id_mml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milscm_2023_010.azn_202310_backup_text_mml_mmlrp_test_memo.master_id IS '患者ID';</v>
      </c>
    </row>
    <row r="18" spans="1:52" s="25" customFormat="1">
      <c r="A18" s="4"/>
      <c r="B18" s="21">
        <f t="shared" si="2"/>
        <v>6</v>
      </c>
      <c r="C18" s="6" t="s">
        <v>2997</v>
      </c>
      <c r="D18" s="6" t="s">
        <v>2998</v>
      </c>
      <c r="E18" s="8" t="s">
        <v>127</v>
      </c>
      <c r="F18" s="7" t="s">
        <v>2780</v>
      </c>
      <c r="G18" s="7" t="str">
        <f t="shared" si="3"/>
        <v>integer</v>
      </c>
      <c r="H18" s="26"/>
      <c r="I18" s="10" t="s">
        <v>127</v>
      </c>
      <c r="J18" s="11"/>
      <c r="M18" s="4"/>
      <c r="N18" s="76"/>
      <c r="O18" s="76"/>
      <c r="P18" s="76" t="str">
        <f t="shared" si="4"/>
        <v>,test_memo_no</v>
      </c>
      <c r="Q18" s="76" t="str">
        <f t="shared" si="0"/>
        <v>INTEGER</v>
      </c>
      <c r="R18" s="76" t="str">
        <f t="shared" si="1"/>
        <v/>
      </c>
      <c r="S18" s="76" t="str">
        <f t="shared" si="5"/>
        <v>NOT NULL</v>
      </c>
      <c r="T18" s="76" t="str">
        <f t="shared" si="6"/>
        <v>-- 検査コメントNo</v>
      </c>
      <c r="U18" s="4"/>
      <c r="AA18" s="4"/>
      <c r="AB18" s="4"/>
      <c r="AC18" s="4"/>
      <c r="AD18" s="4"/>
      <c r="AE18" s="4"/>
      <c r="AF18" s="4"/>
      <c r="AG18" s="4"/>
      <c r="AH18" s="4"/>
      <c r="AI18" s="4"/>
      <c r="AJ18" s="76" t="str">
        <f>IF(E18="○",IF(COUNTA(E$13:E18)=1,"",",")&amp;D18,"")</f>
        <v>,test_memo_no</v>
      </c>
      <c r="AK18" s="4"/>
      <c r="AL18" s="4"/>
      <c r="AM18" s="4"/>
      <c r="AN18" s="4"/>
      <c r="AO18" s="4"/>
      <c r="AP18" s="4"/>
      <c r="AQ18" s="4"/>
      <c r="AR18" s="4"/>
      <c r="AS18" s="76" t="str">
        <f>"COMMENT ON COLUMN "&amp;エンティティ一覧!$O$2&amp;"."&amp;D$8&amp;"."&amp;D18&amp;" IS '"&amp;C18&amp;"';"</f>
        <v>COMMENT ON COLUMN milscm_2023_010.azn_202310_backup_text_mml_mmlrp_test_memo.test_memo_no IS '検査コメントNo';</v>
      </c>
    </row>
    <row r="19" spans="1:52" s="25" customFormat="1">
      <c r="A19" s="4"/>
      <c r="B19" s="21">
        <f t="shared" si="2"/>
        <v>7</v>
      </c>
      <c r="C19" s="6" t="s">
        <v>2999</v>
      </c>
      <c r="D19" s="6" t="s">
        <v>3000</v>
      </c>
      <c r="E19" s="8"/>
      <c r="F19" s="7" t="s">
        <v>1819</v>
      </c>
      <c r="G19" s="7" t="str">
        <f t="shared" si="3"/>
        <v>text</v>
      </c>
      <c r="H19" s="26"/>
      <c r="I19" s="10"/>
      <c r="J19" s="11"/>
      <c r="M19" s="4"/>
      <c r="N19" s="76"/>
      <c r="O19" s="76"/>
      <c r="P19" s="76" t="str">
        <f t="shared" si="4"/>
        <v>,test_memo</v>
      </c>
      <c r="Q19" s="76" t="str">
        <f t="shared" si="0"/>
        <v>TEXT</v>
      </c>
      <c r="R19" s="76" t="str">
        <f t="shared" si="1"/>
        <v/>
      </c>
      <c r="S19" s="76" t="str">
        <f t="shared" si="5"/>
        <v/>
      </c>
      <c r="T19" s="76" t="str">
        <f t="shared" si="6"/>
        <v>-- 検査コメント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milscm_2023_010.azn_202310_backup_text_mml_mmlrp_test_memo.test_memo IS '検査コメント';</v>
      </c>
    </row>
    <row r="20" spans="1:52" s="25" customFormat="1">
      <c r="A20" s="4"/>
      <c r="B20" s="21">
        <f t="shared" si="2"/>
        <v>8</v>
      </c>
      <c r="C20" s="6" t="s">
        <v>3001</v>
      </c>
      <c r="D20" s="6" t="s">
        <v>3002</v>
      </c>
      <c r="E20" s="8"/>
      <c r="F20" s="7" t="s">
        <v>1819</v>
      </c>
      <c r="G20" s="7" t="str">
        <f t="shared" si="3"/>
        <v>text</v>
      </c>
      <c r="H20" s="26"/>
      <c r="I20" s="10"/>
      <c r="J20" s="11"/>
      <c r="M20" s="4"/>
      <c r="N20" s="76"/>
      <c r="O20" s="76"/>
      <c r="P20" s="76" t="str">
        <f t="shared" si="4"/>
        <v>,tm_code_name</v>
      </c>
      <c r="Q20" s="76" t="str">
        <f t="shared" si="0"/>
        <v>TEXT</v>
      </c>
      <c r="R20" s="76" t="str">
        <f t="shared" si="1"/>
        <v/>
      </c>
      <c r="S20" s="76" t="str">
        <f t="shared" si="5"/>
        <v/>
      </c>
      <c r="T20" s="76" t="str">
        <f t="shared" si="6"/>
        <v>-- 検査コメント名称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milscm_2023_010.azn_202310_backup_text_mml_mmlrp_test_memo.tm_code_name IS '検査コメント名称';</v>
      </c>
    </row>
    <row r="21" spans="1:52" s="25" customFormat="1">
      <c r="A21" s="4"/>
      <c r="B21" s="21">
        <f t="shared" si="2"/>
        <v>9</v>
      </c>
      <c r="C21" s="6" t="s">
        <v>3003</v>
      </c>
      <c r="D21" s="6" t="s">
        <v>3004</v>
      </c>
      <c r="E21" s="8"/>
      <c r="F21" s="7" t="s">
        <v>1819</v>
      </c>
      <c r="G21" s="7" t="str">
        <f t="shared" si="3"/>
        <v>text</v>
      </c>
      <c r="H21" s="26"/>
      <c r="I21" s="10"/>
      <c r="J21" s="11"/>
      <c r="M21" s="4"/>
      <c r="N21" s="76"/>
      <c r="O21" s="76"/>
      <c r="P21" s="76" t="str">
        <f t="shared" si="4"/>
        <v>,tm_code</v>
      </c>
      <c r="Q21" s="76" t="str">
        <f t="shared" si="0"/>
        <v>TEXT</v>
      </c>
      <c r="R21" s="76" t="str">
        <f t="shared" si="1"/>
        <v/>
      </c>
      <c r="S21" s="76" t="str">
        <f t="shared" si="5"/>
        <v/>
      </c>
      <c r="T21" s="76" t="str">
        <f t="shared" si="6"/>
        <v>-- 検査コメントコード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milscm_2023_010.azn_202310_backup_text_mml_mmlrp_test_memo.tm_code IS '検査コメントコード';</v>
      </c>
    </row>
    <row r="22" spans="1:52" s="25" customFormat="1" ht="19.5" thickBot="1">
      <c r="A22" s="4"/>
      <c r="B22" s="27">
        <f>ROW()-12</f>
        <v>10</v>
      </c>
      <c r="C22" s="57" t="s">
        <v>3005</v>
      </c>
      <c r="D22" s="57" t="s">
        <v>3006</v>
      </c>
      <c r="E22" s="56"/>
      <c r="F22" s="56" t="s">
        <v>1819</v>
      </c>
      <c r="G22" s="56" t="str">
        <f t="shared" si="3"/>
        <v>text</v>
      </c>
      <c r="H22" s="59"/>
      <c r="I22" s="60"/>
      <c r="J22" s="63"/>
      <c r="N22" s="76"/>
      <c r="O22" s="76"/>
      <c r="P22" s="76" t="str">
        <f t="shared" si="4"/>
        <v>,tm_code_id</v>
      </c>
      <c r="Q22" s="76" t="str">
        <f t="shared" si="0"/>
        <v>TEXT</v>
      </c>
      <c r="R22" s="76" t="str">
        <f t="shared" si="1"/>
        <v/>
      </c>
      <c r="S22" s="76" t="str">
        <f t="shared" si="5"/>
        <v/>
      </c>
      <c r="T22" s="76" t="str">
        <f t="shared" si="6"/>
        <v>-- 検査コメントコードID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milscm_2023_010.azn_202310_backup_text_mml_mmlrp_test_memo.tm_code_id IS '検査コメントコードID';</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ENT_01_A6-52</v>
      </c>
      <c r="E6" s="272"/>
      <c r="F6" s="272"/>
      <c r="G6" s="272"/>
      <c r="H6" s="272"/>
      <c r="I6" s="272"/>
      <c r="J6" s="273"/>
    </row>
    <row r="7" spans="1:45">
      <c r="B7" s="261" t="s">
        <v>115</v>
      </c>
      <c r="C7" s="262"/>
      <c r="D7" s="263" t="s">
        <v>3217</v>
      </c>
      <c r="E7" s="264"/>
      <c r="F7" s="264"/>
      <c r="G7" s="264"/>
      <c r="H7" s="264"/>
      <c r="I7" s="264"/>
      <c r="J7" s="265"/>
    </row>
    <row r="8" spans="1:45">
      <c r="B8" s="261" t="s">
        <v>116</v>
      </c>
      <c r="C8" s="262"/>
      <c r="D8" s="263" t="str">
        <f>エンティティ一覧!AE2&amp;"_"&amp;D5&amp;"_text_mml_mmlls_body"</f>
        <v>azn_202310_backup_text_mml_mmlls_body</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MML_生活習慣情報モジュール_本文テーブルから組入れ条件の第一条件で絞り込んだ結果を格納するテーブル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milscm_2023_010.azn_202310_backup_text_mml_mmlls_body;</v>
      </c>
      <c r="O10" s="76"/>
      <c r="P10" s="76"/>
      <c r="Q10" s="76"/>
      <c r="R10" s="76"/>
      <c r="S10" s="76"/>
      <c r="T10" s="76"/>
      <c r="AJ10" s="76" t="str">
        <f>"ALTER TABLE ONLY "&amp;エンティティ一覧!$O$2&amp;"."&amp;D$8</f>
        <v>ALTER TABLE ONLY milscm_2023_010.azn_202310_backup_text_mml_mmlls_body</v>
      </c>
      <c r="AS10" s="76" t="str">
        <f>"ALTER TABLE "&amp;エンティティ一覧!$O$2&amp;"."&amp;D$8&amp;" OWNER TO pgmisgrp1;"</f>
        <v>ALTER TABLE milscm_2023_010.azn_202310_backup_text_mml_mmlls_body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milscm_2023_010.azn_202310_backup_text_mml_mmlls_body</v>
      </c>
      <c r="O11" s="76"/>
      <c r="P11" s="76"/>
      <c r="Q11" s="76"/>
      <c r="R11" s="76"/>
      <c r="S11" s="76"/>
      <c r="T11" s="76"/>
      <c r="AJ11" s="76" t="str">
        <f>"ADD CONSTRAINT "&amp;D$8&amp;"_pkey PRIMARY KEY"</f>
        <v>ADD CONSTRAINT azn_202310_backup_text_mml_mmlls_body_pkey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milscm_2023_010.azn_202310_backup_text_mml_mmlls_body IS 'バックアップ_MML_生活習慣情報モジュール_本文';</v>
      </c>
    </row>
    <row r="13" spans="1:45" s="25" customFormat="1">
      <c r="A13" s="4"/>
      <c r="B13" s="21">
        <f>ROW()-12</f>
        <v>1</v>
      </c>
      <c r="C13" s="6" t="s">
        <v>2778</v>
      </c>
      <c r="D13" s="6" t="s">
        <v>2779</v>
      </c>
      <c r="E13" s="8" t="s">
        <v>127</v>
      </c>
      <c r="F13" s="8" t="s">
        <v>3275</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milscm_2023_010.azn_202310_backup_text_mml_mmlls_body.zip_no IS 'ZipファイルNo';</v>
      </c>
    </row>
    <row r="14" spans="1:45" s="25" customFormat="1">
      <c r="A14" s="4"/>
      <c r="B14" s="21">
        <f t="shared" ref="B14:B20" si="2">ROW()-12</f>
        <v>2</v>
      </c>
      <c r="C14" s="6" t="s">
        <v>2781</v>
      </c>
      <c r="D14" s="6" t="s">
        <v>2782</v>
      </c>
      <c r="E14" s="8" t="s">
        <v>127</v>
      </c>
      <c r="F14" s="7" t="s">
        <v>3275</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milscm_2023_010.azn_202310_backup_text_mml_mmlls_body.file_no IS 'ファイルNo';</v>
      </c>
    </row>
    <row r="15" spans="1:45" s="25" customFormat="1">
      <c r="A15" s="4"/>
      <c r="B15" s="21">
        <f t="shared" si="2"/>
        <v>3</v>
      </c>
      <c r="C15" s="6" t="s">
        <v>3259</v>
      </c>
      <c r="D15" s="6" t="s">
        <v>2784</v>
      </c>
      <c r="E15" s="8" t="s">
        <v>127</v>
      </c>
      <c r="F15" s="7" t="s">
        <v>3275</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milscm_2023_010.azn_202310_backup_text_mml_mmlls_body.body_no IS '本文No';</v>
      </c>
    </row>
    <row r="16" spans="1:45" s="25" customFormat="1">
      <c r="A16" s="4"/>
      <c r="B16" s="21">
        <f t="shared" si="2"/>
        <v>4</v>
      </c>
      <c r="C16" s="6" t="s">
        <v>3276</v>
      </c>
      <c r="D16" s="6" t="s">
        <v>2401</v>
      </c>
      <c r="E16" s="8"/>
      <c r="F16" s="7" t="s">
        <v>3277</v>
      </c>
      <c r="G16" s="7" t="str">
        <f t="shared" si="3"/>
        <v>text</v>
      </c>
      <c r="H16" s="26"/>
      <c r="I16" s="10" t="s">
        <v>127</v>
      </c>
      <c r="J16" s="11" t="s">
        <v>3271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milscm_2023_010.azn_202310_backup_text_mml_mmlls_body.facility_id_mml IS '施設ID（MML）';</v>
      </c>
    </row>
    <row r="17" spans="1:52" s="25" customFormat="1">
      <c r="A17" s="4"/>
      <c r="B17" s="21">
        <f t="shared" si="2"/>
        <v>5</v>
      </c>
      <c r="C17" s="6" t="s">
        <v>2786</v>
      </c>
      <c r="D17" s="6" t="s">
        <v>1244</v>
      </c>
      <c r="E17" s="8"/>
      <c r="F17" s="7" t="s">
        <v>3277</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milscm_2023_010.azn_202310_backup_text_mml_mmlls_body.master_id IS '患者ID';</v>
      </c>
    </row>
    <row r="18" spans="1:52" s="25" customFormat="1">
      <c r="A18" s="4"/>
      <c r="B18" s="21">
        <f t="shared" si="2"/>
        <v>6</v>
      </c>
      <c r="C18" s="6" t="s">
        <v>3008</v>
      </c>
      <c r="D18" s="6" t="s">
        <v>3009</v>
      </c>
      <c r="E18" s="8"/>
      <c r="F18" s="7" t="s">
        <v>3277</v>
      </c>
      <c r="G18" s="7" t="str">
        <f t="shared" si="3"/>
        <v>text</v>
      </c>
      <c r="H18" s="26"/>
      <c r="I18" s="10"/>
      <c r="J18" s="11"/>
      <c r="M18" s="4"/>
      <c r="N18" s="76"/>
      <c r="O18" s="76"/>
      <c r="P18" s="76" t="str">
        <f t="shared" si="4"/>
        <v>,occupation</v>
      </c>
      <c r="Q18" s="76" t="str">
        <f t="shared" si="0"/>
        <v>TEXT</v>
      </c>
      <c r="R18" s="76" t="str">
        <f t="shared" si="1"/>
        <v/>
      </c>
      <c r="S18" s="76" t="str">
        <f t="shared" si="5"/>
        <v/>
      </c>
      <c r="T18" s="76" t="str">
        <f t="shared" si="6"/>
        <v>-- 職業</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milscm_2023_010.azn_202310_backup_text_mml_mmlls_body.occupation IS '職業';</v>
      </c>
    </row>
    <row r="19" spans="1:52" s="25" customFormat="1">
      <c r="A19" s="4"/>
      <c r="B19" s="21">
        <f t="shared" si="2"/>
        <v>7</v>
      </c>
      <c r="C19" s="6" t="s">
        <v>3283</v>
      </c>
      <c r="D19" s="6" t="s">
        <v>3278</v>
      </c>
      <c r="E19" s="8"/>
      <c r="F19" s="7" t="s">
        <v>3277</v>
      </c>
      <c r="G19" s="7" t="str">
        <f t="shared" si="3"/>
        <v>text</v>
      </c>
      <c r="H19" s="26"/>
      <c r="I19" s="10"/>
      <c r="J19" s="11"/>
      <c r="M19" s="4"/>
      <c r="N19" s="76"/>
      <c r="O19" s="76"/>
      <c r="P19" s="76" t="str">
        <f t="shared" si="4"/>
        <v>,tobacco</v>
      </c>
      <c r="Q19" s="76" t="str">
        <f t="shared" si="0"/>
        <v>TEXT</v>
      </c>
      <c r="R19" s="76" t="str">
        <f t="shared" si="1"/>
        <v/>
      </c>
      <c r="S19" s="76" t="str">
        <f t="shared" si="5"/>
        <v/>
      </c>
      <c r="T19" s="76" t="str">
        <f t="shared" si="6"/>
        <v>-- 喫煙歴</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milscm_2023_010.azn_202310_backup_text_mml_mmlls_body.tobacco IS '喫煙歴';</v>
      </c>
    </row>
    <row r="20" spans="1:52" s="25" customFormat="1">
      <c r="A20" s="4"/>
      <c r="B20" s="21">
        <f t="shared" si="2"/>
        <v>8</v>
      </c>
      <c r="C20" s="6" t="s">
        <v>3279</v>
      </c>
      <c r="D20" s="6" t="s">
        <v>3280</v>
      </c>
      <c r="E20" s="8"/>
      <c r="F20" s="7" t="s">
        <v>3277</v>
      </c>
      <c r="G20" s="7" t="str">
        <f t="shared" si="3"/>
        <v>text</v>
      </c>
      <c r="H20" s="26"/>
      <c r="I20" s="10"/>
      <c r="J20" s="11"/>
      <c r="M20" s="4"/>
      <c r="N20" s="76"/>
      <c r="O20" s="76"/>
      <c r="P20" s="76" t="str">
        <f t="shared" si="4"/>
        <v>,alcohol</v>
      </c>
      <c r="Q20" s="76" t="str">
        <f t="shared" si="0"/>
        <v>TEXT</v>
      </c>
      <c r="R20" s="76" t="str">
        <f t="shared" si="1"/>
        <v/>
      </c>
      <c r="S20" s="76" t="str">
        <f t="shared" si="5"/>
        <v/>
      </c>
      <c r="T20" s="76" t="str">
        <f t="shared" si="6"/>
        <v>-- 飲酒歴</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milscm_2023_010.azn_202310_backup_text_mml_mmlls_body.alcohol IS '飲酒歴';</v>
      </c>
    </row>
    <row r="21" spans="1:52" s="25" customFormat="1" ht="19.5" thickBot="1">
      <c r="A21" s="4"/>
      <c r="B21" s="27">
        <f>ROW()-12</f>
        <v>9</v>
      </c>
      <c r="C21" s="57" t="s">
        <v>3281</v>
      </c>
      <c r="D21" s="57" t="s">
        <v>3282</v>
      </c>
      <c r="E21" s="56"/>
      <c r="F21" s="56" t="s">
        <v>3277</v>
      </c>
      <c r="G21" s="56" t="str">
        <f t="shared" si="3"/>
        <v>text</v>
      </c>
      <c r="H21" s="59"/>
      <c r="I21" s="60"/>
      <c r="J21" s="63"/>
      <c r="N21" s="76"/>
      <c r="O21" s="76"/>
      <c r="P21" s="76" t="str">
        <f t="shared" si="4"/>
        <v>,other</v>
      </c>
      <c r="Q21" s="76" t="str">
        <f t="shared" si="0"/>
        <v>TEXT</v>
      </c>
      <c r="R21" s="76" t="str">
        <f t="shared" si="1"/>
        <v/>
      </c>
      <c r="S21" s="76" t="str">
        <f t="shared" si="5"/>
        <v/>
      </c>
      <c r="T21" s="76" t="str">
        <f t="shared" si="6"/>
        <v>-- その他の生活習慣</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milscm_2023_010.azn_202310_backup_text_mml_mmlls_body.other IS 'その他の生活習慣';</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ENT_01_A6-53</v>
      </c>
      <c r="E6" s="272"/>
      <c r="F6" s="272"/>
      <c r="G6" s="272"/>
      <c r="H6" s="272"/>
      <c r="I6" s="272"/>
      <c r="J6" s="273"/>
    </row>
    <row r="7" spans="1:45">
      <c r="B7" s="261" t="s">
        <v>115</v>
      </c>
      <c r="C7" s="262"/>
      <c r="D7" s="263" t="s">
        <v>3007</v>
      </c>
      <c r="E7" s="264"/>
      <c r="F7" s="264"/>
      <c r="G7" s="264"/>
      <c r="H7" s="264"/>
      <c r="I7" s="264"/>
      <c r="J7" s="265"/>
    </row>
    <row r="8" spans="1:45">
      <c r="B8" s="261" t="s">
        <v>116</v>
      </c>
      <c r="C8" s="262"/>
      <c r="D8" s="263" t="str">
        <f>エンティティ一覧!AE2&amp;"_"&amp;D5&amp;"_text_mml_mmlre_body"</f>
        <v>azn_202310_backup_text_mml_mmlre_body</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MML_紹介状モジュール_本文テーブルから組入れ条件の第一条件で絞り込んだ結果を格納するテーブル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milscm_2023_010.azn_202310_backup_text_mml_mmlre_body;</v>
      </c>
      <c r="O10" s="76"/>
      <c r="P10" s="76"/>
      <c r="Q10" s="76"/>
      <c r="R10" s="76"/>
      <c r="S10" s="76"/>
      <c r="T10" s="76"/>
      <c r="AJ10" s="76" t="str">
        <f>"ALTER TABLE ONLY "&amp;エンティティ一覧!$O$2&amp;"."&amp;D$8</f>
        <v>ALTER TABLE ONLY milscm_2023_010.azn_202310_backup_text_mml_mmlre_body</v>
      </c>
      <c r="AS10" s="76" t="str">
        <f>"ALTER TABLE "&amp;エンティティ一覧!$O$2&amp;"."&amp;D$8&amp;" OWNER TO pgmisgrp1;"</f>
        <v>ALTER TABLE milscm_2023_010.azn_202310_backup_text_mml_mmlre_body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milscm_2023_010.azn_202310_backup_text_mml_mmlre_body</v>
      </c>
      <c r="O11" s="76"/>
      <c r="P11" s="76"/>
      <c r="Q11" s="76"/>
      <c r="R11" s="76"/>
      <c r="S11" s="76"/>
      <c r="T11" s="76"/>
      <c r="AJ11" s="76" t="str">
        <f>"ADD CONSTRAINT "&amp;D$8&amp;"_pkey PRIMARY KEY"</f>
        <v>ADD CONSTRAINT azn_202310_backup_text_mml_mmlre_body_pkey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milscm_2023_010.azn_202310_backup_text_mml_mmlre_body IS 'バックアップ_MML_紹介状モジュール_本文';</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34" si="0">UPPER(G13)</f>
        <v>INTEGER</v>
      </c>
      <c r="R13" s="76" t="str">
        <f t="shared" ref="R13:R34"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milscm_2023_010.azn_202310_backup_text_mml_mmlre_body.zip_no IS 'ZipファイルNo';</v>
      </c>
    </row>
    <row r="14" spans="1:45" s="25" customFormat="1">
      <c r="A14" s="4"/>
      <c r="B14" s="21">
        <f t="shared" ref="B14:B33" si="2">ROW()-12</f>
        <v>2</v>
      </c>
      <c r="C14" s="6" t="s">
        <v>2781</v>
      </c>
      <c r="D14" s="6" t="s">
        <v>2782</v>
      </c>
      <c r="E14" s="8" t="s">
        <v>127</v>
      </c>
      <c r="F14" s="7" t="s">
        <v>2780</v>
      </c>
      <c r="G14" s="7" t="str">
        <f t="shared" ref="G14:G34" si="3">IF(F14="フラグ","boolean",IF(F14="文字列","text",IF(F14="整数","integer",IF(F14="実数","numeric",""))))</f>
        <v>integer</v>
      </c>
      <c r="H14" s="26"/>
      <c r="I14" s="10" t="s">
        <v>127</v>
      </c>
      <c r="J14" s="11"/>
      <c r="M14" s="4"/>
      <c r="N14" s="76"/>
      <c r="O14" s="76"/>
      <c r="P14" s="76" t="str">
        <f t="shared" ref="P14:P34" si="4">IF(B14&lt;&gt;1,","&amp;D14,D14)</f>
        <v>,file_no</v>
      </c>
      <c r="Q14" s="76" t="str">
        <f t="shared" si="0"/>
        <v>INTEGER</v>
      </c>
      <c r="R14" s="76" t="str">
        <f t="shared" si="1"/>
        <v/>
      </c>
      <c r="S14" s="76" t="str">
        <f t="shared" ref="S14:S34" si="5">IF(I14="○","NOT NULL","")</f>
        <v>NOT NULL</v>
      </c>
      <c r="T14" s="76" t="str">
        <f t="shared" ref="T14:T34"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milscm_2023_010.azn_202310_backup_text_mml_mmlre_body.file_no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milscm_2023_010.azn_202310_backup_text_mml_mmlre_body.body_no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milscm_2023_010.azn_202310_backup_text_mml_mmlre_body.facility_id_mml IS '施設ID（MML）';</v>
      </c>
    </row>
    <row r="17" spans="1:45"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milscm_2023_010.azn_202310_backup_text_mml_mmlre_body.master_id IS '患者ID';</v>
      </c>
    </row>
    <row r="18" spans="1:45" s="25" customFormat="1">
      <c r="A18" s="4"/>
      <c r="B18" s="21">
        <f t="shared" si="2"/>
        <v>6</v>
      </c>
      <c r="C18" s="6" t="s">
        <v>3008</v>
      </c>
      <c r="D18" s="6" t="s">
        <v>3009</v>
      </c>
      <c r="E18" s="8"/>
      <c r="F18" s="7" t="s">
        <v>1819</v>
      </c>
      <c r="G18" s="7" t="str">
        <f t="shared" si="3"/>
        <v>text</v>
      </c>
      <c r="H18" s="26"/>
      <c r="I18" s="10"/>
      <c r="J18" s="11"/>
      <c r="M18" s="4"/>
      <c r="N18" s="76"/>
      <c r="O18" s="76"/>
      <c r="P18" s="76" t="str">
        <f t="shared" si="4"/>
        <v>,occupation</v>
      </c>
      <c r="Q18" s="76" t="str">
        <f t="shared" si="0"/>
        <v>TEXT</v>
      </c>
      <c r="R18" s="76" t="str">
        <f t="shared" si="1"/>
        <v/>
      </c>
      <c r="S18" s="76" t="str">
        <f t="shared" si="5"/>
        <v/>
      </c>
      <c r="T18" s="76" t="str">
        <f t="shared" si="6"/>
        <v>-- 職業</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milscm_2023_010.azn_202310_backup_text_mml_mmlre_body.occupation IS '職業';</v>
      </c>
    </row>
    <row r="19" spans="1:45" s="25" customFormat="1">
      <c r="A19" s="4"/>
      <c r="B19" s="21">
        <f t="shared" si="2"/>
        <v>7</v>
      </c>
      <c r="C19" s="6" t="s">
        <v>3010</v>
      </c>
      <c r="D19" s="6" t="s">
        <v>3011</v>
      </c>
      <c r="E19" s="8"/>
      <c r="F19" s="7" t="s">
        <v>735</v>
      </c>
      <c r="G19" s="7" t="str">
        <f t="shared" si="3"/>
        <v>text</v>
      </c>
      <c r="H19" s="26"/>
      <c r="I19" s="10"/>
      <c r="J19" s="11"/>
      <c r="M19" s="4"/>
      <c r="N19" s="76"/>
      <c r="O19" s="76"/>
      <c r="P19" s="76" t="str">
        <f t="shared" si="4"/>
        <v>,refer_from_facility_name</v>
      </c>
      <c r="Q19" s="76" t="str">
        <f t="shared" si="0"/>
        <v>TEXT</v>
      </c>
      <c r="R19" s="76" t="str">
        <f t="shared" si="1"/>
        <v/>
      </c>
      <c r="S19" s="76" t="str">
        <f t="shared" si="5"/>
        <v/>
      </c>
      <c r="T19" s="76" t="str">
        <f t="shared" si="6"/>
        <v>-- 紹介元施設</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milscm_2023_010.azn_202310_backup_text_mml_mmlre_body.refer_from_facility_name IS '紹介元施設';</v>
      </c>
    </row>
    <row r="20" spans="1:45" s="25" customFormat="1">
      <c r="A20" s="4"/>
      <c r="B20" s="21">
        <f t="shared" si="2"/>
        <v>8</v>
      </c>
      <c r="C20" s="6" t="s">
        <v>3012</v>
      </c>
      <c r="D20" s="6" t="s">
        <v>2935</v>
      </c>
      <c r="E20" s="8"/>
      <c r="F20" s="7" t="s">
        <v>735</v>
      </c>
      <c r="G20" s="7" t="str">
        <f t="shared" si="3"/>
        <v>text</v>
      </c>
      <c r="H20" s="26"/>
      <c r="I20" s="10"/>
      <c r="J20" s="11"/>
      <c r="M20" s="4"/>
      <c r="N20" s="76"/>
      <c r="O20" s="76"/>
      <c r="P20" s="76" t="str">
        <f t="shared" si="4"/>
        <v>,title</v>
      </c>
      <c r="Q20" s="76" t="str">
        <f t="shared" si="0"/>
        <v>TEXT</v>
      </c>
      <c r="R20" s="76" t="str">
        <f t="shared" si="1"/>
        <v/>
      </c>
      <c r="S20" s="76" t="str">
        <f t="shared" si="5"/>
        <v/>
      </c>
      <c r="T20" s="76" t="str">
        <f t="shared" si="6"/>
        <v>-- タイトル</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milscm_2023_010.azn_202310_backup_text_mml_mmlre_body.title IS 'タイトル';</v>
      </c>
    </row>
    <row r="21" spans="1:45" s="25" customFormat="1">
      <c r="A21" s="4"/>
      <c r="B21" s="21">
        <f t="shared" si="2"/>
        <v>9</v>
      </c>
      <c r="C21" s="6" t="s">
        <v>3013</v>
      </c>
      <c r="D21" s="6" t="s">
        <v>3014</v>
      </c>
      <c r="E21" s="8"/>
      <c r="F21" s="7" t="s">
        <v>735</v>
      </c>
      <c r="G21" s="7" t="str">
        <f t="shared" ref="G21:G33" si="7">IF(F21="フラグ","boolean",IF(F21="文字列","text",IF(F21="整数","integer",IF(F21="実数","numeric",""))))</f>
        <v>text</v>
      </c>
      <c r="H21" s="26"/>
      <c r="I21" s="10"/>
      <c r="J21" s="11"/>
      <c r="M21" s="4"/>
      <c r="N21" s="76"/>
      <c r="O21" s="76"/>
      <c r="P21" s="76" t="str">
        <f t="shared" ref="P21:P33" si="8">IF(B21&lt;&gt;1,","&amp;D21,D21)</f>
        <v>,greeting</v>
      </c>
      <c r="Q21" s="76" t="str">
        <f t="shared" ref="Q21:Q33" si="9">UPPER(G21)</f>
        <v>TEXT</v>
      </c>
      <c r="R21" s="76" t="str">
        <f t="shared" ref="R21:R33" si="10">IF(H21&lt;&gt;"","default "&amp;IF(G21="text","'"&amp;H21&amp;"'",H21),"")</f>
        <v/>
      </c>
      <c r="S21" s="76" t="str">
        <f t="shared" ref="S21:S33" si="11">IF(I21="○","NOT NULL","")</f>
        <v/>
      </c>
      <c r="T21" s="76" t="str">
        <f t="shared" ref="T21:T33" si="12">"-- "&amp;C21</f>
        <v>-- 挨拶文</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milscm_2023_010.azn_202310_backup_text_mml_mmlre_body.greeting IS '挨拶文';</v>
      </c>
    </row>
    <row r="22" spans="1:45" s="25" customFormat="1">
      <c r="A22" s="4"/>
      <c r="B22" s="21">
        <f t="shared" si="2"/>
        <v>10</v>
      </c>
      <c r="C22" s="6" t="s">
        <v>1443</v>
      </c>
      <c r="D22" s="6" t="s">
        <v>1444</v>
      </c>
      <c r="E22" s="8"/>
      <c r="F22" s="7" t="s">
        <v>735</v>
      </c>
      <c r="G22" s="7" t="str">
        <f t="shared" si="7"/>
        <v>text</v>
      </c>
      <c r="H22" s="26"/>
      <c r="I22" s="10"/>
      <c r="J22" s="11"/>
      <c r="M22" s="4"/>
      <c r="N22" s="76"/>
      <c r="O22" s="76"/>
      <c r="P22" s="76" t="str">
        <f t="shared" si="8"/>
        <v>,chief_complaints</v>
      </c>
      <c r="Q22" s="76" t="str">
        <f t="shared" si="9"/>
        <v>TEXT</v>
      </c>
      <c r="R22" s="76" t="str">
        <f t="shared" si="10"/>
        <v/>
      </c>
      <c r="S22" s="76" t="str">
        <f t="shared" si="11"/>
        <v/>
      </c>
      <c r="T22" s="76" t="str">
        <f t="shared" si="12"/>
        <v>-- 主訴</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milscm_2023_010.azn_202310_backup_text_mml_mmlre_body.chief_complaints IS '主訴';</v>
      </c>
    </row>
    <row r="23" spans="1:45" s="25" customFormat="1">
      <c r="A23" s="4"/>
      <c r="B23" s="21">
        <f t="shared" si="2"/>
        <v>11</v>
      </c>
      <c r="C23" s="6" t="s">
        <v>1319</v>
      </c>
      <c r="D23" s="6" t="s">
        <v>3015</v>
      </c>
      <c r="E23" s="8"/>
      <c r="F23" s="7" t="s">
        <v>735</v>
      </c>
      <c r="G23" s="7" t="str">
        <f t="shared" si="7"/>
        <v>text</v>
      </c>
      <c r="H23" s="26"/>
      <c r="I23" s="10"/>
      <c r="J23" s="11"/>
      <c r="M23" s="4"/>
      <c r="N23" s="76"/>
      <c r="O23" s="76"/>
      <c r="P23" s="76" t="str">
        <f t="shared" si="8"/>
        <v>,clinical_diagnosis</v>
      </c>
      <c r="Q23" s="76" t="str">
        <f t="shared" si="9"/>
        <v>TEXT</v>
      </c>
      <c r="R23" s="76" t="str">
        <f t="shared" si="10"/>
        <v/>
      </c>
      <c r="S23" s="76" t="str">
        <f t="shared" si="11"/>
        <v/>
      </c>
      <c r="T23" s="76" t="str">
        <f t="shared" si="12"/>
        <v>-- 病名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milscm_2023_010.azn_202310_backup_text_mml_mmlre_body.clinical_diagnosis IS '病名';</v>
      </c>
    </row>
    <row r="24" spans="1:45" s="25" customFormat="1">
      <c r="A24" s="4"/>
      <c r="B24" s="21">
        <f t="shared" si="2"/>
        <v>12</v>
      </c>
      <c r="C24" s="6" t="s">
        <v>3016</v>
      </c>
      <c r="D24" s="6" t="s">
        <v>3017</v>
      </c>
      <c r="E24" s="8"/>
      <c r="F24" s="7" t="s">
        <v>735</v>
      </c>
      <c r="G24" s="7" t="str">
        <f t="shared" si="7"/>
        <v>text</v>
      </c>
      <c r="H24" s="26"/>
      <c r="I24" s="10"/>
      <c r="J24" s="11"/>
      <c r="M24" s="4"/>
      <c r="N24" s="76"/>
      <c r="O24" s="76"/>
      <c r="P24" s="76" t="str">
        <f t="shared" si="8"/>
        <v>,past_history</v>
      </c>
      <c r="Q24" s="76" t="str">
        <f t="shared" si="9"/>
        <v>TEXT</v>
      </c>
      <c r="R24" s="76" t="str">
        <f t="shared" si="10"/>
        <v/>
      </c>
      <c r="S24" s="76" t="str">
        <f t="shared" si="11"/>
        <v/>
      </c>
      <c r="T24" s="76" t="str">
        <f t="shared" si="12"/>
        <v>-- 既往歴</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milscm_2023_010.azn_202310_backup_text_mml_mmlre_body.past_history IS '既往歴';</v>
      </c>
    </row>
    <row r="25" spans="1:45" s="25" customFormat="1">
      <c r="A25" s="4"/>
      <c r="B25" s="21">
        <f t="shared" si="2"/>
        <v>13</v>
      </c>
      <c r="C25" s="6" t="s">
        <v>3018</v>
      </c>
      <c r="D25" s="6" t="s">
        <v>3019</v>
      </c>
      <c r="E25" s="8"/>
      <c r="F25" s="7" t="s">
        <v>735</v>
      </c>
      <c r="G25" s="7" t="str">
        <f t="shared" si="7"/>
        <v>text</v>
      </c>
      <c r="H25" s="26"/>
      <c r="I25" s="10"/>
      <c r="J25" s="11"/>
      <c r="M25" s="4"/>
      <c r="N25" s="76"/>
      <c r="O25" s="76"/>
      <c r="P25" s="76" t="str">
        <f t="shared" si="8"/>
        <v>,family_history</v>
      </c>
      <c r="Q25" s="76" t="str">
        <f t="shared" si="9"/>
        <v>TEXT</v>
      </c>
      <c r="R25" s="76" t="str">
        <f t="shared" si="10"/>
        <v/>
      </c>
      <c r="S25" s="76" t="str">
        <f t="shared" si="11"/>
        <v/>
      </c>
      <c r="T25" s="76" t="str">
        <f t="shared" si="12"/>
        <v>-- 家族歴</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milscm_2023_010.azn_202310_backup_text_mml_mmlre_body.family_history IS '家族歴';</v>
      </c>
    </row>
    <row r="26" spans="1:45" s="25" customFormat="1">
      <c r="A26" s="4"/>
      <c r="B26" s="21">
        <f t="shared" si="2"/>
        <v>14</v>
      </c>
      <c r="C26" s="6" t="s">
        <v>3020</v>
      </c>
      <c r="D26" s="6" t="s">
        <v>3021</v>
      </c>
      <c r="E26" s="8"/>
      <c r="F26" s="7" t="s">
        <v>735</v>
      </c>
      <c r="G26" s="7" t="str">
        <f t="shared" si="7"/>
        <v>text</v>
      </c>
      <c r="H26" s="26"/>
      <c r="I26" s="10"/>
      <c r="J26" s="11"/>
      <c r="M26" s="4"/>
      <c r="N26" s="76"/>
      <c r="O26" s="76"/>
      <c r="P26" s="76" t="str">
        <f t="shared" si="8"/>
        <v>,present_illness</v>
      </c>
      <c r="Q26" s="76" t="str">
        <f t="shared" si="9"/>
        <v>TEXT</v>
      </c>
      <c r="R26" s="76" t="str">
        <f t="shared" si="10"/>
        <v/>
      </c>
      <c r="S26" s="76" t="str">
        <f t="shared" si="11"/>
        <v/>
      </c>
      <c r="T26" s="76" t="str">
        <f t="shared" si="12"/>
        <v>-- 症状経過</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milscm_2023_010.azn_202310_backup_text_mml_mmlre_body.present_illness IS '症状経過';</v>
      </c>
    </row>
    <row r="27" spans="1:45" s="25" customFormat="1">
      <c r="A27" s="4"/>
      <c r="B27" s="21">
        <f t="shared" si="2"/>
        <v>15</v>
      </c>
      <c r="C27" s="6" t="s">
        <v>3022</v>
      </c>
      <c r="D27" s="6" t="s">
        <v>3023</v>
      </c>
      <c r="E27" s="8"/>
      <c r="F27" s="7" t="s">
        <v>735</v>
      </c>
      <c r="G27" s="7" t="str">
        <f t="shared" si="7"/>
        <v>text</v>
      </c>
      <c r="H27" s="26"/>
      <c r="I27" s="10"/>
      <c r="J27" s="11"/>
      <c r="M27" s="4"/>
      <c r="N27" s="76"/>
      <c r="O27" s="76"/>
      <c r="P27" s="76" t="str">
        <f t="shared" si="8"/>
        <v>,test_results</v>
      </c>
      <c r="Q27" s="76" t="str">
        <f t="shared" si="9"/>
        <v>TEXT</v>
      </c>
      <c r="R27" s="76" t="str">
        <f t="shared" si="10"/>
        <v/>
      </c>
      <c r="S27" s="76" t="str">
        <f t="shared" si="11"/>
        <v/>
      </c>
      <c r="T27" s="76" t="str">
        <f t="shared" si="12"/>
        <v>-- 検査結果</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milscm_2023_010.azn_202310_backup_text_mml_mmlre_body.test_results IS '検査結果';</v>
      </c>
    </row>
    <row r="28" spans="1:45" s="25" customFormat="1">
      <c r="A28" s="4"/>
      <c r="B28" s="21">
        <f t="shared" si="2"/>
        <v>16</v>
      </c>
      <c r="C28" s="6" t="s">
        <v>3024</v>
      </c>
      <c r="D28" s="6" t="s">
        <v>3025</v>
      </c>
      <c r="E28" s="8"/>
      <c r="F28" s="7" t="s">
        <v>735</v>
      </c>
      <c r="G28" s="7" t="str">
        <f t="shared" si="7"/>
        <v>text</v>
      </c>
      <c r="H28" s="26"/>
      <c r="I28" s="10"/>
      <c r="J28" s="11"/>
      <c r="M28" s="4"/>
      <c r="N28" s="76"/>
      <c r="O28" s="76"/>
      <c r="P28" s="76" t="str">
        <f t="shared" si="8"/>
        <v>,medication</v>
      </c>
      <c r="Q28" s="76" t="str">
        <f t="shared" si="9"/>
        <v>TEXT</v>
      </c>
      <c r="R28" s="76" t="str">
        <f t="shared" si="10"/>
        <v/>
      </c>
      <c r="S28" s="76" t="str">
        <f t="shared" si="11"/>
        <v/>
      </c>
      <c r="T28" s="76" t="str">
        <f t="shared" si="12"/>
        <v>-- 現在の処方</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milscm_2023_010.azn_202310_backup_text_mml_mmlre_body.medication IS '現在の処方';</v>
      </c>
    </row>
    <row r="29" spans="1:45" s="25" customFormat="1">
      <c r="A29" s="4"/>
      <c r="B29" s="21">
        <f t="shared" si="2"/>
        <v>17</v>
      </c>
      <c r="C29" s="6" t="s">
        <v>3026</v>
      </c>
      <c r="D29" s="6" t="s">
        <v>3027</v>
      </c>
      <c r="E29" s="8"/>
      <c r="F29" s="7" t="s">
        <v>735</v>
      </c>
      <c r="G29" s="7" t="str">
        <f t="shared" si="7"/>
        <v>text</v>
      </c>
      <c r="H29" s="26"/>
      <c r="I29" s="10"/>
      <c r="J29" s="11"/>
      <c r="M29" s="4"/>
      <c r="N29" s="76"/>
      <c r="O29" s="76"/>
      <c r="P29" s="76" t="str">
        <f t="shared" si="8"/>
        <v>,refer_purpose</v>
      </c>
      <c r="Q29" s="76" t="str">
        <f t="shared" si="9"/>
        <v>TEXT</v>
      </c>
      <c r="R29" s="76" t="str">
        <f t="shared" si="10"/>
        <v/>
      </c>
      <c r="S29" s="76" t="str">
        <f t="shared" si="11"/>
        <v/>
      </c>
      <c r="T29" s="76" t="str">
        <f t="shared" si="12"/>
        <v>-- 紹介目的</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milscm_2023_010.azn_202310_backup_text_mml_mmlre_body.refer_purpose IS '紹介目的';</v>
      </c>
    </row>
    <row r="30" spans="1:45" s="25" customFormat="1">
      <c r="A30" s="4"/>
      <c r="B30" s="21">
        <f t="shared" si="2"/>
        <v>18</v>
      </c>
      <c r="C30" s="6" t="s">
        <v>2042</v>
      </c>
      <c r="D30" s="6" t="s">
        <v>3028</v>
      </c>
      <c r="E30" s="8"/>
      <c r="F30" s="7" t="s">
        <v>735</v>
      </c>
      <c r="G30" s="7" t="str">
        <f t="shared" si="7"/>
        <v>text</v>
      </c>
      <c r="H30" s="26"/>
      <c r="I30" s="10"/>
      <c r="J30" s="11"/>
      <c r="M30" s="4"/>
      <c r="N30" s="76"/>
      <c r="O30" s="76"/>
      <c r="P30" s="76" t="str">
        <f t="shared" si="8"/>
        <v>,remarks</v>
      </c>
      <c r="Q30" s="76" t="str">
        <f t="shared" si="9"/>
        <v>TEXT</v>
      </c>
      <c r="R30" s="76" t="str">
        <f t="shared" si="10"/>
        <v/>
      </c>
      <c r="S30" s="76" t="str">
        <f t="shared" si="11"/>
        <v/>
      </c>
      <c r="T30" s="76" t="str">
        <f t="shared" si="12"/>
        <v>-- 備考</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milscm_2023_010.azn_202310_backup_text_mml_mmlre_body.remarks IS '備考';</v>
      </c>
    </row>
    <row r="31" spans="1:45" s="25" customFormat="1">
      <c r="A31" s="4"/>
      <c r="B31" s="21">
        <f t="shared" si="2"/>
        <v>19</v>
      </c>
      <c r="C31" s="6" t="s">
        <v>1505</v>
      </c>
      <c r="D31" s="6" t="s">
        <v>3029</v>
      </c>
      <c r="E31" s="8"/>
      <c r="F31" s="7" t="s">
        <v>735</v>
      </c>
      <c r="G31" s="7" t="str">
        <f t="shared" si="7"/>
        <v>text</v>
      </c>
      <c r="H31" s="26"/>
      <c r="I31" s="10"/>
      <c r="J31" s="11"/>
      <c r="M31" s="4"/>
      <c r="N31" s="76"/>
      <c r="O31" s="76"/>
      <c r="P31" s="76" t="str">
        <f t="shared" si="8"/>
        <v>,refer_to_facility_name</v>
      </c>
      <c r="Q31" s="76" t="str">
        <f t="shared" si="9"/>
        <v>TEXT</v>
      </c>
      <c r="R31" s="76" t="str">
        <f t="shared" si="10"/>
        <v/>
      </c>
      <c r="S31" s="76" t="str">
        <f t="shared" si="11"/>
        <v/>
      </c>
      <c r="T31" s="76" t="str">
        <f t="shared" si="12"/>
        <v>-- 紹介先施設</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milscm_2023_010.azn_202310_backup_text_mml_mmlre_body.refer_to_facility_name IS '紹介先施設';</v>
      </c>
    </row>
    <row r="32" spans="1:45" s="25" customFormat="1" ht="31.5">
      <c r="A32" s="4"/>
      <c r="B32" s="21">
        <f t="shared" si="2"/>
        <v>20</v>
      </c>
      <c r="C32" s="6" t="s">
        <v>3030</v>
      </c>
      <c r="D32" s="6" t="s">
        <v>3031</v>
      </c>
      <c r="E32" s="8"/>
      <c r="F32" s="7" t="s">
        <v>735</v>
      </c>
      <c r="G32" s="7" t="str">
        <f t="shared" si="7"/>
        <v>text</v>
      </c>
      <c r="H32" s="26"/>
      <c r="I32" s="10"/>
      <c r="J32" s="11"/>
      <c r="M32" s="4"/>
      <c r="N32" s="76"/>
      <c r="O32" s="76"/>
      <c r="P32" s="76" t="str">
        <f t="shared" si="8"/>
        <v>,refer_to_facility_name_department_name</v>
      </c>
      <c r="Q32" s="76" t="str">
        <f t="shared" si="9"/>
        <v>TEXT</v>
      </c>
      <c r="R32" s="76" t="str">
        <f t="shared" si="10"/>
        <v/>
      </c>
      <c r="S32" s="76" t="str">
        <f t="shared" si="11"/>
        <v/>
      </c>
      <c r="T32" s="76" t="str">
        <f t="shared" si="12"/>
        <v>-- 診療科名称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milscm_2023_010.azn_202310_backup_text_mml_mmlre_body.refer_to_facility_name_department_name IS '診療科名称';</v>
      </c>
    </row>
    <row r="33" spans="1:52" s="25" customFormat="1" ht="31.5">
      <c r="A33" s="4"/>
      <c r="B33" s="21">
        <f t="shared" si="2"/>
        <v>21</v>
      </c>
      <c r="C33" s="6" t="s">
        <v>3032</v>
      </c>
      <c r="D33" s="6" t="s">
        <v>3033</v>
      </c>
      <c r="E33" s="8"/>
      <c r="F33" s="7" t="s">
        <v>735</v>
      </c>
      <c r="G33" s="7" t="str">
        <f t="shared" si="7"/>
        <v>text</v>
      </c>
      <c r="H33" s="26"/>
      <c r="I33" s="10"/>
      <c r="J33" s="11"/>
      <c r="M33" s="4"/>
      <c r="N33" s="76"/>
      <c r="O33" s="76"/>
      <c r="P33" s="76" t="str">
        <f t="shared" si="8"/>
        <v>,refer_to_person_facility_name</v>
      </c>
      <c r="Q33" s="76" t="str">
        <f t="shared" si="9"/>
        <v>TEXT</v>
      </c>
      <c r="R33" s="76" t="str">
        <f t="shared" si="10"/>
        <v/>
      </c>
      <c r="S33" s="76" t="str">
        <f t="shared" si="11"/>
        <v/>
      </c>
      <c r="T33" s="76" t="str">
        <f t="shared" si="12"/>
        <v>-- 紹介先医師名の施設</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milscm_2023_010.azn_202310_backup_text_mml_mmlre_body.refer_to_person_facility_name IS '紹介先医師名の施設';</v>
      </c>
    </row>
    <row r="34" spans="1:52" s="25" customFormat="1" ht="19.5" thickBot="1">
      <c r="A34" s="4"/>
      <c r="B34" s="27">
        <f>ROW()-12</f>
        <v>22</v>
      </c>
      <c r="C34" s="57" t="s">
        <v>3034</v>
      </c>
      <c r="D34" s="57" t="s">
        <v>3035</v>
      </c>
      <c r="E34" s="56"/>
      <c r="F34" s="56" t="s">
        <v>735</v>
      </c>
      <c r="G34" s="56" t="str">
        <f t="shared" si="3"/>
        <v>text</v>
      </c>
      <c r="H34" s="59"/>
      <c r="I34" s="60"/>
      <c r="J34" s="63"/>
      <c r="N34" s="76"/>
      <c r="O34" s="76"/>
      <c r="P34" s="76" t="str">
        <f t="shared" si="4"/>
        <v>,refer_to_unknown_name</v>
      </c>
      <c r="Q34" s="76" t="str">
        <f t="shared" si="0"/>
        <v>TEXT</v>
      </c>
      <c r="R34" s="76" t="str">
        <f t="shared" si="1"/>
        <v/>
      </c>
      <c r="S34" s="76" t="str">
        <f t="shared" si="5"/>
        <v/>
      </c>
      <c r="T34" s="76" t="str">
        <f t="shared" si="6"/>
        <v>-- 医師名を指定しない相手</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milscm_2023_010.azn_202310_backup_text_mml_mmlre_body.refer_to_unknown_name IS '医師名を指定しない相手';</v>
      </c>
    </row>
    <row r="35" spans="1:52">
      <c r="L35" s="25"/>
      <c r="M35" s="25"/>
      <c r="N35" s="76" t="s">
        <v>142</v>
      </c>
      <c r="O35" s="76"/>
      <c r="P35" s="76"/>
      <c r="Q35" s="76"/>
      <c r="R35" s="76"/>
      <c r="S35" s="76"/>
      <c r="T35" s="76"/>
      <c r="V35" s="25"/>
      <c r="W35" s="25"/>
      <c r="X35" s="25"/>
      <c r="Y35" s="25"/>
      <c r="Z35" s="25"/>
      <c r="AJ35" s="76" t="s">
        <v>142</v>
      </c>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M38" s="25"/>
    </row>
    <row r="39" spans="1:52">
      <c r="M3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ENT_01_A6-54</v>
      </c>
      <c r="E6" s="272"/>
      <c r="F6" s="272"/>
      <c r="G6" s="272"/>
      <c r="H6" s="272"/>
      <c r="I6" s="272"/>
      <c r="J6" s="273"/>
    </row>
    <row r="7" spans="1:45">
      <c r="B7" s="261" t="s">
        <v>115</v>
      </c>
      <c r="C7" s="262"/>
      <c r="D7" s="263" t="s">
        <v>3036</v>
      </c>
      <c r="E7" s="264"/>
      <c r="F7" s="264"/>
      <c r="G7" s="264"/>
      <c r="H7" s="264"/>
      <c r="I7" s="264"/>
      <c r="J7" s="265"/>
    </row>
    <row r="8" spans="1:45">
      <c r="B8" s="261" t="s">
        <v>116</v>
      </c>
      <c r="C8" s="262"/>
      <c r="D8" s="263" t="str">
        <f>エンティティ一覧!AE2&amp;"_"&amp;D5&amp;"_text_mml_mmlre_inj"</f>
        <v>azn_202310_backup_text_mml_mmlre_inj</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MML_紹介状モジュール_注射記録テーブルから組入れ条件の第一条件で絞り込んだ結果を格納するテーブル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milscm_2023_010.azn_202310_backup_text_mml_mmlre_inj;</v>
      </c>
      <c r="O10" s="76"/>
      <c r="P10" s="76"/>
      <c r="Q10" s="76"/>
      <c r="R10" s="76"/>
      <c r="S10" s="76"/>
      <c r="T10" s="76"/>
      <c r="AJ10" s="76" t="str">
        <f>"ALTER TABLE ONLY "&amp;エンティティ一覧!$O$2&amp;"."&amp;D$8</f>
        <v>ALTER TABLE ONLY milscm_2023_010.azn_202310_backup_text_mml_mmlre_inj</v>
      </c>
      <c r="AS10" s="76" t="str">
        <f>"ALTER TABLE "&amp;エンティティ一覧!$O$2&amp;"."&amp;D$8&amp;" OWNER TO pgmisgrp1;"</f>
        <v>ALTER TABLE milscm_2023_010.azn_202310_backup_text_mml_mmlre_inj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milscm_2023_010.azn_202310_backup_text_mml_mmlre_inj</v>
      </c>
      <c r="O11" s="76"/>
      <c r="P11" s="76"/>
      <c r="Q11" s="76"/>
      <c r="R11" s="76"/>
      <c r="S11" s="76"/>
      <c r="T11" s="76"/>
      <c r="AJ11" s="76" t="str">
        <f>"ADD CONSTRAINT "&amp;D$8&amp;"_pkey PRIMARY KEY"</f>
        <v>ADD CONSTRAINT azn_202310_backup_text_mml_mmlre_inj_pkey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milscm_2023_010.azn_202310_backup_text_mml_mmlre_inj IS 'バックアップ_MML_紹介状モジュール_注射記録';</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19" si="0">UPPER(G13)</f>
        <v>INTEGER</v>
      </c>
      <c r="R13" s="76" t="str">
        <f t="shared" ref="R13:R19"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milscm_2023_010.azn_202310_backup_text_mml_mmlre_inj.zip_no IS 'ZipファイルNo';</v>
      </c>
    </row>
    <row r="14" spans="1:45" s="25" customFormat="1">
      <c r="A14" s="4"/>
      <c r="B14" s="21">
        <f t="shared" ref="B14:B18" si="2">ROW()-12</f>
        <v>2</v>
      </c>
      <c r="C14" s="6" t="s">
        <v>2781</v>
      </c>
      <c r="D14" s="6" t="s">
        <v>2782</v>
      </c>
      <c r="E14" s="8" t="s">
        <v>127</v>
      </c>
      <c r="F14" s="7" t="s">
        <v>2780</v>
      </c>
      <c r="G14" s="7" t="str">
        <f t="shared" ref="G14:G19" si="3">IF(F14="フラグ","boolean",IF(F14="文字列","text",IF(F14="整数","integer",IF(F14="実数","numeric",""))))</f>
        <v>integer</v>
      </c>
      <c r="H14" s="26"/>
      <c r="I14" s="10" t="s">
        <v>127</v>
      </c>
      <c r="J14" s="11"/>
      <c r="M14" s="4"/>
      <c r="N14" s="76"/>
      <c r="O14" s="76"/>
      <c r="P14" s="76" t="str">
        <f t="shared" ref="P14:P19" si="4">IF(B14&lt;&gt;1,","&amp;D14,D14)</f>
        <v>,file_no</v>
      </c>
      <c r="Q14" s="76" t="str">
        <f t="shared" si="0"/>
        <v>INTEGER</v>
      </c>
      <c r="R14" s="76" t="str">
        <f t="shared" si="1"/>
        <v/>
      </c>
      <c r="S14" s="76" t="str">
        <f t="shared" ref="S14:S19" si="5">IF(I14="○","NOT NULL","")</f>
        <v>NOT NULL</v>
      </c>
      <c r="T14" s="76" t="str">
        <f t="shared" ref="T14:T19"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milscm_2023_010.azn_202310_backup_text_mml_mmlre_inj.file_no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milscm_2023_010.azn_202310_backup_text_mml_mmlre_inj.body_no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milscm_2023_010.azn_202310_backup_text_mml_mmlre_inj.facility_id_mml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milscm_2023_010.azn_202310_backup_text_mml_mmlre_inj.master_id IS '患者ID';</v>
      </c>
    </row>
    <row r="18" spans="1:52" s="25" customFormat="1" ht="31.5">
      <c r="A18" s="4"/>
      <c r="B18" s="21">
        <f t="shared" si="2"/>
        <v>6</v>
      </c>
      <c r="C18" s="6" t="s">
        <v>2812</v>
      </c>
      <c r="D18" s="6" t="s">
        <v>2813</v>
      </c>
      <c r="E18" s="8"/>
      <c r="F18" s="7" t="s">
        <v>1819</v>
      </c>
      <c r="G18" s="7" t="str">
        <f t="shared" si="3"/>
        <v>text</v>
      </c>
      <c r="H18" s="26"/>
      <c r="I18" s="10"/>
      <c r="J18" s="11"/>
      <c r="M18" s="4"/>
      <c r="N18" s="76"/>
      <c r="O18" s="76"/>
      <c r="P18" s="76" t="str">
        <f t="shared" si="4"/>
        <v>,narcotic_prescription_license_no</v>
      </c>
      <c r="Q18" s="76" t="str">
        <f t="shared" si="0"/>
        <v>TEXT</v>
      </c>
      <c r="R18" s="76" t="str">
        <f t="shared" si="1"/>
        <v/>
      </c>
      <c r="S18" s="76" t="str">
        <f t="shared" si="5"/>
        <v/>
      </c>
      <c r="T18" s="76" t="str">
        <f t="shared" si="6"/>
        <v>-- 麻薬施用者番号</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milscm_2023_010.azn_202310_backup_text_mml_mmlre_inj.narcotic_prescription_license_no IS '麻薬施用者番号';</v>
      </c>
    </row>
    <row r="19" spans="1:52" s="25" customFormat="1" ht="19.5" thickBot="1">
      <c r="A19" s="4"/>
      <c r="B19" s="27">
        <f>ROW()-12</f>
        <v>7</v>
      </c>
      <c r="C19" s="57" t="s">
        <v>2814</v>
      </c>
      <c r="D19" s="57" t="s">
        <v>2815</v>
      </c>
      <c r="E19" s="56"/>
      <c r="F19" s="56" t="s">
        <v>1819</v>
      </c>
      <c r="G19" s="56" t="str">
        <f t="shared" si="3"/>
        <v>text</v>
      </c>
      <c r="H19" s="59"/>
      <c r="I19" s="60"/>
      <c r="J19" s="63"/>
      <c r="N19" s="76"/>
      <c r="O19" s="76"/>
      <c r="P19" s="76" t="str">
        <f t="shared" si="4"/>
        <v>,comment</v>
      </c>
      <c r="Q19" s="76" t="str">
        <f t="shared" si="0"/>
        <v>TEXT</v>
      </c>
      <c r="R19" s="76" t="str">
        <f t="shared" si="1"/>
        <v/>
      </c>
      <c r="S19" s="76" t="str">
        <f t="shared" si="5"/>
        <v/>
      </c>
      <c r="T19" s="76" t="str">
        <f t="shared" si="6"/>
        <v>-- コメント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milscm_2023_010.azn_202310_backup_text_mml_mmlre_inj.comment IS 'コメント';</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M23" s="25"/>
    </row>
    <row r="24" spans="1:52">
      <c r="M2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ENT_01_A6-55</v>
      </c>
      <c r="E6" s="272"/>
      <c r="F6" s="272"/>
      <c r="G6" s="272"/>
      <c r="H6" s="272"/>
      <c r="I6" s="272"/>
      <c r="J6" s="273"/>
    </row>
    <row r="7" spans="1:45">
      <c r="B7" s="261" t="s">
        <v>115</v>
      </c>
      <c r="C7" s="262"/>
      <c r="D7" s="263" t="s">
        <v>3037</v>
      </c>
      <c r="E7" s="264"/>
      <c r="F7" s="264"/>
      <c r="G7" s="264"/>
      <c r="H7" s="264"/>
      <c r="I7" s="264"/>
      <c r="J7" s="265"/>
    </row>
    <row r="8" spans="1:45">
      <c r="B8" s="261" t="s">
        <v>116</v>
      </c>
      <c r="C8" s="262"/>
      <c r="D8" s="263" t="str">
        <f>エンティティ一覧!AE2&amp;"_"&amp;D5&amp;"_text_mml_mmlre_inj_medication"</f>
        <v>azn_202310_backup_text_mml_mmlre_inj_medication</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MML_紹介状モジュール_注射記録投薬テーブルから組入れ条件の第一条件で絞り込んだ結果を格納するテーブル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milscm_2023_010.azn_202310_backup_text_mml_mmlre_inj_medication;</v>
      </c>
      <c r="O10" s="76"/>
      <c r="P10" s="76"/>
      <c r="Q10" s="76"/>
      <c r="R10" s="76"/>
      <c r="S10" s="76"/>
      <c r="T10" s="76"/>
      <c r="AJ10" s="76" t="str">
        <f>"ALTER TABLE ONLY "&amp;エンティティ一覧!$O$2&amp;"."&amp;D$8</f>
        <v>ALTER TABLE ONLY milscm_2023_010.azn_202310_backup_text_mml_mmlre_inj_medication</v>
      </c>
      <c r="AS10" s="76" t="str">
        <f>"ALTER TABLE "&amp;エンティティ一覧!$O$2&amp;"."&amp;D$8&amp;" OWNER TO pgmisgrp1;"</f>
        <v>ALTER TABLE milscm_2023_010.azn_202310_backup_text_mml_mmlre_inj_medication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milscm_2023_010.azn_202310_backup_text_mml_mmlre_inj_medication</v>
      </c>
      <c r="O11" s="76"/>
      <c r="P11" s="76"/>
      <c r="Q11" s="76"/>
      <c r="R11" s="76"/>
      <c r="S11" s="76"/>
      <c r="T11" s="76"/>
      <c r="AJ11" s="76" t="str">
        <f>"ADD CONSTRAINT "&amp;D$8&amp;"_pkey PRIMARY KEY"</f>
        <v>ADD CONSTRAINT azn_202310_backup_text_mml_mmlre_inj_medication_pkey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milscm_2023_010.azn_202310_backup_text_mml_mmlre_inj_medication IS 'バックアップ_MML_紹介状モジュール_注射記録投薬';</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9" si="0">UPPER(G13)</f>
        <v>INTEGER</v>
      </c>
      <c r="R13" s="76" t="str">
        <f t="shared" ref="R13:R29"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milscm_2023_010.azn_202310_backup_text_mml_mmlre_inj_medication.zip_no IS 'ZipファイルNo';</v>
      </c>
    </row>
    <row r="14" spans="1:45" s="25" customFormat="1">
      <c r="A14" s="4"/>
      <c r="B14" s="21">
        <f t="shared" ref="B14:B28" si="2">ROW()-12</f>
        <v>2</v>
      </c>
      <c r="C14" s="6" t="s">
        <v>2781</v>
      </c>
      <c r="D14" s="6" t="s">
        <v>2782</v>
      </c>
      <c r="E14" s="8" t="s">
        <v>127</v>
      </c>
      <c r="F14" s="7" t="s">
        <v>2780</v>
      </c>
      <c r="G14" s="7" t="str">
        <f t="shared" ref="G14:G29" si="3">IF(F14="フラグ","boolean",IF(F14="文字列","text",IF(F14="整数","integer",IF(F14="実数","numeric",""))))</f>
        <v>integer</v>
      </c>
      <c r="H14" s="26"/>
      <c r="I14" s="10" t="s">
        <v>127</v>
      </c>
      <c r="J14" s="11"/>
      <c r="M14" s="4"/>
      <c r="N14" s="76"/>
      <c r="O14" s="76"/>
      <c r="P14" s="76" t="str">
        <f t="shared" ref="P14:P29" si="4">IF(B14&lt;&gt;1,","&amp;D14,D14)</f>
        <v>,file_no</v>
      </c>
      <c r="Q14" s="76" t="str">
        <f t="shared" si="0"/>
        <v>INTEGER</v>
      </c>
      <c r="R14" s="76" t="str">
        <f t="shared" si="1"/>
        <v/>
      </c>
      <c r="S14" s="76" t="str">
        <f t="shared" ref="S14:S29" si="5">IF(I14="○","NOT NULL","")</f>
        <v>NOT NULL</v>
      </c>
      <c r="T14" s="76" t="str">
        <f t="shared" ref="T14:T29"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milscm_2023_010.azn_202310_backup_text_mml_mmlre_inj_medication.file_no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milscm_2023_010.azn_202310_backup_text_mml_mmlre_inj_medication.body_no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milscm_2023_010.azn_202310_backup_text_mml_mmlre_inj_medication.facility_id_mml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milscm_2023_010.azn_202310_backup_text_mml_mmlre_inj_medication.master_id IS '患者ID';</v>
      </c>
    </row>
    <row r="18" spans="1:52" s="25" customFormat="1">
      <c r="A18" s="4"/>
      <c r="B18" s="21">
        <f t="shared" si="2"/>
        <v>6</v>
      </c>
      <c r="C18" s="6" t="s">
        <v>2818</v>
      </c>
      <c r="D18" s="6" t="s">
        <v>2819</v>
      </c>
      <c r="E18" s="8" t="s">
        <v>127</v>
      </c>
      <c r="F18" s="7" t="s">
        <v>2780</v>
      </c>
      <c r="G18" s="7" t="str">
        <f t="shared" ref="G18:G27" si="7">IF(F18="フラグ","boolean",IF(F18="文字列","text",IF(F18="整数","integer",IF(F18="実数","numeric",""))))</f>
        <v>integer</v>
      </c>
      <c r="H18" s="26"/>
      <c r="I18" s="10" t="s">
        <v>127</v>
      </c>
      <c r="J18" s="11"/>
      <c r="M18" s="4"/>
      <c r="N18" s="76"/>
      <c r="O18" s="76"/>
      <c r="P18" s="76" t="str">
        <f t="shared" ref="P18:P27" si="8">IF(B18&lt;&gt;1,","&amp;D18,D18)</f>
        <v>,medication_no</v>
      </c>
      <c r="Q18" s="76" t="str">
        <f t="shared" ref="Q18:Q27" si="9">UPPER(G18)</f>
        <v>INTEGER</v>
      </c>
      <c r="R18" s="76" t="str">
        <f t="shared" ref="R18:R27" si="10">IF(H18&lt;&gt;"","default "&amp;IF(G18="text","'"&amp;H18&amp;"'",H18),"")</f>
        <v/>
      </c>
      <c r="S18" s="76" t="str">
        <f t="shared" ref="S18:S27" si="11">IF(I18="○","NOT NULL","")</f>
        <v>NOT NULL</v>
      </c>
      <c r="T18" s="76" t="str">
        <f t="shared" ref="T18:T27" si="12">"-- "&amp;C18</f>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milscm_2023_010.azn_202310_backup_text_mml_mmlre_inj_medication.medication_no IS '投薬No';</v>
      </c>
    </row>
    <row r="19" spans="1:52" s="25" customFormat="1">
      <c r="A19" s="4"/>
      <c r="B19" s="21">
        <f t="shared" si="2"/>
        <v>7</v>
      </c>
      <c r="C19" s="6" t="s">
        <v>2820</v>
      </c>
      <c r="D19" s="6" t="s">
        <v>2821</v>
      </c>
      <c r="E19" s="8"/>
      <c r="F19" s="7" t="s">
        <v>1819</v>
      </c>
      <c r="G19" s="7" t="str">
        <f t="shared" si="7"/>
        <v>text</v>
      </c>
      <c r="H19" s="26"/>
      <c r="I19" s="10"/>
      <c r="J19" s="11"/>
      <c r="M19" s="4"/>
      <c r="N19" s="76"/>
      <c r="O19" s="76"/>
      <c r="P19" s="76" t="str">
        <f t="shared" si="8"/>
        <v>,medicine_name</v>
      </c>
      <c r="Q19" s="76" t="str">
        <f t="shared" si="9"/>
        <v>TEXT</v>
      </c>
      <c r="R19" s="76" t="str">
        <f t="shared" si="10"/>
        <v/>
      </c>
      <c r="S19" s="76" t="str">
        <f t="shared" si="11"/>
        <v/>
      </c>
      <c r="T19" s="76" t="str">
        <f t="shared" si="12"/>
        <v>-- 薬剤名称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milscm_2023_010.azn_202310_backup_text_mml_mmlre_inj_medication.medicine_name IS '薬剤名称';</v>
      </c>
    </row>
    <row r="20" spans="1:52" s="25" customFormat="1">
      <c r="A20" s="4"/>
      <c r="B20" s="21">
        <f t="shared" si="2"/>
        <v>8</v>
      </c>
      <c r="C20" s="6" t="s">
        <v>2822</v>
      </c>
      <c r="D20" s="6" t="s">
        <v>2823</v>
      </c>
      <c r="E20" s="8"/>
      <c r="F20" s="7" t="s">
        <v>1819</v>
      </c>
      <c r="G20" s="7" t="str">
        <f t="shared" si="7"/>
        <v>text</v>
      </c>
      <c r="H20" s="26"/>
      <c r="I20" s="10"/>
      <c r="J20" s="11"/>
      <c r="M20" s="4"/>
      <c r="N20" s="76"/>
      <c r="O20" s="76"/>
      <c r="P20" s="76" t="str">
        <f t="shared" si="8"/>
        <v>,dose</v>
      </c>
      <c r="Q20" s="76" t="str">
        <f t="shared" si="9"/>
        <v>TEXT</v>
      </c>
      <c r="R20" s="76" t="str">
        <f t="shared" si="10"/>
        <v/>
      </c>
      <c r="S20" s="76" t="str">
        <f t="shared" si="11"/>
        <v/>
      </c>
      <c r="T20" s="76" t="str">
        <f t="shared" si="12"/>
        <v>-- 用量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milscm_2023_010.azn_202310_backup_text_mml_mmlre_inj_medication.dose IS '用量';</v>
      </c>
    </row>
    <row r="21" spans="1:52" s="25" customFormat="1">
      <c r="A21" s="4"/>
      <c r="B21" s="21">
        <f t="shared" si="2"/>
        <v>9</v>
      </c>
      <c r="C21" s="6" t="s">
        <v>2824</v>
      </c>
      <c r="D21" s="6" t="s">
        <v>2825</v>
      </c>
      <c r="E21" s="8"/>
      <c r="F21" s="7" t="s">
        <v>1819</v>
      </c>
      <c r="G21" s="7" t="str">
        <f t="shared" si="7"/>
        <v>text</v>
      </c>
      <c r="H21" s="26"/>
      <c r="I21" s="10"/>
      <c r="J21" s="11"/>
      <c r="M21" s="4"/>
      <c r="N21" s="76"/>
      <c r="O21" s="76"/>
      <c r="P21" s="76" t="str">
        <f t="shared" si="8"/>
        <v>,dose_unit</v>
      </c>
      <c r="Q21" s="76" t="str">
        <f t="shared" si="9"/>
        <v>TEXT</v>
      </c>
      <c r="R21" s="76" t="str">
        <f t="shared" si="10"/>
        <v/>
      </c>
      <c r="S21" s="76" t="str">
        <f t="shared" si="11"/>
        <v/>
      </c>
      <c r="T21" s="76" t="str">
        <f t="shared" si="12"/>
        <v>-- 用量の単位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milscm_2023_010.azn_202310_backup_text_mml_mmlre_inj_medication.dose_unit IS '用量の単位';</v>
      </c>
    </row>
    <row r="22" spans="1:52" s="25" customFormat="1">
      <c r="A22" s="4"/>
      <c r="B22" s="21">
        <f t="shared" si="2"/>
        <v>10</v>
      </c>
      <c r="C22" s="6" t="s">
        <v>3038</v>
      </c>
      <c r="D22" s="6" t="s">
        <v>2860</v>
      </c>
      <c r="E22" s="8"/>
      <c r="F22" s="7" t="s">
        <v>1819</v>
      </c>
      <c r="G22" s="7" t="str">
        <f t="shared" si="7"/>
        <v>text</v>
      </c>
      <c r="H22" s="26"/>
      <c r="I22" s="10"/>
      <c r="J22" s="11" t="s">
        <v>2792</v>
      </c>
      <c r="M22" s="4"/>
      <c r="N22" s="76"/>
      <c r="O22" s="76"/>
      <c r="P22" s="76" t="str">
        <f t="shared" si="8"/>
        <v>,start_date_time</v>
      </c>
      <c r="Q22" s="76" t="str">
        <f t="shared" si="9"/>
        <v>TEXT</v>
      </c>
      <c r="R22" s="76" t="str">
        <f t="shared" si="10"/>
        <v/>
      </c>
      <c r="S22" s="76" t="str">
        <f t="shared" si="11"/>
        <v/>
      </c>
      <c r="T22" s="76" t="str">
        <f t="shared" si="12"/>
        <v>-- 投与開始日時</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milscm_2023_010.azn_202310_backup_text_mml_mmlre_inj_medication.start_date_time IS '投与開始日時';</v>
      </c>
    </row>
    <row r="23" spans="1:52" s="25" customFormat="1">
      <c r="A23" s="4"/>
      <c r="B23" s="21">
        <f t="shared" si="2"/>
        <v>11</v>
      </c>
      <c r="C23" s="6" t="s">
        <v>3039</v>
      </c>
      <c r="D23" s="6" t="s">
        <v>2862</v>
      </c>
      <c r="E23" s="8"/>
      <c r="F23" s="7" t="s">
        <v>1819</v>
      </c>
      <c r="G23" s="7" t="str">
        <f t="shared" si="7"/>
        <v>text</v>
      </c>
      <c r="H23" s="26"/>
      <c r="I23" s="10"/>
      <c r="J23" s="11" t="s">
        <v>2792</v>
      </c>
      <c r="M23" s="4"/>
      <c r="N23" s="76"/>
      <c r="O23" s="76"/>
      <c r="P23" s="76" t="str">
        <f t="shared" si="8"/>
        <v>,end_date_time</v>
      </c>
      <c r="Q23" s="76" t="str">
        <f t="shared" si="9"/>
        <v>TEXT</v>
      </c>
      <c r="R23" s="76" t="str">
        <f t="shared" si="10"/>
        <v/>
      </c>
      <c r="S23" s="76" t="str">
        <f t="shared" si="11"/>
        <v/>
      </c>
      <c r="T23" s="76" t="str">
        <f t="shared" si="12"/>
        <v>-- 投与終了日時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milscm_2023_010.azn_202310_backup_text_mml_mmlre_inj_medication.end_date_time IS '投与終了日時';</v>
      </c>
    </row>
    <row r="24" spans="1:52" s="25" customFormat="1">
      <c r="A24" s="4"/>
      <c r="B24" s="21">
        <f t="shared" si="2"/>
        <v>12</v>
      </c>
      <c r="C24" s="6" t="s">
        <v>2831</v>
      </c>
      <c r="D24" s="6" t="s">
        <v>2832</v>
      </c>
      <c r="E24" s="8"/>
      <c r="F24" s="7" t="s">
        <v>1819</v>
      </c>
      <c r="G24" s="7" t="str">
        <f t="shared" si="7"/>
        <v>text</v>
      </c>
      <c r="H24" s="26"/>
      <c r="I24" s="10"/>
      <c r="J24" s="11"/>
      <c r="M24" s="4"/>
      <c r="N24" s="76"/>
      <c r="O24" s="76"/>
      <c r="P24" s="76" t="str">
        <f t="shared" si="8"/>
        <v>,instruction</v>
      </c>
      <c r="Q24" s="76" t="str">
        <f t="shared" si="9"/>
        <v>TEXT</v>
      </c>
      <c r="R24" s="76" t="str">
        <f t="shared" si="10"/>
        <v/>
      </c>
      <c r="S24" s="76" t="str">
        <f t="shared" si="11"/>
        <v/>
      </c>
      <c r="T24" s="76" t="str">
        <f t="shared" si="12"/>
        <v>-- 用法指示</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milscm_2023_010.azn_202310_backup_text_mml_mmlre_inj_medication.instruction IS '用法指示';</v>
      </c>
    </row>
    <row r="25" spans="1:52" s="25" customFormat="1">
      <c r="A25" s="4"/>
      <c r="B25" s="21">
        <f t="shared" si="2"/>
        <v>13</v>
      </c>
      <c r="C25" s="6" t="s">
        <v>2837</v>
      </c>
      <c r="D25" s="6" t="s">
        <v>2838</v>
      </c>
      <c r="E25" s="8"/>
      <c r="F25" s="7" t="s">
        <v>1819</v>
      </c>
      <c r="G25" s="7" t="str">
        <f t="shared" si="7"/>
        <v>text</v>
      </c>
      <c r="H25" s="26"/>
      <c r="I25" s="10"/>
      <c r="J25" s="11"/>
      <c r="M25" s="4"/>
      <c r="N25" s="76"/>
      <c r="O25" s="76"/>
      <c r="P25" s="76" t="str">
        <f t="shared" si="8"/>
        <v>,route</v>
      </c>
      <c r="Q25" s="76" t="str">
        <f t="shared" si="9"/>
        <v>TEXT</v>
      </c>
      <c r="R25" s="76" t="str">
        <f t="shared" si="10"/>
        <v/>
      </c>
      <c r="S25" s="76" t="str">
        <f t="shared" si="11"/>
        <v/>
      </c>
      <c r="T25" s="76" t="str">
        <f t="shared" si="12"/>
        <v>-- 投与経路</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milscm_2023_010.azn_202310_backup_text_mml_mmlre_inj_medication.route IS '投与経路';</v>
      </c>
    </row>
    <row r="26" spans="1:52" s="25" customFormat="1">
      <c r="A26" s="4"/>
      <c r="B26" s="21">
        <f t="shared" si="2"/>
        <v>14</v>
      </c>
      <c r="C26" s="6" t="s">
        <v>2863</v>
      </c>
      <c r="D26" s="6" t="s">
        <v>2864</v>
      </c>
      <c r="E26" s="8"/>
      <c r="F26" s="7" t="s">
        <v>1819</v>
      </c>
      <c r="G26" s="7" t="str">
        <f t="shared" si="7"/>
        <v>text</v>
      </c>
      <c r="H26" s="26"/>
      <c r="I26" s="10"/>
      <c r="J26" s="11"/>
      <c r="M26" s="4"/>
      <c r="N26" s="76"/>
      <c r="O26" s="76"/>
      <c r="P26" s="76" t="str">
        <f t="shared" si="8"/>
        <v>,site</v>
      </c>
      <c r="Q26" s="76" t="str">
        <f t="shared" si="9"/>
        <v>TEXT</v>
      </c>
      <c r="R26" s="76" t="str">
        <f t="shared" si="10"/>
        <v/>
      </c>
      <c r="S26" s="76" t="str">
        <f t="shared" si="11"/>
        <v/>
      </c>
      <c r="T26" s="76" t="str">
        <f t="shared" si="12"/>
        <v>-- 投与部位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milscm_2023_010.azn_202310_backup_text_mml_mmlre_inj_medication.site IS '投与部位';</v>
      </c>
    </row>
    <row r="27" spans="1:52" s="25" customFormat="1">
      <c r="A27" s="4"/>
      <c r="B27" s="21">
        <f t="shared" si="2"/>
        <v>15</v>
      </c>
      <c r="C27" s="6" t="s">
        <v>2865</v>
      </c>
      <c r="D27" s="6" t="s">
        <v>2866</v>
      </c>
      <c r="E27" s="8"/>
      <c r="F27" s="7" t="s">
        <v>1819</v>
      </c>
      <c r="G27" s="7" t="str">
        <f t="shared" si="7"/>
        <v>text</v>
      </c>
      <c r="H27" s="26"/>
      <c r="I27" s="10"/>
      <c r="J27" s="11"/>
      <c r="M27" s="4"/>
      <c r="N27" s="76"/>
      <c r="O27" s="76"/>
      <c r="P27" s="76" t="str">
        <f t="shared" si="8"/>
        <v>,delivery_method</v>
      </c>
      <c r="Q27" s="76" t="str">
        <f t="shared" si="9"/>
        <v>TEXT</v>
      </c>
      <c r="R27" s="76" t="str">
        <f t="shared" si="10"/>
        <v/>
      </c>
      <c r="S27" s="76" t="str">
        <f t="shared" si="11"/>
        <v/>
      </c>
      <c r="T27" s="76" t="str">
        <f t="shared" si="12"/>
        <v>-- 注射方法</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milscm_2023_010.azn_202310_backup_text_mml_mmlre_inj_medication.delivery_method IS '注射方法';</v>
      </c>
    </row>
    <row r="28" spans="1:52" s="25" customFormat="1">
      <c r="A28" s="4"/>
      <c r="B28" s="21">
        <f t="shared" si="2"/>
        <v>16</v>
      </c>
      <c r="C28" s="6" t="s">
        <v>2841</v>
      </c>
      <c r="D28" s="6" t="s">
        <v>2842</v>
      </c>
      <c r="E28" s="8"/>
      <c r="F28" s="7" t="s">
        <v>1819</v>
      </c>
      <c r="G28" s="7" t="str">
        <f t="shared" si="3"/>
        <v>text</v>
      </c>
      <c r="H28" s="26"/>
      <c r="I28" s="10"/>
      <c r="J28" s="11"/>
      <c r="M28" s="4"/>
      <c r="N28" s="76"/>
      <c r="O28" s="76"/>
      <c r="P28" s="76" t="str">
        <f t="shared" si="4"/>
        <v>,batch_no</v>
      </c>
      <c r="Q28" s="76" t="str">
        <f t="shared" si="0"/>
        <v>TEXT</v>
      </c>
      <c r="R28" s="76" t="str">
        <f t="shared" si="1"/>
        <v/>
      </c>
      <c r="S28" s="76" t="str">
        <f t="shared" si="5"/>
        <v/>
      </c>
      <c r="T28" s="76" t="str">
        <f t="shared" si="6"/>
        <v>-- 処方番号</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milscm_2023_010.azn_202310_backup_text_mml_mmlre_inj_medication.batch_no IS '処方番号';</v>
      </c>
    </row>
    <row r="29" spans="1:52" s="25" customFormat="1" ht="19.5" thickBot="1">
      <c r="A29" s="4"/>
      <c r="B29" s="27">
        <f>ROW()-12</f>
        <v>17</v>
      </c>
      <c r="C29" s="57" t="s">
        <v>2847</v>
      </c>
      <c r="D29" s="57" t="s">
        <v>2848</v>
      </c>
      <c r="E29" s="56"/>
      <c r="F29" s="56" t="s">
        <v>1819</v>
      </c>
      <c r="G29" s="56" t="str">
        <f t="shared" si="3"/>
        <v>text</v>
      </c>
      <c r="H29" s="59"/>
      <c r="I29" s="60"/>
      <c r="J29" s="63"/>
      <c r="N29" s="76"/>
      <c r="O29" s="76"/>
      <c r="P29" s="76" t="str">
        <f t="shared" si="4"/>
        <v>,additional_instruction</v>
      </c>
      <c r="Q29" s="76" t="str">
        <f t="shared" si="0"/>
        <v>TEXT</v>
      </c>
      <c r="R29" s="76" t="str">
        <f t="shared" si="1"/>
        <v/>
      </c>
      <c r="S29" s="76" t="str">
        <f t="shared" si="5"/>
        <v/>
      </c>
      <c r="T29" s="76" t="str">
        <f t="shared" si="6"/>
        <v>-- 追加指示，コメント</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milscm_2023_010.azn_202310_backup_text_mml_mmlre_inj_medication.additional_instruction IS '追加指示，コメント';</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ENT_01_A6-56</v>
      </c>
      <c r="E6" s="272"/>
      <c r="F6" s="272"/>
      <c r="G6" s="272"/>
      <c r="H6" s="272"/>
      <c r="I6" s="272"/>
      <c r="J6" s="273"/>
    </row>
    <row r="7" spans="1:45">
      <c r="B7" s="261" t="s">
        <v>115</v>
      </c>
      <c r="C7" s="262"/>
      <c r="D7" s="263" t="s">
        <v>3040</v>
      </c>
      <c r="E7" s="264"/>
      <c r="F7" s="264"/>
      <c r="G7" s="264"/>
      <c r="H7" s="264"/>
      <c r="I7" s="264"/>
      <c r="J7" s="265"/>
    </row>
    <row r="8" spans="1:45">
      <c r="B8" s="261" t="s">
        <v>116</v>
      </c>
      <c r="C8" s="262"/>
      <c r="D8" s="263" t="str">
        <f>エンティティ一覧!AE2&amp;"_"&amp;D5&amp;"_text_mml_mmlre_inj_medicine"</f>
        <v>azn_202310_backup_text_mml_mmlre_inj_medicine</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MML_紹介状モジュール_注射記録薬剤テーブルから組入れ条件の第一条件で絞り込んだ結果を格納するテーブル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milscm_2023_010.azn_202310_backup_text_mml_mmlre_inj_medicine;</v>
      </c>
      <c r="O10" s="76"/>
      <c r="P10" s="76"/>
      <c r="Q10" s="76"/>
      <c r="R10" s="76"/>
      <c r="S10" s="76"/>
      <c r="T10" s="76"/>
      <c r="AJ10" s="76" t="str">
        <f>"ALTER TABLE ONLY "&amp;エンティティ一覧!$O$2&amp;"."&amp;D$8</f>
        <v>ALTER TABLE ONLY milscm_2023_010.azn_202310_backup_text_mml_mmlre_inj_medicine</v>
      </c>
      <c r="AS10" s="76" t="str">
        <f>"ALTER TABLE "&amp;エンティティ一覧!$O$2&amp;"."&amp;D$8&amp;" OWNER TO pgmisgrp1;"</f>
        <v>ALTER TABLE milscm_2023_010.azn_202310_backup_text_mml_mmlre_inj_medicine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milscm_2023_010.azn_202310_backup_text_mml_mmlre_inj_medicine</v>
      </c>
      <c r="O11" s="76"/>
      <c r="P11" s="76"/>
      <c r="Q11" s="76"/>
      <c r="R11" s="76"/>
      <c r="S11" s="76"/>
      <c r="T11" s="76"/>
      <c r="AJ11" s="76" t="str">
        <f>"ADD CONSTRAINT "&amp;D$8&amp;"_pkey PRIMARY KEY"</f>
        <v>ADD CONSTRAINT azn_202310_backup_text_mml_mmlre_inj_medicine_pkey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milscm_2023_010.azn_202310_backup_text_mml_mmlre_inj_medicine IS 'バックアップ_MML_紹介状モジュール_注射記録薬剤';</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milscm_2023_010.azn_202310_backup_text_mml_mmlre_inj_medicine.zip_no IS 'ZipファイルNo';</v>
      </c>
    </row>
    <row r="14" spans="1:45" s="25" customFormat="1">
      <c r="A14" s="4"/>
      <c r="B14" s="21">
        <f t="shared" ref="B14:B20" si="2">ROW()-12</f>
        <v>2</v>
      </c>
      <c r="C14" s="6" t="s">
        <v>2781</v>
      </c>
      <c r="D14" s="6" t="s">
        <v>2782</v>
      </c>
      <c r="E14" s="8" t="s">
        <v>127</v>
      </c>
      <c r="F14" s="7" t="s">
        <v>2780</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milscm_2023_010.azn_202310_backup_text_mml_mmlre_inj_medicine.file_no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milscm_2023_010.azn_202310_backup_text_mml_mmlre_inj_medicine.body_no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milscm_2023_010.azn_202310_backup_text_mml_mmlre_inj_medicine.facility_id_mml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milscm_2023_010.azn_202310_backup_text_mml_mmlre_inj_medicine.master_id IS '患者ID';</v>
      </c>
    </row>
    <row r="18" spans="1:52" s="25" customFormat="1">
      <c r="A18" s="4"/>
      <c r="B18" s="21">
        <f t="shared" si="2"/>
        <v>6</v>
      </c>
      <c r="C18" s="6" t="s">
        <v>2818</v>
      </c>
      <c r="D18" s="6" t="s">
        <v>2819</v>
      </c>
      <c r="E18" s="8" t="s">
        <v>127</v>
      </c>
      <c r="F18" s="7" t="s">
        <v>2780</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milscm_2023_010.azn_202310_backup_text_mml_mmlre_inj_medicine.medication_no IS '投薬No';</v>
      </c>
    </row>
    <row r="19" spans="1:52" s="25" customFormat="1">
      <c r="A19" s="4"/>
      <c r="B19" s="21">
        <f t="shared" si="2"/>
        <v>7</v>
      </c>
      <c r="C19" s="6" t="s">
        <v>2854</v>
      </c>
      <c r="D19" s="6" t="s">
        <v>2855</v>
      </c>
      <c r="E19" s="8" t="s">
        <v>127</v>
      </c>
      <c r="F19" s="7" t="s">
        <v>2780</v>
      </c>
      <c r="G19" s="7" t="str">
        <f t="shared" si="3"/>
        <v>integer</v>
      </c>
      <c r="H19" s="26"/>
      <c r="I19" s="10" t="s">
        <v>127</v>
      </c>
      <c r="J19" s="11"/>
      <c r="M19" s="4"/>
      <c r="N19" s="76"/>
      <c r="O19" s="76"/>
      <c r="P19" s="76" t="str">
        <f t="shared" si="4"/>
        <v>,medicine_no</v>
      </c>
      <c r="Q19" s="76" t="str">
        <f t="shared" si="0"/>
        <v>INTEGER</v>
      </c>
      <c r="R19" s="76" t="str">
        <f t="shared" si="1"/>
        <v/>
      </c>
      <c r="S19" s="76" t="str">
        <f t="shared" si="5"/>
        <v>NOT NULL</v>
      </c>
      <c r="T19" s="76" t="str">
        <f t="shared" si="6"/>
        <v>-- 薬剤No</v>
      </c>
      <c r="U19" s="4"/>
      <c r="AA19" s="4"/>
      <c r="AB19" s="4"/>
      <c r="AC19" s="4"/>
      <c r="AD19" s="4"/>
      <c r="AE19" s="4"/>
      <c r="AF19" s="4"/>
      <c r="AG19" s="4"/>
      <c r="AH19" s="4"/>
      <c r="AI19" s="4"/>
      <c r="AJ19" s="76" t="str">
        <f>IF(E19="○",IF(COUNTA(E$13:E19)=1,"",",")&amp;D19,"")</f>
        <v>,medicine_no</v>
      </c>
      <c r="AK19" s="4"/>
      <c r="AL19" s="4"/>
      <c r="AM19" s="4"/>
      <c r="AN19" s="4"/>
      <c r="AO19" s="4"/>
      <c r="AP19" s="4"/>
      <c r="AQ19" s="4"/>
      <c r="AR19" s="4"/>
      <c r="AS19" s="76" t="str">
        <f>"COMMENT ON COLUMN "&amp;エンティティ一覧!$O$2&amp;"."&amp;D$8&amp;"."&amp;D19&amp;" IS '"&amp;C19&amp;"';"</f>
        <v>COMMENT ON COLUMN milscm_2023_010.azn_202310_backup_text_mml_mmlre_inj_medicine.medicine_no IS '薬剤No';</v>
      </c>
    </row>
    <row r="20" spans="1:52" s="25" customFormat="1">
      <c r="A20" s="4"/>
      <c r="B20" s="21">
        <f t="shared" si="2"/>
        <v>8</v>
      </c>
      <c r="C20" s="6" t="s">
        <v>2856</v>
      </c>
      <c r="D20" s="6" t="s">
        <v>358</v>
      </c>
      <c r="E20" s="8"/>
      <c r="F20" s="7" t="s">
        <v>1819</v>
      </c>
      <c r="G20" s="7" t="str">
        <f t="shared" si="3"/>
        <v>text</v>
      </c>
      <c r="H20" s="26"/>
      <c r="I20" s="10"/>
      <c r="J20" s="11"/>
      <c r="M20" s="4"/>
      <c r="N20" s="76"/>
      <c r="O20" s="76"/>
      <c r="P20" s="76" t="str">
        <f t="shared" si="4"/>
        <v>,code</v>
      </c>
      <c r="Q20" s="76" t="str">
        <f t="shared" si="0"/>
        <v>TEXT</v>
      </c>
      <c r="R20" s="76" t="str">
        <f t="shared" si="1"/>
        <v/>
      </c>
      <c r="S20" s="76" t="str">
        <f t="shared" si="5"/>
        <v/>
      </c>
      <c r="T20" s="76" t="str">
        <f t="shared" si="6"/>
        <v>-- 薬剤コード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milscm_2023_010.azn_202310_backup_text_mml_mmlre_inj_medicine.code IS '薬剤コード';</v>
      </c>
    </row>
    <row r="21" spans="1:52" s="25" customFormat="1" ht="19.5" thickBot="1">
      <c r="A21" s="4"/>
      <c r="B21" s="27">
        <f>ROW()-12</f>
        <v>9</v>
      </c>
      <c r="C21" s="57" t="s">
        <v>2857</v>
      </c>
      <c r="D21" s="57" t="s">
        <v>2801</v>
      </c>
      <c r="E21" s="56"/>
      <c r="F21" s="56" t="s">
        <v>1819</v>
      </c>
      <c r="G21" s="56" t="str">
        <f t="shared" si="3"/>
        <v>text</v>
      </c>
      <c r="H21" s="59"/>
      <c r="I21" s="60"/>
      <c r="J21" s="63"/>
      <c r="N21" s="76"/>
      <c r="O21" s="76"/>
      <c r="P21" s="76" t="str">
        <f t="shared" si="4"/>
        <v>,system</v>
      </c>
      <c r="Q21" s="76" t="str">
        <f t="shared" si="0"/>
        <v>TEXT</v>
      </c>
      <c r="R21" s="76" t="str">
        <f t="shared" si="1"/>
        <v/>
      </c>
      <c r="S21" s="76" t="str">
        <f t="shared" si="5"/>
        <v/>
      </c>
      <c r="T21" s="76" t="str">
        <f t="shared" si="6"/>
        <v>-- 薬剤コード体系</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milscm_2023_010.azn_202310_backup_text_mml_mmlre_inj_medicine.system IS '薬剤コード体系';</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ENT_01_A6-57</v>
      </c>
      <c r="E6" s="272"/>
      <c r="F6" s="272"/>
      <c r="G6" s="272"/>
      <c r="H6" s="272"/>
      <c r="I6" s="272"/>
      <c r="J6" s="273"/>
    </row>
    <row r="7" spans="1:45">
      <c r="B7" s="261" t="s">
        <v>115</v>
      </c>
      <c r="C7" s="262"/>
      <c r="D7" s="263" t="s">
        <v>3041</v>
      </c>
      <c r="E7" s="264"/>
      <c r="F7" s="264"/>
      <c r="G7" s="264"/>
      <c r="H7" s="264"/>
      <c r="I7" s="264"/>
      <c r="J7" s="265"/>
    </row>
    <row r="8" spans="1:45">
      <c r="B8" s="261" t="s">
        <v>116</v>
      </c>
      <c r="C8" s="262"/>
      <c r="D8" s="263" t="str">
        <f>エンティティ一覧!AE2&amp;"_"&amp;D5&amp;"_text_mml_mmlre_pi"</f>
        <v>azn_202310_backup_text_mml_mmlre_pi</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MML_紹介状モジュール_患者情報テーブルから組入れ条件の第一条件で絞り込んだ結果を格納するテーブル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milscm_2023_010.azn_202310_backup_text_mml_mmlre_pi;</v>
      </c>
      <c r="O10" s="76"/>
      <c r="P10" s="76"/>
      <c r="Q10" s="76"/>
      <c r="R10" s="76"/>
      <c r="S10" s="76"/>
      <c r="T10" s="76"/>
      <c r="AJ10" s="76" t="str">
        <f>"ALTER TABLE ONLY "&amp;エンティティ一覧!$O$2&amp;"."&amp;D$8</f>
        <v>ALTER TABLE ONLY milscm_2023_010.azn_202310_backup_text_mml_mmlre_pi</v>
      </c>
      <c r="AS10" s="76" t="str">
        <f>"ALTER TABLE "&amp;エンティティ一覧!$O$2&amp;"."&amp;D$8&amp;" OWNER TO pgmisgrp1;"</f>
        <v>ALTER TABLE milscm_2023_010.azn_202310_backup_text_mml_mmlre_pi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milscm_2023_010.azn_202310_backup_text_mml_mmlre_pi</v>
      </c>
      <c r="O11" s="76"/>
      <c r="P11" s="76"/>
      <c r="Q11" s="76"/>
      <c r="R11" s="76"/>
      <c r="S11" s="76"/>
      <c r="T11" s="76"/>
      <c r="AJ11" s="76" t="str">
        <f>"ADD CONSTRAINT "&amp;D$8&amp;"_pkey PRIMARY KEY"</f>
        <v>ADD CONSTRAINT azn_202310_backup_text_mml_mmlre_pi_pkey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milscm_2023_010.azn_202310_backup_text_mml_mmlre_pi IS 'バックアップ_MML_紹介状モジュール_患者情報';</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9" si="0">UPPER(G13)</f>
        <v>INTEGER</v>
      </c>
      <c r="R13" s="76" t="str">
        <f t="shared" ref="R13:R29"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milscm_2023_010.azn_202310_backup_text_mml_mmlre_pi.zip_no IS 'ZipファイルNo';</v>
      </c>
    </row>
    <row r="14" spans="1:45" s="25" customFormat="1">
      <c r="A14" s="4"/>
      <c r="B14" s="21">
        <f t="shared" ref="B14:B28" si="2">ROW()-12</f>
        <v>2</v>
      </c>
      <c r="C14" s="6" t="s">
        <v>2781</v>
      </c>
      <c r="D14" s="6" t="s">
        <v>2782</v>
      </c>
      <c r="E14" s="8" t="s">
        <v>127</v>
      </c>
      <c r="F14" s="7" t="s">
        <v>2780</v>
      </c>
      <c r="G14" s="7" t="str">
        <f t="shared" ref="G14:G29" si="3">IF(F14="フラグ","boolean",IF(F14="文字列","text",IF(F14="整数","integer",IF(F14="実数","numeric",""))))</f>
        <v>integer</v>
      </c>
      <c r="H14" s="26"/>
      <c r="I14" s="10" t="s">
        <v>127</v>
      </c>
      <c r="J14" s="11"/>
      <c r="M14" s="4"/>
      <c r="N14" s="76"/>
      <c r="O14" s="76"/>
      <c r="P14" s="76" t="str">
        <f t="shared" ref="P14:P29" si="4">IF(B14&lt;&gt;1,","&amp;D14,D14)</f>
        <v>,file_no</v>
      </c>
      <c r="Q14" s="76" t="str">
        <f t="shared" si="0"/>
        <v>INTEGER</v>
      </c>
      <c r="R14" s="76" t="str">
        <f t="shared" si="1"/>
        <v/>
      </c>
      <c r="S14" s="76" t="str">
        <f t="shared" ref="S14:S29" si="5">IF(I14="○","NOT NULL","")</f>
        <v>NOT NULL</v>
      </c>
      <c r="T14" s="76" t="str">
        <f t="shared" ref="T14:T29"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milscm_2023_010.azn_202310_backup_text_mml_mmlre_pi.file_no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milscm_2023_010.azn_202310_backup_text_mml_mmlre_pi.body_no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milscm_2023_010.azn_202310_backup_text_mml_mmlre_pi.facility_id_mml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milscm_2023_010.azn_202310_backup_text_mml_mmlre_pi.master_id IS '患者ID';</v>
      </c>
    </row>
    <row r="18" spans="1:52" s="25" customFormat="1">
      <c r="A18" s="4"/>
      <c r="B18" s="21">
        <f t="shared" si="2"/>
        <v>6</v>
      </c>
      <c r="C18" s="6" t="s">
        <v>565</v>
      </c>
      <c r="D18" s="6" t="s">
        <v>321</v>
      </c>
      <c r="E18" s="8"/>
      <c r="F18" s="7" t="s">
        <v>1819</v>
      </c>
      <c r="G18" s="7" t="str">
        <f t="shared" si="3"/>
        <v>text</v>
      </c>
      <c r="H18" s="26"/>
      <c r="I18" s="10"/>
      <c r="J18" s="11" t="s">
        <v>2849</v>
      </c>
      <c r="M18" s="4"/>
      <c r="N18" s="76"/>
      <c r="O18" s="76"/>
      <c r="P18" s="76" t="str">
        <f t="shared" si="4"/>
        <v>,birthday</v>
      </c>
      <c r="Q18" s="76" t="str">
        <f t="shared" si="0"/>
        <v>TEXT</v>
      </c>
      <c r="R18" s="76" t="str">
        <f t="shared" si="1"/>
        <v/>
      </c>
      <c r="S18" s="76" t="str">
        <f t="shared" si="5"/>
        <v/>
      </c>
      <c r="T18" s="76" t="str">
        <f t="shared" si="6"/>
        <v>-- 生年月日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milscm_2023_010.azn_202310_backup_text_mml_mmlre_pi.birthday IS '生年月日';</v>
      </c>
    </row>
    <row r="19" spans="1:52" s="25" customFormat="1" ht="75">
      <c r="A19" s="4"/>
      <c r="B19" s="21">
        <f t="shared" si="2"/>
        <v>7</v>
      </c>
      <c r="C19" s="6" t="s">
        <v>567</v>
      </c>
      <c r="D19" s="6" t="s">
        <v>1259</v>
      </c>
      <c r="E19" s="8"/>
      <c r="F19" s="7" t="s">
        <v>1819</v>
      </c>
      <c r="G19" s="7" t="str">
        <f t="shared" si="3"/>
        <v>text</v>
      </c>
      <c r="H19" s="26"/>
      <c r="I19" s="10"/>
      <c r="J19" s="11" t="s">
        <v>3049</v>
      </c>
      <c r="M19" s="4"/>
      <c r="N19" s="76"/>
      <c r="O19" s="76"/>
      <c r="P19" s="76" t="str">
        <f t="shared" si="4"/>
        <v>,sex</v>
      </c>
      <c r="Q19" s="76" t="str">
        <f t="shared" si="0"/>
        <v>TEXT</v>
      </c>
      <c r="R19" s="76" t="str">
        <f t="shared" si="1"/>
        <v/>
      </c>
      <c r="S19" s="76" t="str">
        <f t="shared" si="5"/>
        <v/>
      </c>
      <c r="T19" s="76" t="str">
        <f t="shared" si="6"/>
        <v>-- 性別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milscm_2023_010.azn_202310_backup_text_mml_mmlre_pi.sex IS '性別';</v>
      </c>
    </row>
    <row r="20" spans="1:52" s="25" customFormat="1">
      <c r="A20" s="4"/>
      <c r="B20" s="21">
        <f t="shared" si="2"/>
        <v>8</v>
      </c>
      <c r="C20" s="6" t="s">
        <v>1260</v>
      </c>
      <c r="D20" s="6" t="s">
        <v>3042</v>
      </c>
      <c r="E20" s="8"/>
      <c r="F20" s="7" t="s">
        <v>1819</v>
      </c>
      <c r="G20" s="7" t="str">
        <f t="shared" si="3"/>
        <v>text</v>
      </c>
      <c r="H20" s="26"/>
      <c r="I20" s="10"/>
      <c r="J20" s="11"/>
      <c r="M20" s="4"/>
      <c r="N20" s="76"/>
      <c r="O20" s="76"/>
      <c r="P20" s="76" t="str">
        <f t="shared" si="4"/>
        <v>,nationality</v>
      </c>
      <c r="Q20" s="76" t="str">
        <f t="shared" si="0"/>
        <v>TEXT</v>
      </c>
      <c r="R20" s="76" t="str">
        <f t="shared" si="1"/>
        <v/>
      </c>
      <c r="S20" s="76" t="str">
        <f t="shared" si="5"/>
        <v/>
      </c>
      <c r="T20" s="76" t="str">
        <f t="shared" si="6"/>
        <v>-- 国籍コード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milscm_2023_010.azn_202310_backup_text_mml_mmlre_pi.nationality IS '国籍コード';</v>
      </c>
    </row>
    <row r="21" spans="1:52" s="25" customFormat="1">
      <c r="A21" s="4"/>
      <c r="B21" s="21">
        <f t="shared" si="2"/>
        <v>9</v>
      </c>
      <c r="C21" s="6" t="s">
        <v>1262</v>
      </c>
      <c r="D21" s="6" t="s">
        <v>3043</v>
      </c>
      <c r="E21" s="8"/>
      <c r="F21" s="7" t="s">
        <v>1819</v>
      </c>
      <c r="G21" s="7" t="str">
        <f t="shared" si="3"/>
        <v>text</v>
      </c>
      <c r="H21" s="26"/>
      <c r="I21" s="10"/>
      <c r="J21" s="11"/>
      <c r="M21" s="4"/>
      <c r="N21" s="76"/>
      <c r="O21" s="76"/>
      <c r="P21" s="76" t="str">
        <f t="shared" si="4"/>
        <v>,subtype</v>
      </c>
      <c r="Q21" s="76" t="str">
        <f t="shared" si="0"/>
        <v>TEXT</v>
      </c>
      <c r="R21" s="76" t="str">
        <f t="shared" si="1"/>
        <v/>
      </c>
      <c r="S21" s="76" t="str">
        <f t="shared" si="5"/>
        <v/>
      </c>
      <c r="T21" s="76" t="str">
        <f t="shared" si="6"/>
        <v>-- 第2国籍コード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milscm_2023_010.azn_202310_backup_text_mml_mmlre_pi.subtype IS '第2国籍コード';</v>
      </c>
    </row>
    <row r="22" spans="1:52" s="25" customFormat="1">
      <c r="A22" s="4"/>
      <c r="B22" s="21">
        <f t="shared" si="2"/>
        <v>10</v>
      </c>
      <c r="C22" s="6" t="s">
        <v>3044</v>
      </c>
      <c r="D22" s="6" t="s">
        <v>1265</v>
      </c>
      <c r="E22" s="8"/>
      <c r="F22" s="7" t="s">
        <v>1819</v>
      </c>
      <c r="G22" s="7" t="str">
        <f t="shared" si="3"/>
        <v>text</v>
      </c>
      <c r="H22" s="26"/>
      <c r="I22" s="10"/>
      <c r="J22" s="11"/>
      <c r="M22" s="4"/>
      <c r="N22" s="76"/>
      <c r="O22" s="76"/>
      <c r="P22" s="76" t="str">
        <f t="shared" si="4"/>
        <v>,race</v>
      </c>
      <c r="Q22" s="76" t="str">
        <f t="shared" si="0"/>
        <v>TEXT</v>
      </c>
      <c r="R22" s="76" t="str">
        <f t="shared" si="1"/>
        <v/>
      </c>
      <c r="S22" s="76" t="str">
        <f t="shared" si="5"/>
        <v/>
      </c>
      <c r="T22" s="76" t="str">
        <f t="shared" si="6"/>
        <v>-- 人種</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milscm_2023_010.azn_202310_backup_text_mml_mmlre_pi.race IS '人種';</v>
      </c>
    </row>
    <row r="23" spans="1:52" s="25" customFormat="1">
      <c r="A23" s="4"/>
      <c r="B23" s="21">
        <f t="shared" si="2"/>
        <v>11</v>
      </c>
      <c r="C23" s="6" t="s">
        <v>3045</v>
      </c>
      <c r="D23" s="6" t="s">
        <v>1267</v>
      </c>
      <c r="E23" s="8"/>
      <c r="F23" s="7" t="s">
        <v>1819</v>
      </c>
      <c r="G23" s="7" t="str">
        <f t="shared" si="3"/>
        <v>text</v>
      </c>
      <c r="H23" s="26"/>
      <c r="I23" s="10"/>
      <c r="J23" s="11"/>
      <c r="M23" s="4"/>
      <c r="N23" s="76"/>
      <c r="O23" s="76"/>
      <c r="P23" s="76" t="str">
        <f t="shared" si="4"/>
        <v>,race_code</v>
      </c>
      <c r="Q23" s="76" t="str">
        <f t="shared" si="0"/>
        <v>TEXT</v>
      </c>
      <c r="R23" s="76" t="str">
        <f t="shared" si="1"/>
        <v/>
      </c>
      <c r="S23" s="76" t="str">
        <f t="shared" si="5"/>
        <v/>
      </c>
      <c r="T23" s="76" t="str">
        <f t="shared" si="6"/>
        <v>-- 人種コード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milscm_2023_010.azn_202310_backup_text_mml_mmlre_pi.race_code IS '人種コード';</v>
      </c>
    </row>
    <row r="24" spans="1:52" s="25" customFormat="1">
      <c r="A24" s="4"/>
      <c r="B24" s="21">
        <f t="shared" si="2"/>
        <v>12</v>
      </c>
      <c r="C24" s="6" t="s">
        <v>3046</v>
      </c>
      <c r="D24" s="6" t="s">
        <v>1269</v>
      </c>
      <c r="E24" s="8"/>
      <c r="F24" s="7" t="s">
        <v>1819</v>
      </c>
      <c r="G24" s="7" t="str">
        <f t="shared" si="3"/>
        <v>text</v>
      </c>
      <c r="H24" s="26"/>
      <c r="I24" s="10"/>
      <c r="J24" s="11"/>
      <c r="M24" s="4"/>
      <c r="N24" s="76"/>
      <c r="O24" s="76"/>
      <c r="P24" s="76" t="str">
        <f t="shared" si="4"/>
        <v>,race_code_id</v>
      </c>
      <c r="Q24" s="76" t="str">
        <f t="shared" si="0"/>
        <v>TEXT</v>
      </c>
      <c r="R24" s="76" t="str">
        <f t="shared" si="1"/>
        <v/>
      </c>
      <c r="S24" s="76" t="str">
        <f t="shared" si="5"/>
        <v/>
      </c>
      <c r="T24" s="76" t="str">
        <f t="shared" si="6"/>
        <v>-- 人種テーブル名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milscm_2023_010.azn_202310_backup_text_mml_mmlre_pi.race_code_id IS '人種テーブル名';</v>
      </c>
    </row>
    <row r="25" spans="1:52" s="25" customFormat="1">
      <c r="A25" s="4"/>
      <c r="B25" s="21">
        <f t="shared" si="2"/>
        <v>13</v>
      </c>
      <c r="C25" s="6" t="s">
        <v>1270</v>
      </c>
      <c r="D25" s="6" t="s">
        <v>1271</v>
      </c>
      <c r="E25" s="8"/>
      <c r="F25" s="7" t="s">
        <v>1819</v>
      </c>
      <c r="G25" s="7" t="str">
        <f t="shared" si="3"/>
        <v>text</v>
      </c>
      <c r="H25" s="26"/>
      <c r="I25" s="10"/>
      <c r="J25" s="11"/>
      <c r="M25" s="4"/>
      <c r="N25" s="76"/>
      <c r="O25" s="76"/>
      <c r="P25" s="76" t="str">
        <f t="shared" si="4"/>
        <v>,marital</v>
      </c>
      <c r="Q25" s="76" t="str">
        <f t="shared" si="0"/>
        <v>TEXT</v>
      </c>
      <c r="R25" s="76" t="str">
        <f t="shared" si="1"/>
        <v/>
      </c>
      <c r="S25" s="76" t="str">
        <f t="shared" si="5"/>
        <v/>
      </c>
      <c r="T25" s="76" t="str">
        <f t="shared" si="6"/>
        <v>-- 婚姻状態</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milscm_2023_010.azn_202310_backup_text_mml_mmlre_pi.marital IS '婚姻状態';</v>
      </c>
    </row>
    <row r="26" spans="1:52" s="25" customFormat="1">
      <c r="A26" s="4"/>
      <c r="B26" s="21">
        <f t="shared" si="2"/>
        <v>14</v>
      </c>
      <c r="C26" s="6" t="s">
        <v>1272</v>
      </c>
      <c r="D26" s="6" t="s">
        <v>1273</v>
      </c>
      <c r="E26" s="8"/>
      <c r="F26" s="7" t="s">
        <v>1819</v>
      </c>
      <c r="G26" s="7" t="str">
        <f t="shared" si="3"/>
        <v>text</v>
      </c>
      <c r="H26" s="26"/>
      <c r="I26" s="10"/>
      <c r="J26" s="11"/>
      <c r="M26" s="4"/>
      <c r="N26" s="76"/>
      <c r="O26" s="76"/>
      <c r="P26" s="76" t="str">
        <f t="shared" si="4"/>
        <v>,account_number</v>
      </c>
      <c r="Q26" s="76" t="str">
        <f t="shared" si="0"/>
        <v>TEXT</v>
      </c>
      <c r="R26" s="76" t="str">
        <f t="shared" si="1"/>
        <v/>
      </c>
      <c r="S26" s="76" t="str">
        <f t="shared" si="5"/>
        <v/>
      </c>
      <c r="T26" s="76" t="str">
        <f t="shared" si="6"/>
        <v>-- 会計番号</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milscm_2023_010.azn_202310_backup_text_mml_mmlre_pi.account_number IS '会計番号';</v>
      </c>
    </row>
    <row r="27" spans="1:52" s="25" customFormat="1">
      <c r="A27" s="4"/>
      <c r="B27" s="21">
        <f t="shared" si="2"/>
        <v>15</v>
      </c>
      <c r="C27" s="6" t="s">
        <v>1274</v>
      </c>
      <c r="D27" s="6" t="s">
        <v>3047</v>
      </c>
      <c r="E27" s="8"/>
      <c r="F27" s="7" t="s">
        <v>1819</v>
      </c>
      <c r="G27" s="7" t="str">
        <f t="shared" si="3"/>
        <v>text</v>
      </c>
      <c r="H27" s="26"/>
      <c r="I27" s="10"/>
      <c r="J27" s="11"/>
      <c r="M27" s="4"/>
      <c r="N27" s="76"/>
      <c r="O27" s="76"/>
      <c r="P27" s="76" t="str">
        <f t="shared" si="4"/>
        <v>,social_identification</v>
      </c>
      <c r="Q27" s="76" t="str">
        <f t="shared" si="0"/>
        <v>TEXT</v>
      </c>
      <c r="R27" s="76" t="str">
        <f t="shared" si="1"/>
        <v/>
      </c>
      <c r="S27" s="76" t="str">
        <f t="shared" si="5"/>
        <v/>
      </c>
      <c r="T27" s="76" t="str">
        <f t="shared" si="6"/>
        <v>-- 社会番号</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milscm_2023_010.azn_202310_backup_text_mml_mmlre_pi.social_identification IS '社会番号';</v>
      </c>
    </row>
    <row r="28" spans="1:52" s="25" customFormat="1" ht="37.5">
      <c r="A28" s="4"/>
      <c r="B28" s="21">
        <f t="shared" si="2"/>
        <v>16</v>
      </c>
      <c r="C28" s="6" t="s">
        <v>1276</v>
      </c>
      <c r="D28" s="6" t="s">
        <v>3048</v>
      </c>
      <c r="E28" s="8"/>
      <c r="F28" s="7" t="s">
        <v>1819</v>
      </c>
      <c r="G28" s="7" t="str">
        <f t="shared" si="3"/>
        <v>text</v>
      </c>
      <c r="H28" s="26"/>
      <c r="I28" s="10"/>
      <c r="J28" s="11" t="s">
        <v>3050</v>
      </c>
      <c r="M28" s="4"/>
      <c r="N28" s="76"/>
      <c r="O28" s="76"/>
      <c r="P28" s="76" t="str">
        <f t="shared" si="4"/>
        <v>,death</v>
      </c>
      <c r="Q28" s="76" t="str">
        <f t="shared" si="0"/>
        <v>TEXT</v>
      </c>
      <c r="R28" s="76" t="str">
        <f t="shared" si="1"/>
        <v/>
      </c>
      <c r="S28" s="76" t="str">
        <f t="shared" si="5"/>
        <v/>
      </c>
      <c r="T28" s="76" t="str">
        <f t="shared" si="6"/>
        <v>-- 死亡フラグ</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milscm_2023_010.azn_202310_backup_text_mml_mmlre_pi.death IS '死亡フラグ';</v>
      </c>
    </row>
    <row r="29" spans="1:52" s="25" customFormat="1" ht="19.5" thickBot="1">
      <c r="A29" s="4"/>
      <c r="B29" s="27">
        <f>ROW()-12</f>
        <v>17</v>
      </c>
      <c r="C29" s="57" t="s">
        <v>1278</v>
      </c>
      <c r="D29" s="57" t="s">
        <v>1279</v>
      </c>
      <c r="E29" s="56"/>
      <c r="F29" s="56" t="s">
        <v>1819</v>
      </c>
      <c r="G29" s="56" t="str">
        <f t="shared" si="3"/>
        <v>text</v>
      </c>
      <c r="H29" s="59"/>
      <c r="I29" s="60"/>
      <c r="J29" s="63" t="s">
        <v>2792</v>
      </c>
      <c r="N29" s="76"/>
      <c r="O29" s="76"/>
      <c r="P29" s="76" t="str">
        <f t="shared" si="4"/>
        <v>,death_date</v>
      </c>
      <c r="Q29" s="76" t="str">
        <f t="shared" si="0"/>
        <v>TEXT</v>
      </c>
      <c r="R29" s="76" t="str">
        <f t="shared" si="1"/>
        <v/>
      </c>
      <c r="S29" s="76" t="str">
        <f t="shared" si="5"/>
        <v/>
      </c>
      <c r="T29" s="76" t="str">
        <f t="shared" si="6"/>
        <v>-- 死亡日時</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milscm_2023_010.azn_202310_backup_text_mml_mmlre_pi.death_date IS '死亡日時';</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ENT_01_A6-58</v>
      </c>
      <c r="E6" s="272"/>
      <c r="F6" s="272"/>
      <c r="G6" s="272"/>
      <c r="H6" s="272"/>
      <c r="I6" s="272"/>
      <c r="J6" s="273"/>
    </row>
    <row r="7" spans="1:45">
      <c r="B7" s="261" t="s">
        <v>115</v>
      </c>
      <c r="C7" s="262"/>
      <c r="D7" s="263" t="s">
        <v>3051</v>
      </c>
      <c r="E7" s="264"/>
      <c r="F7" s="264"/>
      <c r="G7" s="264"/>
      <c r="H7" s="264"/>
      <c r="I7" s="264"/>
      <c r="J7" s="265"/>
    </row>
    <row r="8" spans="1:45">
      <c r="B8" s="261" t="s">
        <v>116</v>
      </c>
      <c r="C8" s="262"/>
      <c r="D8" s="263" t="str">
        <f>エンティティ一覧!AE2&amp;"_"&amp;D5&amp;"_text_mml_mmlre_pi_address"</f>
        <v>azn_202310_backup_text_mml_mmlre_pi_address</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MML_紹介状モジュール_患者情報住所テーブルから組入れ条件の第一条件で絞り込んだ結果を格納するテーブル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milscm_2023_010.azn_202310_backup_text_mml_mmlre_pi_address;</v>
      </c>
      <c r="O10" s="76"/>
      <c r="P10" s="76"/>
      <c r="Q10" s="76"/>
      <c r="R10" s="76"/>
      <c r="S10" s="76"/>
      <c r="T10" s="76"/>
      <c r="AJ10" s="76" t="str">
        <f>"ALTER TABLE ONLY "&amp;エンティティ一覧!$O$2&amp;"."&amp;D$8</f>
        <v>ALTER TABLE ONLY milscm_2023_010.azn_202310_backup_text_mml_mmlre_pi_address</v>
      </c>
      <c r="AS10" s="76" t="str">
        <f>"ALTER TABLE "&amp;エンティティ一覧!$O$2&amp;"."&amp;D$8&amp;" OWNER TO pgmisgrp1;"</f>
        <v>ALTER TABLE milscm_2023_010.azn_202310_backup_text_mml_mmlre_pi_address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milscm_2023_010.azn_202310_backup_text_mml_mmlre_pi_address</v>
      </c>
      <c r="O11" s="76"/>
      <c r="P11" s="76"/>
      <c r="Q11" s="76"/>
      <c r="R11" s="76"/>
      <c r="S11" s="76"/>
      <c r="T11" s="76"/>
      <c r="AJ11" s="76" t="str">
        <f>"ADD CONSTRAINT "&amp;D$8&amp;"_pkey PRIMARY KEY"</f>
        <v>ADD CONSTRAINT azn_202310_backup_text_mml_mmlre_pi_address_pkey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milscm_2023_010.azn_202310_backup_text_mml_mmlre_pi_address IS 'バックアップ_MML_紹介状モジュール_患者情報住所';</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8" si="0">UPPER(G13)</f>
        <v>INTEGER</v>
      </c>
      <c r="R13" s="76" t="str">
        <f t="shared" ref="R13:R28"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milscm_2023_010.azn_202310_backup_text_mml_mmlre_pi_address.zip_no IS 'ZipファイルNo';</v>
      </c>
    </row>
    <row r="14" spans="1:45" s="25" customFormat="1">
      <c r="A14" s="4"/>
      <c r="B14" s="21">
        <f t="shared" ref="B14:B27" si="2">ROW()-12</f>
        <v>2</v>
      </c>
      <c r="C14" s="6" t="s">
        <v>2781</v>
      </c>
      <c r="D14" s="6" t="s">
        <v>2782</v>
      </c>
      <c r="E14" s="8" t="s">
        <v>127</v>
      </c>
      <c r="F14" s="7" t="s">
        <v>2780</v>
      </c>
      <c r="G14" s="7" t="str">
        <f t="shared" ref="G14:G28" si="3">IF(F14="フラグ","boolean",IF(F14="文字列","text",IF(F14="整数","integer",IF(F14="実数","numeric",""))))</f>
        <v>integer</v>
      </c>
      <c r="H14" s="26"/>
      <c r="I14" s="10" t="s">
        <v>127</v>
      </c>
      <c r="J14" s="11"/>
      <c r="M14" s="4"/>
      <c r="N14" s="76"/>
      <c r="O14" s="76"/>
      <c r="P14" s="76" t="str">
        <f t="shared" ref="P14:P28" si="4">IF(B14&lt;&gt;1,","&amp;D14,D14)</f>
        <v>,file_no</v>
      </c>
      <c r="Q14" s="76" t="str">
        <f t="shared" si="0"/>
        <v>INTEGER</v>
      </c>
      <c r="R14" s="76" t="str">
        <f t="shared" si="1"/>
        <v/>
      </c>
      <c r="S14" s="76" t="str">
        <f t="shared" ref="S14:S28" si="5">IF(I14="○","NOT NULL","")</f>
        <v>NOT NULL</v>
      </c>
      <c r="T14" s="76" t="str">
        <f t="shared" ref="T14:T28"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milscm_2023_010.azn_202310_backup_text_mml_mmlre_pi_address.file_no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milscm_2023_010.azn_202310_backup_text_mml_mmlre_pi_address.body_no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milscm_2023_010.azn_202310_backup_text_mml_mmlre_pi_address.facility_id_mml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milscm_2023_010.azn_202310_backup_text_mml_mmlre_pi_address.master_id IS '患者ID';</v>
      </c>
    </row>
    <row r="18" spans="1:52" s="25" customFormat="1">
      <c r="A18" s="4"/>
      <c r="B18" s="21">
        <f t="shared" si="2"/>
        <v>6</v>
      </c>
      <c r="C18" s="6" t="s">
        <v>3052</v>
      </c>
      <c r="D18" s="6" t="s">
        <v>3053</v>
      </c>
      <c r="E18" s="8" t="s">
        <v>127</v>
      </c>
      <c r="F18" s="7" t="s">
        <v>2780</v>
      </c>
      <c r="G18" s="7" t="str">
        <f t="shared" si="3"/>
        <v>integer</v>
      </c>
      <c r="H18" s="26"/>
      <c r="I18" s="10" t="s">
        <v>127</v>
      </c>
      <c r="J18" s="11"/>
      <c r="M18" s="4"/>
      <c r="N18" s="76"/>
      <c r="O18" s="76"/>
      <c r="P18" s="76" t="str">
        <f t="shared" si="4"/>
        <v>,address_no</v>
      </c>
      <c r="Q18" s="76" t="str">
        <f t="shared" si="0"/>
        <v>INTEGER</v>
      </c>
      <c r="R18" s="76" t="str">
        <f t="shared" si="1"/>
        <v/>
      </c>
      <c r="S18" s="76" t="str">
        <f t="shared" si="5"/>
        <v>NOT NULL</v>
      </c>
      <c r="T18" s="76" t="str">
        <f t="shared" si="6"/>
        <v>-- 住所No</v>
      </c>
      <c r="U18" s="4"/>
      <c r="AA18" s="4"/>
      <c r="AB18" s="4"/>
      <c r="AC18" s="4"/>
      <c r="AD18" s="4"/>
      <c r="AE18" s="4"/>
      <c r="AF18" s="4"/>
      <c r="AG18" s="4"/>
      <c r="AH18" s="4"/>
      <c r="AI18" s="4"/>
      <c r="AJ18" s="76" t="str">
        <f>IF(E18="○",IF(COUNTA(E$13:E18)=1,"",",")&amp;D18,"")</f>
        <v>,address_no</v>
      </c>
      <c r="AK18" s="4"/>
      <c r="AL18" s="4"/>
      <c r="AM18" s="4"/>
      <c r="AN18" s="4"/>
      <c r="AO18" s="4"/>
      <c r="AP18" s="4"/>
      <c r="AQ18" s="4"/>
      <c r="AR18" s="4"/>
      <c r="AS18" s="76" t="str">
        <f>"COMMENT ON COLUMN "&amp;エンティティ一覧!$O$2&amp;"."&amp;D$8&amp;"."&amp;D18&amp;" IS '"&amp;C18&amp;"';"</f>
        <v>COMMENT ON COLUMN milscm_2023_010.azn_202310_backup_text_mml_mmlre_pi_address.address_no IS '住所No';</v>
      </c>
    </row>
    <row r="19" spans="1:52" s="25" customFormat="1">
      <c r="A19" s="4"/>
      <c r="B19" s="21">
        <f t="shared" si="2"/>
        <v>7</v>
      </c>
      <c r="C19" s="6" t="s">
        <v>3054</v>
      </c>
      <c r="D19" s="6" t="s">
        <v>3055</v>
      </c>
      <c r="E19" s="8"/>
      <c r="F19" s="7" t="s">
        <v>1819</v>
      </c>
      <c r="G19" s="7" t="str">
        <f t="shared" si="3"/>
        <v>text</v>
      </c>
      <c r="H19" s="26"/>
      <c r="I19" s="10"/>
      <c r="J19" s="11"/>
      <c r="M19" s="4"/>
      <c r="N19" s="76"/>
      <c r="O19" s="76"/>
      <c r="P19" s="76" t="str">
        <f t="shared" si="4"/>
        <v>,rep_code</v>
      </c>
      <c r="Q19" s="76" t="str">
        <f t="shared" si="0"/>
        <v>TEXT</v>
      </c>
      <c r="R19" s="76" t="str">
        <f t="shared" si="1"/>
        <v/>
      </c>
      <c r="S19" s="76" t="str">
        <f t="shared" si="5"/>
        <v/>
      </c>
      <c r="T19" s="76" t="str">
        <f t="shared" si="6"/>
        <v>-- 表記法</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milscm_2023_010.azn_202310_backup_text_mml_mmlre_pi_address.rep_code IS '表記法';</v>
      </c>
    </row>
    <row r="20" spans="1:52" s="25" customFormat="1">
      <c r="A20" s="4"/>
      <c r="B20" s="21">
        <f t="shared" si="2"/>
        <v>8</v>
      </c>
      <c r="C20" s="6" t="s">
        <v>3056</v>
      </c>
      <c r="D20" s="6" t="s">
        <v>3057</v>
      </c>
      <c r="E20" s="8"/>
      <c r="F20" s="7" t="s">
        <v>1819</v>
      </c>
      <c r="G20" s="7" t="str">
        <f t="shared" si="3"/>
        <v>text</v>
      </c>
      <c r="H20" s="26"/>
      <c r="I20" s="10"/>
      <c r="J20" s="11"/>
      <c r="M20" s="4"/>
      <c r="N20" s="76"/>
      <c r="O20" s="76"/>
      <c r="P20" s="76" t="str">
        <f t="shared" si="4"/>
        <v>,address_class</v>
      </c>
      <c r="Q20" s="76" t="str">
        <f t="shared" si="0"/>
        <v>TEXT</v>
      </c>
      <c r="R20" s="76" t="str">
        <f t="shared" si="1"/>
        <v/>
      </c>
      <c r="S20" s="76" t="str">
        <f t="shared" si="5"/>
        <v/>
      </c>
      <c r="T20" s="76" t="str">
        <f t="shared" si="6"/>
        <v>-- 住所の種類コード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milscm_2023_010.azn_202310_backup_text_mml_mmlre_pi_address.address_class IS '住所の種類コード';</v>
      </c>
    </row>
    <row r="21" spans="1:52" s="25" customFormat="1">
      <c r="A21" s="4"/>
      <c r="B21" s="21">
        <f t="shared" si="2"/>
        <v>9</v>
      </c>
      <c r="C21" s="6" t="s">
        <v>116</v>
      </c>
      <c r="D21" s="6" t="s">
        <v>2808</v>
      </c>
      <c r="E21" s="8"/>
      <c r="F21" s="7" t="s">
        <v>1819</v>
      </c>
      <c r="G21" s="7" t="str">
        <f t="shared" si="3"/>
        <v>text</v>
      </c>
      <c r="H21" s="26"/>
      <c r="I21" s="10"/>
      <c r="J21" s="11"/>
      <c r="M21" s="4"/>
      <c r="N21" s="76"/>
      <c r="O21" s="76"/>
      <c r="P21" s="76" t="str">
        <f t="shared" si="4"/>
        <v>,table_id</v>
      </c>
      <c r="Q21" s="76" t="str">
        <f t="shared" si="0"/>
        <v>TEXT</v>
      </c>
      <c r="R21" s="76" t="str">
        <f t="shared" si="1"/>
        <v/>
      </c>
      <c r="S21" s="76" t="str">
        <f t="shared" si="5"/>
        <v/>
      </c>
      <c r="T21" s="76" t="str">
        <f t="shared" si="6"/>
        <v>-- テーブル名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milscm_2023_010.azn_202310_backup_text_mml_mmlre_pi_address.table_id IS 'テーブル名';</v>
      </c>
    </row>
    <row r="22" spans="1:52" s="25" customFormat="1">
      <c r="A22" s="4"/>
      <c r="B22" s="21">
        <f t="shared" si="2"/>
        <v>10</v>
      </c>
      <c r="C22" s="6" t="s">
        <v>3058</v>
      </c>
      <c r="D22" s="6" t="s">
        <v>3059</v>
      </c>
      <c r="E22" s="8"/>
      <c r="F22" s="7" t="s">
        <v>1819</v>
      </c>
      <c r="G22" s="7" t="str">
        <f t="shared" si="3"/>
        <v>text</v>
      </c>
      <c r="H22" s="26"/>
      <c r="I22" s="10"/>
      <c r="J22" s="11"/>
      <c r="M22" s="4"/>
      <c r="N22" s="76"/>
      <c r="O22" s="76"/>
      <c r="P22" s="76" t="str">
        <f t="shared" si="4"/>
        <v>,address_full</v>
      </c>
      <c r="Q22" s="76" t="str">
        <f t="shared" si="0"/>
        <v>TEXT</v>
      </c>
      <c r="R22" s="76" t="str">
        <f t="shared" si="1"/>
        <v/>
      </c>
      <c r="S22" s="76" t="str">
        <f t="shared" si="5"/>
        <v/>
      </c>
      <c r="T22" s="76" t="str">
        <f t="shared" si="6"/>
        <v>-- 一連住所</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milscm_2023_010.azn_202310_backup_text_mml_mmlre_pi_address.address_full IS '一連住所';</v>
      </c>
    </row>
    <row r="23" spans="1:52" s="25" customFormat="1">
      <c r="A23" s="4"/>
      <c r="B23" s="21">
        <f t="shared" si="2"/>
        <v>11</v>
      </c>
      <c r="C23" s="6" t="s">
        <v>914</v>
      </c>
      <c r="D23" s="6" t="s">
        <v>915</v>
      </c>
      <c r="E23" s="8"/>
      <c r="F23" s="7" t="s">
        <v>1819</v>
      </c>
      <c r="G23" s="7" t="str">
        <f t="shared" si="3"/>
        <v>text</v>
      </c>
      <c r="H23" s="26"/>
      <c r="I23" s="10"/>
      <c r="J23" s="11"/>
      <c r="M23" s="4"/>
      <c r="N23" s="76"/>
      <c r="O23" s="76"/>
      <c r="P23" s="76" t="str">
        <f t="shared" si="4"/>
        <v>,prefecture</v>
      </c>
      <c r="Q23" s="76" t="str">
        <f t="shared" si="0"/>
        <v>TEXT</v>
      </c>
      <c r="R23" s="76" t="str">
        <f t="shared" si="1"/>
        <v/>
      </c>
      <c r="S23" s="76" t="str">
        <f t="shared" si="5"/>
        <v/>
      </c>
      <c r="T23" s="76" t="str">
        <f t="shared" si="6"/>
        <v>-- 都道府県</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milscm_2023_010.azn_202310_backup_text_mml_mmlre_pi_address.prefecture IS '都道府県';</v>
      </c>
    </row>
    <row r="24" spans="1:52" s="25" customFormat="1">
      <c r="A24" s="4"/>
      <c r="B24" s="21">
        <f t="shared" si="2"/>
        <v>12</v>
      </c>
      <c r="C24" s="6" t="s">
        <v>3060</v>
      </c>
      <c r="D24" s="6" t="s">
        <v>1900</v>
      </c>
      <c r="E24" s="8"/>
      <c r="F24" s="7" t="s">
        <v>1819</v>
      </c>
      <c r="G24" s="7" t="str">
        <f t="shared" si="3"/>
        <v>text</v>
      </c>
      <c r="H24" s="26"/>
      <c r="I24" s="10"/>
      <c r="J24" s="11"/>
      <c r="M24" s="4"/>
      <c r="N24" s="76"/>
      <c r="O24" s="76"/>
      <c r="P24" s="76" t="str">
        <f t="shared" si="4"/>
        <v>,city</v>
      </c>
      <c r="Q24" s="76" t="str">
        <f t="shared" si="0"/>
        <v>TEXT</v>
      </c>
      <c r="R24" s="76" t="str">
        <f t="shared" si="1"/>
        <v/>
      </c>
      <c r="S24" s="76" t="str">
        <f t="shared" si="5"/>
        <v/>
      </c>
      <c r="T24" s="76" t="str">
        <f t="shared" si="6"/>
        <v>-- 市，区，郡</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milscm_2023_010.azn_202310_backup_text_mml_mmlre_pi_address.city IS '市，区，郡';</v>
      </c>
    </row>
    <row r="25" spans="1:52" s="25" customFormat="1">
      <c r="A25" s="4"/>
      <c r="B25" s="21">
        <f t="shared" si="2"/>
        <v>13</v>
      </c>
      <c r="C25" s="6" t="s">
        <v>3061</v>
      </c>
      <c r="D25" s="6" t="s">
        <v>3062</v>
      </c>
      <c r="E25" s="8"/>
      <c r="F25" s="7" t="s">
        <v>1819</v>
      </c>
      <c r="G25" s="7" t="str">
        <f t="shared" si="3"/>
        <v>text</v>
      </c>
      <c r="H25" s="26"/>
      <c r="I25" s="10"/>
      <c r="J25" s="11"/>
      <c r="M25" s="4"/>
      <c r="N25" s="76"/>
      <c r="O25" s="76"/>
      <c r="P25" s="76" t="str">
        <f t="shared" si="4"/>
        <v>,town</v>
      </c>
      <c r="Q25" s="76" t="str">
        <f t="shared" si="0"/>
        <v>TEXT</v>
      </c>
      <c r="R25" s="76" t="str">
        <f t="shared" si="1"/>
        <v/>
      </c>
      <c r="S25" s="76" t="str">
        <f t="shared" si="5"/>
        <v/>
      </c>
      <c r="T25" s="76" t="str">
        <f t="shared" si="6"/>
        <v>-- 町，村</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milscm_2023_010.azn_202310_backup_text_mml_mmlre_pi_address.town IS '町，村';</v>
      </c>
    </row>
    <row r="26" spans="1:52" s="25" customFormat="1">
      <c r="A26" s="4"/>
      <c r="B26" s="21">
        <f t="shared" si="2"/>
        <v>14</v>
      </c>
      <c r="C26" s="6" t="s">
        <v>3063</v>
      </c>
      <c r="D26" s="6" t="s">
        <v>3064</v>
      </c>
      <c r="E26" s="8"/>
      <c r="F26" s="7" t="s">
        <v>1819</v>
      </c>
      <c r="G26" s="7" t="str">
        <f t="shared" si="3"/>
        <v>text</v>
      </c>
      <c r="H26" s="26"/>
      <c r="I26" s="10"/>
      <c r="J26" s="11"/>
      <c r="M26" s="4"/>
      <c r="N26" s="76"/>
      <c r="O26" s="76"/>
      <c r="P26" s="76" t="str">
        <f t="shared" si="4"/>
        <v>,home_number</v>
      </c>
      <c r="Q26" s="76" t="str">
        <f t="shared" si="0"/>
        <v>TEXT</v>
      </c>
      <c r="R26" s="76" t="str">
        <f t="shared" si="1"/>
        <v/>
      </c>
      <c r="S26" s="76" t="str">
        <f t="shared" si="5"/>
        <v/>
      </c>
      <c r="T26" s="76" t="str">
        <f t="shared" si="6"/>
        <v>-- 番地，丁目等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milscm_2023_010.azn_202310_backup_text_mml_mmlre_pi_address.home_number IS '番地，丁目等';</v>
      </c>
    </row>
    <row r="27" spans="1:52" s="25" customFormat="1">
      <c r="A27" s="4"/>
      <c r="B27" s="21">
        <f t="shared" si="2"/>
        <v>15</v>
      </c>
      <c r="C27" s="6" t="s">
        <v>3065</v>
      </c>
      <c r="D27" s="6" t="s">
        <v>3066</v>
      </c>
      <c r="E27" s="8"/>
      <c r="F27" s="7" t="s">
        <v>1819</v>
      </c>
      <c r="G27" s="7" t="str">
        <f t="shared" si="3"/>
        <v>text</v>
      </c>
      <c r="H27" s="26"/>
      <c r="I27" s="10"/>
      <c r="J27" s="11"/>
      <c r="M27" s="4"/>
      <c r="N27" s="76"/>
      <c r="O27" s="76"/>
      <c r="P27" s="76" t="str">
        <f t="shared" si="4"/>
        <v>,zip</v>
      </c>
      <c r="Q27" s="76" t="str">
        <f t="shared" si="0"/>
        <v>TEXT</v>
      </c>
      <c r="R27" s="76" t="str">
        <f t="shared" si="1"/>
        <v/>
      </c>
      <c r="S27" s="76" t="str">
        <f t="shared" si="5"/>
        <v/>
      </c>
      <c r="T27" s="76" t="str">
        <f t="shared" si="6"/>
        <v>-- 郵便番号</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milscm_2023_010.azn_202310_backup_text_mml_mmlre_pi_address.zip IS '郵便番号';</v>
      </c>
    </row>
    <row r="28" spans="1:52" s="25" customFormat="1" ht="35.450000000000003" customHeight="1" thickBot="1">
      <c r="A28" s="4"/>
      <c r="B28" s="27">
        <f>ROW()-12</f>
        <v>16</v>
      </c>
      <c r="C28" s="57" t="s">
        <v>3067</v>
      </c>
      <c r="D28" s="57" t="s">
        <v>3068</v>
      </c>
      <c r="E28" s="56"/>
      <c r="F28" s="56" t="s">
        <v>1819</v>
      </c>
      <c r="G28" s="56" t="str">
        <f t="shared" si="3"/>
        <v>text</v>
      </c>
      <c r="H28" s="59"/>
      <c r="I28" s="60"/>
      <c r="J28" s="63"/>
      <c r="N28" s="76"/>
      <c r="O28" s="76"/>
      <c r="P28" s="76" t="str">
        <f t="shared" si="4"/>
        <v>,country_code</v>
      </c>
      <c r="Q28" s="76" t="str">
        <f t="shared" si="0"/>
        <v>TEXT</v>
      </c>
      <c r="R28" s="76" t="str">
        <f t="shared" si="1"/>
        <v/>
      </c>
      <c r="S28" s="76" t="str">
        <f t="shared" si="5"/>
        <v/>
      </c>
      <c r="T28" s="76" t="str">
        <f t="shared" si="6"/>
        <v>-- 国コード</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milscm_2023_010.azn_202310_backup_text_mml_mmlre_pi_address.country_code IS '国コード';</v>
      </c>
    </row>
    <row r="29" spans="1:52">
      <c r="L29" s="25"/>
      <c r="M29" s="25"/>
      <c r="N29" s="76" t="s">
        <v>142</v>
      </c>
      <c r="O29" s="76"/>
      <c r="P29" s="76"/>
      <c r="Q29" s="76"/>
      <c r="R29" s="76"/>
      <c r="S29" s="76"/>
      <c r="T29" s="76"/>
      <c r="V29" s="25"/>
      <c r="W29" s="25"/>
      <c r="X29" s="25"/>
      <c r="Y29" s="25"/>
      <c r="Z29" s="25"/>
      <c r="AJ29" s="76" t="s">
        <v>142</v>
      </c>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M32" s="25"/>
    </row>
    <row r="33" spans="13:13">
      <c r="M3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ENT_01_A6-59</v>
      </c>
      <c r="E6" s="272"/>
      <c r="F6" s="272"/>
      <c r="G6" s="272"/>
      <c r="H6" s="272"/>
      <c r="I6" s="272"/>
      <c r="J6" s="273"/>
    </row>
    <row r="7" spans="1:45">
      <c r="B7" s="261" t="s">
        <v>115</v>
      </c>
      <c r="C7" s="262"/>
      <c r="D7" s="263" t="s">
        <v>3069</v>
      </c>
      <c r="E7" s="264"/>
      <c r="F7" s="264"/>
      <c r="G7" s="264"/>
      <c r="H7" s="264"/>
      <c r="I7" s="264"/>
      <c r="J7" s="265"/>
    </row>
    <row r="8" spans="1:45">
      <c r="B8" s="261" t="s">
        <v>116</v>
      </c>
      <c r="C8" s="262"/>
      <c r="D8" s="263" t="str">
        <f>エンティティ一覧!AE2&amp;"_"&amp;D5&amp;"_text_mml_mmlre_ps"</f>
        <v>azn_202310_backup_text_mml_mmlre_ps</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MML_紹介状モジュール_処方箋テーブルから組入れ条件の第一条件で絞り込んだ結果を格納するテーブル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milscm_2023_010.azn_202310_backup_text_mml_mmlre_ps;</v>
      </c>
      <c r="O10" s="76"/>
      <c r="P10" s="76"/>
      <c r="Q10" s="76"/>
      <c r="R10" s="76"/>
      <c r="S10" s="76"/>
      <c r="T10" s="76"/>
      <c r="AJ10" s="76" t="str">
        <f>"ALTER TABLE ONLY "&amp;エンティティ一覧!$O$2&amp;"."&amp;D$8</f>
        <v>ALTER TABLE ONLY milscm_2023_010.azn_202310_backup_text_mml_mmlre_ps</v>
      </c>
      <c r="AS10" s="76" t="str">
        <f>"ALTER TABLE "&amp;エンティティ一覧!$O$2&amp;"."&amp;D$8&amp;" OWNER TO pgmisgrp1;"</f>
        <v>ALTER TABLE milscm_2023_010.azn_202310_backup_text_mml_mmlre_ps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milscm_2023_010.azn_202310_backup_text_mml_mmlre_ps</v>
      </c>
      <c r="O11" s="76"/>
      <c r="P11" s="76"/>
      <c r="Q11" s="76"/>
      <c r="R11" s="76"/>
      <c r="S11" s="76"/>
      <c r="T11" s="76"/>
      <c r="AJ11" s="76" t="str">
        <f>"ADD CONSTRAINT "&amp;D$8&amp;"_pkey PRIMARY KEY"</f>
        <v>ADD CONSTRAINT azn_202310_backup_text_mml_mmlre_ps_pkey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milscm_2023_010.azn_202310_backup_text_mml_mmlre_ps IS 'バックアップ_MML_紹介状モジュール_処方箋';</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0" si="0">UPPER(G13)</f>
        <v>INTEGER</v>
      </c>
      <c r="R13" s="76" t="str">
        <f t="shared" ref="R13:R20"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milscm_2023_010.azn_202310_backup_text_mml_mmlre_ps.zip_no IS 'ZipファイルNo';</v>
      </c>
    </row>
    <row r="14" spans="1:45" s="25" customFormat="1">
      <c r="A14" s="4"/>
      <c r="B14" s="21">
        <f t="shared" ref="B14:B19" si="2">ROW()-12</f>
        <v>2</v>
      </c>
      <c r="C14" s="6" t="s">
        <v>2781</v>
      </c>
      <c r="D14" s="6" t="s">
        <v>2782</v>
      </c>
      <c r="E14" s="8" t="s">
        <v>127</v>
      </c>
      <c r="F14" s="7" t="s">
        <v>2780</v>
      </c>
      <c r="G14" s="7" t="str">
        <f t="shared" ref="G14:G20" si="3">IF(F14="フラグ","boolean",IF(F14="文字列","text",IF(F14="整数","integer",IF(F14="実数","numeric",""))))</f>
        <v>integer</v>
      </c>
      <c r="H14" s="26"/>
      <c r="I14" s="10" t="s">
        <v>127</v>
      </c>
      <c r="J14" s="11"/>
      <c r="M14" s="4"/>
      <c r="N14" s="76"/>
      <c r="O14" s="76"/>
      <c r="P14" s="76" t="str">
        <f t="shared" ref="P14:P20" si="4">IF(B14&lt;&gt;1,","&amp;D14,D14)</f>
        <v>,file_no</v>
      </c>
      <c r="Q14" s="76" t="str">
        <f t="shared" si="0"/>
        <v>INTEGER</v>
      </c>
      <c r="R14" s="76" t="str">
        <f t="shared" si="1"/>
        <v/>
      </c>
      <c r="S14" s="76" t="str">
        <f t="shared" ref="S14:S20" si="5">IF(I14="○","NOT NULL","")</f>
        <v>NOT NULL</v>
      </c>
      <c r="T14" s="76" t="str">
        <f t="shared" ref="T14:T20"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milscm_2023_010.azn_202310_backup_text_mml_mmlre_ps.file_no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milscm_2023_010.azn_202310_backup_text_mml_mmlre_ps.body_no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milscm_2023_010.azn_202310_backup_text_mml_mmlre_ps.facility_id_mml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milscm_2023_010.azn_202310_backup_text_mml_mmlre_ps.master_id IS '患者ID';</v>
      </c>
    </row>
    <row r="18" spans="1:52" s="25" customFormat="1" ht="37.5">
      <c r="A18" s="4"/>
      <c r="B18" s="21">
        <f t="shared" si="2"/>
        <v>6</v>
      </c>
      <c r="C18" s="6" t="s">
        <v>2810</v>
      </c>
      <c r="D18" s="6" t="s">
        <v>2811</v>
      </c>
      <c r="E18" s="8"/>
      <c r="F18" s="7" t="s">
        <v>1819</v>
      </c>
      <c r="G18" s="7" t="str">
        <f t="shared" si="3"/>
        <v>text</v>
      </c>
      <c r="H18" s="26"/>
      <c r="I18" s="10"/>
      <c r="J18" s="11" t="s">
        <v>2816</v>
      </c>
      <c r="M18" s="4"/>
      <c r="N18" s="76"/>
      <c r="O18" s="76"/>
      <c r="P18" s="76" t="str">
        <f t="shared" si="4"/>
        <v>,issued_to</v>
      </c>
      <c r="Q18" s="76" t="str">
        <f t="shared" si="0"/>
        <v>TEXT</v>
      </c>
      <c r="R18" s="76" t="str">
        <f t="shared" si="1"/>
        <v/>
      </c>
      <c r="S18" s="76" t="str">
        <f t="shared" si="5"/>
        <v/>
      </c>
      <c r="T18" s="76" t="str">
        <f t="shared" si="6"/>
        <v>-- 院外、院内処方箋の別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milscm_2023_010.azn_202310_backup_text_mml_mmlre_ps.issued_to IS '院外、院内処方箋の別';</v>
      </c>
    </row>
    <row r="19" spans="1:52" s="25" customFormat="1" ht="31.5">
      <c r="A19" s="4"/>
      <c r="B19" s="21">
        <f t="shared" si="2"/>
        <v>7</v>
      </c>
      <c r="C19" s="6" t="s">
        <v>2812</v>
      </c>
      <c r="D19" s="6" t="s">
        <v>2813</v>
      </c>
      <c r="E19" s="8"/>
      <c r="F19" s="7" t="s">
        <v>1819</v>
      </c>
      <c r="G19" s="7" t="str">
        <f t="shared" si="3"/>
        <v>text</v>
      </c>
      <c r="H19" s="26"/>
      <c r="I19" s="10"/>
      <c r="J19" s="11"/>
      <c r="M19" s="4"/>
      <c r="N19" s="76"/>
      <c r="O19" s="76"/>
      <c r="P19" s="76" t="str">
        <f t="shared" si="4"/>
        <v>,narcotic_prescription_license_no</v>
      </c>
      <c r="Q19" s="76" t="str">
        <f t="shared" si="0"/>
        <v>TEXT</v>
      </c>
      <c r="R19" s="76" t="str">
        <f t="shared" si="1"/>
        <v/>
      </c>
      <c r="S19" s="76" t="str">
        <f t="shared" si="5"/>
        <v/>
      </c>
      <c r="T19" s="76" t="str">
        <f t="shared" si="6"/>
        <v>-- 麻薬施用者番号</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milscm_2023_010.azn_202310_backup_text_mml_mmlre_ps.narcotic_prescription_license_no IS '麻薬施用者番号';</v>
      </c>
    </row>
    <row r="20" spans="1:52" s="25" customFormat="1" ht="35.450000000000003" customHeight="1" thickBot="1">
      <c r="A20" s="4"/>
      <c r="B20" s="27">
        <f>ROW()-12</f>
        <v>8</v>
      </c>
      <c r="C20" s="57" t="s">
        <v>2814</v>
      </c>
      <c r="D20" s="57" t="s">
        <v>2815</v>
      </c>
      <c r="E20" s="56"/>
      <c r="F20" s="56" t="s">
        <v>1819</v>
      </c>
      <c r="G20" s="56" t="str">
        <f t="shared" si="3"/>
        <v>text</v>
      </c>
      <c r="H20" s="59"/>
      <c r="I20" s="60"/>
      <c r="J20" s="63"/>
      <c r="N20" s="76"/>
      <c r="O20" s="76"/>
      <c r="P20" s="76" t="str">
        <f t="shared" si="4"/>
        <v>,comment</v>
      </c>
      <c r="Q20" s="76" t="str">
        <f t="shared" si="0"/>
        <v>TEXT</v>
      </c>
      <c r="R20" s="76" t="str">
        <f t="shared" si="1"/>
        <v/>
      </c>
      <c r="S20" s="76" t="str">
        <f t="shared" si="5"/>
        <v/>
      </c>
      <c r="T20" s="76" t="str">
        <f t="shared" si="6"/>
        <v>-- コメント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milscm_2023_010.azn_202310_backup_text_mml_mmlre_ps.comment IS 'コメント';</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ENT_01_A6-60</v>
      </c>
      <c r="E6" s="272"/>
      <c r="F6" s="272"/>
      <c r="G6" s="272"/>
      <c r="H6" s="272"/>
      <c r="I6" s="272"/>
      <c r="J6" s="273"/>
    </row>
    <row r="7" spans="1:45">
      <c r="B7" s="261" t="s">
        <v>115</v>
      </c>
      <c r="C7" s="262"/>
      <c r="D7" s="263" t="s">
        <v>3070</v>
      </c>
      <c r="E7" s="264"/>
      <c r="F7" s="264"/>
      <c r="G7" s="264"/>
      <c r="H7" s="264"/>
      <c r="I7" s="264"/>
      <c r="J7" s="265"/>
    </row>
    <row r="8" spans="1:45">
      <c r="B8" s="261" t="s">
        <v>116</v>
      </c>
      <c r="C8" s="262"/>
      <c r="D8" s="263" t="str">
        <f>エンティティ一覧!AE2&amp;"_"&amp;D5&amp;"_text_mml_mmlre_ps_medication"</f>
        <v>azn_202310_backup_text_mml_mmlre_ps_medication</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MML_紹介状モジュール_処方箋投薬テーブルから組入れ条件の第一条件で絞り込んだ結果を格納するテーブル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milscm_2023_010.azn_202310_backup_text_mml_mmlre_ps_medication;</v>
      </c>
      <c r="O10" s="76"/>
      <c r="P10" s="76"/>
      <c r="Q10" s="76"/>
      <c r="R10" s="76"/>
      <c r="S10" s="76"/>
      <c r="T10" s="76"/>
      <c r="AJ10" s="76" t="str">
        <f>"ALTER TABLE ONLY "&amp;エンティティ一覧!$O$2&amp;"."&amp;D$8</f>
        <v>ALTER TABLE ONLY milscm_2023_010.azn_202310_backup_text_mml_mmlre_ps_medication</v>
      </c>
      <c r="AS10" s="76" t="str">
        <f>"ALTER TABLE "&amp;エンティティ一覧!$O$2&amp;"."&amp;D$8&amp;" OWNER TO pgmisgrp1;"</f>
        <v>ALTER TABLE milscm_2023_010.azn_202310_backup_text_mml_mmlre_ps_medication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milscm_2023_010.azn_202310_backup_text_mml_mmlre_ps_medication</v>
      </c>
      <c r="O11" s="76"/>
      <c r="P11" s="76"/>
      <c r="Q11" s="76"/>
      <c r="R11" s="76"/>
      <c r="S11" s="76"/>
      <c r="T11" s="76"/>
      <c r="AJ11" s="76" t="str">
        <f>"ADD CONSTRAINT "&amp;D$8&amp;"_pkey PRIMARY KEY"</f>
        <v>ADD CONSTRAINT azn_202310_backup_text_mml_mmlre_ps_medication_pkey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milscm_2023_010.azn_202310_backup_text_mml_mmlre_ps_medication IS 'バックアップ_MML_紹介状モジュール_処方箋投薬';</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33" si="0">UPPER(G13)</f>
        <v>INTEGER</v>
      </c>
      <c r="R13" s="76" t="str">
        <f t="shared" ref="R13:R3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milscm_2023_010.azn_202310_backup_text_mml_mmlre_ps_medication.zip_no IS 'ZipファイルNo';</v>
      </c>
    </row>
    <row r="14" spans="1:45" s="25" customFormat="1">
      <c r="A14" s="4"/>
      <c r="B14" s="21">
        <f t="shared" ref="B14:B32" si="2">ROW()-12</f>
        <v>2</v>
      </c>
      <c r="C14" s="6" t="s">
        <v>2781</v>
      </c>
      <c r="D14" s="6" t="s">
        <v>2782</v>
      </c>
      <c r="E14" s="8" t="s">
        <v>127</v>
      </c>
      <c r="F14" s="7" t="s">
        <v>2780</v>
      </c>
      <c r="G14" s="7" t="str">
        <f t="shared" ref="G14:G33" si="3">IF(F14="フラグ","boolean",IF(F14="文字列","text",IF(F14="整数","integer",IF(F14="実数","numeric",""))))</f>
        <v>integer</v>
      </c>
      <c r="H14" s="26"/>
      <c r="I14" s="10" t="s">
        <v>127</v>
      </c>
      <c r="J14" s="11"/>
      <c r="M14" s="4"/>
      <c r="N14" s="76"/>
      <c r="O14" s="76"/>
      <c r="P14" s="76" t="str">
        <f t="shared" ref="P14:P33" si="4">IF(B14&lt;&gt;1,","&amp;D14,D14)</f>
        <v>,file_no</v>
      </c>
      <c r="Q14" s="76" t="str">
        <f t="shared" si="0"/>
        <v>INTEGER</v>
      </c>
      <c r="R14" s="76" t="str">
        <f t="shared" si="1"/>
        <v/>
      </c>
      <c r="S14" s="76" t="str">
        <f t="shared" ref="S14:S33" si="5">IF(I14="○","NOT NULL","")</f>
        <v>NOT NULL</v>
      </c>
      <c r="T14" s="76" t="str">
        <f t="shared" ref="T14:T3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milscm_2023_010.azn_202310_backup_text_mml_mmlre_ps_medication.file_no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milscm_2023_010.azn_202310_backup_text_mml_mmlre_ps_medication.body_no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milscm_2023_010.azn_202310_backup_text_mml_mmlre_ps_medication.facility_id_mml IS '施設ID（MML）';</v>
      </c>
    </row>
    <row r="17" spans="1:45"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milscm_2023_010.azn_202310_backup_text_mml_mmlre_ps_medication.master_id IS '患者ID';</v>
      </c>
    </row>
    <row r="18" spans="1:45" s="25" customFormat="1">
      <c r="A18" s="4"/>
      <c r="B18" s="21">
        <f t="shared" si="2"/>
        <v>6</v>
      </c>
      <c r="C18" s="6" t="s">
        <v>2818</v>
      </c>
      <c r="D18" s="6" t="s">
        <v>2819</v>
      </c>
      <c r="E18" s="8" t="s">
        <v>127</v>
      </c>
      <c r="F18" s="7" t="s">
        <v>2780</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milscm_2023_010.azn_202310_backup_text_mml_mmlre_ps_medication.medication_no IS '投薬No';</v>
      </c>
    </row>
    <row r="19" spans="1:45" s="25" customFormat="1">
      <c r="A19" s="4"/>
      <c r="B19" s="21">
        <f t="shared" si="2"/>
        <v>7</v>
      </c>
      <c r="C19" s="6" t="s">
        <v>2820</v>
      </c>
      <c r="D19" s="6" t="s">
        <v>2821</v>
      </c>
      <c r="E19" s="8"/>
      <c r="F19" s="7" t="s">
        <v>1819</v>
      </c>
      <c r="G19" s="7" t="str">
        <f t="shared" ref="G19:G31" si="7">IF(F19="フラグ","boolean",IF(F19="文字列","text",IF(F19="整数","integer",IF(F19="実数","numeric",""))))</f>
        <v>text</v>
      </c>
      <c r="H19" s="26"/>
      <c r="I19" s="10"/>
      <c r="J19" s="11"/>
      <c r="M19" s="4"/>
      <c r="N19" s="76"/>
      <c r="O19" s="76"/>
      <c r="P19" s="76" t="str">
        <f t="shared" ref="P19:P31" si="8">IF(B19&lt;&gt;1,","&amp;D19,D19)</f>
        <v>,medicine_name</v>
      </c>
      <c r="Q19" s="76" t="str">
        <f t="shared" ref="Q19:Q31" si="9">UPPER(G19)</f>
        <v>TEXT</v>
      </c>
      <c r="R19" s="76" t="str">
        <f t="shared" ref="R19:R31" si="10">IF(H19&lt;&gt;"","default "&amp;IF(G19="text","'"&amp;H19&amp;"'",H19),"")</f>
        <v/>
      </c>
      <c r="S19" s="76" t="str">
        <f t="shared" ref="S19:S31" si="11">IF(I19="○","NOT NULL","")</f>
        <v/>
      </c>
      <c r="T19" s="76" t="str">
        <f t="shared" ref="T19:T31" si="12">"-- "&amp;C19</f>
        <v>-- 薬剤名称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milscm_2023_010.azn_202310_backup_text_mml_mmlre_ps_medication.medicine_name IS '薬剤名称';</v>
      </c>
    </row>
    <row r="20" spans="1:45" s="25" customFormat="1">
      <c r="A20" s="4"/>
      <c r="B20" s="21">
        <f t="shared" si="2"/>
        <v>8</v>
      </c>
      <c r="C20" s="6" t="s">
        <v>2822</v>
      </c>
      <c r="D20" s="6" t="s">
        <v>2823</v>
      </c>
      <c r="E20" s="8"/>
      <c r="F20" s="7" t="s">
        <v>1819</v>
      </c>
      <c r="G20" s="7" t="str">
        <f t="shared" si="7"/>
        <v>text</v>
      </c>
      <c r="H20" s="26"/>
      <c r="I20" s="10"/>
      <c r="J20" s="11"/>
      <c r="M20" s="4"/>
      <c r="N20" s="76"/>
      <c r="O20" s="76"/>
      <c r="P20" s="76" t="str">
        <f t="shared" si="8"/>
        <v>,dose</v>
      </c>
      <c r="Q20" s="76" t="str">
        <f t="shared" si="9"/>
        <v>TEXT</v>
      </c>
      <c r="R20" s="76" t="str">
        <f t="shared" si="10"/>
        <v/>
      </c>
      <c r="S20" s="76" t="str">
        <f t="shared" si="11"/>
        <v/>
      </c>
      <c r="T20" s="76" t="str">
        <f t="shared" si="12"/>
        <v>-- 用量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milscm_2023_010.azn_202310_backup_text_mml_mmlre_ps_medication.dose IS '用量';</v>
      </c>
    </row>
    <row r="21" spans="1:45" s="25" customFormat="1">
      <c r="A21" s="4"/>
      <c r="B21" s="21">
        <f t="shared" si="2"/>
        <v>9</v>
      </c>
      <c r="C21" s="6" t="s">
        <v>2824</v>
      </c>
      <c r="D21" s="6" t="s">
        <v>2825</v>
      </c>
      <c r="E21" s="8"/>
      <c r="F21" s="7" t="s">
        <v>1819</v>
      </c>
      <c r="G21" s="7" t="str">
        <f t="shared" si="7"/>
        <v>text</v>
      </c>
      <c r="H21" s="26"/>
      <c r="I21" s="10"/>
      <c r="J21" s="11"/>
      <c r="M21" s="4"/>
      <c r="N21" s="76"/>
      <c r="O21" s="76"/>
      <c r="P21" s="76" t="str">
        <f t="shared" si="8"/>
        <v>,dose_unit</v>
      </c>
      <c r="Q21" s="76" t="str">
        <f t="shared" si="9"/>
        <v>TEXT</v>
      </c>
      <c r="R21" s="76" t="str">
        <f t="shared" si="10"/>
        <v/>
      </c>
      <c r="S21" s="76" t="str">
        <f t="shared" si="11"/>
        <v/>
      </c>
      <c r="T21" s="76" t="str">
        <f t="shared" si="12"/>
        <v>-- 用量の単位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milscm_2023_010.azn_202310_backup_text_mml_mmlre_ps_medication.dose_unit IS '用量の単位';</v>
      </c>
    </row>
    <row r="22" spans="1:45" s="25" customFormat="1">
      <c r="A22" s="4"/>
      <c r="B22" s="21">
        <f t="shared" si="2"/>
        <v>10</v>
      </c>
      <c r="C22" s="6" t="s">
        <v>2826</v>
      </c>
      <c r="D22" s="6" t="s">
        <v>2827</v>
      </c>
      <c r="E22" s="8"/>
      <c r="F22" s="7" t="s">
        <v>1819</v>
      </c>
      <c r="G22" s="7" t="str">
        <f t="shared" si="7"/>
        <v>text</v>
      </c>
      <c r="H22" s="26"/>
      <c r="I22" s="10"/>
      <c r="J22" s="11"/>
      <c r="M22" s="4"/>
      <c r="N22" s="76"/>
      <c r="O22" s="76"/>
      <c r="P22" s="76" t="str">
        <f t="shared" si="8"/>
        <v>,frequency_per_day</v>
      </c>
      <c r="Q22" s="76" t="str">
        <f t="shared" si="9"/>
        <v>TEXT</v>
      </c>
      <c r="R22" s="76" t="str">
        <f t="shared" si="10"/>
        <v/>
      </c>
      <c r="S22" s="76" t="str">
        <f t="shared" si="11"/>
        <v/>
      </c>
      <c r="T22" s="76" t="str">
        <f t="shared" si="12"/>
        <v>-- 一日の内服回数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milscm_2023_010.azn_202310_backup_text_mml_mmlre_ps_medication.frequency_per_day IS '一日の内服回数';</v>
      </c>
    </row>
    <row r="23" spans="1:45" s="25" customFormat="1">
      <c r="A23" s="4"/>
      <c r="B23" s="21">
        <f t="shared" si="2"/>
        <v>11</v>
      </c>
      <c r="C23" s="6" t="s">
        <v>2828</v>
      </c>
      <c r="D23" s="6" t="s">
        <v>2787</v>
      </c>
      <c r="E23" s="8"/>
      <c r="F23" s="7" t="s">
        <v>1819</v>
      </c>
      <c r="G23" s="7" t="str">
        <f t="shared" si="7"/>
        <v>text</v>
      </c>
      <c r="H23" s="26"/>
      <c r="I23" s="10"/>
      <c r="J23" s="11" t="s">
        <v>2849</v>
      </c>
      <c r="M23" s="4"/>
      <c r="N23" s="76"/>
      <c r="O23" s="76"/>
      <c r="P23" s="76" t="str">
        <f t="shared" si="8"/>
        <v>,start_date</v>
      </c>
      <c r="Q23" s="76" t="str">
        <f t="shared" si="9"/>
        <v>TEXT</v>
      </c>
      <c r="R23" s="76" t="str">
        <f t="shared" si="10"/>
        <v/>
      </c>
      <c r="S23" s="76" t="str">
        <f t="shared" si="11"/>
        <v/>
      </c>
      <c r="T23" s="76" t="str">
        <f t="shared" si="12"/>
        <v>-- 服薬開始日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milscm_2023_010.azn_202310_backup_text_mml_mmlre_ps_medication.start_date IS '服薬開始日';</v>
      </c>
    </row>
    <row r="24" spans="1:45" s="25" customFormat="1">
      <c r="A24" s="4"/>
      <c r="B24" s="21">
        <f t="shared" si="2"/>
        <v>12</v>
      </c>
      <c r="C24" s="6" t="s">
        <v>2829</v>
      </c>
      <c r="D24" s="6" t="s">
        <v>2830</v>
      </c>
      <c r="E24" s="8"/>
      <c r="F24" s="7" t="s">
        <v>1819</v>
      </c>
      <c r="G24" s="7" t="str">
        <f t="shared" si="7"/>
        <v>text</v>
      </c>
      <c r="H24" s="26"/>
      <c r="I24" s="10"/>
      <c r="J24" s="11"/>
      <c r="M24" s="4"/>
      <c r="N24" s="76"/>
      <c r="O24" s="76"/>
      <c r="P24" s="76" t="str">
        <f t="shared" si="8"/>
        <v>,duration</v>
      </c>
      <c r="Q24" s="76" t="str">
        <f t="shared" si="9"/>
        <v>TEXT</v>
      </c>
      <c r="R24" s="76" t="str">
        <f t="shared" si="10"/>
        <v/>
      </c>
      <c r="S24" s="76" t="str">
        <f t="shared" si="11"/>
        <v/>
      </c>
      <c r="T24" s="76" t="str">
        <f t="shared" si="12"/>
        <v>-- 服薬期間（日数）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milscm_2023_010.azn_202310_backup_text_mml_mmlre_ps_medication.duration IS '服薬期間（日数）';</v>
      </c>
    </row>
    <row r="25" spans="1:45" s="25" customFormat="1">
      <c r="A25" s="4"/>
      <c r="B25" s="21">
        <f t="shared" si="2"/>
        <v>13</v>
      </c>
      <c r="C25" s="6" t="s">
        <v>2831</v>
      </c>
      <c r="D25" s="6" t="s">
        <v>2832</v>
      </c>
      <c r="E25" s="8"/>
      <c r="F25" s="7" t="s">
        <v>1819</v>
      </c>
      <c r="G25" s="7" t="str">
        <f t="shared" si="7"/>
        <v>text</v>
      </c>
      <c r="H25" s="26"/>
      <c r="I25" s="10"/>
      <c r="J25" s="11"/>
      <c r="M25" s="4"/>
      <c r="N25" s="76"/>
      <c r="O25" s="76"/>
      <c r="P25" s="76" t="str">
        <f t="shared" si="8"/>
        <v>,instruction</v>
      </c>
      <c r="Q25" s="76" t="str">
        <f t="shared" si="9"/>
        <v>TEXT</v>
      </c>
      <c r="R25" s="76" t="str">
        <f t="shared" si="10"/>
        <v/>
      </c>
      <c r="S25" s="76" t="str">
        <f t="shared" si="11"/>
        <v/>
      </c>
      <c r="T25" s="76" t="str">
        <f t="shared" si="12"/>
        <v>-- 用法指示</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milscm_2023_010.azn_202310_backup_text_mml_mmlre_ps_medication.instruction IS '用法指示';</v>
      </c>
    </row>
    <row r="26" spans="1:45" s="25" customFormat="1">
      <c r="A26" s="4"/>
      <c r="B26" s="21">
        <f t="shared" si="2"/>
        <v>14</v>
      </c>
      <c r="C26" s="6" t="s">
        <v>2833</v>
      </c>
      <c r="D26" s="6" t="s">
        <v>2834</v>
      </c>
      <c r="E26" s="8"/>
      <c r="F26" s="7" t="s">
        <v>1819</v>
      </c>
      <c r="G26" s="7" t="str">
        <f t="shared" si="7"/>
        <v>text</v>
      </c>
      <c r="H26" s="26"/>
      <c r="I26" s="10"/>
      <c r="J26" s="11" t="s">
        <v>2850</v>
      </c>
      <c r="M26" s="4"/>
      <c r="N26" s="76"/>
      <c r="O26" s="76"/>
      <c r="P26" s="76" t="str">
        <f t="shared" si="8"/>
        <v>,prn</v>
      </c>
      <c r="Q26" s="76" t="str">
        <f t="shared" si="9"/>
        <v>TEXT</v>
      </c>
      <c r="R26" s="76" t="str">
        <f t="shared" si="10"/>
        <v/>
      </c>
      <c r="S26" s="76" t="str">
        <f t="shared" si="11"/>
        <v/>
      </c>
      <c r="T26" s="76" t="str">
        <f t="shared" si="12"/>
        <v>-- 頓用指示</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milscm_2023_010.azn_202310_backup_text_mml_mmlre_ps_medication.prn IS '頓用指示';</v>
      </c>
    </row>
    <row r="27" spans="1:45" s="25" customFormat="1">
      <c r="A27" s="4"/>
      <c r="B27" s="21">
        <f t="shared" si="2"/>
        <v>15</v>
      </c>
      <c r="C27" s="6" t="s">
        <v>2835</v>
      </c>
      <c r="D27" s="6" t="s">
        <v>2836</v>
      </c>
      <c r="E27" s="8"/>
      <c r="F27" s="7" t="s">
        <v>1819</v>
      </c>
      <c r="G27" s="7" t="str">
        <f t="shared" si="7"/>
        <v>text</v>
      </c>
      <c r="H27" s="26"/>
      <c r="I27" s="10"/>
      <c r="J27" s="11"/>
      <c r="M27" s="4"/>
      <c r="N27" s="76"/>
      <c r="O27" s="76"/>
      <c r="P27" s="76" t="str">
        <f t="shared" si="8"/>
        <v>,repetitions</v>
      </c>
      <c r="Q27" s="76" t="str">
        <f t="shared" si="9"/>
        <v>TEXT</v>
      </c>
      <c r="R27" s="76" t="str">
        <f t="shared" si="10"/>
        <v/>
      </c>
      <c r="S27" s="76" t="str">
        <f t="shared" si="11"/>
        <v/>
      </c>
      <c r="T27" s="76" t="str">
        <f t="shared" si="12"/>
        <v>-- 総投与回数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milscm_2023_010.azn_202310_backup_text_mml_mmlre_ps_medication.repetitions IS '総投与回数';</v>
      </c>
    </row>
    <row r="28" spans="1:45" s="25" customFormat="1">
      <c r="A28" s="4"/>
      <c r="B28" s="21">
        <f t="shared" si="2"/>
        <v>16</v>
      </c>
      <c r="C28" s="6" t="s">
        <v>2837</v>
      </c>
      <c r="D28" s="6" t="s">
        <v>2838</v>
      </c>
      <c r="E28" s="8"/>
      <c r="F28" s="7" t="s">
        <v>1819</v>
      </c>
      <c r="G28" s="7" t="str">
        <f t="shared" si="7"/>
        <v>text</v>
      </c>
      <c r="H28" s="26"/>
      <c r="I28" s="10"/>
      <c r="J28" s="11"/>
      <c r="M28" s="4"/>
      <c r="N28" s="76"/>
      <c r="O28" s="76"/>
      <c r="P28" s="76" t="str">
        <f t="shared" si="8"/>
        <v>,route</v>
      </c>
      <c r="Q28" s="76" t="str">
        <f t="shared" si="9"/>
        <v>TEXT</v>
      </c>
      <c r="R28" s="76" t="str">
        <f t="shared" si="10"/>
        <v/>
      </c>
      <c r="S28" s="76" t="str">
        <f t="shared" si="11"/>
        <v/>
      </c>
      <c r="T28" s="76" t="str">
        <f t="shared" si="12"/>
        <v>-- 投与経路</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milscm_2023_010.azn_202310_backup_text_mml_mmlre_ps_medication.route IS '投与経路';</v>
      </c>
    </row>
    <row r="29" spans="1:45" s="25" customFormat="1">
      <c r="A29" s="4"/>
      <c r="B29" s="21">
        <f t="shared" si="2"/>
        <v>17</v>
      </c>
      <c r="C29" s="6" t="s">
        <v>2839</v>
      </c>
      <c r="D29" s="6" t="s">
        <v>2840</v>
      </c>
      <c r="E29" s="8"/>
      <c r="F29" s="7" t="s">
        <v>1819</v>
      </c>
      <c r="G29" s="7" t="str">
        <f t="shared" si="7"/>
        <v>text</v>
      </c>
      <c r="H29" s="26"/>
      <c r="I29" s="10"/>
      <c r="J29" s="11"/>
      <c r="M29" s="4"/>
      <c r="N29" s="76"/>
      <c r="O29" s="76"/>
      <c r="P29" s="76" t="str">
        <f t="shared" si="8"/>
        <v>,form</v>
      </c>
      <c r="Q29" s="76" t="str">
        <f t="shared" si="9"/>
        <v>TEXT</v>
      </c>
      <c r="R29" s="76" t="str">
        <f t="shared" si="10"/>
        <v/>
      </c>
      <c r="S29" s="76" t="str">
        <f t="shared" si="11"/>
        <v/>
      </c>
      <c r="T29" s="76" t="str">
        <f t="shared" si="12"/>
        <v>-- 剤形</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milscm_2023_010.azn_202310_backup_text_mml_mmlre_ps_medication.form IS '剤形';</v>
      </c>
    </row>
    <row r="30" spans="1:45" s="25" customFormat="1">
      <c r="A30" s="4"/>
      <c r="B30" s="21">
        <f t="shared" si="2"/>
        <v>18</v>
      </c>
      <c r="C30" s="6" t="s">
        <v>2841</v>
      </c>
      <c r="D30" s="6" t="s">
        <v>2842</v>
      </c>
      <c r="E30" s="8"/>
      <c r="F30" s="7" t="s">
        <v>1819</v>
      </c>
      <c r="G30" s="7" t="str">
        <f t="shared" si="7"/>
        <v>text</v>
      </c>
      <c r="H30" s="26"/>
      <c r="I30" s="10"/>
      <c r="J30" s="11"/>
      <c r="M30" s="4"/>
      <c r="N30" s="76"/>
      <c r="O30" s="76"/>
      <c r="P30" s="76" t="str">
        <f t="shared" si="8"/>
        <v>,batch_no</v>
      </c>
      <c r="Q30" s="76" t="str">
        <f t="shared" si="9"/>
        <v>TEXT</v>
      </c>
      <c r="R30" s="76" t="str">
        <f t="shared" si="10"/>
        <v/>
      </c>
      <c r="S30" s="76" t="str">
        <f t="shared" si="11"/>
        <v/>
      </c>
      <c r="T30" s="76" t="str">
        <f t="shared" si="12"/>
        <v>-- 処方番号</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milscm_2023_010.azn_202310_backup_text_mml_mmlre_ps_medication.batch_no IS '処方番号';</v>
      </c>
    </row>
    <row r="31" spans="1:45" s="25" customFormat="1" ht="37.5">
      <c r="A31" s="4"/>
      <c r="B31" s="21">
        <f t="shared" si="2"/>
        <v>19</v>
      </c>
      <c r="C31" s="6" t="s">
        <v>2843</v>
      </c>
      <c r="D31" s="6" t="s">
        <v>2844</v>
      </c>
      <c r="E31" s="8"/>
      <c r="F31" s="7" t="s">
        <v>1819</v>
      </c>
      <c r="G31" s="7" t="str">
        <f t="shared" si="7"/>
        <v>text</v>
      </c>
      <c r="H31" s="26"/>
      <c r="I31" s="10"/>
      <c r="J31" s="11" t="s">
        <v>2851</v>
      </c>
      <c r="M31" s="4"/>
      <c r="N31" s="76"/>
      <c r="O31" s="76"/>
      <c r="P31" s="76" t="str">
        <f t="shared" si="8"/>
        <v>,brand_substitution_permitted</v>
      </c>
      <c r="Q31" s="76" t="str">
        <f t="shared" si="9"/>
        <v>TEXT</v>
      </c>
      <c r="R31" s="76" t="str">
        <f t="shared" si="10"/>
        <v/>
      </c>
      <c r="S31" s="76" t="str">
        <f t="shared" si="11"/>
        <v/>
      </c>
      <c r="T31" s="76" t="str">
        <f t="shared" si="12"/>
        <v>-- ジェネリック医薬品への代替可</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milscm_2023_010.azn_202310_backup_text_mml_mmlre_ps_medication.brand_substitution_permitted IS 'ジェネリック医薬品への代替可';</v>
      </c>
    </row>
    <row r="32" spans="1:45" s="25" customFormat="1">
      <c r="A32" s="4"/>
      <c r="B32" s="21">
        <f t="shared" si="2"/>
        <v>20</v>
      </c>
      <c r="C32" s="6" t="s">
        <v>2845</v>
      </c>
      <c r="D32" s="6" t="s">
        <v>2846</v>
      </c>
      <c r="E32" s="8"/>
      <c r="F32" s="7" t="s">
        <v>1819</v>
      </c>
      <c r="G32" s="7" t="str">
        <f t="shared" si="3"/>
        <v>text</v>
      </c>
      <c r="H32" s="26"/>
      <c r="I32" s="10"/>
      <c r="J32" s="11" t="s">
        <v>2852</v>
      </c>
      <c r="M32" s="4"/>
      <c r="N32" s="76"/>
      <c r="O32" s="76"/>
      <c r="P32" s="76" t="str">
        <f t="shared" si="4"/>
        <v>,long_term</v>
      </c>
      <c r="Q32" s="76" t="str">
        <f t="shared" si="0"/>
        <v>TEXT</v>
      </c>
      <c r="R32" s="76" t="str">
        <f t="shared" si="1"/>
        <v/>
      </c>
      <c r="S32" s="76" t="str">
        <f t="shared" si="5"/>
        <v/>
      </c>
      <c r="T32" s="76" t="str">
        <f t="shared" si="6"/>
        <v>-- 長期処方可</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milscm_2023_010.azn_202310_backup_text_mml_mmlre_ps_medication.long_term IS '長期処方可';</v>
      </c>
    </row>
    <row r="33" spans="1:52" s="25" customFormat="1" ht="35.450000000000003" customHeight="1" thickBot="1">
      <c r="A33" s="4"/>
      <c r="B33" s="27">
        <f>ROW()-12</f>
        <v>21</v>
      </c>
      <c r="C33" s="57" t="s">
        <v>2847</v>
      </c>
      <c r="D33" s="57" t="s">
        <v>2848</v>
      </c>
      <c r="E33" s="56"/>
      <c r="F33" s="56" t="s">
        <v>1819</v>
      </c>
      <c r="G33" s="56" t="str">
        <f t="shared" si="3"/>
        <v>text</v>
      </c>
      <c r="H33" s="59"/>
      <c r="I33" s="60"/>
      <c r="J33" s="63"/>
      <c r="N33" s="76"/>
      <c r="O33" s="76"/>
      <c r="P33" s="76" t="str">
        <f t="shared" si="4"/>
        <v>,additional_instruction</v>
      </c>
      <c r="Q33" s="76" t="str">
        <f t="shared" si="0"/>
        <v>TEXT</v>
      </c>
      <c r="R33" s="76" t="str">
        <f t="shared" si="1"/>
        <v/>
      </c>
      <c r="S33" s="76" t="str">
        <f t="shared" si="5"/>
        <v/>
      </c>
      <c r="T33" s="76" t="str">
        <f t="shared" si="6"/>
        <v>-- 追加指示，コメント</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milscm_2023_010.azn_202310_backup_text_mml_mmlre_ps_medication.additional_instruction IS '追加指示，コメント';</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ENT_01_A6-61</v>
      </c>
      <c r="E6" s="272"/>
      <c r="F6" s="272"/>
      <c r="G6" s="272"/>
      <c r="H6" s="272"/>
      <c r="I6" s="272"/>
      <c r="J6" s="273"/>
    </row>
    <row r="7" spans="1:45">
      <c r="B7" s="261" t="s">
        <v>115</v>
      </c>
      <c r="C7" s="262"/>
      <c r="D7" s="263" t="s">
        <v>3071</v>
      </c>
      <c r="E7" s="264"/>
      <c r="F7" s="264"/>
      <c r="G7" s="264"/>
      <c r="H7" s="264"/>
      <c r="I7" s="264"/>
      <c r="J7" s="265"/>
    </row>
    <row r="8" spans="1:45">
      <c r="B8" s="261" t="s">
        <v>116</v>
      </c>
      <c r="C8" s="262"/>
      <c r="D8" s="263" t="str">
        <f>エンティティ一覧!AE2&amp;"_"&amp;D5&amp;"_text_mml_mmlre_ps_medicine"</f>
        <v>azn_202310_backup_text_mml_mmlre_ps_medicine</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MML_紹介状モジュール_処方箋薬剤テーブルから組入れ条件の第一条件で絞り込んだ結果を格納するテーブル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milscm_2023_010.azn_202310_backup_text_mml_mmlre_ps_medicine;</v>
      </c>
      <c r="O10" s="76"/>
      <c r="P10" s="76"/>
      <c r="Q10" s="76"/>
      <c r="R10" s="76"/>
      <c r="S10" s="76"/>
      <c r="T10" s="76"/>
      <c r="AJ10" s="76" t="str">
        <f>"ALTER TABLE ONLY "&amp;エンティティ一覧!$O$2&amp;"."&amp;D$8</f>
        <v>ALTER TABLE ONLY milscm_2023_010.azn_202310_backup_text_mml_mmlre_ps_medicine</v>
      </c>
      <c r="AS10" s="76" t="str">
        <f>"ALTER TABLE "&amp;エンティティ一覧!$O$2&amp;"."&amp;D$8&amp;" OWNER TO pgmisgrp1;"</f>
        <v>ALTER TABLE milscm_2023_010.azn_202310_backup_text_mml_mmlre_ps_medicine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milscm_2023_010.azn_202310_backup_text_mml_mmlre_ps_medicine</v>
      </c>
      <c r="O11" s="76"/>
      <c r="P11" s="76"/>
      <c r="Q11" s="76"/>
      <c r="R11" s="76"/>
      <c r="S11" s="76"/>
      <c r="T11" s="76"/>
      <c r="AJ11" s="76" t="str">
        <f>"ADD CONSTRAINT "&amp;D$8&amp;"_pkey PRIMARY KEY"</f>
        <v>ADD CONSTRAINT azn_202310_backup_text_mml_mmlre_ps_medicine_pkey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milscm_2023_010.azn_202310_backup_text_mml_mmlre_ps_medicine IS 'バックアップ_MML_紹介状モジュール_処方箋薬剤';</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milscm_2023_010.azn_202310_backup_text_mml_mmlre_ps_medicine.zip_no IS 'ZipファイルNo';</v>
      </c>
    </row>
    <row r="14" spans="1:45" s="25" customFormat="1">
      <c r="A14" s="4"/>
      <c r="B14" s="21">
        <f t="shared" ref="B14:B20" si="2">ROW()-12</f>
        <v>2</v>
      </c>
      <c r="C14" s="6" t="s">
        <v>2781</v>
      </c>
      <c r="D14" s="6" t="s">
        <v>2782</v>
      </c>
      <c r="E14" s="8" t="s">
        <v>127</v>
      </c>
      <c r="F14" s="7" t="s">
        <v>2780</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milscm_2023_010.azn_202310_backup_text_mml_mmlre_ps_medicine.file_no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milscm_2023_010.azn_202310_backup_text_mml_mmlre_ps_medicine.body_no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milscm_2023_010.azn_202310_backup_text_mml_mmlre_ps_medicine.facility_id_mml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milscm_2023_010.azn_202310_backup_text_mml_mmlre_ps_medicine.master_id IS '患者ID';</v>
      </c>
    </row>
    <row r="18" spans="1:52" s="25" customFormat="1">
      <c r="A18" s="4"/>
      <c r="B18" s="21">
        <f t="shared" si="2"/>
        <v>6</v>
      </c>
      <c r="C18" s="6" t="s">
        <v>2818</v>
      </c>
      <c r="D18" s="6" t="s">
        <v>2819</v>
      </c>
      <c r="E18" s="8" t="s">
        <v>127</v>
      </c>
      <c r="F18" s="7" t="s">
        <v>2780</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milscm_2023_010.azn_202310_backup_text_mml_mmlre_ps_medicine.medication_no IS '投薬No';</v>
      </c>
    </row>
    <row r="19" spans="1:52" s="25" customFormat="1">
      <c r="A19" s="4"/>
      <c r="B19" s="21">
        <f t="shared" si="2"/>
        <v>7</v>
      </c>
      <c r="C19" s="6" t="s">
        <v>2854</v>
      </c>
      <c r="D19" s="6" t="s">
        <v>2855</v>
      </c>
      <c r="E19" s="8" t="s">
        <v>127</v>
      </c>
      <c r="F19" s="7" t="s">
        <v>2780</v>
      </c>
      <c r="G19" s="7" t="str">
        <f t="shared" si="3"/>
        <v>integer</v>
      </c>
      <c r="H19" s="26"/>
      <c r="I19" s="10" t="s">
        <v>127</v>
      </c>
      <c r="J19" s="11"/>
      <c r="M19" s="4"/>
      <c r="N19" s="76"/>
      <c r="O19" s="76"/>
      <c r="P19" s="76" t="str">
        <f t="shared" si="4"/>
        <v>,medicine_no</v>
      </c>
      <c r="Q19" s="76" t="str">
        <f t="shared" si="0"/>
        <v>INTEGER</v>
      </c>
      <c r="R19" s="76" t="str">
        <f t="shared" si="1"/>
        <v/>
      </c>
      <c r="S19" s="76" t="str">
        <f t="shared" si="5"/>
        <v>NOT NULL</v>
      </c>
      <c r="T19" s="76" t="str">
        <f t="shared" si="6"/>
        <v>-- 薬剤No</v>
      </c>
      <c r="U19" s="4"/>
      <c r="AA19" s="4"/>
      <c r="AB19" s="4"/>
      <c r="AC19" s="4"/>
      <c r="AD19" s="4"/>
      <c r="AE19" s="4"/>
      <c r="AF19" s="4"/>
      <c r="AG19" s="4"/>
      <c r="AH19" s="4"/>
      <c r="AI19" s="4"/>
      <c r="AJ19" s="76" t="str">
        <f>IF(E19="○",IF(COUNTA(E$13:E19)=1,"",",")&amp;D19,"")</f>
        <v>,medicine_no</v>
      </c>
      <c r="AK19" s="4"/>
      <c r="AL19" s="4"/>
      <c r="AM19" s="4"/>
      <c r="AN19" s="4"/>
      <c r="AO19" s="4"/>
      <c r="AP19" s="4"/>
      <c r="AQ19" s="4"/>
      <c r="AR19" s="4"/>
      <c r="AS19" s="76" t="str">
        <f>"COMMENT ON COLUMN "&amp;エンティティ一覧!$O$2&amp;"."&amp;D$8&amp;"."&amp;D19&amp;" IS '"&amp;C19&amp;"';"</f>
        <v>COMMENT ON COLUMN milscm_2023_010.azn_202310_backup_text_mml_mmlre_ps_medicine.medicine_no IS '薬剤No';</v>
      </c>
    </row>
    <row r="20" spans="1:52" s="25" customFormat="1">
      <c r="A20" s="4"/>
      <c r="B20" s="21">
        <f t="shared" si="2"/>
        <v>8</v>
      </c>
      <c r="C20" s="6" t="s">
        <v>2856</v>
      </c>
      <c r="D20" s="6" t="s">
        <v>358</v>
      </c>
      <c r="E20" s="8"/>
      <c r="F20" s="7" t="s">
        <v>1819</v>
      </c>
      <c r="G20" s="7" t="str">
        <f t="shared" si="3"/>
        <v>text</v>
      </c>
      <c r="H20" s="26"/>
      <c r="I20" s="10"/>
      <c r="J20" s="11"/>
      <c r="M20" s="4"/>
      <c r="N20" s="76"/>
      <c r="O20" s="76"/>
      <c r="P20" s="76" t="str">
        <f t="shared" si="4"/>
        <v>,code</v>
      </c>
      <c r="Q20" s="76" t="str">
        <f t="shared" si="0"/>
        <v>TEXT</v>
      </c>
      <c r="R20" s="76" t="str">
        <f t="shared" si="1"/>
        <v/>
      </c>
      <c r="S20" s="76" t="str">
        <f t="shared" si="5"/>
        <v/>
      </c>
      <c r="T20" s="76" t="str">
        <f t="shared" si="6"/>
        <v>-- 薬剤コード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milscm_2023_010.azn_202310_backup_text_mml_mmlre_ps_medicine.code IS '薬剤コード';</v>
      </c>
    </row>
    <row r="21" spans="1:52" s="25" customFormat="1" ht="35.450000000000003" customHeight="1" thickBot="1">
      <c r="A21" s="4"/>
      <c r="B21" s="27">
        <f>ROW()-12</f>
        <v>9</v>
      </c>
      <c r="C21" s="57" t="s">
        <v>2857</v>
      </c>
      <c r="D21" s="57" t="s">
        <v>2801</v>
      </c>
      <c r="E21" s="56"/>
      <c r="F21" s="56" t="s">
        <v>1819</v>
      </c>
      <c r="G21" s="56" t="str">
        <f t="shared" si="3"/>
        <v>text</v>
      </c>
      <c r="H21" s="59"/>
      <c r="I21" s="60"/>
      <c r="J21" s="63"/>
      <c r="N21" s="76"/>
      <c r="O21" s="76"/>
      <c r="P21" s="76" t="str">
        <f t="shared" si="4"/>
        <v>,system</v>
      </c>
      <c r="Q21" s="76" t="str">
        <f t="shared" si="0"/>
        <v>TEXT</v>
      </c>
      <c r="R21" s="76" t="str">
        <f t="shared" si="1"/>
        <v/>
      </c>
      <c r="S21" s="76" t="str">
        <f t="shared" si="5"/>
        <v/>
      </c>
      <c r="T21" s="76" t="str">
        <f t="shared" si="6"/>
        <v>-- 薬剤コード体系</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milscm_2023_010.azn_202310_backup_text_mml_mmlre_ps_medicine.system IS '薬剤コード体系';</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ENT_01_A6-62</v>
      </c>
      <c r="E6" s="272"/>
      <c r="F6" s="272"/>
      <c r="G6" s="272"/>
      <c r="H6" s="272"/>
      <c r="I6" s="272"/>
      <c r="J6" s="273"/>
    </row>
    <row r="7" spans="1:45">
      <c r="B7" s="261" t="s">
        <v>115</v>
      </c>
      <c r="C7" s="262"/>
      <c r="D7" s="263" t="s">
        <v>3072</v>
      </c>
      <c r="E7" s="264"/>
      <c r="F7" s="264"/>
      <c r="G7" s="264"/>
      <c r="H7" s="264"/>
      <c r="I7" s="264"/>
      <c r="J7" s="265"/>
    </row>
    <row r="8" spans="1:45">
      <c r="B8" s="261" t="s">
        <v>116</v>
      </c>
      <c r="C8" s="262"/>
      <c r="D8" s="263" t="str">
        <f>エンティティ一覧!AE2&amp;"_"&amp;D5&amp;"_text_mml_mmlre_sm_clinical_record"</f>
        <v>azn_202310_backup_text_mml_mmlre_sm_clinical_record</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MML_紹介状モジュール_臨床サマリー情報経過記録テーブルから組入れ条件の第一条件で絞り込んだ結果を格納するテーブル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milscm_2023_010.azn_202310_backup_text_mml_mmlre_sm_clinical_record;</v>
      </c>
      <c r="O10" s="76"/>
      <c r="P10" s="76"/>
      <c r="Q10" s="76"/>
      <c r="R10" s="76"/>
      <c r="S10" s="76"/>
      <c r="T10" s="76"/>
      <c r="AJ10" s="76" t="str">
        <f>"ALTER TABLE ONLY "&amp;エンティティ一覧!$O$2&amp;"."&amp;D$8</f>
        <v>ALTER TABLE ONLY milscm_2023_010.azn_202310_backup_text_mml_mmlre_sm_clinical_record</v>
      </c>
      <c r="AS10" s="76" t="str">
        <f>"ALTER TABLE "&amp;エンティティ一覧!$O$2&amp;"."&amp;D$8&amp;" OWNER TO pgmisgrp1;"</f>
        <v>ALTER TABLE milscm_2023_010.azn_202310_backup_text_mml_mmlre_sm_clinical_record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milscm_2023_010.azn_202310_backup_text_mml_mmlre_sm_clinical_record</v>
      </c>
      <c r="O11" s="76"/>
      <c r="P11" s="76"/>
      <c r="Q11" s="76"/>
      <c r="R11" s="76"/>
      <c r="S11" s="76"/>
      <c r="T11" s="76"/>
      <c r="AJ11" s="76" t="str">
        <f>"ADD CONSTRAINT "&amp;D$8&amp;"_pkey PRIMARY KEY"</f>
        <v>ADD CONSTRAINT azn_202310_backup_text_mml_mmlre_sm_clinical_record_pkey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milscm_2023_010.azn_202310_backup_text_mml_mmlre_sm_clinical_record IS 'バックアップ_MML_紹介状モジュール_臨床サマリー情報経過記録';</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milscm_2023_010.azn_202310_backup_text_mml_mmlre_sm_clinical_record.zip_no IS 'ZipファイルNo';</v>
      </c>
    </row>
    <row r="14" spans="1:45" s="25" customFormat="1">
      <c r="A14" s="4"/>
      <c r="B14" s="21">
        <f t="shared" ref="B14:B21" si="2">ROW()-12</f>
        <v>2</v>
      </c>
      <c r="C14" s="6" t="s">
        <v>2781</v>
      </c>
      <c r="D14" s="6" t="s">
        <v>2782</v>
      </c>
      <c r="E14" s="8" t="s">
        <v>127</v>
      </c>
      <c r="F14" s="7" t="s">
        <v>2780</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milscm_2023_010.azn_202310_backup_text_mml_mmlre_sm_clinical_record.file_no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milscm_2023_010.azn_202310_backup_text_mml_mmlre_sm_clinical_record.body_no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milscm_2023_010.azn_202310_backup_text_mml_mmlre_sm_clinical_record.facility_id_mml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milscm_2023_010.azn_202310_backup_text_mml_mmlre_sm_clinical_record.master_id IS '患者ID';</v>
      </c>
    </row>
    <row r="18" spans="1:52" s="25" customFormat="1">
      <c r="A18" s="4"/>
      <c r="B18" s="21">
        <f t="shared" si="2"/>
        <v>6</v>
      </c>
      <c r="C18" s="6" t="s">
        <v>3073</v>
      </c>
      <c r="D18" s="6" t="s">
        <v>3074</v>
      </c>
      <c r="E18" s="8" t="s">
        <v>127</v>
      </c>
      <c r="F18" s="7" t="s">
        <v>2780</v>
      </c>
      <c r="G18" s="7" t="str">
        <f t="shared" si="3"/>
        <v>integer</v>
      </c>
      <c r="H18" s="26"/>
      <c r="I18" s="10" t="s">
        <v>127</v>
      </c>
      <c r="J18" s="11"/>
      <c r="M18" s="4"/>
      <c r="N18" s="76"/>
      <c r="O18" s="76"/>
      <c r="P18" s="76" t="str">
        <f t="shared" si="4"/>
        <v>,clinical_record_no</v>
      </c>
      <c r="Q18" s="76" t="str">
        <f t="shared" si="0"/>
        <v>INTEGER</v>
      </c>
      <c r="R18" s="76" t="str">
        <f t="shared" si="1"/>
        <v/>
      </c>
      <c r="S18" s="76" t="str">
        <f t="shared" si="5"/>
        <v>NOT NULL</v>
      </c>
      <c r="T18" s="76" t="str">
        <f t="shared" si="6"/>
        <v>-- 経過記録No</v>
      </c>
      <c r="U18" s="4"/>
      <c r="AA18" s="4"/>
      <c r="AB18" s="4"/>
      <c r="AC18" s="4"/>
      <c r="AD18" s="4"/>
      <c r="AE18" s="4"/>
      <c r="AF18" s="4"/>
      <c r="AG18" s="4"/>
      <c r="AH18" s="4"/>
      <c r="AI18" s="4"/>
      <c r="AJ18" s="76" t="str">
        <f>IF(E18="○",IF(COUNTA(E$13:E18)=1,"",",")&amp;D18,"")</f>
        <v>,clinical_record_no</v>
      </c>
      <c r="AK18" s="4"/>
      <c r="AL18" s="4"/>
      <c r="AM18" s="4"/>
      <c r="AN18" s="4"/>
      <c r="AO18" s="4"/>
      <c r="AP18" s="4"/>
      <c r="AQ18" s="4"/>
      <c r="AR18" s="4"/>
      <c r="AS18" s="76" t="str">
        <f>"COMMENT ON COLUMN "&amp;エンティティ一覧!$O$2&amp;"."&amp;D$8&amp;"."&amp;D18&amp;" IS '"&amp;C18&amp;"';"</f>
        <v>COMMENT ON COLUMN milscm_2023_010.azn_202310_backup_text_mml_mmlre_sm_clinical_record.clinical_record_no IS '経過記録No';</v>
      </c>
    </row>
    <row r="19" spans="1:52" s="25" customFormat="1">
      <c r="A19" s="4"/>
      <c r="B19" s="21">
        <f t="shared" si="2"/>
        <v>7</v>
      </c>
      <c r="C19" s="6" t="s">
        <v>1518</v>
      </c>
      <c r="D19" s="6" t="s">
        <v>3075</v>
      </c>
      <c r="E19" s="8"/>
      <c r="F19" s="7" t="s">
        <v>1819</v>
      </c>
      <c r="G19" s="7" t="str">
        <f t="shared" si="3"/>
        <v>text</v>
      </c>
      <c r="H19" s="26"/>
      <c r="I19" s="10"/>
      <c r="J19" s="11"/>
      <c r="M19" s="4"/>
      <c r="N19" s="76"/>
      <c r="O19" s="76"/>
      <c r="P19" s="76" t="str">
        <f t="shared" si="4"/>
        <v>,clinical_record</v>
      </c>
      <c r="Q19" s="76" t="str">
        <f t="shared" si="0"/>
        <v>TEXT</v>
      </c>
      <c r="R19" s="76" t="str">
        <f t="shared" si="1"/>
        <v/>
      </c>
      <c r="S19" s="76" t="str">
        <f t="shared" si="5"/>
        <v/>
      </c>
      <c r="T19" s="76" t="str">
        <f t="shared" si="6"/>
        <v>-- 経過記録</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milscm_2023_010.azn_202310_backup_text_mml_mmlre_sm_clinical_record.clinical_record IS '経過記録';</v>
      </c>
    </row>
    <row r="20" spans="1:52" s="25" customFormat="1">
      <c r="A20" s="4"/>
      <c r="B20" s="21">
        <f t="shared" si="2"/>
        <v>8</v>
      </c>
      <c r="C20" s="6" t="s">
        <v>1520</v>
      </c>
      <c r="D20" s="6" t="s">
        <v>3076</v>
      </c>
      <c r="E20" s="8"/>
      <c r="F20" s="7" t="s">
        <v>1819</v>
      </c>
      <c r="G20" s="7" t="str">
        <f t="shared" ref="G20" si="7">IF(F20="フラグ","boolean",IF(F20="文字列","text",IF(F20="整数","integer",IF(F20="実数","numeric",""))))</f>
        <v>text</v>
      </c>
      <c r="H20" s="26"/>
      <c r="I20" s="10"/>
      <c r="J20" s="11" t="s">
        <v>2792</v>
      </c>
      <c r="M20" s="4"/>
      <c r="N20" s="76"/>
      <c r="O20" s="76"/>
      <c r="P20" s="76" t="str">
        <f t="shared" ref="P20" si="8">IF(B20&lt;&gt;1,","&amp;D20,D20)</f>
        <v>,clinical_record_date</v>
      </c>
      <c r="Q20" s="76" t="str">
        <f t="shared" ref="Q20" si="9">UPPER(G20)</f>
        <v>TEXT</v>
      </c>
      <c r="R20" s="76" t="str">
        <f t="shared" ref="R20" si="10">IF(H20&lt;&gt;"","default "&amp;IF(G20="text","'"&amp;H20&amp;"'",H20),"")</f>
        <v/>
      </c>
      <c r="S20" s="76" t="str">
        <f t="shared" ref="S20" si="11">IF(I20="○","NOT NULL","")</f>
        <v/>
      </c>
      <c r="T20" s="76" t="str">
        <f t="shared" ref="T20" si="12">"-- "&amp;C20</f>
        <v>-- イベント発生日時</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milscm_2023_010.azn_202310_backup_text_mml_mmlre_sm_clinical_record.clinical_record_date IS 'イベント発生日時';</v>
      </c>
    </row>
    <row r="21" spans="1:52" s="25" customFormat="1">
      <c r="A21" s="4"/>
      <c r="B21" s="21">
        <f t="shared" si="2"/>
        <v>9</v>
      </c>
      <c r="C21" s="6" t="s">
        <v>3077</v>
      </c>
      <c r="D21" s="6" t="s">
        <v>3078</v>
      </c>
      <c r="E21" s="8"/>
      <c r="F21" s="7" t="s">
        <v>1819</v>
      </c>
      <c r="G21" s="7" t="str">
        <f t="shared" si="3"/>
        <v>text</v>
      </c>
      <c r="H21" s="26"/>
      <c r="I21" s="10"/>
      <c r="J21" s="11"/>
      <c r="M21" s="4"/>
      <c r="N21" s="76"/>
      <c r="O21" s="76"/>
      <c r="P21" s="76" t="str">
        <f t="shared" si="4"/>
        <v>,related_doc</v>
      </c>
      <c r="Q21" s="76" t="str">
        <f t="shared" si="0"/>
        <v>TEXT</v>
      </c>
      <c r="R21" s="76" t="str">
        <f t="shared" si="1"/>
        <v/>
      </c>
      <c r="S21" s="76" t="str">
        <f t="shared" si="5"/>
        <v/>
      </c>
      <c r="T21" s="76" t="str">
        <f t="shared" si="6"/>
        <v>-- 関連文書</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milscm_2023_010.azn_202310_backup_text_mml_mmlre_sm_clinical_record.related_doc IS '関連文書';</v>
      </c>
    </row>
    <row r="22" spans="1:52" s="25" customFormat="1" ht="19.5" thickBot="1">
      <c r="A22" s="4"/>
      <c r="B22" s="27">
        <f>ROW()-12</f>
        <v>10</v>
      </c>
      <c r="C22" s="57" t="s">
        <v>3079</v>
      </c>
      <c r="D22" s="57" t="s">
        <v>3080</v>
      </c>
      <c r="E22" s="56"/>
      <c r="F22" s="56" t="s">
        <v>1819</v>
      </c>
      <c r="G22" s="56" t="str">
        <f t="shared" si="3"/>
        <v>text</v>
      </c>
      <c r="H22" s="59"/>
      <c r="I22" s="60"/>
      <c r="J22" s="63"/>
      <c r="N22" s="76"/>
      <c r="O22" s="76"/>
      <c r="P22" s="76" t="str">
        <f t="shared" si="4"/>
        <v>,related_doc_relation</v>
      </c>
      <c r="Q22" s="76" t="str">
        <f t="shared" si="0"/>
        <v>TEXT</v>
      </c>
      <c r="R22" s="76" t="str">
        <f t="shared" si="1"/>
        <v/>
      </c>
      <c r="S22" s="76" t="str">
        <f t="shared" si="5"/>
        <v/>
      </c>
      <c r="T22" s="76" t="str">
        <f t="shared" si="6"/>
        <v>-- 関連文書_関連の種別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milscm_2023_010.azn_202310_backup_text_mml_mmlre_sm_clinical_record.related_doc_relation IS '関連文書_関連の種別';</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ENT_01_A6-63</v>
      </c>
      <c r="E6" s="272"/>
      <c r="F6" s="272"/>
      <c r="G6" s="272"/>
      <c r="H6" s="272"/>
      <c r="I6" s="272"/>
      <c r="J6" s="273"/>
    </row>
    <row r="7" spans="1:45">
      <c r="B7" s="261" t="s">
        <v>115</v>
      </c>
      <c r="C7" s="262"/>
      <c r="D7" s="263" t="s">
        <v>3083</v>
      </c>
      <c r="E7" s="264"/>
      <c r="F7" s="264"/>
      <c r="G7" s="264"/>
      <c r="H7" s="264"/>
      <c r="I7" s="264"/>
      <c r="J7" s="265"/>
    </row>
    <row r="8" spans="1:45">
      <c r="B8" s="261" t="s">
        <v>116</v>
      </c>
      <c r="C8" s="262"/>
      <c r="D8" s="263" t="str">
        <f>エンティティ一覧!AE2&amp;"_"&amp;D5&amp;"_text_mml_mmlre_dp"</f>
        <v>azn_202310_backup_text_mml_mmlre_dp</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MML_紹介状モジュール_診療科情報テーブルから組入れ条件の第一条件で絞り込んだ結果を格納するテーブル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milscm_2023_010.azn_202310_backup_text_mml_mmlre_dp;</v>
      </c>
      <c r="O10" s="76"/>
      <c r="P10" s="76"/>
      <c r="Q10" s="76"/>
      <c r="R10" s="76"/>
      <c r="S10" s="76"/>
      <c r="T10" s="76"/>
      <c r="AJ10" s="76" t="str">
        <f>"ALTER TABLE ONLY "&amp;エンティティ一覧!$O$2&amp;"."&amp;D$8</f>
        <v>ALTER TABLE ONLY milscm_2023_010.azn_202310_backup_text_mml_mmlre_dp</v>
      </c>
      <c r="AS10" s="76" t="str">
        <f>"ALTER TABLE "&amp;エンティティ一覧!$O$2&amp;"."&amp;D$8&amp;" OWNER TO pgmisgrp1;"</f>
        <v>ALTER TABLE milscm_2023_010.azn_202310_backup_text_mml_mmlre_dp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milscm_2023_010.azn_202310_backup_text_mml_mmlre_dp</v>
      </c>
      <c r="O11" s="76"/>
      <c r="P11" s="76"/>
      <c r="Q11" s="76"/>
      <c r="R11" s="76"/>
      <c r="S11" s="76"/>
      <c r="T11" s="76"/>
      <c r="AJ11" s="76" t="str">
        <f>"ADD CONSTRAINT "&amp;D$8&amp;"_pkey PRIMARY KEY"</f>
        <v>ADD CONSTRAINT azn_202310_backup_text_mml_mmlre_dp_pkey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milscm_2023_010.azn_202310_backup_text_mml_mmlre_dp IS 'バックアップ_MML_紹介状モジュール_診療科情報';</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7" si="0">UPPER(G13)</f>
        <v>INTEGER</v>
      </c>
      <c r="R13" s="76" t="str">
        <f t="shared" ref="R13:R27"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milscm_2023_010.azn_202310_backup_text_mml_mmlre_dp.zip_no IS 'ZipファイルNo';</v>
      </c>
    </row>
    <row r="14" spans="1:45" s="25" customFormat="1">
      <c r="A14" s="4"/>
      <c r="B14" s="21">
        <f t="shared" ref="B14:B26" si="2">ROW()-12</f>
        <v>2</v>
      </c>
      <c r="C14" s="6" t="s">
        <v>2781</v>
      </c>
      <c r="D14" s="6" t="s">
        <v>2782</v>
      </c>
      <c r="E14" s="8" t="s">
        <v>127</v>
      </c>
      <c r="F14" s="7" t="s">
        <v>2780</v>
      </c>
      <c r="G14" s="7" t="str">
        <f t="shared" ref="G14:G27" si="3">IF(F14="フラグ","boolean",IF(F14="文字列","text",IF(F14="整数","integer",IF(F14="実数","numeric",""))))</f>
        <v>integer</v>
      </c>
      <c r="H14" s="26"/>
      <c r="I14" s="10" t="s">
        <v>127</v>
      </c>
      <c r="J14" s="11"/>
      <c r="M14" s="4"/>
      <c r="N14" s="76"/>
      <c r="O14" s="76"/>
      <c r="P14" s="76" t="str">
        <f t="shared" ref="P14:P27" si="4">IF(B14&lt;&gt;1,","&amp;D14,D14)</f>
        <v>,file_no</v>
      </c>
      <c r="Q14" s="76" t="str">
        <f t="shared" si="0"/>
        <v>INTEGER</v>
      </c>
      <c r="R14" s="76" t="str">
        <f t="shared" si="1"/>
        <v/>
      </c>
      <c r="S14" s="76" t="str">
        <f t="shared" ref="S14:S27" si="5">IF(I14="○","NOT NULL","")</f>
        <v>NOT NULL</v>
      </c>
      <c r="T14" s="76" t="str">
        <f t="shared" ref="T14:T27"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milscm_2023_010.azn_202310_backup_text_mml_mmlre_dp.file_no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milscm_2023_010.azn_202310_backup_text_mml_mmlre_dp.body_no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milscm_2023_010.azn_202310_backup_text_mml_mmlre_dp.facility_id_mml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milscm_2023_010.azn_202310_backup_text_mml_mmlre_dp.master_id IS '患者ID';</v>
      </c>
    </row>
    <row r="18" spans="1:52" s="25" customFormat="1">
      <c r="A18" s="4"/>
      <c r="B18" s="21">
        <f t="shared" si="2"/>
        <v>6</v>
      </c>
      <c r="C18" s="6" t="s">
        <v>2891</v>
      </c>
      <c r="D18" s="6" t="s">
        <v>2892</v>
      </c>
      <c r="E18" s="8" t="s">
        <v>127</v>
      </c>
      <c r="F18" s="7" t="s">
        <v>2780</v>
      </c>
      <c r="G18" s="7" t="str">
        <f t="shared" si="3"/>
        <v>integer</v>
      </c>
      <c r="H18" s="26"/>
      <c r="I18" s="10" t="s">
        <v>127</v>
      </c>
      <c r="J18" s="11" t="s">
        <v>2911</v>
      </c>
      <c r="M18" s="4"/>
      <c r="N18" s="76"/>
      <c r="O18" s="76"/>
      <c r="P18" s="76" t="str">
        <f t="shared" si="4"/>
        <v>,dp_no</v>
      </c>
      <c r="Q18" s="76" t="str">
        <f t="shared" si="0"/>
        <v>INTEGER</v>
      </c>
      <c r="R18" s="76" t="str">
        <f t="shared" si="1"/>
        <v/>
      </c>
      <c r="S18" s="76" t="str">
        <f t="shared" si="5"/>
        <v>NOT NULL</v>
      </c>
      <c r="T18" s="76" t="str">
        <f t="shared" si="6"/>
        <v>-- 診療科情報No</v>
      </c>
      <c r="U18" s="4"/>
      <c r="AA18" s="4"/>
      <c r="AB18" s="4"/>
      <c r="AC18" s="4"/>
      <c r="AD18" s="4"/>
      <c r="AE18" s="4"/>
      <c r="AF18" s="4"/>
      <c r="AG18" s="4"/>
      <c r="AH18" s="4"/>
      <c r="AI18" s="4"/>
      <c r="AJ18" s="76" t="str">
        <f>IF(E18="○",IF(COUNTA(E$13:E18)=1,"",",")&amp;D18,"")</f>
        <v>,dp_no</v>
      </c>
      <c r="AK18" s="4"/>
      <c r="AL18" s="4"/>
      <c r="AM18" s="4"/>
      <c r="AN18" s="4"/>
      <c r="AO18" s="4"/>
      <c r="AP18" s="4"/>
      <c r="AQ18" s="4"/>
      <c r="AR18" s="4"/>
      <c r="AS18" s="76" t="str">
        <f>"COMMENT ON COLUMN "&amp;エンティティ一覧!$O$2&amp;"."&amp;D$8&amp;"."&amp;D18&amp;" IS '"&amp;C18&amp;"';"</f>
        <v>COMMENT ON COLUMN milscm_2023_010.azn_202310_backup_text_mml_mmlre_dp.dp_no IS '診療科情報No';</v>
      </c>
    </row>
    <row r="19" spans="1:52" s="25" customFormat="1">
      <c r="A19" s="4"/>
      <c r="B19" s="21">
        <f t="shared" si="2"/>
        <v>7</v>
      </c>
      <c r="C19" s="6" t="s">
        <v>2893</v>
      </c>
      <c r="D19" s="6" t="s">
        <v>2894</v>
      </c>
      <c r="E19" s="8" t="s">
        <v>127</v>
      </c>
      <c r="F19" s="7" t="s">
        <v>2780</v>
      </c>
      <c r="G19" s="7" t="str">
        <f t="shared" ref="G19:G26" si="7">IF(F19="フラグ","boolean",IF(F19="文字列","text",IF(F19="整数","integer",IF(F19="実数","numeric",""))))</f>
        <v>integer</v>
      </c>
      <c r="H19" s="26"/>
      <c r="I19" s="10" t="s">
        <v>127</v>
      </c>
      <c r="J19" s="11" t="s">
        <v>2912</v>
      </c>
      <c r="M19" s="4"/>
      <c r="N19" s="76"/>
      <c r="O19" s="76"/>
      <c r="P19" s="76" t="str">
        <f t="shared" ref="P19:P26" si="8">IF(B19&lt;&gt;1,","&amp;D19,D19)</f>
        <v>,dp_name_no</v>
      </c>
      <c r="Q19" s="76" t="str">
        <f t="shared" ref="Q19:Q26" si="9">UPPER(G19)</f>
        <v>INTEGER</v>
      </c>
      <c r="R19" s="76" t="str">
        <f t="shared" ref="R19:R26" si="10">IF(H19&lt;&gt;"","default "&amp;IF(G19="text","'"&amp;H19&amp;"'",H19),"")</f>
        <v/>
      </c>
      <c r="S19" s="76" t="str">
        <f t="shared" ref="S19:S26" si="11">IF(I19="○","NOT NULL","")</f>
        <v>NOT NULL</v>
      </c>
      <c r="T19" s="76" t="str">
        <f t="shared" ref="T19:T26" si="12">"-- "&amp;C19</f>
        <v>-- 診療科名称No</v>
      </c>
      <c r="U19" s="4"/>
      <c r="AA19" s="4"/>
      <c r="AB19" s="4"/>
      <c r="AC19" s="4"/>
      <c r="AD19" s="4"/>
      <c r="AE19" s="4"/>
      <c r="AF19" s="4"/>
      <c r="AG19" s="4"/>
      <c r="AH19" s="4"/>
      <c r="AI19" s="4"/>
      <c r="AJ19" s="76" t="str">
        <f>IF(E19="○",IF(COUNTA(E$13:E19)=1,"",",")&amp;D19,"")</f>
        <v>,dp_name_no</v>
      </c>
      <c r="AK19" s="4"/>
      <c r="AL19" s="4"/>
      <c r="AM19" s="4"/>
      <c r="AN19" s="4"/>
      <c r="AO19" s="4"/>
      <c r="AP19" s="4"/>
      <c r="AQ19" s="4"/>
      <c r="AR19" s="4"/>
      <c r="AS19" s="76" t="str">
        <f>"COMMENT ON COLUMN "&amp;エンティティ一覧!$O$2&amp;"."&amp;D$8&amp;"."&amp;D19&amp;" IS '"&amp;C19&amp;"';"</f>
        <v>COMMENT ON COLUMN milscm_2023_010.azn_202310_backup_text_mml_mmlre_dp.dp_name_no IS '診療科名称No';</v>
      </c>
    </row>
    <row r="20" spans="1:52" s="25" customFormat="1">
      <c r="A20" s="4"/>
      <c r="B20" s="21">
        <f t="shared" si="2"/>
        <v>8</v>
      </c>
      <c r="C20" s="6" t="s">
        <v>2895</v>
      </c>
      <c r="D20" s="6" t="s">
        <v>2896</v>
      </c>
      <c r="E20" s="8"/>
      <c r="F20" s="7" t="s">
        <v>1819</v>
      </c>
      <c r="G20" s="7" t="str">
        <f t="shared" si="7"/>
        <v>text</v>
      </c>
      <c r="H20" s="26"/>
      <c r="I20" s="10"/>
      <c r="J20" s="11"/>
      <c r="M20" s="4"/>
      <c r="N20" s="76"/>
      <c r="O20" s="76"/>
      <c r="P20" s="76" t="str">
        <f t="shared" si="8"/>
        <v>,id</v>
      </c>
      <c r="Q20" s="76" t="str">
        <f t="shared" si="9"/>
        <v>TEXT</v>
      </c>
      <c r="R20" s="76" t="str">
        <f t="shared" si="10"/>
        <v/>
      </c>
      <c r="S20" s="76" t="str">
        <f t="shared" si="11"/>
        <v/>
      </c>
      <c r="T20" s="76" t="str">
        <f t="shared" si="12"/>
        <v>-- 診療科ID</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milscm_2023_010.azn_202310_backup_text_mml_mmlre_dp.id IS '診療科ID';</v>
      </c>
    </row>
    <row r="21" spans="1:52" s="25" customFormat="1">
      <c r="A21" s="4"/>
      <c r="B21" s="21">
        <f t="shared" si="2"/>
        <v>9</v>
      </c>
      <c r="C21" s="6" t="s">
        <v>2897</v>
      </c>
      <c r="D21" s="6" t="s">
        <v>2898</v>
      </c>
      <c r="E21" s="8"/>
      <c r="F21" s="7" t="s">
        <v>1819</v>
      </c>
      <c r="G21" s="7" t="str">
        <f t="shared" si="7"/>
        <v>text</v>
      </c>
      <c r="H21" s="26"/>
      <c r="I21" s="10"/>
      <c r="J21" s="11"/>
      <c r="M21" s="4"/>
      <c r="N21" s="76"/>
      <c r="O21" s="76"/>
      <c r="P21" s="76" t="str">
        <f t="shared" si="8"/>
        <v>,type</v>
      </c>
      <c r="Q21" s="76" t="str">
        <f t="shared" si="9"/>
        <v>TEXT</v>
      </c>
      <c r="R21" s="76" t="str">
        <f t="shared" si="10"/>
        <v/>
      </c>
      <c r="S21" s="76" t="str">
        <f t="shared" si="11"/>
        <v/>
      </c>
      <c r="T21" s="76" t="str">
        <f t="shared" si="12"/>
        <v>-- 診療科ID_種類コード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milscm_2023_010.azn_202310_backup_text_mml_mmlre_dp.type IS '診療科ID_種類コード';</v>
      </c>
    </row>
    <row r="22" spans="1:52" s="25" customFormat="1">
      <c r="A22" s="4"/>
      <c r="B22" s="21">
        <f t="shared" si="2"/>
        <v>10</v>
      </c>
      <c r="C22" s="6" t="s">
        <v>2899</v>
      </c>
      <c r="D22" s="6" t="s">
        <v>2808</v>
      </c>
      <c r="E22" s="8"/>
      <c r="F22" s="7" t="s">
        <v>1819</v>
      </c>
      <c r="G22" s="7" t="str">
        <f t="shared" si="7"/>
        <v>text</v>
      </c>
      <c r="H22" s="26"/>
      <c r="I22" s="10"/>
      <c r="J22" s="11"/>
      <c r="M22" s="4"/>
      <c r="N22" s="76"/>
      <c r="O22" s="76"/>
      <c r="P22" s="76" t="str">
        <f t="shared" si="8"/>
        <v>,table_id</v>
      </c>
      <c r="Q22" s="76" t="str">
        <f t="shared" si="9"/>
        <v>TEXT</v>
      </c>
      <c r="R22" s="76" t="str">
        <f t="shared" si="10"/>
        <v/>
      </c>
      <c r="S22" s="76" t="str">
        <f t="shared" si="11"/>
        <v/>
      </c>
      <c r="T22" s="76" t="str">
        <f t="shared" si="12"/>
        <v>-- 診療科ID_テーブル名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milscm_2023_010.azn_202310_backup_text_mml_mmlre_dp.table_id IS '診療科ID_テーブル名';</v>
      </c>
    </row>
    <row r="23" spans="1:52" s="25" customFormat="1">
      <c r="A23" s="4"/>
      <c r="B23" s="21">
        <f t="shared" si="2"/>
        <v>11</v>
      </c>
      <c r="C23" s="6" t="s">
        <v>2900</v>
      </c>
      <c r="D23" s="6" t="s">
        <v>2901</v>
      </c>
      <c r="E23" s="8"/>
      <c r="F23" s="7" t="s">
        <v>2780</v>
      </c>
      <c r="G23" s="7" t="str">
        <f t="shared" si="7"/>
        <v>integer</v>
      </c>
      <c r="H23" s="26"/>
      <c r="I23" s="10"/>
      <c r="J23" s="11"/>
      <c r="M23" s="4"/>
      <c r="N23" s="76"/>
      <c r="O23" s="76"/>
      <c r="P23" s="76" t="str">
        <f t="shared" si="8"/>
        <v>,check_digit</v>
      </c>
      <c r="Q23" s="76" t="str">
        <f t="shared" si="9"/>
        <v>INTEGER</v>
      </c>
      <c r="R23" s="76" t="str">
        <f t="shared" si="10"/>
        <v/>
      </c>
      <c r="S23" s="76" t="str">
        <f t="shared" si="11"/>
        <v/>
      </c>
      <c r="T23" s="76" t="str">
        <f t="shared" si="12"/>
        <v>-- 診療科ID_チェックディジット</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milscm_2023_010.azn_202310_backup_text_mml_mmlre_dp.check_digit IS '診療科ID_チェックディジット';</v>
      </c>
    </row>
    <row r="24" spans="1:52" s="25" customFormat="1">
      <c r="A24" s="4"/>
      <c r="B24" s="21">
        <f t="shared" si="2"/>
        <v>12</v>
      </c>
      <c r="C24" s="6" t="s">
        <v>2902</v>
      </c>
      <c r="D24" s="6" t="s">
        <v>2903</v>
      </c>
      <c r="E24" s="8"/>
      <c r="F24" s="7" t="s">
        <v>1819</v>
      </c>
      <c r="G24" s="7" t="str">
        <f t="shared" si="7"/>
        <v>text</v>
      </c>
      <c r="H24" s="26"/>
      <c r="I24" s="10"/>
      <c r="J24" s="11"/>
      <c r="M24" s="4"/>
      <c r="N24" s="76"/>
      <c r="O24" s="76"/>
      <c r="P24" s="76" t="str">
        <f t="shared" si="8"/>
        <v>,check_digit_schema</v>
      </c>
      <c r="Q24" s="76" t="str">
        <f t="shared" si="9"/>
        <v>TEXT</v>
      </c>
      <c r="R24" s="76" t="str">
        <f t="shared" si="10"/>
        <v/>
      </c>
      <c r="S24" s="76" t="str">
        <f t="shared" si="11"/>
        <v/>
      </c>
      <c r="T24" s="76" t="str">
        <f t="shared" si="12"/>
        <v>-- 診療科ID_チェックディジット方式</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milscm_2023_010.azn_202310_backup_text_mml_mmlre_dp.check_digit_schema IS '診療科ID_チェックディジット方式';</v>
      </c>
    </row>
    <row r="25" spans="1:52" s="25" customFormat="1">
      <c r="A25" s="4"/>
      <c r="B25" s="21">
        <f t="shared" si="2"/>
        <v>13</v>
      </c>
      <c r="C25" s="6" t="s">
        <v>2904</v>
      </c>
      <c r="D25" s="6" t="s">
        <v>2905</v>
      </c>
      <c r="E25" s="8"/>
      <c r="F25" s="7" t="s">
        <v>1819</v>
      </c>
      <c r="G25" s="7" t="str">
        <f t="shared" si="7"/>
        <v>text</v>
      </c>
      <c r="H25" s="26"/>
      <c r="I25" s="10"/>
      <c r="J25" s="11"/>
      <c r="M25" s="4"/>
      <c r="N25" s="76"/>
      <c r="O25" s="76"/>
      <c r="P25" s="76" t="str">
        <f t="shared" si="8"/>
        <v>,dp_name</v>
      </c>
      <c r="Q25" s="76" t="str">
        <f t="shared" si="9"/>
        <v>TEXT</v>
      </c>
      <c r="R25" s="76" t="str">
        <f t="shared" si="10"/>
        <v/>
      </c>
      <c r="S25" s="76" t="str">
        <f t="shared" si="11"/>
        <v/>
      </c>
      <c r="T25" s="76" t="str">
        <f t="shared" si="12"/>
        <v>-- 診療科名称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milscm_2023_010.azn_202310_backup_text_mml_mmlre_dp.dp_name IS '診療科名称';</v>
      </c>
    </row>
    <row r="26" spans="1:52" s="25" customFormat="1">
      <c r="A26" s="4"/>
      <c r="B26" s="21">
        <f t="shared" si="2"/>
        <v>14</v>
      </c>
      <c r="C26" s="6" t="s">
        <v>2906</v>
      </c>
      <c r="D26" s="6" t="s">
        <v>2907</v>
      </c>
      <c r="E26" s="8"/>
      <c r="F26" s="7" t="s">
        <v>1819</v>
      </c>
      <c r="G26" s="7" t="str">
        <f t="shared" si="7"/>
        <v>text</v>
      </c>
      <c r="H26" s="26"/>
      <c r="I26" s="10"/>
      <c r="J26" s="11"/>
      <c r="M26" s="4"/>
      <c r="N26" s="76"/>
      <c r="O26" s="76"/>
      <c r="P26" s="76" t="str">
        <f t="shared" si="8"/>
        <v>,dp_name_rep_code</v>
      </c>
      <c r="Q26" s="76" t="str">
        <f t="shared" si="9"/>
        <v>TEXT</v>
      </c>
      <c r="R26" s="76" t="str">
        <f t="shared" si="10"/>
        <v/>
      </c>
      <c r="S26" s="76" t="str">
        <f t="shared" si="11"/>
        <v/>
      </c>
      <c r="T26" s="76" t="str">
        <f t="shared" si="12"/>
        <v>-- 診療科名称_表記法</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milscm_2023_010.azn_202310_backup_text_mml_mmlre_dp.dp_name_rep_code IS '診療科名称_表記法';</v>
      </c>
    </row>
    <row r="27" spans="1:52" s="25" customFormat="1" ht="35.450000000000003" customHeight="1" thickBot="1">
      <c r="A27" s="4"/>
      <c r="B27" s="27">
        <f>ROW()-12</f>
        <v>15</v>
      </c>
      <c r="C27" s="57" t="s">
        <v>2908</v>
      </c>
      <c r="D27" s="57" t="s">
        <v>2909</v>
      </c>
      <c r="E27" s="56"/>
      <c r="F27" s="56" t="s">
        <v>1819</v>
      </c>
      <c r="G27" s="56" t="str">
        <f t="shared" si="3"/>
        <v>text</v>
      </c>
      <c r="H27" s="59"/>
      <c r="I27" s="60"/>
      <c r="J27" s="63"/>
      <c r="N27" s="76"/>
      <c r="O27" s="76"/>
      <c r="P27" s="76" t="str">
        <f t="shared" si="4"/>
        <v>,dp_name_table_id</v>
      </c>
      <c r="Q27" s="76" t="str">
        <f t="shared" si="0"/>
        <v>TEXT</v>
      </c>
      <c r="R27" s="76" t="str">
        <f t="shared" si="1"/>
        <v/>
      </c>
      <c r="S27" s="76" t="str">
        <f t="shared" si="5"/>
        <v/>
      </c>
      <c r="T27" s="76" t="str">
        <f t="shared" si="6"/>
        <v>-- 診療科名称_テーブル名</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milscm_2023_010.azn_202310_backup_text_mml_mmlre_dp.dp_name_table_id IS '診療科名称_テーブル名';</v>
      </c>
    </row>
    <row r="28" spans="1:52">
      <c r="L28" s="25"/>
      <c r="M28" s="25"/>
      <c r="N28" s="76" t="s">
        <v>142</v>
      </c>
      <c r="O28" s="76"/>
      <c r="P28" s="76"/>
      <c r="Q28" s="76"/>
      <c r="R28" s="76"/>
      <c r="S28" s="76"/>
      <c r="T28" s="76"/>
      <c r="V28" s="25"/>
      <c r="W28" s="25"/>
      <c r="X28" s="25"/>
      <c r="Y28" s="25"/>
      <c r="Z28" s="25"/>
      <c r="AJ28" s="76"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M31" s="25"/>
    </row>
    <row r="32" spans="1:52">
      <c r="M3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AS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ENT_01_C1-01</v>
      </c>
      <c r="E6" s="272"/>
      <c r="F6" s="272"/>
      <c r="G6" s="272"/>
      <c r="H6" s="272"/>
      <c r="I6" s="272"/>
      <c r="J6" s="273"/>
    </row>
    <row r="7" spans="1:45">
      <c r="B7" s="261" t="s">
        <v>115</v>
      </c>
      <c r="C7" s="262"/>
      <c r="D7" s="263" t="s">
        <v>197</v>
      </c>
      <c r="E7" s="264"/>
      <c r="F7" s="264"/>
      <c r="G7" s="264"/>
      <c r="H7" s="264"/>
      <c r="I7" s="264"/>
      <c r="J7" s="265"/>
    </row>
    <row r="8" spans="1:45">
      <c r="B8" s="261" t="s">
        <v>116</v>
      </c>
      <c r="C8" s="262"/>
      <c r="D8" s="263" t="str">
        <f>エンティティ一覧!AE2&amp;"_"&amp;D5&amp;"_merge_dpc_dn"</f>
        <v>azn_202310_backup_merge_dpc_dn</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DPC調査データ_Dファイルテーブルから組入れ条件の第一条件で絞り込んだ結果を格納するテーブル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milscm_2023_010.azn_202310_backup_merge_dpc_dn;</v>
      </c>
      <c r="O10" s="76"/>
      <c r="P10" s="76"/>
      <c r="Q10" s="76"/>
      <c r="R10" s="76"/>
      <c r="S10" s="76"/>
      <c r="T10" s="76"/>
      <c r="AJ10" s="76" t="str">
        <f>"ALTER TABLE ONLY "&amp;エンティティ一覧!$O$2&amp;"."&amp;D$8</f>
        <v>ALTER TABLE ONLY milscm_2023_010.azn_202310_backup_merge_dpc_dn</v>
      </c>
      <c r="AS10" s="76" t="str">
        <f>"ALTER TABLE "&amp;エンティティ一覧!$O$2&amp;"."&amp;D$8&amp;" OWNER TO pgmisgrp1;"</f>
        <v>ALTER TABLE milscm_2023_010.azn_202310_backup_merge_dpc_dn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milscm_2023_010.azn_202310_backup_merge_dpc_dn</v>
      </c>
      <c r="O11" s="76"/>
      <c r="P11" s="76"/>
      <c r="Q11" s="76"/>
      <c r="R11" s="76"/>
      <c r="S11" s="76"/>
      <c r="T11" s="76"/>
      <c r="AJ11" s="76" t="str">
        <f>"ADD CONSTRAINT "&amp;D$8&amp;"_pkey PRIMARY KEY"</f>
        <v>ADD CONSTRAINT azn_202310_backup_merge_dpc_dn_pkey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milscm_2023_010.azn_202310_backup_merge_dpc_dn IS 'バックアップ_DPC調査データ_Dファイル';</v>
      </c>
    </row>
    <row r="13" spans="1:45" s="25" customFormat="1">
      <c r="A13" s="4"/>
      <c r="B13" s="21">
        <f>ROW()-12</f>
        <v>1</v>
      </c>
      <c r="C13" s="13" t="s">
        <v>198</v>
      </c>
      <c r="D13" s="13" t="s">
        <v>199</v>
      </c>
      <c r="E13" s="7"/>
      <c r="F13" s="7" t="s">
        <v>200</v>
      </c>
      <c r="G13" s="7" t="str">
        <f>IF(F13="フラグ","boolean",IF(F13="文字列","text",IF(F13="整数","integer",IF(F13="実数","numeric",""))))</f>
        <v>text</v>
      </c>
      <c r="H13" s="22"/>
      <c r="I13" s="23" t="s">
        <v>127</v>
      </c>
      <c r="J13" s="54" t="s">
        <v>255</v>
      </c>
      <c r="M13" s="4"/>
      <c r="N13" s="76"/>
      <c r="O13" s="76"/>
      <c r="P13" s="76" t="str">
        <f>IF(B13&lt;&gt;1,","&amp;D13,D13)</f>
        <v>torikomi_ym</v>
      </c>
      <c r="Q13" s="76" t="str">
        <f t="shared" ref="Q13:Q46" si="0">UPPER(G13)</f>
        <v>TEXT</v>
      </c>
      <c r="R13" s="76" t="str">
        <f t="shared" ref="R13:R4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milscm_2023_010.azn_202310_backup_merge_dpc_dn.torikomi_ym IS '取込年月';</v>
      </c>
    </row>
    <row r="14" spans="1:45" s="25" customFormat="1">
      <c r="A14" s="4"/>
      <c r="B14" s="21">
        <f t="shared" ref="B14:B45" si="2">ROW()-12</f>
        <v>2</v>
      </c>
      <c r="C14" s="6" t="s">
        <v>201</v>
      </c>
      <c r="D14" s="6" t="s">
        <v>202</v>
      </c>
      <c r="E14" s="8"/>
      <c r="F14" s="8" t="s">
        <v>203</v>
      </c>
      <c r="G14" s="7" t="str">
        <f t="shared" ref="G14:G46" si="3">IF(F14="フラグ","boolean",IF(F14="文字列","text",IF(F14="整数","integer",IF(F14="実数","numeric",""))))</f>
        <v>integer</v>
      </c>
      <c r="H14" s="26"/>
      <c r="I14" s="10"/>
      <c r="J14" s="53" t="s">
        <v>256</v>
      </c>
      <c r="M14" s="4"/>
      <c r="N14" s="76"/>
      <c r="O14" s="76"/>
      <c r="P14" s="76" t="str">
        <f t="shared" ref="P14:P4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milscm_2023_010.azn_202310_backup_merge_dpc_dn.mil_karute_id IS '千年カルテID';</v>
      </c>
    </row>
    <row r="15" spans="1:45" s="25" customFormat="1" ht="37.5">
      <c r="A15" s="4"/>
      <c r="B15" s="21">
        <f t="shared" si="2"/>
        <v>3</v>
      </c>
      <c r="C15" s="6" t="s">
        <v>137</v>
      </c>
      <c r="D15" s="6" t="s">
        <v>128</v>
      </c>
      <c r="E15" s="8" t="s">
        <v>127</v>
      </c>
      <c r="F15" s="8" t="s">
        <v>200</v>
      </c>
      <c r="G15" s="7" t="str">
        <f t="shared" si="3"/>
        <v>text</v>
      </c>
      <c r="H15" s="26"/>
      <c r="I15" s="10" t="s">
        <v>127</v>
      </c>
      <c r="J15" s="53" t="s">
        <v>257</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milscm_2023_010.azn_202310_backup_merge_dpc_dn.facility_id IS '施設ID';</v>
      </c>
    </row>
    <row r="16" spans="1:45" s="25" customFormat="1" ht="93.75">
      <c r="B16" s="21">
        <f t="shared" si="2"/>
        <v>4</v>
      </c>
      <c r="C16" s="6" t="s">
        <v>204</v>
      </c>
      <c r="D16" s="6" t="s">
        <v>205</v>
      </c>
      <c r="E16" s="7" t="s">
        <v>127</v>
      </c>
      <c r="F16" s="7" t="s">
        <v>200</v>
      </c>
      <c r="G16" s="7" t="str">
        <f t="shared" si="3"/>
        <v>text</v>
      </c>
      <c r="H16" s="9"/>
      <c r="I16" s="10" t="s">
        <v>127</v>
      </c>
      <c r="J16" s="53" t="s">
        <v>896</v>
      </c>
      <c r="M16" s="4"/>
      <c r="N16" s="76"/>
      <c r="O16" s="76"/>
      <c r="P16" s="76" t="str">
        <f t="shared" si="4"/>
        <v>,shinryo_ym</v>
      </c>
      <c r="Q16" s="76" t="str">
        <f t="shared" si="0"/>
        <v>TEXT</v>
      </c>
      <c r="R16" s="76" t="str">
        <f t="shared" si="1"/>
        <v/>
      </c>
      <c r="S16" s="76" t="str">
        <f t="shared" ref="S16:S46" si="5">IF(I16="○","NOT NULL","")</f>
        <v>NOT NULL</v>
      </c>
      <c r="T16" s="76" t="str">
        <f t="shared" ref="T16:T46"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milscm_2023_010.azn_202310_backup_merge_dpc_dn.shinryo_ym IS '診療年月';</v>
      </c>
    </row>
    <row r="17" spans="1:45" s="25" customFormat="1">
      <c r="B17" s="21">
        <f t="shared" si="2"/>
        <v>5</v>
      </c>
      <c r="C17" s="6" t="s">
        <v>206</v>
      </c>
      <c r="D17" s="6" t="s">
        <v>207</v>
      </c>
      <c r="E17" s="7"/>
      <c r="F17" s="8" t="s">
        <v>200</v>
      </c>
      <c r="G17" s="7" t="str">
        <f t="shared" si="3"/>
        <v>text</v>
      </c>
      <c r="H17" s="9" t="s">
        <v>258</v>
      </c>
      <c r="I17" s="10" t="s">
        <v>127</v>
      </c>
      <c r="J17" s="53" t="s">
        <v>259</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milscm_2023_010.azn_202310_backup_merge_dpc_dn.data_type IS 'データ種別';</v>
      </c>
    </row>
    <row r="18" spans="1:45" s="25" customFormat="1">
      <c r="B18" s="21">
        <f t="shared" si="2"/>
        <v>6</v>
      </c>
      <c r="C18" s="6" t="s">
        <v>208</v>
      </c>
      <c r="D18" s="6" t="s">
        <v>209</v>
      </c>
      <c r="E18" s="7" t="s">
        <v>127</v>
      </c>
      <c r="F18" s="8" t="s">
        <v>200</v>
      </c>
      <c r="G18" s="7" t="str">
        <f t="shared" si="3"/>
        <v>text</v>
      </c>
      <c r="H18" s="9"/>
      <c r="I18" s="10" t="s">
        <v>127</v>
      </c>
      <c r="J18" s="53"/>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milscm_2023_010.azn_202310_backup_merge_dpc_dn.shikibetsu_no IS 'データ識別番号';</v>
      </c>
    </row>
    <row r="19" spans="1:45" s="25" customFormat="1" ht="37.5">
      <c r="B19" s="21">
        <f t="shared" si="2"/>
        <v>7</v>
      </c>
      <c r="C19" s="6" t="s">
        <v>210</v>
      </c>
      <c r="D19" s="6" t="s">
        <v>211</v>
      </c>
      <c r="E19" s="7" t="s">
        <v>127</v>
      </c>
      <c r="F19" s="7" t="s">
        <v>200</v>
      </c>
      <c r="G19" s="7" t="str">
        <f t="shared" si="3"/>
        <v>text</v>
      </c>
      <c r="H19" s="9"/>
      <c r="I19" s="10" t="s">
        <v>127</v>
      </c>
      <c r="J19" s="53" t="s">
        <v>260</v>
      </c>
      <c r="N19" s="76"/>
      <c r="O19" s="76"/>
      <c r="P19" s="76" t="str">
        <f t="shared" si="4"/>
        <v>,taiin_ymd</v>
      </c>
      <c r="Q19" s="76" t="str">
        <f t="shared" si="0"/>
        <v>TEXT</v>
      </c>
      <c r="R19" s="76" t="str">
        <f t="shared" si="1"/>
        <v/>
      </c>
      <c r="S19" s="76" t="str">
        <f t="shared" si="5"/>
        <v>NOT NULL</v>
      </c>
      <c r="T19" s="76" t="str">
        <f t="shared" si="6"/>
        <v>-- 退院年月日</v>
      </c>
      <c r="U19" s="4"/>
      <c r="AA19" s="4"/>
      <c r="AB19" s="4"/>
      <c r="AC19" s="4"/>
      <c r="AD19" s="4"/>
      <c r="AE19" s="4"/>
      <c r="AF19" s="4"/>
      <c r="AG19" s="4"/>
      <c r="AH19" s="4"/>
      <c r="AI19" s="4"/>
      <c r="AJ19" s="76" t="str">
        <f>IF(E19="○",IF(COUNTA(E$13:E19)=1,"",",")&amp;D19,"")</f>
        <v>,taiin_ymd</v>
      </c>
      <c r="AK19" s="4"/>
      <c r="AL19" s="4"/>
      <c r="AM19" s="4"/>
      <c r="AN19" s="4"/>
      <c r="AO19" s="4"/>
      <c r="AP19" s="4"/>
      <c r="AQ19" s="4"/>
      <c r="AR19" s="4"/>
      <c r="AS19" s="76" t="str">
        <f>"COMMENT ON COLUMN "&amp;エンティティ一覧!$O$2&amp;"."&amp;D$8&amp;"."&amp;D19&amp;" IS '"&amp;C19&amp;"';"</f>
        <v>COMMENT ON COLUMN milscm_2023_010.azn_202310_backup_merge_dpc_dn.taiin_ymd IS '退院年月日';</v>
      </c>
    </row>
    <row r="20" spans="1:45" s="25" customFormat="1">
      <c r="B20" s="21">
        <f t="shared" si="2"/>
        <v>8</v>
      </c>
      <c r="C20" s="6" t="s">
        <v>143</v>
      </c>
      <c r="D20" s="6" t="s">
        <v>156</v>
      </c>
      <c r="E20" s="7" t="s">
        <v>127</v>
      </c>
      <c r="F20" s="7" t="s">
        <v>200</v>
      </c>
      <c r="G20" s="7" t="str">
        <f t="shared" si="3"/>
        <v>text</v>
      </c>
      <c r="H20" s="9"/>
      <c r="I20" s="10" t="s">
        <v>127</v>
      </c>
      <c r="J20" s="53" t="s">
        <v>144</v>
      </c>
      <c r="N20" s="76"/>
      <c r="O20" s="76"/>
      <c r="P20" s="76" t="str">
        <f t="shared" si="4"/>
        <v>,nyuin_ymd</v>
      </c>
      <c r="Q20" s="76" t="str">
        <f t="shared" si="0"/>
        <v>TEXT</v>
      </c>
      <c r="R20" s="76" t="str">
        <f t="shared" si="1"/>
        <v/>
      </c>
      <c r="S20" s="76" t="str">
        <f t="shared" si="5"/>
        <v>NOT NULL</v>
      </c>
      <c r="T20" s="76" t="str">
        <f t="shared" si="6"/>
        <v>-- 入院年月日</v>
      </c>
      <c r="U20" s="4"/>
      <c r="AA20" s="4"/>
      <c r="AB20" s="4"/>
      <c r="AC20" s="4"/>
      <c r="AD20" s="4"/>
      <c r="AE20" s="4"/>
      <c r="AF20" s="4"/>
      <c r="AG20" s="4"/>
      <c r="AH20" s="4"/>
      <c r="AI20" s="4"/>
      <c r="AJ20" s="76" t="str">
        <f>IF(E20="○",IF(COUNTA(E$13:E20)=1,"",",")&amp;D20,"")</f>
        <v>,nyuin_ymd</v>
      </c>
      <c r="AK20" s="4"/>
      <c r="AL20" s="4"/>
      <c r="AM20" s="4"/>
      <c r="AN20" s="4"/>
      <c r="AO20" s="4"/>
      <c r="AP20" s="4"/>
      <c r="AQ20" s="4"/>
      <c r="AR20" s="4"/>
      <c r="AS20" s="76" t="str">
        <f>"COMMENT ON COLUMN "&amp;エンティティ一覧!$O$2&amp;"."&amp;D$8&amp;"."&amp;D20&amp;" IS '"&amp;C20&amp;"';"</f>
        <v>COMMENT ON COLUMN milscm_2023_010.azn_202310_backup_merge_dpc_dn.nyuin_ymd IS '入院年月日';</v>
      </c>
    </row>
    <row r="21" spans="1:45" s="25" customFormat="1">
      <c r="A21" s="4"/>
      <c r="B21" s="21">
        <f t="shared" si="2"/>
        <v>9</v>
      </c>
      <c r="C21" s="6" t="s">
        <v>212</v>
      </c>
      <c r="D21" s="6" t="s">
        <v>213</v>
      </c>
      <c r="E21" s="7" t="s">
        <v>127</v>
      </c>
      <c r="F21" s="7" t="s">
        <v>200</v>
      </c>
      <c r="G21" s="7" t="str">
        <f t="shared" si="3"/>
        <v>text</v>
      </c>
      <c r="H21" s="9"/>
      <c r="I21" s="10" t="s">
        <v>127</v>
      </c>
      <c r="J21" s="53"/>
      <c r="N21" s="76"/>
      <c r="O21" s="76"/>
      <c r="P21" s="76" t="str">
        <f t="shared" si="4"/>
        <v>,data_kubun</v>
      </c>
      <c r="Q21" s="76" t="str">
        <f t="shared" si="0"/>
        <v>TEXT</v>
      </c>
      <c r="R21" s="76" t="str">
        <f t="shared" si="1"/>
        <v/>
      </c>
      <c r="S21" s="76" t="str">
        <f t="shared" si="5"/>
        <v>NOT NULL</v>
      </c>
      <c r="T21" s="76" t="str">
        <f t="shared" si="6"/>
        <v>-- データ区分</v>
      </c>
      <c r="U21" s="4"/>
      <c r="AA21" s="4"/>
      <c r="AB21" s="4"/>
      <c r="AC21" s="4"/>
      <c r="AD21" s="4"/>
      <c r="AE21" s="4"/>
      <c r="AF21" s="4"/>
      <c r="AG21" s="4"/>
      <c r="AH21" s="4"/>
      <c r="AI21" s="4"/>
      <c r="AJ21" s="76" t="str">
        <f>IF(E21="○",IF(COUNTA(E$13:E21)=1,"",",")&amp;D21,"")</f>
        <v>,data_kubun</v>
      </c>
      <c r="AK21" s="4"/>
      <c r="AL21" s="4"/>
      <c r="AM21" s="4"/>
      <c r="AN21" s="4"/>
      <c r="AO21" s="4"/>
      <c r="AP21" s="4"/>
      <c r="AQ21" s="4"/>
      <c r="AR21" s="4"/>
      <c r="AS21" s="76" t="str">
        <f>"COMMENT ON COLUMN "&amp;エンティティ一覧!$O$2&amp;"."&amp;D$8&amp;"."&amp;D21&amp;" IS '"&amp;C21&amp;"';"</f>
        <v>COMMENT ON COLUMN milscm_2023_010.azn_202310_backup_merge_dpc_dn.data_kubun IS 'データ区分';</v>
      </c>
    </row>
    <row r="22" spans="1:45" s="25" customFormat="1">
      <c r="A22" s="4"/>
      <c r="B22" s="21">
        <f t="shared" si="2"/>
        <v>10</v>
      </c>
      <c r="C22" s="14" t="s">
        <v>214</v>
      </c>
      <c r="D22" s="14" t="s">
        <v>215</v>
      </c>
      <c r="E22" s="7" t="s">
        <v>127</v>
      </c>
      <c r="F22" s="7" t="s">
        <v>200</v>
      </c>
      <c r="G22" s="7" t="str">
        <f t="shared" si="3"/>
        <v>text</v>
      </c>
      <c r="H22" s="26"/>
      <c r="I22" s="10" t="s">
        <v>127</v>
      </c>
      <c r="J22" s="53"/>
      <c r="N22" s="76"/>
      <c r="O22" s="76"/>
      <c r="P22" s="76" t="str">
        <f t="shared" si="4"/>
        <v>,junjo_no</v>
      </c>
      <c r="Q22" s="76" t="str">
        <f t="shared" si="0"/>
        <v>TEXT</v>
      </c>
      <c r="R22" s="76" t="str">
        <f t="shared" si="1"/>
        <v/>
      </c>
      <c r="S22" s="76" t="str">
        <f t="shared" si="5"/>
        <v>NOT NULL</v>
      </c>
      <c r="T22" s="76" t="str">
        <f t="shared" si="6"/>
        <v>-- 順序番号</v>
      </c>
      <c r="U22" s="4"/>
      <c r="AA22" s="4"/>
      <c r="AB22" s="4"/>
      <c r="AC22" s="4"/>
      <c r="AD22" s="4"/>
      <c r="AE22" s="4"/>
      <c r="AF22" s="4"/>
      <c r="AG22" s="4"/>
      <c r="AH22" s="4"/>
      <c r="AI22" s="4"/>
      <c r="AJ22" s="76" t="str">
        <f>IF(E22="○",IF(COUNTA(E$13:E22)=1,"",",")&amp;D22,"")</f>
        <v>,junjo_no</v>
      </c>
      <c r="AK22" s="4"/>
      <c r="AL22" s="4"/>
      <c r="AM22" s="4"/>
      <c r="AN22" s="4"/>
      <c r="AO22" s="4"/>
      <c r="AP22" s="4"/>
      <c r="AQ22" s="4"/>
      <c r="AR22" s="4"/>
      <c r="AS22" s="76" t="str">
        <f>"COMMENT ON COLUMN "&amp;エンティティ一覧!$O$2&amp;"."&amp;D$8&amp;"."&amp;D22&amp;" IS '"&amp;C22&amp;"';"</f>
        <v>COMMENT ON COLUMN milscm_2023_010.azn_202310_backup_merge_dpc_dn.junjo_no IS '順序番号';</v>
      </c>
    </row>
    <row r="23" spans="1:45" s="25" customFormat="1">
      <c r="A23" s="4"/>
      <c r="B23" s="21">
        <f t="shared" si="2"/>
        <v>11</v>
      </c>
      <c r="C23" s="14" t="s">
        <v>216</v>
      </c>
      <c r="D23" s="14" t="s">
        <v>217</v>
      </c>
      <c r="E23" s="7"/>
      <c r="F23" s="7" t="s">
        <v>200</v>
      </c>
      <c r="G23" s="7" t="str">
        <f t="shared" si="3"/>
        <v>text</v>
      </c>
      <c r="H23" s="26"/>
      <c r="I23" s="10"/>
      <c r="J23" s="53"/>
      <c r="N23" s="76"/>
      <c r="O23" s="76"/>
      <c r="P23" s="76" t="str">
        <f t="shared" si="4"/>
        <v>,tensu_master_code</v>
      </c>
      <c r="Q23" s="76" t="str">
        <f t="shared" si="0"/>
        <v>TEXT</v>
      </c>
      <c r="R23" s="76" t="str">
        <f t="shared" si="1"/>
        <v/>
      </c>
      <c r="S23" s="76" t="str">
        <f t="shared" si="5"/>
        <v/>
      </c>
      <c r="T23" s="76" t="str">
        <f t="shared" si="6"/>
        <v>-- 病院点数マスタコード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milscm_2023_010.azn_202310_backup_merge_dpc_dn.tensu_master_code IS '病院点数マスタコード';</v>
      </c>
    </row>
    <row r="24" spans="1:45" s="25" customFormat="1">
      <c r="A24" s="4"/>
      <c r="B24" s="21">
        <f t="shared" si="2"/>
        <v>12</v>
      </c>
      <c r="C24" s="6" t="s">
        <v>145</v>
      </c>
      <c r="D24" s="6" t="s">
        <v>154</v>
      </c>
      <c r="E24" s="8"/>
      <c r="F24" s="8" t="s">
        <v>200</v>
      </c>
      <c r="G24" s="7" t="str">
        <f t="shared" si="3"/>
        <v>text</v>
      </c>
      <c r="H24" s="9"/>
      <c r="I24" s="10"/>
      <c r="J24" s="53"/>
      <c r="N24" s="76"/>
      <c r="O24" s="76"/>
      <c r="P24" s="76" t="str">
        <f t="shared" ref="P24:P45" si="7">IF(B24&lt;&gt;1,","&amp;D24,D24)</f>
        <v>,receipt_densan_code</v>
      </c>
      <c r="Q24" s="76" t="str">
        <f t="shared" ref="Q24:Q45" si="8">UPPER(G24)</f>
        <v>TEXT</v>
      </c>
      <c r="R24" s="76" t="str">
        <f t="shared" ref="R24:R45" si="9">IF(H24&lt;&gt;"","default "&amp;IF(G24="text","'"&amp;H24&amp;"'",H24),"")</f>
        <v/>
      </c>
      <c r="S24" s="76" t="str">
        <f t="shared" ref="S24:S45" si="10">IF(I24="○","NOT NULL","")</f>
        <v/>
      </c>
      <c r="T24" s="76" t="str">
        <f t="shared" ref="T24:T45" si="11">"-- "&amp;C24</f>
        <v>-- レセプト電算処理システム用コード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milscm_2023_010.azn_202310_backup_merge_dpc_dn.receipt_densan_code IS 'レセプト電算処理システム用コード';</v>
      </c>
    </row>
    <row r="25" spans="1:45" s="25" customFormat="1">
      <c r="A25" s="4"/>
      <c r="B25" s="21">
        <f t="shared" si="2"/>
        <v>13</v>
      </c>
      <c r="C25" s="6" t="s">
        <v>218</v>
      </c>
      <c r="D25" s="6" t="s">
        <v>219</v>
      </c>
      <c r="E25" s="8"/>
      <c r="F25" s="8" t="s">
        <v>200</v>
      </c>
      <c r="G25" s="7" t="str">
        <f t="shared" si="3"/>
        <v>text</v>
      </c>
      <c r="H25" s="9"/>
      <c r="I25" s="10"/>
      <c r="J25" s="53"/>
      <c r="N25" s="76"/>
      <c r="O25" s="76"/>
      <c r="P25" s="76" t="str">
        <f t="shared" si="7"/>
        <v>,kaishaku_no</v>
      </c>
      <c r="Q25" s="76" t="str">
        <f t="shared" si="8"/>
        <v>TEXT</v>
      </c>
      <c r="R25" s="76" t="str">
        <f t="shared" si="9"/>
        <v/>
      </c>
      <c r="S25" s="76" t="str">
        <f t="shared" si="10"/>
        <v/>
      </c>
      <c r="T25" s="76" t="str">
        <f t="shared" si="11"/>
        <v>-- 解釈番号</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milscm_2023_010.azn_202310_backup_merge_dpc_dn.kaishaku_no IS '解釈番号';</v>
      </c>
    </row>
    <row r="26" spans="1:45" s="25" customFormat="1">
      <c r="A26" s="4"/>
      <c r="B26" s="21">
        <f t="shared" si="2"/>
        <v>14</v>
      </c>
      <c r="C26" s="6" t="s">
        <v>220</v>
      </c>
      <c r="D26" s="6" t="s">
        <v>221</v>
      </c>
      <c r="E26" s="8"/>
      <c r="F26" s="8" t="s">
        <v>200</v>
      </c>
      <c r="G26" s="7" t="str">
        <f t="shared" si="3"/>
        <v>text</v>
      </c>
      <c r="H26" s="9"/>
      <c r="I26" s="10"/>
      <c r="J26" s="53" t="s">
        <v>147</v>
      </c>
      <c r="N26" s="76"/>
      <c r="O26" s="76"/>
      <c r="P26" s="76" t="str">
        <f t="shared" si="7"/>
        <v>,shinryo_koi_name</v>
      </c>
      <c r="Q26" s="76" t="str">
        <f t="shared" si="8"/>
        <v>TEXT</v>
      </c>
      <c r="R26" s="76" t="str">
        <f t="shared" si="9"/>
        <v/>
      </c>
      <c r="S26" s="76" t="str">
        <f t="shared" si="10"/>
        <v/>
      </c>
      <c r="T26" s="76" t="str">
        <f t="shared" si="11"/>
        <v>-- 診療行為名称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milscm_2023_010.azn_202310_backup_merge_dpc_dn.shinryo_koi_name IS '診療行為名称';</v>
      </c>
    </row>
    <row r="27" spans="1:45" s="25" customFormat="1">
      <c r="A27" s="4"/>
      <c r="B27" s="21">
        <f t="shared" si="2"/>
        <v>15</v>
      </c>
      <c r="C27" s="6" t="s">
        <v>222</v>
      </c>
      <c r="D27" s="6" t="s">
        <v>223</v>
      </c>
      <c r="E27" s="8"/>
      <c r="F27" s="8" t="s">
        <v>224</v>
      </c>
      <c r="G27" s="7" t="str">
        <f t="shared" si="3"/>
        <v>numeric</v>
      </c>
      <c r="H27" s="9"/>
      <c r="I27" s="10"/>
      <c r="J27" s="53"/>
      <c r="N27" s="76"/>
      <c r="O27" s="76"/>
      <c r="P27" s="76" t="str">
        <f t="shared" si="7"/>
        <v>,koi_tensu</v>
      </c>
      <c r="Q27" s="76" t="str">
        <f t="shared" si="8"/>
        <v>NUMERIC</v>
      </c>
      <c r="R27" s="76" t="str">
        <f t="shared" si="9"/>
        <v/>
      </c>
      <c r="S27" s="76" t="str">
        <f t="shared" si="10"/>
        <v/>
      </c>
      <c r="T27" s="76" t="str">
        <f t="shared" si="11"/>
        <v>-- 行為点数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milscm_2023_010.azn_202310_backup_merge_dpc_dn.koi_tensu IS '行為点数';</v>
      </c>
    </row>
    <row r="28" spans="1:45" s="25" customFormat="1">
      <c r="A28" s="4"/>
      <c r="B28" s="21">
        <f t="shared" si="2"/>
        <v>16</v>
      </c>
      <c r="C28" s="6" t="s">
        <v>225</v>
      </c>
      <c r="D28" s="6" t="s">
        <v>226</v>
      </c>
      <c r="E28" s="8"/>
      <c r="F28" s="8" t="s">
        <v>224</v>
      </c>
      <c r="G28" s="7" t="str">
        <f t="shared" si="3"/>
        <v>numeric</v>
      </c>
      <c r="H28" s="9"/>
      <c r="I28" s="10"/>
      <c r="J28" s="53"/>
      <c r="N28" s="76"/>
      <c r="O28" s="76"/>
      <c r="P28" s="76" t="str">
        <f t="shared" si="7"/>
        <v>,koi_yakuzai</v>
      </c>
      <c r="Q28" s="76" t="str">
        <f t="shared" si="8"/>
        <v>NUMERIC</v>
      </c>
      <c r="R28" s="76" t="str">
        <f t="shared" si="9"/>
        <v/>
      </c>
      <c r="S28" s="76" t="str">
        <f t="shared" si="10"/>
        <v/>
      </c>
      <c r="T28" s="76" t="str">
        <f t="shared" si="11"/>
        <v>-- 行為薬剤料</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milscm_2023_010.azn_202310_backup_merge_dpc_dn.koi_yakuzai IS '行為薬剤料';</v>
      </c>
    </row>
    <row r="29" spans="1:45" s="25" customFormat="1">
      <c r="A29" s="4"/>
      <c r="B29" s="21">
        <f t="shared" si="2"/>
        <v>17</v>
      </c>
      <c r="C29" s="6" t="s">
        <v>227</v>
      </c>
      <c r="D29" s="6" t="s">
        <v>228</v>
      </c>
      <c r="E29" s="8"/>
      <c r="F29" s="8" t="s">
        <v>224</v>
      </c>
      <c r="G29" s="7" t="str">
        <f t="shared" si="3"/>
        <v>numeric</v>
      </c>
      <c r="H29" s="9"/>
      <c r="I29" s="10"/>
      <c r="J29" s="53"/>
      <c r="N29" s="76"/>
      <c r="O29" s="76"/>
      <c r="P29" s="76" t="str">
        <f t="shared" si="7"/>
        <v>,koi_zairyo</v>
      </c>
      <c r="Q29" s="76" t="str">
        <f t="shared" si="8"/>
        <v>NUMERIC</v>
      </c>
      <c r="R29" s="76" t="str">
        <f t="shared" si="9"/>
        <v/>
      </c>
      <c r="S29" s="76" t="str">
        <f t="shared" si="10"/>
        <v/>
      </c>
      <c r="T29" s="76" t="str">
        <f t="shared" si="11"/>
        <v>-- 行為材料料</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milscm_2023_010.azn_202310_backup_merge_dpc_dn.koi_zairyo IS '行為材料料';</v>
      </c>
    </row>
    <row r="30" spans="1:45" s="25" customFormat="1">
      <c r="A30" s="4"/>
      <c r="B30" s="21">
        <f t="shared" si="2"/>
        <v>18</v>
      </c>
      <c r="C30" s="6" t="s">
        <v>151</v>
      </c>
      <c r="D30" s="6" t="s">
        <v>131</v>
      </c>
      <c r="E30" s="8"/>
      <c r="F30" s="8" t="s">
        <v>200</v>
      </c>
      <c r="G30" s="7" t="str">
        <f t="shared" si="3"/>
        <v>text</v>
      </c>
      <c r="H30" s="9"/>
      <c r="I30" s="10"/>
      <c r="J30" s="53" t="s">
        <v>152</v>
      </c>
      <c r="N30" s="76"/>
      <c r="O30" s="76"/>
      <c r="P30" s="76" t="str">
        <f t="shared" si="7"/>
        <v>,ten_kubun</v>
      </c>
      <c r="Q30" s="76" t="str">
        <f t="shared" si="8"/>
        <v>TEXT</v>
      </c>
      <c r="R30" s="76" t="str">
        <f t="shared" si="9"/>
        <v/>
      </c>
      <c r="S30" s="76" t="str">
        <f t="shared" si="10"/>
        <v/>
      </c>
      <c r="T30" s="76" t="str">
        <f t="shared" si="11"/>
        <v>-- 円・点区分</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milscm_2023_010.azn_202310_backup_merge_dpc_dn.ten_kubun IS '円・点区分';</v>
      </c>
    </row>
    <row r="31" spans="1:45" s="25" customFormat="1">
      <c r="A31" s="4"/>
      <c r="B31" s="21">
        <f t="shared" si="2"/>
        <v>19</v>
      </c>
      <c r="C31" s="6" t="s">
        <v>148</v>
      </c>
      <c r="D31" s="6" t="s">
        <v>133</v>
      </c>
      <c r="E31" s="8"/>
      <c r="F31" s="8" t="s">
        <v>224</v>
      </c>
      <c r="G31" s="7" t="str">
        <f t="shared" si="3"/>
        <v>numeric</v>
      </c>
      <c r="H31" s="9"/>
      <c r="I31" s="10"/>
      <c r="J31" s="53"/>
      <c r="N31" s="76"/>
      <c r="O31" s="76"/>
      <c r="P31" s="76" t="str">
        <f t="shared" si="7"/>
        <v>,koi_times</v>
      </c>
      <c r="Q31" s="76" t="str">
        <f t="shared" si="8"/>
        <v>NUMERIC</v>
      </c>
      <c r="R31" s="76" t="str">
        <f t="shared" si="9"/>
        <v/>
      </c>
      <c r="S31" s="76" t="str">
        <f t="shared" si="10"/>
        <v/>
      </c>
      <c r="T31" s="76" t="str">
        <f t="shared" si="11"/>
        <v>-- 行為回数</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milscm_2023_010.azn_202310_backup_merge_dpc_dn.koi_times IS '行為回数';</v>
      </c>
    </row>
    <row r="32" spans="1:45" s="25" customFormat="1">
      <c r="A32" s="4"/>
      <c r="B32" s="21">
        <f t="shared" si="2"/>
        <v>20</v>
      </c>
      <c r="C32" s="6" t="s">
        <v>229</v>
      </c>
      <c r="D32" s="6" t="s">
        <v>230</v>
      </c>
      <c r="E32" s="8"/>
      <c r="F32" s="8" t="s">
        <v>200</v>
      </c>
      <c r="G32" s="7" t="str">
        <f t="shared" si="3"/>
        <v>text</v>
      </c>
      <c r="H32" s="9"/>
      <c r="I32" s="10"/>
      <c r="J32" s="53"/>
      <c r="N32" s="76"/>
      <c r="O32" s="76"/>
      <c r="P32" s="76" t="str">
        <f t="shared" si="7"/>
        <v>,hoken_no</v>
      </c>
      <c r="Q32" s="76" t="str">
        <f t="shared" si="8"/>
        <v>TEXT</v>
      </c>
      <c r="R32" s="76" t="str">
        <f t="shared" si="9"/>
        <v/>
      </c>
      <c r="S32" s="76" t="str">
        <f t="shared" si="10"/>
        <v/>
      </c>
      <c r="T32" s="76" t="str">
        <f t="shared" si="11"/>
        <v>-- 保険者番号</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milscm_2023_010.azn_202310_backup_merge_dpc_dn.hoken_no IS '保険者番号';</v>
      </c>
    </row>
    <row r="33" spans="1:45" s="25" customFormat="1">
      <c r="A33" s="4"/>
      <c r="B33" s="21">
        <f t="shared" si="2"/>
        <v>21</v>
      </c>
      <c r="C33" s="6" t="s">
        <v>231</v>
      </c>
      <c r="D33" s="6" t="s">
        <v>232</v>
      </c>
      <c r="E33" s="8"/>
      <c r="F33" s="8" t="s">
        <v>200</v>
      </c>
      <c r="G33" s="7" t="str">
        <f t="shared" si="3"/>
        <v>text</v>
      </c>
      <c r="H33" s="9"/>
      <c r="I33" s="10"/>
      <c r="J33" s="53"/>
      <c r="N33" s="76"/>
      <c r="O33" s="76"/>
      <c r="P33" s="76" t="str">
        <f t="shared" si="7"/>
        <v>,receipt_type_code</v>
      </c>
      <c r="Q33" s="76" t="str">
        <f t="shared" si="8"/>
        <v>TEXT</v>
      </c>
      <c r="R33" s="76" t="str">
        <f t="shared" si="9"/>
        <v/>
      </c>
      <c r="S33" s="76" t="str">
        <f t="shared" si="10"/>
        <v/>
      </c>
      <c r="T33" s="76" t="str">
        <f t="shared" si="11"/>
        <v>-- レセプト種別コード</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milscm_2023_010.azn_202310_backup_merge_dpc_dn.receipt_type_code IS 'レセプト種別コード';</v>
      </c>
    </row>
    <row r="34" spans="1:45" s="25" customFormat="1">
      <c r="A34" s="4"/>
      <c r="B34" s="21">
        <f t="shared" si="2"/>
        <v>22</v>
      </c>
      <c r="C34" s="6" t="s">
        <v>149</v>
      </c>
      <c r="D34" s="6" t="s">
        <v>155</v>
      </c>
      <c r="E34" s="8"/>
      <c r="F34" s="8" t="s">
        <v>200</v>
      </c>
      <c r="G34" s="7" t="str">
        <f t="shared" si="3"/>
        <v>text</v>
      </c>
      <c r="H34" s="9"/>
      <c r="I34" s="10"/>
      <c r="J34" s="53" t="s">
        <v>144</v>
      </c>
      <c r="N34" s="76"/>
      <c r="O34" s="76"/>
      <c r="P34" s="76" t="str">
        <f t="shared" si="7"/>
        <v>,jisshi_ymd</v>
      </c>
      <c r="Q34" s="76" t="str">
        <f t="shared" si="8"/>
        <v>TEXT</v>
      </c>
      <c r="R34" s="76" t="str">
        <f t="shared" si="9"/>
        <v/>
      </c>
      <c r="S34" s="76" t="str">
        <f t="shared" si="10"/>
        <v/>
      </c>
      <c r="T34" s="76" t="str">
        <f t="shared" si="11"/>
        <v>-- 実施年月日</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milscm_2023_010.azn_202310_backup_merge_dpc_dn.jisshi_ymd IS '実施年月日';</v>
      </c>
    </row>
    <row r="35" spans="1:45" s="25" customFormat="1">
      <c r="A35" s="4"/>
      <c r="B35" s="21">
        <f t="shared" si="2"/>
        <v>23</v>
      </c>
      <c r="C35" s="6" t="s">
        <v>233</v>
      </c>
      <c r="D35" s="6" t="s">
        <v>234</v>
      </c>
      <c r="E35" s="8"/>
      <c r="F35" s="8" t="s">
        <v>200</v>
      </c>
      <c r="G35" s="7" t="str">
        <f t="shared" si="3"/>
        <v>text</v>
      </c>
      <c r="H35" s="9"/>
      <c r="I35" s="10"/>
      <c r="J35" s="53"/>
      <c r="N35" s="76"/>
      <c r="O35" s="76"/>
      <c r="P35" s="76" t="str">
        <f t="shared" si="7"/>
        <v>,receipt_ka_kubun</v>
      </c>
      <c r="Q35" s="76" t="str">
        <f t="shared" si="8"/>
        <v>TEXT</v>
      </c>
      <c r="R35" s="76" t="str">
        <f t="shared" si="9"/>
        <v/>
      </c>
      <c r="S35" s="76" t="str">
        <f t="shared" si="10"/>
        <v/>
      </c>
      <c r="T35" s="76" t="str">
        <f t="shared" si="11"/>
        <v>-- レセプト科区分</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milscm_2023_010.azn_202310_backup_merge_dpc_dn.receipt_ka_kubun IS 'レセプト科区分';</v>
      </c>
    </row>
    <row r="36" spans="1:45" s="25" customFormat="1">
      <c r="A36" s="4"/>
      <c r="B36" s="21">
        <f t="shared" si="2"/>
        <v>24</v>
      </c>
      <c r="C36" s="6" t="s">
        <v>134</v>
      </c>
      <c r="D36" s="6" t="s">
        <v>135</v>
      </c>
      <c r="E36" s="8"/>
      <c r="F36" s="8" t="s">
        <v>200</v>
      </c>
      <c r="G36" s="7" t="str">
        <f t="shared" si="3"/>
        <v>text</v>
      </c>
      <c r="H36" s="9"/>
      <c r="I36" s="10"/>
      <c r="J36" s="53"/>
      <c r="N36" s="76"/>
      <c r="O36" s="76"/>
      <c r="P36" s="76" t="str">
        <f t="shared" si="7"/>
        <v>,department_kubun</v>
      </c>
      <c r="Q36" s="76" t="str">
        <f t="shared" si="8"/>
        <v>TEXT</v>
      </c>
      <c r="R36" s="76" t="str">
        <f t="shared" si="9"/>
        <v/>
      </c>
      <c r="S36" s="76" t="str">
        <f t="shared" si="10"/>
        <v/>
      </c>
      <c r="T36" s="76" t="str">
        <f t="shared" si="11"/>
        <v>-- 診療科区分</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milscm_2023_010.azn_202310_backup_merge_dpc_dn.department_kubun IS '診療科区分';</v>
      </c>
    </row>
    <row r="37" spans="1:45" s="25" customFormat="1">
      <c r="A37" s="4"/>
      <c r="B37" s="21">
        <f t="shared" si="2"/>
        <v>25</v>
      </c>
      <c r="C37" s="6" t="s">
        <v>235</v>
      </c>
      <c r="D37" s="6" t="s">
        <v>236</v>
      </c>
      <c r="E37" s="8"/>
      <c r="F37" s="8" t="s">
        <v>200</v>
      </c>
      <c r="G37" s="7" t="str">
        <f t="shared" si="3"/>
        <v>text</v>
      </c>
      <c r="H37" s="9"/>
      <c r="I37" s="10"/>
      <c r="J37" s="53"/>
      <c r="N37" s="76"/>
      <c r="O37" s="76"/>
      <c r="P37" s="76" t="str">
        <f t="shared" si="7"/>
        <v>,doctor_code</v>
      </c>
      <c r="Q37" s="76" t="str">
        <f t="shared" si="8"/>
        <v>TEXT</v>
      </c>
      <c r="R37" s="76" t="str">
        <f t="shared" si="9"/>
        <v/>
      </c>
      <c r="S37" s="76" t="str">
        <f t="shared" si="10"/>
        <v/>
      </c>
      <c r="T37" s="76" t="str">
        <f t="shared" si="11"/>
        <v>-- 医師コード</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milscm_2023_010.azn_202310_backup_merge_dpc_dn.doctor_code IS '医師コード';</v>
      </c>
    </row>
    <row r="38" spans="1:45" s="25" customFormat="1">
      <c r="A38" s="4"/>
      <c r="B38" s="21">
        <f t="shared" si="2"/>
        <v>26</v>
      </c>
      <c r="C38" s="6" t="s">
        <v>237</v>
      </c>
      <c r="D38" s="6" t="s">
        <v>238</v>
      </c>
      <c r="E38" s="8"/>
      <c r="F38" s="8" t="s">
        <v>200</v>
      </c>
      <c r="G38" s="7" t="str">
        <f t="shared" si="3"/>
        <v>text</v>
      </c>
      <c r="H38" s="9"/>
      <c r="I38" s="10"/>
      <c r="J38" s="53"/>
      <c r="N38" s="76"/>
      <c r="O38" s="76"/>
      <c r="P38" s="76" t="str">
        <f t="shared" si="7"/>
        <v>,ward_code</v>
      </c>
      <c r="Q38" s="76" t="str">
        <f t="shared" si="8"/>
        <v>TEXT</v>
      </c>
      <c r="R38" s="76" t="str">
        <f t="shared" si="9"/>
        <v/>
      </c>
      <c r="S38" s="76" t="str">
        <f t="shared" si="10"/>
        <v/>
      </c>
      <c r="T38" s="76" t="str">
        <f t="shared" si="11"/>
        <v>-- 病棟コード</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milscm_2023_010.azn_202310_backup_merge_dpc_dn.ward_code IS '病棟コード';</v>
      </c>
    </row>
    <row r="39" spans="1:45" s="25" customFormat="1">
      <c r="A39" s="4"/>
      <c r="B39" s="21">
        <f t="shared" si="2"/>
        <v>27</v>
      </c>
      <c r="C39" s="6" t="s">
        <v>239</v>
      </c>
      <c r="D39" s="6" t="s">
        <v>240</v>
      </c>
      <c r="E39" s="8"/>
      <c r="F39" s="8" t="s">
        <v>200</v>
      </c>
      <c r="G39" s="7" t="str">
        <f t="shared" si="3"/>
        <v>text</v>
      </c>
      <c r="H39" s="9"/>
      <c r="I39" s="10"/>
      <c r="J39" s="53" t="s">
        <v>261</v>
      </c>
      <c r="N39" s="76"/>
      <c r="O39" s="76"/>
      <c r="P39" s="76" t="str">
        <f t="shared" si="7"/>
        <v>,ward_kubun</v>
      </c>
      <c r="Q39" s="76" t="str">
        <f t="shared" si="8"/>
        <v>TEXT</v>
      </c>
      <c r="R39" s="76" t="str">
        <f t="shared" si="9"/>
        <v/>
      </c>
      <c r="S39" s="76" t="str">
        <f t="shared" si="10"/>
        <v/>
      </c>
      <c r="T39" s="76" t="str">
        <f t="shared" si="11"/>
        <v>-- 病棟区分</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milscm_2023_010.azn_202310_backup_merge_dpc_dn.ward_kubun IS '病棟区分';</v>
      </c>
    </row>
    <row r="40" spans="1:45" s="25" customFormat="1">
      <c r="A40" s="4"/>
      <c r="B40" s="21">
        <f t="shared" si="2"/>
        <v>28</v>
      </c>
      <c r="C40" s="6" t="s">
        <v>241</v>
      </c>
      <c r="D40" s="6" t="s">
        <v>242</v>
      </c>
      <c r="E40" s="8"/>
      <c r="F40" s="8" t="s">
        <v>200</v>
      </c>
      <c r="G40" s="7" t="str">
        <f t="shared" si="3"/>
        <v>text</v>
      </c>
      <c r="H40" s="9"/>
      <c r="I40" s="10"/>
      <c r="J40" s="53" t="s">
        <v>262</v>
      </c>
      <c r="N40" s="76"/>
      <c r="O40" s="76"/>
      <c r="P40" s="76" t="str">
        <f t="shared" si="7"/>
        <v>,nyugai_kubun</v>
      </c>
      <c r="Q40" s="76" t="str">
        <f t="shared" si="8"/>
        <v>TEXT</v>
      </c>
      <c r="R40" s="76" t="str">
        <f t="shared" si="9"/>
        <v/>
      </c>
      <c r="S40" s="76" t="str">
        <f t="shared" si="10"/>
        <v/>
      </c>
      <c r="T40" s="76" t="str">
        <f t="shared" si="11"/>
        <v>-- 入外区分</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milscm_2023_010.azn_202310_backup_merge_dpc_dn.nyugai_kubun IS '入外区分';</v>
      </c>
    </row>
    <row r="41" spans="1:45" s="25" customFormat="1">
      <c r="A41" s="4"/>
      <c r="B41" s="21">
        <f t="shared" si="2"/>
        <v>29</v>
      </c>
      <c r="C41" s="6" t="s">
        <v>243</v>
      </c>
      <c r="D41" s="6" t="s">
        <v>244</v>
      </c>
      <c r="E41" s="8"/>
      <c r="F41" s="8" t="s">
        <v>200</v>
      </c>
      <c r="G41" s="7" t="str">
        <f t="shared" si="3"/>
        <v>text</v>
      </c>
      <c r="H41" s="9"/>
      <c r="I41" s="10"/>
      <c r="J41" s="53"/>
      <c r="N41" s="76"/>
      <c r="O41" s="76"/>
      <c r="P41" s="76" t="str">
        <f t="shared" si="7"/>
        <v>,facility_type</v>
      </c>
      <c r="Q41" s="76" t="str">
        <f t="shared" si="8"/>
        <v>TEXT</v>
      </c>
      <c r="R41" s="76" t="str">
        <f t="shared" si="9"/>
        <v/>
      </c>
      <c r="S41" s="76" t="str">
        <f t="shared" si="10"/>
        <v/>
      </c>
      <c r="T41" s="76" t="str">
        <f t="shared" si="11"/>
        <v>-- 施設タイプ</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milscm_2023_010.azn_202310_backup_merge_dpc_dn.facility_type IS '施設タイプ';</v>
      </c>
    </row>
    <row r="42" spans="1:45" s="25" customFormat="1">
      <c r="A42" s="4"/>
      <c r="B42" s="21">
        <f t="shared" si="2"/>
        <v>30</v>
      </c>
      <c r="C42" s="6" t="s">
        <v>245</v>
      </c>
      <c r="D42" s="6" t="s">
        <v>246</v>
      </c>
      <c r="E42" s="8"/>
      <c r="F42" s="8" t="s">
        <v>200</v>
      </c>
      <c r="G42" s="7" t="str">
        <f t="shared" si="3"/>
        <v>text</v>
      </c>
      <c r="H42" s="9"/>
      <c r="I42" s="10"/>
      <c r="J42" s="53" t="s">
        <v>144</v>
      </c>
      <c r="N42" s="76"/>
      <c r="O42" s="76"/>
      <c r="P42" s="76" t="str">
        <f t="shared" si="7"/>
        <v>,santei_start_ymd</v>
      </c>
      <c r="Q42" s="76" t="str">
        <f t="shared" si="8"/>
        <v>TEXT</v>
      </c>
      <c r="R42" s="76" t="str">
        <f t="shared" si="9"/>
        <v/>
      </c>
      <c r="S42" s="76" t="str">
        <f t="shared" si="10"/>
        <v/>
      </c>
      <c r="T42" s="76" t="str">
        <f t="shared" si="11"/>
        <v>-- 算定開始日</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milscm_2023_010.azn_202310_backup_merge_dpc_dn.santei_start_ymd IS '算定開始日';</v>
      </c>
    </row>
    <row r="43" spans="1:45" s="25" customFormat="1">
      <c r="A43" s="4"/>
      <c r="B43" s="21">
        <f t="shared" si="2"/>
        <v>31</v>
      </c>
      <c r="C43" s="6" t="s">
        <v>247</v>
      </c>
      <c r="D43" s="6" t="s">
        <v>248</v>
      </c>
      <c r="E43" s="8"/>
      <c r="F43" s="8" t="s">
        <v>200</v>
      </c>
      <c r="G43" s="7" t="str">
        <f t="shared" si="3"/>
        <v>text</v>
      </c>
      <c r="H43" s="9"/>
      <c r="I43" s="10"/>
      <c r="J43" s="53" t="s">
        <v>144</v>
      </c>
      <c r="N43" s="76"/>
      <c r="O43" s="76"/>
      <c r="P43" s="76" t="str">
        <f t="shared" si="7"/>
        <v>,santei_end_ymd</v>
      </c>
      <c r="Q43" s="76" t="str">
        <f t="shared" si="8"/>
        <v>TEXT</v>
      </c>
      <c r="R43" s="76" t="str">
        <f t="shared" si="9"/>
        <v/>
      </c>
      <c r="S43" s="76" t="str">
        <f t="shared" si="10"/>
        <v/>
      </c>
      <c r="T43" s="76" t="str">
        <f t="shared" si="11"/>
        <v>-- 算定終了日</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milscm_2023_010.azn_202310_backup_merge_dpc_dn.santei_end_ymd IS '算定終了日';</v>
      </c>
    </row>
    <row r="44" spans="1:45" s="25" customFormat="1">
      <c r="A44" s="4"/>
      <c r="B44" s="21">
        <f t="shared" si="2"/>
        <v>32</v>
      </c>
      <c r="C44" s="6" t="s">
        <v>249</v>
      </c>
      <c r="D44" s="6" t="s">
        <v>250</v>
      </c>
      <c r="E44" s="8"/>
      <c r="F44" s="8" t="s">
        <v>200</v>
      </c>
      <c r="G44" s="7" t="str">
        <f t="shared" si="3"/>
        <v>text</v>
      </c>
      <c r="H44" s="9"/>
      <c r="I44" s="10"/>
      <c r="J44" s="53" t="s">
        <v>144</v>
      </c>
      <c r="N44" s="76"/>
      <c r="O44" s="76"/>
      <c r="P44" s="76" t="str">
        <f t="shared" si="7"/>
        <v>,santei_kisan_ymd</v>
      </c>
      <c r="Q44" s="76" t="str">
        <f t="shared" si="8"/>
        <v>TEXT</v>
      </c>
      <c r="R44" s="76" t="str">
        <f t="shared" si="9"/>
        <v/>
      </c>
      <c r="S44" s="76" t="str">
        <f t="shared" si="10"/>
        <v/>
      </c>
      <c r="T44" s="76" t="str">
        <f t="shared" si="11"/>
        <v>-- 算定起算日</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milscm_2023_010.azn_202310_backup_merge_dpc_dn.santei_kisan_ymd IS '算定起算日';</v>
      </c>
    </row>
    <row r="45" spans="1:45" s="25" customFormat="1">
      <c r="A45" s="4"/>
      <c r="B45" s="21">
        <f t="shared" si="2"/>
        <v>33</v>
      </c>
      <c r="C45" s="6" t="s">
        <v>251</v>
      </c>
      <c r="D45" s="6" t="s">
        <v>252</v>
      </c>
      <c r="E45" s="8"/>
      <c r="F45" s="8" t="s">
        <v>200</v>
      </c>
      <c r="G45" s="7" t="str">
        <f t="shared" si="3"/>
        <v>text</v>
      </c>
      <c r="H45" s="9"/>
      <c r="I45" s="10"/>
      <c r="J45" s="53"/>
      <c r="N45" s="76"/>
      <c r="O45" s="76"/>
      <c r="P45" s="76" t="str">
        <f t="shared" si="7"/>
        <v>,bunrui_no</v>
      </c>
      <c r="Q45" s="76" t="str">
        <f t="shared" si="8"/>
        <v>TEXT</v>
      </c>
      <c r="R45" s="76" t="str">
        <f t="shared" si="9"/>
        <v/>
      </c>
      <c r="S45" s="76" t="str">
        <f t="shared" si="10"/>
        <v/>
      </c>
      <c r="T45" s="76" t="str">
        <f t="shared" si="11"/>
        <v>-- 分類番号</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milscm_2023_010.azn_202310_backup_merge_dpc_dn.bunrui_no IS '分類番号';</v>
      </c>
    </row>
    <row r="46" spans="1:45" s="25" customFormat="1" ht="38.25" thickBot="1">
      <c r="A46" s="4"/>
      <c r="B46" s="27">
        <f>ROW()-12</f>
        <v>34</v>
      </c>
      <c r="C46" s="28" t="s">
        <v>253</v>
      </c>
      <c r="D46" s="28" t="s">
        <v>254</v>
      </c>
      <c r="E46" s="29"/>
      <c r="F46" s="29" t="s">
        <v>200</v>
      </c>
      <c r="G46" s="56" t="str">
        <f t="shared" si="3"/>
        <v>text</v>
      </c>
      <c r="H46" s="30"/>
      <c r="I46" s="31"/>
      <c r="J46" s="55" t="s">
        <v>263</v>
      </c>
      <c r="N46" s="76"/>
      <c r="O46" s="76"/>
      <c r="P46" s="76" t="str">
        <f t="shared" si="4"/>
        <v>,hospital_keisu</v>
      </c>
      <c r="Q46" s="76" t="str">
        <f t="shared" si="0"/>
        <v>TEXT</v>
      </c>
      <c r="R46" s="76" t="str">
        <f t="shared" si="1"/>
        <v/>
      </c>
      <c r="S46" s="76" t="str">
        <f t="shared" si="5"/>
        <v/>
      </c>
      <c r="T46" s="76" t="str">
        <f t="shared" si="6"/>
        <v>-- 医療機関係数</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milscm_2023_010.azn_202310_backup_merge_dpc_dn.hospital_keisu IS '医療機関係数';</v>
      </c>
    </row>
    <row r="47" spans="1:45">
      <c r="M47" s="25"/>
      <c r="N47" s="76" t="s">
        <v>142</v>
      </c>
      <c r="O47" s="76"/>
      <c r="P47" s="76"/>
      <c r="Q47" s="76"/>
      <c r="R47" s="76"/>
      <c r="S47" s="76"/>
      <c r="T47" s="76"/>
      <c r="V47" s="25"/>
      <c r="W47" s="25"/>
      <c r="X47" s="25"/>
      <c r="Y47" s="25"/>
      <c r="Z47" s="25"/>
      <c r="AJ47" s="76" t="s">
        <v>142</v>
      </c>
    </row>
    <row r="48" spans="1:45">
      <c r="M48" s="25"/>
      <c r="V48" s="25"/>
      <c r="W48" s="25"/>
      <c r="X48" s="25"/>
      <c r="Y48" s="25"/>
      <c r="Z48" s="25"/>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H1:I1"/>
    <mergeCell ref="H2:I2"/>
    <mergeCell ref="D1:G1"/>
    <mergeCell ref="D2:G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U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ENT_01_C1-02</v>
      </c>
      <c r="E6" s="272"/>
      <c r="F6" s="272"/>
      <c r="G6" s="272"/>
      <c r="H6" s="272"/>
      <c r="I6" s="272"/>
      <c r="J6" s="273"/>
    </row>
    <row r="7" spans="1:45">
      <c r="B7" s="261" t="s">
        <v>115</v>
      </c>
      <c r="C7" s="262"/>
      <c r="D7" s="263" t="s">
        <v>191</v>
      </c>
      <c r="E7" s="264"/>
      <c r="F7" s="264"/>
      <c r="G7" s="264"/>
      <c r="H7" s="264"/>
      <c r="I7" s="264"/>
      <c r="J7" s="265"/>
    </row>
    <row r="8" spans="1:45">
      <c r="B8" s="261" t="s">
        <v>116</v>
      </c>
      <c r="C8" s="262"/>
      <c r="D8" s="263" t="str">
        <f>エンティティ一覧!AE2&amp;"_"&amp;D5&amp;"_merge_dpc_efn"</f>
        <v>azn_202310_backup_merge_dpc_efn</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DPC調査データ_入院EF統合ファイルテーブルから組入れ条件の第一条件で絞り込んだ結果を格納するテーブル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milscm_2023_010.azn_202310_backup_merge_dpc_efn;</v>
      </c>
      <c r="O10" s="76"/>
      <c r="P10" s="76"/>
      <c r="Q10" s="76"/>
      <c r="R10" s="76"/>
      <c r="S10" s="76"/>
      <c r="T10" s="76"/>
      <c r="AJ10" s="76" t="str">
        <f>"ALTER TABLE ONLY "&amp;エンティティ一覧!$O$2&amp;"."&amp;D$8</f>
        <v>ALTER TABLE ONLY milscm_2023_010.azn_202310_backup_merge_dpc_efn</v>
      </c>
      <c r="AS10" s="76" t="str">
        <f>"ALTER TABLE "&amp;エンティティ一覧!$O$2&amp;"."&amp;D$8&amp;" OWNER TO pgmisgrp1;"</f>
        <v>ALTER TABLE milscm_2023_010.azn_202310_backup_merge_dpc_efn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milscm_2023_010.azn_202310_backup_merge_dpc_efn</v>
      </c>
      <c r="O11" s="76"/>
      <c r="P11" s="76"/>
      <c r="Q11" s="76"/>
      <c r="R11" s="76"/>
      <c r="S11" s="76"/>
      <c r="T11" s="76"/>
      <c r="AJ11" s="76" t="str">
        <f>"ADD CONSTRAINT "&amp;D$8&amp;"_pkey PRIMARY KEY"</f>
        <v>ADD CONSTRAINT azn_202310_backup_merge_dpc_efn_pkey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milscm_2023_010.azn_202310_backup_merge_dpc_efn IS 'バックアップ_DPC調査データ_入院EF統合ファイル';</v>
      </c>
    </row>
    <row r="13" spans="1:45" s="25" customFormat="1">
      <c r="A13" s="4"/>
      <c r="B13" s="21">
        <f>ROW()-12</f>
        <v>1</v>
      </c>
      <c r="C13" s="13" t="s">
        <v>198</v>
      </c>
      <c r="D13" s="13" t="s">
        <v>199</v>
      </c>
      <c r="E13" s="7"/>
      <c r="F13" s="7" t="s">
        <v>200</v>
      </c>
      <c r="G13" s="7" t="str">
        <f>IF(F13="フラグ","boolean",IF(F13="文字列","text",IF(F13="整数","integer",IF(F13="実数","numeric",""))))</f>
        <v>text</v>
      </c>
      <c r="H13" s="22"/>
      <c r="I13" s="23" t="s">
        <v>127</v>
      </c>
      <c r="J13" s="54" t="s">
        <v>255</v>
      </c>
      <c r="M13" s="4"/>
      <c r="N13" s="76"/>
      <c r="O13" s="76"/>
      <c r="P13" s="76" t="str">
        <f>IF(B13&lt;&gt;1,","&amp;D13,D13)</f>
        <v>torikomi_ym</v>
      </c>
      <c r="Q13" s="76" t="str">
        <f t="shared" ref="Q13:Q46" si="0">UPPER(G13)</f>
        <v>TEXT</v>
      </c>
      <c r="R13" s="76" t="str">
        <f t="shared" ref="R13:R4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milscm_2023_010.azn_202310_backup_merge_dpc_efn.torikomi_ym IS '取込年月';</v>
      </c>
    </row>
    <row r="14" spans="1:45" s="25" customFormat="1">
      <c r="A14" s="4"/>
      <c r="B14" s="21">
        <f t="shared" ref="B14:B46" si="2">ROW()-12</f>
        <v>2</v>
      </c>
      <c r="C14" s="6" t="s">
        <v>201</v>
      </c>
      <c r="D14" s="6" t="s">
        <v>202</v>
      </c>
      <c r="E14" s="8"/>
      <c r="F14" s="8" t="s">
        <v>203</v>
      </c>
      <c r="G14" s="7" t="str">
        <f t="shared" ref="G14:G47" si="3">IF(F14="フラグ","boolean",IF(F14="文字列","text",IF(F14="整数","integer",IF(F14="実数","numeric",""))))</f>
        <v>integer</v>
      </c>
      <c r="H14" s="26"/>
      <c r="I14" s="10"/>
      <c r="J14" s="53" t="s">
        <v>256</v>
      </c>
      <c r="M14" s="4"/>
      <c r="N14" s="76"/>
      <c r="O14" s="76"/>
      <c r="P14" s="76" t="str">
        <f t="shared" ref="P14:P4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milscm_2023_010.azn_202310_backup_merge_dpc_efn.mil_karute_id IS '千年カルテID';</v>
      </c>
    </row>
    <row r="15" spans="1:45" s="25" customFormat="1" ht="37.5">
      <c r="A15" s="4"/>
      <c r="B15" s="21">
        <f t="shared" si="2"/>
        <v>3</v>
      </c>
      <c r="C15" s="6" t="s">
        <v>137</v>
      </c>
      <c r="D15" s="6" t="s">
        <v>128</v>
      </c>
      <c r="E15" s="8" t="s">
        <v>127</v>
      </c>
      <c r="F15" s="8" t="s">
        <v>200</v>
      </c>
      <c r="G15" s="7" t="str">
        <f t="shared" si="3"/>
        <v>text</v>
      </c>
      <c r="H15" s="26"/>
      <c r="I15" s="10" t="s">
        <v>127</v>
      </c>
      <c r="J15" s="53" t="s">
        <v>257</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milscm_2023_010.azn_202310_backup_merge_dpc_efn.facility_id IS '施設ID';</v>
      </c>
    </row>
    <row r="16" spans="1:45" s="25" customFormat="1" ht="93.75">
      <c r="B16" s="21">
        <f t="shared" si="2"/>
        <v>4</v>
      </c>
      <c r="C16" s="6" t="s">
        <v>204</v>
      </c>
      <c r="D16" s="6" t="s">
        <v>205</v>
      </c>
      <c r="E16" s="7" t="s">
        <v>127</v>
      </c>
      <c r="F16" s="7" t="s">
        <v>200</v>
      </c>
      <c r="G16" s="7" t="str">
        <f t="shared" si="3"/>
        <v>text</v>
      </c>
      <c r="H16" s="9"/>
      <c r="I16" s="10" t="s">
        <v>127</v>
      </c>
      <c r="J16" s="53" t="s">
        <v>896</v>
      </c>
      <c r="M16" s="4"/>
      <c r="N16" s="76"/>
      <c r="O16" s="76"/>
      <c r="P16" s="76" t="str">
        <f t="shared" si="4"/>
        <v>,shinryo_ym</v>
      </c>
      <c r="Q16" s="76" t="str">
        <f t="shared" si="0"/>
        <v>TEXT</v>
      </c>
      <c r="R16" s="76" t="str">
        <f t="shared" si="1"/>
        <v/>
      </c>
      <c r="S16" s="76" t="str">
        <f t="shared" ref="S16:S46" si="5">IF(I16="○","NOT NULL","")</f>
        <v>NOT NULL</v>
      </c>
      <c r="T16" s="76" t="str">
        <f t="shared" ref="T16:T46"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milscm_2023_010.azn_202310_backup_merge_dpc_efn.shinryo_ym IS '診療年月';</v>
      </c>
    </row>
    <row r="17" spans="1:45" s="25" customFormat="1">
      <c r="B17" s="21">
        <f t="shared" si="2"/>
        <v>5</v>
      </c>
      <c r="C17" s="6" t="s">
        <v>264</v>
      </c>
      <c r="D17" s="6" t="s">
        <v>207</v>
      </c>
      <c r="E17" s="7"/>
      <c r="F17" s="8" t="s">
        <v>200</v>
      </c>
      <c r="G17" s="7" t="str">
        <f t="shared" si="3"/>
        <v>text</v>
      </c>
      <c r="H17" s="9" t="s">
        <v>258</v>
      </c>
      <c r="I17" s="10" t="s">
        <v>127</v>
      </c>
      <c r="J17" s="53" t="s">
        <v>259</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milscm_2023_010.azn_202310_backup_merge_dpc_efn.data_type IS 'データ種別';</v>
      </c>
    </row>
    <row r="18" spans="1:45" s="25" customFormat="1">
      <c r="B18" s="21">
        <f t="shared" si="2"/>
        <v>6</v>
      </c>
      <c r="C18" s="6" t="s">
        <v>208</v>
      </c>
      <c r="D18" s="6" t="s">
        <v>209</v>
      </c>
      <c r="E18" s="7" t="s">
        <v>127</v>
      </c>
      <c r="F18" s="8" t="s">
        <v>200</v>
      </c>
      <c r="G18" s="7" t="str">
        <f t="shared" si="3"/>
        <v>text</v>
      </c>
      <c r="H18" s="9"/>
      <c r="I18" s="10" t="s">
        <v>127</v>
      </c>
      <c r="J18" s="53"/>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milscm_2023_010.azn_202310_backup_merge_dpc_efn.shikibetsu_no IS 'データ識別番号';</v>
      </c>
    </row>
    <row r="19" spans="1:45" s="25" customFormat="1">
      <c r="B19" s="21">
        <f t="shared" si="2"/>
        <v>7</v>
      </c>
      <c r="C19" s="6" t="s">
        <v>265</v>
      </c>
      <c r="D19" s="6" t="s">
        <v>211</v>
      </c>
      <c r="E19" s="7" t="s">
        <v>127</v>
      </c>
      <c r="F19" s="7" t="s">
        <v>200</v>
      </c>
      <c r="G19" s="7" t="str">
        <f t="shared" si="3"/>
        <v>text</v>
      </c>
      <c r="H19" s="9"/>
      <c r="I19" s="10" t="s">
        <v>127</v>
      </c>
      <c r="J19" s="53" t="s">
        <v>144</v>
      </c>
      <c r="N19" s="76"/>
      <c r="O19" s="76"/>
      <c r="P19" s="76" t="str">
        <f t="shared" si="4"/>
        <v>,taiin_ymd</v>
      </c>
      <c r="Q19" s="76" t="str">
        <f t="shared" si="0"/>
        <v>TEXT</v>
      </c>
      <c r="R19" s="76" t="str">
        <f t="shared" si="1"/>
        <v/>
      </c>
      <c r="S19" s="76" t="str">
        <f t="shared" si="5"/>
        <v>NOT NULL</v>
      </c>
      <c r="T19" s="76" t="str">
        <f t="shared" si="6"/>
        <v>-- 退院年月日</v>
      </c>
      <c r="U19" s="4"/>
      <c r="AA19" s="4"/>
      <c r="AB19" s="4"/>
      <c r="AC19" s="4"/>
      <c r="AD19" s="4"/>
      <c r="AE19" s="4"/>
      <c r="AF19" s="4"/>
      <c r="AG19" s="4"/>
      <c r="AH19" s="4"/>
      <c r="AI19" s="4"/>
      <c r="AJ19" s="76" t="str">
        <f>IF(E19="○",IF(COUNTA(E$13:E19)=1,"",",")&amp;D19,"")</f>
        <v>,taiin_ymd</v>
      </c>
      <c r="AK19" s="4"/>
      <c r="AL19" s="4"/>
      <c r="AM19" s="4"/>
      <c r="AN19" s="4"/>
      <c r="AO19" s="4"/>
      <c r="AP19" s="4"/>
      <c r="AQ19" s="4"/>
      <c r="AR19" s="4"/>
      <c r="AS19" s="76" t="str">
        <f>"COMMENT ON COLUMN "&amp;エンティティ一覧!$O$2&amp;"."&amp;D$8&amp;"."&amp;D19&amp;" IS '"&amp;C19&amp;"';"</f>
        <v>COMMENT ON COLUMN milscm_2023_010.azn_202310_backup_merge_dpc_efn.taiin_ymd IS '退院年月日';</v>
      </c>
    </row>
    <row r="20" spans="1:45" s="25" customFormat="1" ht="56.25">
      <c r="B20" s="21">
        <f t="shared" si="2"/>
        <v>8</v>
      </c>
      <c r="C20" s="6" t="s">
        <v>266</v>
      </c>
      <c r="D20" s="6" t="s">
        <v>156</v>
      </c>
      <c r="E20" s="7" t="s">
        <v>127</v>
      </c>
      <c r="F20" s="7" t="s">
        <v>200</v>
      </c>
      <c r="G20" s="7" t="str">
        <f t="shared" si="3"/>
        <v>text</v>
      </c>
      <c r="H20" s="9"/>
      <c r="I20" s="10" t="s">
        <v>127</v>
      </c>
      <c r="J20" s="53" t="s">
        <v>294</v>
      </c>
      <c r="N20" s="76"/>
      <c r="O20" s="76"/>
      <c r="P20" s="76" t="str">
        <f t="shared" si="4"/>
        <v>,nyuin_ymd</v>
      </c>
      <c r="Q20" s="76" t="str">
        <f t="shared" si="0"/>
        <v>TEXT</v>
      </c>
      <c r="R20" s="76" t="str">
        <f t="shared" si="1"/>
        <v/>
      </c>
      <c r="S20" s="76" t="str">
        <f t="shared" si="5"/>
        <v>NOT NULL</v>
      </c>
      <c r="T20" s="76" t="str">
        <f t="shared" si="6"/>
        <v>-- 入院年月日</v>
      </c>
      <c r="U20" s="4"/>
      <c r="AA20" s="4"/>
      <c r="AB20" s="4"/>
      <c r="AC20" s="4"/>
      <c r="AD20" s="4"/>
      <c r="AE20" s="4"/>
      <c r="AF20" s="4"/>
      <c r="AG20" s="4"/>
      <c r="AH20" s="4"/>
      <c r="AI20" s="4"/>
      <c r="AJ20" s="76" t="str">
        <f>IF(E20="○",IF(COUNTA(E$13:E20)=1,"",",")&amp;D20,"")</f>
        <v>,nyuin_ymd</v>
      </c>
      <c r="AK20" s="4"/>
      <c r="AL20" s="4"/>
      <c r="AM20" s="4"/>
      <c r="AN20" s="4"/>
      <c r="AO20" s="4"/>
      <c r="AP20" s="4"/>
      <c r="AQ20" s="4"/>
      <c r="AR20" s="4"/>
      <c r="AS20" s="76" t="str">
        <f>"COMMENT ON COLUMN "&amp;エンティティ一覧!$O$2&amp;"."&amp;D$8&amp;"."&amp;D20&amp;" IS '"&amp;C20&amp;"';"</f>
        <v>COMMENT ON COLUMN milscm_2023_010.azn_202310_backup_merge_dpc_efn.nyuin_ymd IS '入院年月日';</v>
      </c>
    </row>
    <row r="21" spans="1:45" s="25" customFormat="1">
      <c r="A21" s="4"/>
      <c r="B21" s="21">
        <f t="shared" si="2"/>
        <v>9</v>
      </c>
      <c r="C21" s="6" t="s">
        <v>267</v>
      </c>
      <c r="D21" s="6" t="s">
        <v>213</v>
      </c>
      <c r="E21" s="7" t="s">
        <v>127</v>
      </c>
      <c r="F21" s="7" t="s">
        <v>200</v>
      </c>
      <c r="G21" s="7" t="str">
        <f t="shared" si="3"/>
        <v>text</v>
      </c>
      <c r="H21" s="9"/>
      <c r="I21" s="10" t="s">
        <v>127</v>
      </c>
      <c r="J21" s="53"/>
      <c r="N21" s="76"/>
      <c r="O21" s="76"/>
      <c r="P21" s="76" t="str">
        <f t="shared" si="4"/>
        <v>,data_kubun</v>
      </c>
      <c r="Q21" s="76" t="str">
        <f t="shared" si="0"/>
        <v>TEXT</v>
      </c>
      <c r="R21" s="76" t="str">
        <f t="shared" si="1"/>
        <v/>
      </c>
      <c r="S21" s="76" t="str">
        <f t="shared" si="5"/>
        <v>NOT NULL</v>
      </c>
      <c r="T21" s="76" t="str">
        <f t="shared" si="6"/>
        <v>-- データ区分</v>
      </c>
      <c r="U21" s="4"/>
      <c r="AA21" s="4"/>
      <c r="AB21" s="4"/>
      <c r="AC21" s="4"/>
      <c r="AD21" s="4"/>
      <c r="AE21" s="4"/>
      <c r="AF21" s="4"/>
      <c r="AG21" s="4"/>
      <c r="AH21" s="4"/>
      <c r="AI21" s="4"/>
      <c r="AJ21" s="76" t="str">
        <f>IF(E21="○",IF(COUNTA(E$13:E21)=1,"",",")&amp;D21,"")</f>
        <v>,data_kubun</v>
      </c>
      <c r="AK21" s="4"/>
      <c r="AL21" s="4"/>
      <c r="AM21" s="4"/>
      <c r="AN21" s="4"/>
      <c r="AO21" s="4"/>
      <c r="AP21" s="4"/>
      <c r="AQ21" s="4"/>
      <c r="AR21" s="4"/>
      <c r="AS21" s="76" t="str">
        <f>"COMMENT ON COLUMN "&amp;エンティティ一覧!$O$2&amp;"."&amp;D$8&amp;"."&amp;D21&amp;" IS '"&amp;C21&amp;"';"</f>
        <v>COMMENT ON COLUMN milscm_2023_010.azn_202310_backup_merge_dpc_efn.data_kubun IS 'データ区分';</v>
      </c>
    </row>
    <row r="22" spans="1:45" s="25" customFormat="1">
      <c r="A22" s="4"/>
      <c r="B22" s="21">
        <f t="shared" si="2"/>
        <v>10</v>
      </c>
      <c r="C22" s="14" t="s">
        <v>268</v>
      </c>
      <c r="D22" s="14" t="s">
        <v>215</v>
      </c>
      <c r="E22" s="7" t="s">
        <v>127</v>
      </c>
      <c r="F22" s="7" t="s">
        <v>200</v>
      </c>
      <c r="G22" s="7" t="str">
        <f t="shared" si="3"/>
        <v>text</v>
      </c>
      <c r="H22" s="26"/>
      <c r="I22" s="10" t="s">
        <v>127</v>
      </c>
      <c r="J22" s="53"/>
      <c r="N22" s="76"/>
      <c r="O22" s="76"/>
      <c r="P22" s="76" t="str">
        <f t="shared" si="4"/>
        <v>,junjo_no</v>
      </c>
      <c r="Q22" s="76" t="str">
        <f t="shared" si="0"/>
        <v>TEXT</v>
      </c>
      <c r="R22" s="76" t="str">
        <f t="shared" si="1"/>
        <v/>
      </c>
      <c r="S22" s="76" t="str">
        <f t="shared" si="5"/>
        <v>NOT NULL</v>
      </c>
      <c r="T22" s="76" t="str">
        <f t="shared" si="6"/>
        <v>-- 順序番号</v>
      </c>
      <c r="U22" s="4"/>
      <c r="AA22" s="4"/>
      <c r="AB22" s="4"/>
      <c r="AC22" s="4"/>
      <c r="AD22" s="4"/>
      <c r="AE22" s="4"/>
      <c r="AF22" s="4"/>
      <c r="AG22" s="4"/>
      <c r="AH22" s="4"/>
      <c r="AI22" s="4"/>
      <c r="AJ22" s="76" t="str">
        <f>IF(E22="○",IF(COUNTA(E$13:E22)=1,"",",")&amp;D22,"")</f>
        <v>,junjo_no</v>
      </c>
      <c r="AK22" s="4"/>
      <c r="AL22" s="4"/>
      <c r="AM22" s="4"/>
      <c r="AN22" s="4"/>
      <c r="AO22" s="4"/>
      <c r="AP22" s="4"/>
      <c r="AQ22" s="4"/>
      <c r="AR22" s="4"/>
      <c r="AS22" s="76" t="str">
        <f>"COMMENT ON COLUMN "&amp;エンティティ一覧!$O$2&amp;"."&amp;D$8&amp;"."&amp;D22&amp;" IS '"&amp;C22&amp;"';"</f>
        <v>COMMENT ON COLUMN milscm_2023_010.azn_202310_backup_merge_dpc_efn.junjo_no IS '順序番号';</v>
      </c>
    </row>
    <row r="23" spans="1:45" s="25" customFormat="1" ht="37.5">
      <c r="A23" s="4"/>
      <c r="B23" s="21">
        <f t="shared" si="2"/>
        <v>11</v>
      </c>
      <c r="C23" s="14" t="s">
        <v>269</v>
      </c>
      <c r="D23" s="14" t="s">
        <v>153</v>
      </c>
      <c r="E23" s="7" t="s">
        <v>127</v>
      </c>
      <c r="F23" s="7" t="s">
        <v>200</v>
      </c>
      <c r="G23" s="7" t="str">
        <f t="shared" si="3"/>
        <v>text</v>
      </c>
      <c r="H23" s="26"/>
      <c r="I23" s="10" t="s">
        <v>127</v>
      </c>
      <c r="J23" s="53" t="s">
        <v>295</v>
      </c>
      <c r="N23" s="76"/>
      <c r="O23" s="76"/>
      <c r="P23" s="76" t="str">
        <f t="shared" si="4"/>
        <v>,koi_meisai_no</v>
      </c>
      <c r="Q23" s="76" t="str">
        <f t="shared" si="0"/>
        <v>TEXT</v>
      </c>
      <c r="R23" s="76" t="str">
        <f t="shared" si="1"/>
        <v/>
      </c>
      <c r="S23" s="76" t="str">
        <f t="shared" si="5"/>
        <v>NOT NULL</v>
      </c>
      <c r="T23" s="76" t="str">
        <f t="shared" si="6"/>
        <v>-- 行為明細番号</v>
      </c>
      <c r="U23" s="4"/>
      <c r="AA23" s="4"/>
      <c r="AB23" s="4"/>
      <c r="AC23" s="4"/>
      <c r="AD23" s="4"/>
      <c r="AE23" s="4"/>
      <c r="AF23" s="4"/>
      <c r="AG23" s="4"/>
      <c r="AH23" s="4"/>
      <c r="AI23" s="4"/>
      <c r="AJ23" s="76" t="str">
        <f>IF(E23="○",IF(COUNTA(E$13:E23)=1,"",",")&amp;D23,"")</f>
        <v>,koi_meisai_no</v>
      </c>
      <c r="AK23" s="4"/>
      <c r="AL23" s="4"/>
      <c r="AM23" s="4"/>
      <c r="AN23" s="4"/>
      <c r="AO23" s="4"/>
      <c r="AP23" s="4"/>
      <c r="AQ23" s="4"/>
      <c r="AR23" s="4"/>
      <c r="AS23" s="76" t="str">
        <f>"COMMENT ON COLUMN "&amp;エンティティ一覧!$O$2&amp;"."&amp;D$8&amp;"."&amp;D23&amp;" IS '"&amp;C23&amp;"';"</f>
        <v>COMMENT ON COLUMN milscm_2023_010.azn_202310_backup_merge_dpc_efn.koi_meisai_no IS '行為明細番号';</v>
      </c>
    </row>
    <row r="24" spans="1:45" s="25" customFormat="1">
      <c r="A24" s="4"/>
      <c r="B24" s="21">
        <f t="shared" si="2"/>
        <v>12</v>
      </c>
      <c r="C24" s="6" t="s">
        <v>270</v>
      </c>
      <c r="D24" s="6" t="s">
        <v>217</v>
      </c>
      <c r="E24" s="8"/>
      <c r="F24" s="8" t="s">
        <v>200</v>
      </c>
      <c r="G24" s="7" t="str">
        <f t="shared" si="3"/>
        <v>text</v>
      </c>
      <c r="H24" s="9"/>
      <c r="I24" s="10"/>
      <c r="J24" s="53"/>
      <c r="N24" s="76"/>
      <c r="O24" s="76"/>
      <c r="P24" s="76" t="str">
        <f t="shared" si="4"/>
        <v>,tensu_master_code</v>
      </c>
      <c r="Q24" s="76" t="str">
        <f t="shared" si="0"/>
        <v>TEXT</v>
      </c>
      <c r="R24" s="76" t="str">
        <f t="shared" si="1"/>
        <v/>
      </c>
      <c r="S24" s="76" t="str">
        <f t="shared" si="5"/>
        <v/>
      </c>
      <c r="T24" s="76" t="str">
        <f t="shared" si="6"/>
        <v>-- 病院点数マスタコード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milscm_2023_010.azn_202310_backup_merge_dpc_efn.tensu_master_code IS '病院点数マスタコード';</v>
      </c>
    </row>
    <row r="25" spans="1:45" s="25" customFormat="1" ht="37.5">
      <c r="A25" s="4"/>
      <c r="B25" s="21">
        <f t="shared" si="2"/>
        <v>13</v>
      </c>
      <c r="C25" s="6" t="s">
        <v>145</v>
      </c>
      <c r="D25" s="6" t="s">
        <v>154</v>
      </c>
      <c r="E25" s="8"/>
      <c r="F25" s="8" t="s">
        <v>200</v>
      </c>
      <c r="G25" s="7" t="str">
        <f t="shared" si="3"/>
        <v>text</v>
      </c>
      <c r="H25" s="9"/>
      <c r="I25" s="10"/>
      <c r="J25" s="53" t="s">
        <v>296</v>
      </c>
      <c r="N25" s="76"/>
      <c r="O25" s="76"/>
      <c r="P25" s="76" t="str">
        <f t="shared" si="4"/>
        <v>,receipt_densan_code</v>
      </c>
      <c r="Q25" s="76" t="str">
        <f t="shared" si="0"/>
        <v>TEXT</v>
      </c>
      <c r="R25" s="76" t="str">
        <f t="shared" si="1"/>
        <v/>
      </c>
      <c r="S25" s="76" t="str">
        <f t="shared" si="5"/>
        <v/>
      </c>
      <c r="T25" s="76" t="str">
        <f t="shared" si="6"/>
        <v>-- レセプト電算処理システム用コード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milscm_2023_010.azn_202310_backup_merge_dpc_efn.receipt_densan_code IS 'レセプト電算処理システム用コード';</v>
      </c>
    </row>
    <row r="26" spans="1:45" s="25" customFormat="1">
      <c r="A26" s="4"/>
      <c r="B26" s="21">
        <f t="shared" si="2"/>
        <v>14</v>
      </c>
      <c r="C26" s="6" t="s">
        <v>271</v>
      </c>
      <c r="D26" s="6" t="s">
        <v>219</v>
      </c>
      <c r="E26" s="8"/>
      <c r="F26" s="8" t="s">
        <v>200</v>
      </c>
      <c r="G26" s="7" t="str">
        <f t="shared" si="3"/>
        <v>text</v>
      </c>
      <c r="H26" s="9"/>
      <c r="I26" s="10"/>
      <c r="J26" s="53"/>
      <c r="N26" s="76"/>
      <c r="O26" s="76"/>
      <c r="P26" s="76" t="str">
        <f t="shared" si="4"/>
        <v>,kaishaku_no</v>
      </c>
      <c r="Q26" s="76" t="str">
        <f t="shared" si="0"/>
        <v>TEXT</v>
      </c>
      <c r="R26" s="76" t="str">
        <f t="shared" si="1"/>
        <v/>
      </c>
      <c r="S26" s="76" t="str">
        <f t="shared" si="5"/>
        <v/>
      </c>
      <c r="T26" s="76" t="str">
        <f t="shared" si="6"/>
        <v>-- 解釈番号</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milscm_2023_010.azn_202310_backup_merge_dpc_efn.kaishaku_no IS '解釈番号';</v>
      </c>
    </row>
    <row r="27" spans="1:45" s="25" customFormat="1">
      <c r="A27" s="4"/>
      <c r="B27" s="21">
        <f t="shared" si="2"/>
        <v>15</v>
      </c>
      <c r="C27" s="6" t="s">
        <v>272</v>
      </c>
      <c r="D27" s="6" t="s">
        <v>146</v>
      </c>
      <c r="E27" s="8"/>
      <c r="F27" s="8" t="s">
        <v>200</v>
      </c>
      <c r="G27" s="7" t="str">
        <f t="shared" si="3"/>
        <v>text</v>
      </c>
      <c r="H27" s="9"/>
      <c r="I27" s="10"/>
      <c r="J27" s="53" t="s">
        <v>147</v>
      </c>
      <c r="N27" s="76"/>
      <c r="O27" s="76"/>
      <c r="P27" s="76" t="str">
        <f t="shared" si="4"/>
        <v>,sinryo_meisai_name</v>
      </c>
      <c r="Q27" s="76" t="str">
        <f t="shared" si="0"/>
        <v>TEXT</v>
      </c>
      <c r="R27" s="76" t="str">
        <f t="shared" si="1"/>
        <v/>
      </c>
      <c r="S27" s="76" t="str">
        <f t="shared" si="5"/>
        <v/>
      </c>
      <c r="T27" s="76" t="str">
        <f t="shared" si="6"/>
        <v>-- 診療明細名称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milscm_2023_010.azn_202310_backup_merge_dpc_efn.sinryo_meisai_name IS '診療明細名称';</v>
      </c>
    </row>
    <row r="28" spans="1:45" s="25" customFormat="1" ht="37.5">
      <c r="A28" s="4"/>
      <c r="B28" s="21">
        <f t="shared" si="2"/>
        <v>16</v>
      </c>
      <c r="C28" s="6" t="s">
        <v>273</v>
      </c>
      <c r="D28" s="6" t="s">
        <v>129</v>
      </c>
      <c r="E28" s="8"/>
      <c r="F28" s="8" t="s">
        <v>224</v>
      </c>
      <c r="G28" s="7" t="str">
        <f t="shared" si="3"/>
        <v>numeric</v>
      </c>
      <c r="H28" s="9"/>
      <c r="I28" s="10"/>
      <c r="J28" s="53" t="s">
        <v>150</v>
      </c>
      <c r="N28" s="76"/>
      <c r="O28" s="76"/>
      <c r="P28" s="76" t="str">
        <f t="shared" si="4"/>
        <v>,shiyoryo</v>
      </c>
      <c r="Q28" s="76" t="str">
        <f t="shared" si="0"/>
        <v>NUMERIC</v>
      </c>
      <c r="R28" s="76" t="str">
        <f t="shared" si="1"/>
        <v/>
      </c>
      <c r="S28" s="76" t="str">
        <f t="shared" si="5"/>
        <v/>
      </c>
      <c r="T28" s="76" t="str">
        <f t="shared" si="6"/>
        <v>-- 使用量</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milscm_2023_010.azn_202310_backup_merge_dpc_efn.shiyoryo IS '使用量';</v>
      </c>
    </row>
    <row r="29" spans="1:45" s="25" customFormat="1">
      <c r="A29" s="4"/>
      <c r="B29" s="21">
        <f t="shared" si="2"/>
        <v>17</v>
      </c>
      <c r="C29" s="6" t="s">
        <v>274</v>
      </c>
      <c r="D29" s="6" t="s">
        <v>275</v>
      </c>
      <c r="E29" s="8"/>
      <c r="F29" s="8" t="s">
        <v>200</v>
      </c>
      <c r="G29" s="7" t="str">
        <f t="shared" si="3"/>
        <v>text</v>
      </c>
      <c r="H29" s="9"/>
      <c r="I29" s="10"/>
      <c r="J29" s="53"/>
      <c r="N29" s="76"/>
      <c r="O29" s="76"/>
      <c r="P29" s="76" t="str">
        <f t="shared" si="4"/>
        <v>,unit</v>
      </c>
      <c r="Q29" s="76" t="str">
        <f t="shared" si="0"/>
        <v>TEXT</v>
      </c>
      <c r="R29" s="76" t="str">
        <f t="shared" si="1"/>
        <v/>
      </c>
      <c r="S29" s="76" t="str">
        <f t="shared" si="5"/>
        <v/>
      </c>
      <c r="T29" s="76" t="str">
        <f t="shared" si="6"/>
        <v>-- 基準単位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milscm_2023_010.azn_202310_backup_merge_dpc_efn.unit IS '基準単位';</v>
      </c>
    </row>
    <row r="30" spans="1:45" s="25" customFormat="1">
      <c r="A30" s="4"/>
      <c r="B30" s="21">
        <f t="shared" si="2"/>
        <v>18</v>
      </c>
      <c r="C30" s="6" t="s">
        <v>276</v>
      </c>
      <c r="D30" s="6" t="s">
        <v>130</v>
      </c>
      <c r="E30" s="8"/>
      <c r="F30" s="8" t="s">
        <v>224</v>
      </c>
      <c r="G30" s="7" t="str">
        <f t="shared" si="3"/>
        <v>numeric</v>
      </c>
      <c r="H30" s="9"/>
      <c r="I30" s="10"/>
      <c r="J30" s="53"/>
      <c r="N30" s="76"/>
      <c r="O30" s="76"/>
      <c r="P30" s="76" t="str">
        <f t="shared" si="4"/>
        <v>,meisai_tensu</v>
      </c>
      <c r="Q30" s="76" t="str">
        <f t="shared" si="0"/>
        <v>NUMERIC</v>
      </c>
      <c r="R30" s="76" t="str">
        <f t="shared" si="1"/>
        <v/>
      </c>
      <c r="S30" s="76" t="str">
        <f t="shared" si="5"/>
        <v/>
      </c>
      <c r="T30" s="76" t="str">
        <f t="shared" si="6"/>
        <v>-- 明細点数・金額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milscm_2023_010.azn_202310_backup_merge_dpc_efn.meisai_tensu IS '明細点数・金額';</v>
      </c>
    </row>
    <row r="31" spans="1:45" s="25" customFormat="1">
      <c r="A31" s="4"/>
      <c r="B31" s="21">
        <f t="shared" si="2"/>
        <v>19</v>
      </c>
      <c r="C31" s="6" t="s">
        <v>277</v>
      </c>
      <c r="D31" s="6" t="s">
        <v>131</v>
      </c>
      <c r="E31" s="8"/>
      <c r="F31" s="8" t="s">
        <v>200</v>
      </c>
      <c r="G31" s="7" t="str">
        <f t="shared" si="3"/>
        <v>text</v>
      </c>
      <c r="H31" s="9"/>
      <c r="I31" s="10"/>
      <c r="J31" s="53" t="s">
        <v>152</v>
      </c>
      <c r="N31" s="76"/>
      <c r="O31" s="76"/>
      <c r="P31" s="76" t="str">
        <f t="shared" si="4"/>
        <v>,ten_kubun</v>
      </c>
      <c r="Q31" s="76" t="str">
        <f t="shared" si="0"/>
        <v>TEXT</v>
      </c>
      <c r="R31" s="76" t="str">
        <f t="shared" si="1"/>
        <v/>
      </c>
      <c r="S31" s="76" t="str">
        <f t="shared" si="5"/>
        <v/>
      </c>
      <c r="T31" s="76" t="str">
        <f t="shared" si="6"/>
        <v>-- 円・点区分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milscm_2023_010.azn_202310_backup_merge_dpc_efn.ten_kubun IS '円・点区分';</v>
      </c>
    </row>
    <row r="32" spans="1:45" s="25" customFormat="1">
      <c r="A32" s="4"/>
      <c r="B32" s="21">
        <f t="shared" si="2"/>
        <v>20</v>
      </c>
      <c r="C32" s="6" t="s">
        <v>278</v>
      </c>
      <c r="D32" s="6" t="s">
        <v>279</v>
      </c>
      <c r="E32" s="8"/>
      <c r="F32" s="8" t="s">
        <v>224</v>
      </c>
      <c r="G32" s="7" t="str">
        <f t="shared" si="3"/>
        <v>numeric</v>
      </c>
      <c r="H32" s="9"/>
      <c r="I32" s="10"/>
      <c r="J32" s="53"/>
      <c r="N32" s="76"/>
      <c r="O32" s="76"/>
      <c r="P32" s="76" t="str">
        <f t="shared" si="4"/>
        <v>,dekidaka_tensu</v>
      </c>
      <c r="Q32" s="76" t="str">
        <f t="shared" si="0"/>
        <v>NUMERIC</v>
      </c>
      <c r="R32" s="76" t="str">
        <f t="shared" si="1"/>
        <v/>
      </c>
      <c r="S32" s="76" t="str">
        <f t="shared" si="5"/>
        <v/>
      </c>
      <c r="T32" s="76" t="str">
        <f t="shared" si="6"/>
        <v>-- 出来高実績点数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milscm_2023_010.azn_202310_backup_merge_dpc_efn.dekidaka_tensu IS '出来高実績点数';</v>
      </c>
    </row>
    <row r="33" spans="1:47" s="25" customFormat="1" ht="56.25">
      <c r="A33" s="4"/>
      <c r="B33" s="21">
        <f t="shared" si="2"/>
        <v>21</v>
      </c>
      <c r="C33" s="6" t="s">
        <v>280</v>
      </c>
      <c r="D33" s="6" t="s">
        <v>132</v>
      </c>
      <c r="E33" s="8"/>
      <c r="F33" s="8" t="s">
        <v>200</v>
      </c>
      <c r="G33" s="7" t="str">
        <f t="shared" si="3"/>
        <v>text</v>
      </c>
      <c r="H33" s="9"/>
      <c r="I33" s="10"/>
      <c r="J33" s="53" t="s">
        <v>297</v>
      </c>
      <c r="N33" s="76"/>
      <c r="O33" s="76"/>
      <c r="P33" s="76" t="str">
        <f t="shared" si="4"/>
        <v>,koi_meisai_kubun</v>
      </c>
      <c r="Q33" s="76" t="str">
        <f t="shared" si="0"/>
        <v>TEXT</v>
      </c>
      <c r="R33" s="76" t="str">
        <f t="shared" si="1"/>
        <v/>
      </c>
      <c r="S33" s="76" t="str">
        <f t="shared" si="5"/>
        <v/>
      </c>
      <c r="T33" s="76" t="str">
        <f t="shared" si="6"/>
        <v>-- 行為明細区分情報</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milscm_2023_010.azn_202310_backup_merge_dpc_efn.koi_meisai_kubun IS '行為明細区分情報';</v>
      </c>
    </row>
    <row r="34" spans="1:47" s="25" customFormat="1" ht="56.25">
      <c r="A34" s="4"/>
      <c r="B34" s="21">
        <f t="shared" si="2"/>
        <v>22</v>
      </c>
      <c r="C34" s="6" t="s">
        <v>281</v>
      </c>
      <c r="D34" s="6" t="s">
        <v>223</v>
      </c>
      <c r="E34" s="8"/>
      <c r="F34" s="8" t="s">
        <v>224</v>
      </c>
      <c r="G34" s="7" t="str">
        <f t="shared" si="3"/>
        <v>numeric</v>
      </c>
      <c r="H34" s="9"/>
      <c r="I34" s="10"/>
      <c r="J34" s="53" t="s">
        <v>298</v>
      </c>
      <c r="N34" s="76"/>
      <c r="O34" s="76"/>
      <c r="P34" s="76" t="str">
        <f t="shared" si="4"/>
        <v>,koi_tensu</v>
      </c>
      <c r="Q34" s="76" t="str">
        <f t="shared" si="0"/>
        <v>NUMERIC</v>
      </c>
      <c r="R34" s="76" t="str">
        <f t="shared" si="1"/>
        <v/>
      </c>
      <c r="S34" s="76" t="str">
        <f t="shared" si="5"/>
        <v/>
      </c>
      <c r="T34" s="76" t="str">
        <f t="shared" si="6"/>
        <v>-- 行為点数</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milscm_2023_010.azn_202310_backup_merge_dpc_efn.koi_tensu IS '行為点数';</v>
      </c>
    </row>
    <row r="35" spans="1:47" s="25" customFormat="1">
      <c r="A35" s="4"/>
      <c r="B35" s="21">
        <f t="shared" si="2"/>
        <v>23</v>
      </c>
      <c r="C35" s="6" t="s">
        <v>282</v>
      </c>
      <c r="D35" s="6" t="s">
        <v>226</v>
      </c>
      <c r="E35" s="8"/>
      <c r="F35" s="8" t="s">
        <v>224</v>
      </c>
      <c r="G35" s="7" t="str">
        <f t="shared" si="3"/>
        <v>numeric</v>
      </c>
      <c r="H35" s="9"/>
      <c r="I35" s="10"/>
      <c r="J35" s="53" t="s">
        <v>299</v>
      </c>
      <c r="N35" s="76"/>
      <c r="O35" s="76"/>
      <c r="P35" s="76" t="str">
        <f t="shared" si="4"/>
        <v>,koi_yakuzai</v>
      </c>
      <c r="Q35" s="76" t="str">
        <f t="shared" si="0"/>
        <v>NUMERIC</v>
      </c>
      <c r="R35" s="76" t="str">
        <f t="shared" si="1"/>
        <v/>
      </c>
      <c r="S35" s="76" t="str">
        <f t="shared" si="5"/>
        <v/>
      </c>
      <c r="T35" s="76" t="str">
        <f t="shared" si="6"/>
        <v>-- 行為薬剤料</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milscm_2023_010.azn_202310_backup_merge_dpc_efn.koi_yakuzai IS '行為薬剤料';</v>
      </c>
    </row>
    <row r="36" spans="1:47" s="25" customFormat="1">
      <c r="A36" s="4"/>
      <c r="B36" s="21">
        <f t="shared" si="2"/>
        <v>24</v>
      </c>
      <c r="C36" s="6" t="s">
        <v>283</v>
      </c>
      <c r="D36" s="6" t="s">
        <v>228</v>
      </c>
      <c r="E36" s="8"/>
      <c r="F36" s="8" t="s">
        <v>224</v>
      </c>
      <c r="G36" s="7" t="str">
        <f t="shared" si="3"/>
        <v>numeric</v>
      </c>
      <c r="H36" s="9"/>
      <c r="I36" s="10"/>
      <c r="J36" s="53" t="s">
        <v>299</v>
      </c>
      <c r="N36" s="76"/>
      <c r="O36" s="76"/>
      <c r="P36" s="76" t="str">
        <f t="shared" si="4"/>
        <v>,koi_zairyo</v>
      </c>
      <c r="Q36" s="76" t="str">
        <f t="shared" si="0"/>
        <v>NUMERIC</v>
      </c>
      <c r="R36" s="76" t="str">
        <f t="shared" si="1"/>
        <v/>
      </c>
      <c r="S36" s="76" t="str">
        <f t="shared" si="5"/>
        <v/>
      </c>
      <c r="T36" s="76" t="str">
        <f t="shared" si="6"/>
        <v>-- 行為材料料</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milscm_2023_010.azn_202310_backup_merge_dpc_efn.koi_zairyo IS '行為材料料';</v>
      </c>
    </row>
    <row r="37" spans="1:47" s="25" customFormat="1">
      <c r="A37" s="4"/>
      <c r="B37" s="21">
        <f t="shared" si="2"/>
        <v>25</v>
      </c>
      <c r="C37" s="6" t="s">
        <v>284</v>
      </c>
      <c r="D37" s="6" t="s">
        <v>133</v>
      </c>
      <c r="E37" s="8"/>
      <c r="F37" s="8" t="s">
        <v>224</v>
      </c>
      <c r="G37" s="7" t="str">
        <f t="shared" si="3"/>
        <v>numeric</v>
      </c>
      <c r="H37" s="9"/>
      <c r="I37" s="10"/>
      <c r="J37" s="53" t="s">
        <v>300</v>
      </c>
      <c r="N37" s="76"/>
      <c r="O37" s="76"/>
      <c r="P37" s="76" t="str">
        <f t="shared" si="4"/>
        <v>,koi_times</v>
      </c>
      <c r="Q37" s="76" t="str">
        <f t="shared" si="0"/>
        <v>NUMERIC</v>
      </c>
      <c r="R37" s="76" t="str">
        <f t="shared" si="1"/>
        <v/>
      </c>
      <c r="S37" s="76" t="str">
        <f t="shared" si="5"/>
        <v/>
      </c>
      <c r="T37" s="76" t="str">
        <f t="shared" si="6"/>
        <v>-- 行為回数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milscm_2023_010.azn_202310_backup_merge_dpc_efn.koi_times IS '行為回数';</v>
      </c>
    </row>
    <row r="38" spans="1:47" s="25" customFormat="1">
      <c r="A38" s="4"/>
      <c r="B38" s="21">
        <f t="shared" si="2"/>
        <v>26</v>
      </c>
      <c r="C38" s="6" t="s">
        <v>285</v>
      </c>
      <c r="D38" s="6" t="s">
        <v>230</v>
      </c>
      <c r="E38" s="8"/>
      <c r="F38" s="8" t="s">
        <v>200</v>
      </c>
      <c r="G38" s="7" t="str">
        <f t="shared" si="3"/>
        <v>text</v>
      </c>
      <c r="H38" s="9"/>
      <c r="I38" s="10"/>
      <c r="J38" s="53"/>
      <c r="N38" s="76"/>
      <c r="O38" s="76"/>
      <c r="P38" s="76" t="str">
        <f t="shared" si="4"/>
        <v>,hoken_no</v>
      </c>
      <c r="Q38" s="76" t="str">
        <f t="shared" si="0"/>
        <v>TEXT</v>
      </c>
      <c r="R38" s="76" t="str">
        <f t="shared" si="1"/>
        <v/>
      </c>
      <c r="S38" s="76" t="str">
        <f t="shared" si="5"/>
        <v/>
      </c>
      <c r="T38" s="76" t="str">
        <f t="shared" si="6"/>
        <v>-- 保険者番号</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milscm_2023_010.azn_202310_backup_merge_dpc_efn.hoken_no IS '保険者番号';</v>
      </c>
    </row>
    <row r="39" spans="1:47" s="25" customFormat="1">
      <c r="A39" s="4"/>
      <c r="B39" s="21">
        <f t="shared" si="2"/>
        <v>27</v>
      </c>
      <c r="C39" s="6" t="s">
        <v>286</v>
      </c>
      <c r="D39" s="6" t="s">
        <v>232</v>
      </c>
      <c r="E39" s="8"/>
      <c r="F39" s="8" t="s">
        <v>200</v>
      </c>
      <c r="G39" s="7" t="str">
        <f t="shared" si="3"/>
        <v>text</v>
      </c>
      <c r="H39" s="9"/>
      <c r="I39" s="10"/>
      <c r="J39" s="53"/>
      <c r="N39" s="76"/>
      <c r="O39" s="76"/>
      <c r="P39" s="76" t="str">
        <f t="shared" si="4"/>
        <v>,receipt_type_code</v>
      </c>
      <c r="Q39" s="76" t="str">
        <f t="shared" si="0"/>
        <v>TEXT</v>
      </c>
      <c r="R39" s="76" t="str">
        <f t="shared" si="1"/>
        <v/>
      </c>
      <c r="S39" s="76" t="str">
        <f t="shared" si="5"/>
        <v/>
      </c>
      <c r="T39" s="76" t="str">
        <f t="shared" si="6"/>
        <v>-- レセプト種別コード</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milscm_2023_010.azn_202310_backup_merge_dpc_efn.receipt_type_code IS 'レセプト種別コード';</v>
      </c>
    </row>
    <row r="40" spans="1:47" s="25" customFormat="1">
      <c r="A40" s="4"/>
      <c r="B40" s="21">
        <f t="shared" si="2"/>
        <v>28</v>
      </c>
      <c r="C40" s="6" t="s">
        <v>287</v>
      </c>
      <c r="D40" s="6" t="s">
        <v>155</v>
      </c>
      <c r="E40" s="8"/>
      <c r="F40" s="8" t="s">
        <v>200</v>
      </c>
      <c r="G40" s="7" t="str">
        <f t="shared" si="3"/>
        <v>text</v>
      </c>
      <c r="H40" s="9"/>
      <c r="I40" s="10" t="s">
        <v>127</v>
      </c>
      <c r="J40" s="53" t="s">
        <v>144</v>
      </c>
      <c r="N40" s="76"/>
      <c r="O40" s="76"/>
      <c r="P40" s="76" t="str">
        <f t="shared" si="4"/>
        <v>,jisshi_ymd</v>
      </c>
      <c r="Q40" s="76" t="str">
        <f t="shared" si="0"/>
        <v>TEXT</v>
      </c>
      <c r="R40" s="76" t="str">
        <f t="shared" si="1"/>
        <v/>
      </c>
      <c r="S40" s="76" t="str">
        <f t="shared" si="5"/>
        <v>NOT NULL</v>
      </c>
      <c r="T40" s="76" t="str">
        <f t="shared" si="6"/>
        <v>-- 実施年月日</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milscm_2023_010.azn_202310_backup_merge_dpc_efn.jisshi_ymd IS '実施年月日';</v>
      </c>
    </row>
    <row r="41" spans="1:47" s="25" customFormat="1">
      <c r="A41" s="4"/>
      <c r="B41" s="21">
        <f t="shared" si="2"/>
        <v>29</v>
      </c>
      <c r="C41" s="6" t="s">
        <v>288</v>
      </c>
      <c r="D41" s="6" t="s">
        <v>234</v>
      </c>
      <c r="E41" s="8"/>
      <c r="F41" s="8" t="s">
        <v>200</v>
      </c>
      <c r="G41" s="7" t="str">
        <f t="shared" si="3"/>
        <v>text</v>
      </c>
      <c r="H41" s="9"/>
      <c r="I41" s="10"/>
      <c r="J41" s="53"/>
      <c r="N41" s="76"/>
      <c r="O41" s="76"/>
      <c r="P41" s="76" t="str">
        <f t="shared" si="4"/>
        <v>,receipt_ka_kubun</v>
      </c>
      <c r="Q41" s="76" t="str">
        <f t="shared" si="0"/>
        <v>TEXT</v>
      </c>
      <c r="R41" s="76" t="str">
        <f t="shared" si="1"/>
        <v/>
      </c>
      <c r="S41" s="76" t="str">
        <f t="shared" si="5"/>
        <v/>
      </c>
      <c r="T41" s="76" t="str">
        <f t="shared" si="6"/>
        <v>-- レセプト科区分</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milscm_2023_010.azn_202310_backup_merge_dpc_efn.receipt_ka_kubun IS 'レセプト科区分';</v>
      </c>
    </row>
    <row r="42" spans="1:47" s="25" customFormat="1">
      <c r="A42" s="4"/>
      <c r="B42" s="21">
        <f t="shared" si="2"/>
        <v>30</v>
      </c>
      <c r="C42" s="6" t="s">
        <v>134</v>
      </c>
      <c r="D42" s="6" t="s">
        <v>135</v>
      </c>
      <c r="E42" s="8"/>
      <c r="F42" s="8" t="s">
        <v>200</v>
      </c>
      <c r="G42" s="7" t="str">
        <f t="shared" si="3"/>
        <v>text</v>
      </c>
      <c r="H42" s="9"/>
      <c r="I42" s="10"/>
      <c r="J42" s="53"/>
      <c r="N42" s="76"/>
      <c r="O42" s="76"/>
      <c r="P42" s="76" t="str">
        <f t="shared" si="4"/>
        <v>,department_kubun</v>
      </c>
      <c r="Q42" s="76" t="str">
        <f t="shared" si="0"/>
        <v>TEXT</v>
      </c>
      <c r="R42" s="76" t="str">
        <f t="shared" si="1"/>
        <v/>
      </c>
      <c r="S42" s="76" t="str">
        <f t="shared" si="5"/>
        <v/>
      </c>
      <c r="T42" s="76" t="str">
        <f t="shared" si="6"/>
        <v>-- 診療科区分</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milscm_2023_010.azn_202310_backup_merge_dpc_efn.department_kubun IS '診療科区分';</v>
      </c>
    </row>
    <row r="43" spans="1:47" s="25" customFormat="1">
      <c r="A43" s="4"/>
      <c r="B43" s="21">
        <f t="shared" si="2"/>
        <v>31</v>
      </c>
      <c r="C43" s="6" t="s">
        <v>289</v>
      </c>
      <c r="D43" s="6" t="s">
        <v>236</v>
      </c>
      <c r="E43" s="8"/>
      <c r="F43" s="8" t="s">
        <v>200</v>
      </c>
      <c r="G43" s="7" t="str">
        <f t="shared" si="3"/>
        <v>text</v>
      </c>
      <c r="H43" s="9"/>
      <c r="I43" s="10"/>
      <c r="J43" s="53"/>
      <c r="N43" s="76"/>
      <c r="O43" s="76"/>
      <c r="P43" s="76" t="str">
        <f t="shared" si="4"/>
        <v>,doctor_code</v>
      </c>
      <c r="Q43" s="76" t="str">
        <f t="shared" si="0"/>
        <v>TEXT</v>
      </c>
      <c r="R43" s="76" t="str">
        <f t="shared" si="1"/>
        <v/>
      </c>
      <c r="S43" s="76" t="str">
        <f t="shared" si="5"/>
        <v/>
      </c>
      <c r="T43" s="76" t="str">
        <f t="shared" si="6"/>
        <v>-- 医師コード</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milscm_2023_010.azn_202310_backup_merge_dpc_efn.doctor_code IS '医師コード';</v>
      </c>
    </row>
    <row r="44" spans="1:47" s="25" customFormat="1">
      <c r="A44" s="4"/>
      <c r="B44" s="21">
        <f t="shared" si="2"/>
        <v>32</v>
      </c>
      <c r="C44" s="6" t="s">
        <v>290</v>
      </c>
      <c r="D44" s="6" t="s">
        <v>238</v>
      </c>
      <c r="E44" s="8"/>
      <c r="F44" s="8" t="s">
        <v>200</v>
      </c>
      <c r="G44" s="7" t="str">
        <f t="shared" si="3"/>
        <v>text</v>
      </c>
      <c r="H44" s="9"/>
      <c r="I44" s="10"/>
      <c r="J44" s="53"/>
      <c r="N44" s="76"/>
      <c r="O44" s="76"/>
      <c r="P44" s="76" t="str">
        <f t="shared" si="4"/>
        <v>,ward_code</v>
      </c>
      <c r="Q44" s="76" t="str">
        <f t="shared" si="0"/>
        <v>TEXT</v>
      </c>
      <c r="R44" s="76" t="str">
        <f t="shared" si="1"/>
        <v/>
      </c>
      <c r="S44" s="76" t="str">
        <f t="shared" si="5"/>
        <v/>
      </c>
      <c r="T44" s="76" t="str">
        <f t="shared" si="6"/>
        <v>-- 病棟コード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milscm_2023_010.azn_202310_backup_merge_dpc_efn.ward_code IS '病棟コード';</v>
      </c>
    </row>
    <row r="45" spans="1:47" s="25" customFormat="1">
      <c r="A45" s="4"/>
      <c r="B45" s="21">
        <f t="shared" si="2"/>
        <v>33</v>
      </c>
      <c r="C45" s="6" t="s">
        <v>291</v>
      </c>
      <c r="D45" s="6" t="s">
        <v>240</v>
      </c>
      <c r="E45" s="8"/>
      <c r="F45" s="8" t="s">
        <v>200</v>
      </c>
      <c r="G45" s="7" t="str">
        <f t="shared" si="3"/>
        <v>text</v>
      </c>
      <c r="H45" s="9"/>
      <c r="I45" s="10"/>
      <c r="J45" s="53" t="s">
        <v>301</v>
      </c>
      <c r="N45" s="76"/>
      <c r="O45" s="76"/>
      <c r="P45" s="76" t="str">
        <f t="shared" si="4"/>
        <v>,ward_kubun</v>
      </c>
      <c r="Q45" s="76" t="str">
        <f t="shared" si="0"/>
        <v>TEXT</v>
      </c>
      <c r="R45" s="76" t="str">
        <f t="shared" si="1"/>
        <v/>
      </c>
      <c r="S45" s="76" t="str">
        <f t="shared" si="5"/>
        <v/>
      </c>
      <c r="T45" s="76" t="str">
        <f t="shared" si="6"/>
        <v>-- 病棟区分</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milscm_2023_010.azn_202310_backup_merge_dpc_efn.ward_kubun IS '病棟区分';</v>
      </c>
    </row>
    <row r="46" spans="1:47" s="25" customFormat="1">
      <c r="A46" s="4"/>
      <c r="B46" s="21">
        <f t="shared" si="2"/>
        <v>34</v>
      </c>
      <c r="C46" s="6" t="s">
        <v>292</v>
      </c>
      <c r="D46" s="6" t="s">
        <v>242</v>
      </c>
      <c r="E46" s="8"/>
      <c r="F46" s="8" t="s">
        <v>200</v>
      </c>
      <c r="G46" s="7" t="str">
        <f t="shared" si="3"/>
        <v>text</v>
      </c>
      <c r="H46" s="9"/>
      <c r="I46" s="10"/>
      <c r="J46" s="53" t="s">
        <v>302</v>
      </c>
      <c r="N46" s="76"/>
      <c r="O46" s="76"/>
      <c r="P46" s="76" t="str">
        <f t="shared" si="4"/>
        <v>,nyugai_kubun</v>
      </c>
      <c r="Q46" s="76" t="str">
        <f t="shared" si="0"/>
        <v>TEXT</v>
      </c>
      <c r="R46" s="76" t="str">
        <f t="shared" si="1"/>
        <v/>
      </c>
      <c r="S46" s="76" t="str">
        <f t="shared" si="5"/>
        <v/>
      </c>
      <c r="T46" s="76" t="str">
        <f t="shared" si="6"/>
        <v>-- 入外区分</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milscm_2023_010.azn_202310_backup_merge_dpc_efn.nyugai_kubun IS '入外区分';</v>
      </c>
    </row>
    <row r="47" spans="1:47" s="25" customFormat="1" ht="19.5" thickBot="1">
      <c r="A47" s="4"/>
      <c r="B47" s="27">
        <f>ROW()-12</f>
        <v>35</v>
      </c>
      <c r="C47" s="28" t="s">
        <v>293</v>
      </c>
      <c r="D47" s="28" t="s">
        <v>244</v>
      </c>
      <c r="E47" s="29"/>
      <c r="F47" s="29" t="s">
        <v>200</v>
      </c>
      <c r="G47" s="56" t="str">
        <f t="shared" si="3"/>
        <v>text</v>
      </c>
      <c r="H47" s="30"/>
      <c r="I47" s="31"/>
      <c r="J47" s="55"/>
      <c r="N47" s="76"/>
      <c r="O47" s="76"/>
      <c r="P47" s="76" t="str">
        <f t="shared" ref="P47" si="7">IF(B47&lt;&gt;1,","&amp;D47,D47)</f>
        <v>,facility_type</v>
      </c>
      <c r="Q47" s="76" t="str">
        <f t="shared" ref="Q47" si="8">UPPER(G47)</f>
        <v>TEXT</v>
      </c>
      <c r="R47" s="76" t="str">
        <f t="shared" ref="R47" si="9">IF(H47&lt;&gt;"","default "&amp;IF(G47="text","'"&amp;H47&amp;"'",H47),"")</f>
        <v/>
      </c>
      <c r="S47" s="76" t="str">
        <f t="shared" ref="S47" si="10">IF(I47="○","NOT NULL","")</f>
        <v/>
      </c>
      <c r="T47" s="76" t="str">
        <f t="shared" ref="T47" si="11">"-- "&amp;C47</f>
        <v>-- 施設タイプ</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milscm_2023_010.azn_202310_backup_merge_dpc_efn.facility_type IS '施設タイプ';</v>
      </c>
      <c r="AT47" s="4"/>
      <c r="AU47" s="4"/>
    </row>
    <row r="48" spans="1:47">
      <c r="M48" s="25"/>
      <c r="N48" s="76" t="s">
        <v>142</v>
      </c>
      <c r="O48" s="76"/>
      <c r="P48" s="76"/>
      <c r="Q48" s="76"/>
      <c r="R48" s="76"/>
      <c r="S48" s="76"/>
      <c r="T48" s="76"/>
      <c r="V48" s="25"/>
      <c r="W48" s="25"/>
      <c r="X48" s="25"/>
      <c r="Y48" s="25"/>
      <c r="Z48" s="25"/>
      <c r="AJ48" s="76" t="s">
        <v>142</v>
      </c>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U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ENT_01_C1-03</v>
      </c>
      <c r="E6" s="272"/>
      <c r="F6" s="272"/>
      <c r="G6" s="272"/>
      <c r="H6" s="272"/>
      <c r="I6" s="272"/>
      <c r="J6" s="273"/>
    </row>
    <row r="7" spans="1:45">
      <c r="B7" s="261" t="s">
        <v>115</v>
      </c>
      <c r="C7" s="262"/>
      <c r="D7" s="263" t="s">
        <v>179</v>
      </c>
      <c r="E7" s="264"/>
      <c r="F7" s="264"/>
      <c r="G7" s="264"/>
      <c r="H7" s="264"/>
      <c r="I7" s="264"/>
      <c r="J7" s="265"/>
    </row>
    <row r="8" spans="1:45">
      <c r="B8" s="261" t="s">
        <v>116</v>
      </c>
      <c r="C8" s="262"/>
      <c r="D8" s="263" t="str">
        <f>エンティティ一覧!AE2&amp;"_"&amp;D5&amp;"_merge_dpc_efg"</f>
        <v>azn_202310_backup_merge_dpc_efg</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DPC調査データ_外来EF統合ファイルテーブルから組入れ条件の第一条件で絞り込んだ結果を格納するテーブル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milscm_2023_010.azn_202310_backup_merge_dpc_efg;</v>
      </c>
      <c r="O10" s="76"/>
      <c r="P10" s="76"/>
      <c r="Q10" s="76"/>
      <c r="R10" s="76"/>
      <c r="S10" s="76"/>
      <c r="T10" s="76"/>
      <c r="AJ10" s="76" t="str">
        <f>"ALTER TABLE ONLY "&amp;エンティティ一覧!$O$2&amp;"."&amp;D$8</f>
        <v>ALTER TABLE ONLY milscm_2023_010.azn_202310_backup_merge_dpc_efg</v>
      </c>
      <c r="AS10" s="76" t="str">
        <f>"ALTER TABLE "&amp;エンティティ一覧!$O$2&amp;"."&amp;D$8&amp;" OWNER TO pgmisgrp1;"</f>
        <v>ALTER TABLE milscm_2023_010.azn_202310_backup_merge_dpc_efg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milscm_2023_010.azn_202310_backup_merge_dpc_efg</v>
      </c>
      <c r="O11" s="76"/>
      <c r="P11" s="76"/>
      <c r="Q11" s="76"/>
      <c r="R11" s="76"/>
      <c r="S11" s="76"/>
      <c r="T11" s="76"/>
      <c r="AJ11" s="76" t="str">
        <f>"ADD CONSTRAINT "&amp;D$8&amp;"_pkey PRIMARY KEY"</f>
        <v>ADD CONSTRAINT azn_202310_backup_merge_dpc_efg_pkey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milscm_2023_010.azn_202310_backup_merge_dpc_efg IS 'バックアップ_DPC調査データ_外来EF統合ファイル';</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352</v>
      </c>
      <c r="M13" s="4"/>
      <c r="N13" s="76"/>
      <c r="O13" s="76"/>
      <c r="P13" s="76" t="str">
        <f>IF(B13&lt;&gt;1,","&amp;D13,D13)</f>
        <v>torikomi_ym</v>
      </c>
      <c r="Q13" s="76" t="str">
        <f t="shared" ref="Q13:Q47" si="0">UPPER(G13)</f>
        <v>TEXT</v>
      </c>
      <c r="R13" s="76" t="str">
        <f t="shared" ref="R13:R47"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milscm_2023_010.azn_202310_backup_merge_dpc_efg.torikomi_ym IS '取込年月';</v>
      </c>
    </row>
    <row r="14" spans="1:45" s="25" customFormat="1">
      <c r="A14" s="4"/>
      <c r="B14" s="21">
        <f t="shared" ref="B14:B46" si="2">ROW()-12</f>
        <v>2</v>
      </c>
      <c r="C14" s="6" t="s">
        <v>201</v>
      </c>
      <c r="D14" s="6" t="s">
        <v>202</v>
      </c>
      <c r="E14" s="8"/>
      <c r="F14" s="7" t="s">
        <v>203</v>
      </c>
      <c r="G14" s="7" t="str">
        <f t="shared" ref="G14:G47" si="3">IF(F14="フラグ","boolean",IF(F14="文字列","text",IF(F14="整数","integer",IF(F14="実数","numeric",""))))</f>
        <v>integer</v>
      </c>
      <c r="H14" s="26"/>
      <c r="I14" s="10"/>
      <c r="J14" s="11" t="s">
        <v>256</v>
      </c>
      <c r="M14" s="4"/>
      <c r="N14" s="76"/>
      <c r="O14" s="76"/>
      <c r="P14" s="76" t="str">
        <f t="shared" ref="P14:P47"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milscm_2023_010.azn_202310_backup_merge_dpc_efg.mil_karute_id IS '千年カルテID';</v>
      </c>
    </row>
    <row r="15" spans="1:45" s="25" customFormat="1" ht="37.5">
      <c r="A15" s="4"/>
      <c r="B15" s="21">
        <f t="shared" si="2"/>
        <v>3</v>
      </c>
      <c r="C15" s="13" t="s">
        <v>137</v>
      </c>
      <c r="D15" s="13" t="s">
        <v>128</v>
      </c>
      <c r="E15" s="7" t="s">
        <v>127</v>
      </c>
      <c r="F15" s="7" t="s">
        <v>316</v>
      </c>
      <c r="G15" s="7" t="str">
        <f t="shared" si="3"/>
        <v>text</v>
      </c>
      <c r="H15" s="58"/>
      <c r="I15" s="23" t="s">
        <v>127</v>
      </c>
      <c r="J15" s="24" t="s">
        <v>353</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milscm_2023_010.azn_202310_backup_merge_dpc_efg.facility_id IS '施設ID';</v>
      </c>
    </row>
    <row r="16" spans="1:45" s="25" customFormat="1" ht="93.75">
      <c r="B16" s="21">
        <f t="shared" si="2"/>
        <v>4</v>
      </c>
      <c r="C16" s="6" t="s">
        <v>317</v>
      </c>
      <c r="D16" s="6" t="s">
        <v>205</v>
      </c>
      <c r="E16" s="8" t="s">
        <v>127</v>
      </c>
      <c r="F16" s="7" t="s">
        <v>316</v>
      </c>
      <c r="G16" s="7" t="str">
        <f t="shared" si="3"/>
        <v>text</v>
      </c>
      <c r="H16" s="26"/>
      <c r="I16" s="10" t="s">
        <v>127</v>
      </c>
      <c r="J16" s="53" t="s">
        <v>896</v>
      </c>
      <c r="M16" s="4"/>
      <c r="N16" s="76"/>
      <c r="O16" s="76"/>
      <c r="P16" s="76" t="str">
        <f t="shared" si="4"/>
        <v>,shinryo_ym</v>
      </c>
      <c r="Q16" s="76" t="str">
        <f t="shared" si="0"/>
        <v>TEXT</v>
      </c>
      <c r="R16" s="76" t="str">
        <f t="shared" si="1"/>
        <v/>
      </c>
      <c r="S16" s="76" t="str">
        <f t="shared" ref="S16:S47" si="5">IF(I16="○","NOT NULL","")</f>
        <v>NOT NULL</v>
      </c>
      <c r="T16" s="76" t="str">
        <f t="shared" ref="T16:T47"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milscm_2023_010.azn_202310_backup_merge_dpc_efg.shinryo_ym IS '診療年月';</v>
      </c>
    </row>
    <row r="17" spans="1:45" s="25" customFormat="1">
      <c r="B17" s="21">
        <f t="shared" si="2"/>
        <v>5</v>
      </c>
      <c r="C17" s="13" t="s">
        <v>318</v>
      </c>
      <c r="D17" s="13" t="s">
        <v>207</v>
      </c>
      <c r="E17" s="7"/>
      <c r="F17" s="7" t="s">
        <v>316</v>
      </c>
      <c r="G17" s="7" t="str">
        <f t="shared" si="3"/>
        <v>text</v>
      </c>
      <c r="H17" s="58" t="s">
        <v>258</v>
      </c>
      <c r="I17" s="23" t="s">
        <v>127</v>
      </c>
      <c r="J17" s="24" t="s">
        <v>354</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milscm_2023_010.azn_202310_backup_merge_dpc_efg.data_type IS 'データ種別';</v>
      </c>
    </row>
    <row r="18" spans="1:45" s="25" customFormat="1">
      <c r="B18" s="21">
        <f t="shared" si="2"/>
        <v>6</v>
      </c>
      <c r="C18" s="6" t="s">
        <v>319</v>
      </c>
      <c r="D18" s="6" t="s">
        <v>209</v>
      </c>
      <c r="E18" s="8" t="s">
        <v>127</v>
      </c>
      <c r="F18" s="7" t="s">
        <v>316</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milscm_2023_010.azn_202310_backup_merge_dpc_efg.shikibetsu_no IS 'データ識別番号';</v>
      </c>
    </row>
    <row r="19" spans="1:45" s="25" customFormat="1">
      <c r="B19" s="21">
        <f t="shared" si="2"/>
        <v>7</v>
      </c>
      <c r="C19" s="13" t="s">
        <v>320</v>
      </c>
      <c r="D19" s="13" t="s">
        <v>321</v>
      </c>
      <c r="E19" s="7" t="s">
        <v>127</v>
      </c>
      <c r="F19" s="7" t="s">
        <v>316</v>
      </c>
      <c r="G19" s="7" t="str">
        <f t="shared" si="3"/>
        <v>text</v>
      </c>
      <c r="H19" s="58"/>
      <c r="I19" s="23" t="s">
        <v>127</v>
      </c>
      <c r="J19" s="24" t="s">
        <v>144</v>
      </c>
      <c r="N19" s="76"/>
      <c r="O19" s="76"/>
      <c r="P19" s="76" t="str">
        <f t="shared" si="4"/>
        <v>,birthday</v>
      </c>
      <c r="Q19" s="76" t="str">
        <f t="shared" si="0"/>
        <v>TEXT</v>
      </c>
      <c r="R19" s="76" t="str">
        <f t="shared" si="1"/>
        <v/>
      </c>
      <c r="S19" s="76" t="str">
        <f t="shared" si="5"/>
        <v>NOT NULL</v>
      </c>
      <c r="T19" s="76" t="str">
        <f t="shared" si="6"/>
        <v>-- 生年月日</v>
      </c>
      <c r="U19" s="4"/>
      <c r="AA19" s="4"/>
      <c r="AB19" s="4"/>
      <c r="AC19" s="4"/>
      <c r="AD19" s="4"/>
      <c r="AE19" s="4"/>
      <c r="AF19" s="4"/>
      <c r="AG19" s="4"/>
      <c r="AH19" s="4"/>
      <c r="AI19" s="4"/>
      <c r="AJ19" s="76" t="str">
        <f>IF(E19="○",IF(COUNTA(E$13:E19)=1,"",",")&amp;D19,"")</f>
        <v>,birthday</v>
      </c>
      <c r="AK19" s="4"/>
      <c r="AL19" s="4"/>
      <c r="AM19" s="4"/>
      <c r="AN19" s="4"/>
      <c r="AO19" s="4"/>
      <c r="AP19" s="4"/>
      <c r="AQ19" s="4"/>
      <c r="AR19" s="4"/>
      <c r="AS19" s="76" t="str">
        <f>"COMMENT ON COLUMN "&amp;エンティティ一覧!$O$2&amp;"."&amp;D$8&amp;"."&amp;D19&amp;" IS '"&amp;C19&amp;"';"</f>
        <v>COMMENT ON COLUMN milscm_2023_010.azn_202310_backup_merge_dpc_efg.birthday IS '生年月日';</v>
      </c>
    </row>
    <row r="20" spans="1:45" s="25" customFormat="1" ht="56.25">
      <c r="B20" s="21">
        <f t="shared" si="2"/>
        <v>8</v>
      </c>
      <c r="C20" s="6" t="s">
        <v>322</v>
      </c>
      <c r="D20" s="6" t="s">
        <v>323</v>
      </c>
      <c r="E20" s="8" t="s">
        <v>127</v>
      </c>
      <c r="F20" s="7" t="s">
        <v>316</v>
      </c>
      <c r="G20" s="7" t="str">
        <f t="shared" si="3"/>
        <v>text</v>
      </c>
      <c r="H20" s="26"/>
      <c r="I20" s="10" t="s">
        <v>127</v>
      </c>
      <c r="J20" s="11" t="s">
        <v>294</v>
      </c>
      <c r="N20" s="76"/>
      <c r="O20" s="76"/>
      <c r="P20" s="76" t="str">
        <f t="shared" si="4"/>
        <v>,gairai_ymd</v>
      </c>
      <c r="Q20" s="76" t="str">
        <f t="shared" si="0"/>
        <v>TEXT</v>
      </c>
      <c r="R20" s="76" t="str">
        <f t="shared" si="1"/>
        <v/>
      </c>
      <c r="S20" s="76" t="str">
        <f t="shared" si="5"/>
        <v>NOT NULL</v>
      </c>
      <c r="T20" s="76" t="str">
        <f t="shared" si="6"/>
        <v>-- 外来受診年月日</v>
      </c>
      <c r="U20" s="4"/>
      <c r="AA20" s="4"/>
      <c r="AB20" s="4"/>
      <c r="AC20" s="4"/>
      <c r="AD20" s="4"/>
      <c r="AE20" s="4"/>
      <c r="AF20" s="4"/>
      <c r="AG20" s="4"/>
      <c r="AH20" s="4"/>
      <c r="AI20" s="4"/>
      <c r="AJ20" s="76" t="str">
        <f>IF(E20="○",IF(COUNTA(E$13:E20)=1,"",",")&amp;D20,"")</f>
        <v>,gairai_ymd</v>
      </c>
      <c r="AK20" s="4"/>
      <c r="AL20" s="4"/>
      <c r="AM20" s="4"/>
      <c r="AN20" s="4"/>
      <c r="AO20" s="4"/>
      <c r="AP20" s="4"/>
      <c r="AQ20" s="4"/>
      <c r="AR20" s="4"/>
      <c r="AS20" s="76" t="str">
        <f>"COMMENT ON COLUMN "&amp;エンティティ一覧!$O$2&amp;"."&amp;D$8&amp;"."&amp;D20&amp;" IS '"&amp;C20&amp;"';"</f>
        <v>COMMENT ON COLUMN milscm_2023_010.azn_202310_backup_merge_dpc_efg.gairai_ymd IS '外来受診年月日';</v>
      </c>
    </row>
    <row r="21" spans="1:45" s="25" customFormat="1">
      <c r="A21" s="4"/>
      <c r="B21" s="21">
        <f t="shared" si="2"/>
        <v>9</v>
      </c>
      <c r="C21" s="13" t="s">
        <v>324</v>
      </c>
      <c r="D21" s="13" t="s">
        <v>213</v>
      </c>
      <c r="E21" s="7" t="s">
        <v>127</v>
      </c>
      <c r="F21" s="7" t="s">
        <v>316</v>
      </c>
      <c r="G21" s="7" t="str">
        <f t="shared" si="3"/>
        <v>text</v>
      </c>
      <c r="H21" s="58"/>
      <c r="I21" s="23" t="s">
        <v>127</v>
      </c>
      <c r="J21" s="24"/>
      <c r="N21" s="76"/>
      <c r="O21" s="76"/>
      <c r="P21" s="76" t="str">
        <f t="shared" si="4"/>
        <v>,data_kubun</v>
      </c>
      <c r="Q21" s="76" t="str">
        <f t="shared" si="0"/>
        <v>TEXT</v>
      </c>
      <c r="R21" s="76" t="str">
        <f t="shared" si="1"/>
        <v/>
      </c>
      <c r="S21" s="76" t="str">
        <f t="shared" si="5"/>
        <v>NOT NULL</v>
      </c>
      <c r="T21" s="76" t="str">
        <f t="shared" si="6"/>
        <v>-- データ区分</v>
      </c>
      <c r="U21" s="4"/>
      <c r="AA21" s="4"/>
      <c r="AB21" s="4"/>
      <c r="AC21" s="4"/>
      <c r="AD21" s="4"/>
      <c r="AE21" s="4"/>
      <c r="AF21" s="4"/>
      <c r="AG21" s="4"/>
      <c r="AH21" s="4"/>
      <c r="AI21" s="4"/>
      <c r="AJ21" s="76" t="str">
        <f>IF(E21="○",IF(COUNTA(E$13:E21)=1,"",",")&amp;D21,"")</f>
        <v>,data_kubun</v>
      </c>
      <c r="AK21" s="4"/>
      <c r="AL21" s="4"/>
      <c r="AM21" s="4"/>
      <c r="AN21" s="4"/>
      <c r="AO21" s="4"/>
      <c r="AP21" s="4"/>
      <c r="AQ21" s="4"/>
      <c r="AR21" s="4"/>
      <c r="AS21" s="76" t="str">
        <f>"COMMENT ON COLUMN "&amp;エンティティ一覧!$O$2&amp;"."&amp;D$8&amp;"."&amp;D21&amp;" IS '"&amp;C21&amp;"';"</f>
        <v>COMMENT ON COLUMN milscm_2023_010.azn_202310_backup_merge_dpc_efg.data_kubun IS 'データ区分';</v>
      </c>
    </row>
    <row r="22" spans="1:45" s="25" customFormat="1">
      <c r="A22" s="4"/>
      <c r="B22" s="21">
        <f t="shared" si="2"/>
        <v>10</v>
      </c>
      <c r="C22" s="6" t="s">
        <v>325</v>
      </c>
      <c r="D22" s="6" t="s">
        <v>215</v>
      </c>
      <c r="E22" s="8" t="s">
        <v>127</v>
      </c>
      <c r="F22" s="7" t="s">
        <v>316</v>
      </c>
      <c r="G22" s="7" t="str">
        <f t="shared" si="3"/>
        <v>text</v>
      </c>
      <c r="H22" s="26"/>
      <c r="I22" s="10" t="s">
        <v>127</v>
      </c>
      <c r="J22" s="11"/>
      <c r="N22" s="76"/>
      <c r="O22" s="76"/>
      <c r="P22" s="76" t="str">
        <f t="shared" si="4"/>
        <v>,junjo_no</v>
      </c>
      <c r="Q22" s="76" t="str">
        <f t="shared" si="0"/>
        <v>TEXT</v>
      </c>
      <c r="R22" s="76" t="str">
        <f t="shared" si="1"/>
        <v/>
      </c>
      <c r="S22" s="76" t="str">
        <f t="shared" si="5"/>
        <v>NOT NULL</v>
      </c>
      <c r="T22" s="76" t="str">
        <f t="shared" si="6"/>
        <v>-- 順序番号</v>
      </c>
      <c r="U22" s="4"/>
      <c r="AA22" s="4"/>
      <c r="AB22" s="4"/>
      <c r="AC22" s="4"/>
      <c r="AD22" s="4"/>
      <c r="AE22" s="4"/>
      <c r="AF22" s="4"/>
      <c r="AG22" s="4"/>
      <c r="AH22" s="4"/>
      <c r="AI22" s="4"/>
      <c r="AJ22" s="76" t="str">
        <f>IF(E22="○",IF(COUNTA(E$13:E22)=1,"",",")&amp;D22,"")</f>
        <v>,junjo_no</v>
      </c>
      <c r="AK22" s="4"/>
      <c r="AL22" s="4"/>
      <c r="AM22" s="4"/>
      <c r="AN22" s="4"/>
      <c r="AO22" s="4"/>
      <c r="AP22" s="4"/>
      <c r="AQ22" s="4"/>
      <c r="AR22" s="4"/>
      <c r="AS22" s="76" t="str">
        <f>"COMMENT ON COLUMN "&amp;エンティティ一覧!$O$2&amp;"."&amp;D$8&amp;"."&amp;D22&amp;" IS '"&amp;C22&amp;"';"</f>
        <v>COMMENT ON COLUMN milscm_2023_010.azn_202310_backup_merge_dpc_efg.junjo_no IS '順序番号';</v>
      </c>
    </row>
    <row r="23" spans="1:45" s="25" customFormat="1" ht="37.5">
      <c r="A23" s="4"/>
      <c r="B23" s="21">
        <f t="shared" si="2"/>
        <v>11</v>
      </c>
      <c r="C23" s="13" t="s">
        <v>326</v>
      </c>
      <c r="D23" s="13" t="s">
        <v>153</v>
      </c>
      <c r="E23" s="7" t="s">
        <v>127</v>
      </c>
      <c r="F23" s="7" t="s">
        <v>316</v>
      </c>
      <c r="G23" s="7" t="str">
        <f t="shared" si="3"/>
        <v>text</v>
      </c>
      <c r="H23" s="58"/>
      <c r="I23" s="23" t="s">
        <v>127</v>
      </c>
      <c r="J23" s="24" t="s">
        <v>295</v>
      </c>
      <c r="N23" s="76"/>
      <c r="O23" s="76"/>
      <c r="P23" s="76" t="str">
        <f t="shared" si="4"/>
        <v>,koi_meisai_no</v>
      </c>
      <c r="Q23" s="76" t="str">
        <f t="shared" si="0"/>
        <v>TEXT</v>
      </c>
      <c r="R23" s="76" t="str">
        <f t="shared" si="1"/>
        <v/>
      </c>
      <c r="S23" s="76" t="str">
        <f t="shared" si="5"/>
        <v>NOT NULL</v>
      </c>
      <c r="T23" s="76" t="str">
        <f t="shared" si="6"/>
        <v>-- 行為明細番号</v>
      </c>
      <c r="U23" s="4"/>
      <c r="AA23" s="4"/>
      <c r="AB23" s="4"/>
      <c r="AC23" s="4"/>
      <c r="AD23" s="4"/>
      <c r="AE23" s="4"/>
      <c r="AF23" s="4"/>
      <c r="AG23" s="4"/>
      <c r="AH23" s="4"/>
      <c r="AI23" s="4"/>
      <c r="AJ23" s="76" t="str">
        <f>IF(E23="○",IF(COUNTA(E$13:E23)=1,"",",")&amp;D23,"")</f>
        <v>,koi_meisai_no</v>
      </c>
      <c r="AK23" s="4"/>
      <c r="AL23" s="4"/>
      <c r="AM23" s="4"/>
      <c r="AN23" s="4"/>
      <c r="AO23" s="4"/>
      <c r="AP23" s="4"/>
      <c r="AQ23" s="4"/>
      <c r="AR23" s="4"/>
      <c r="AS23" s="76" t="str">
        <f>"COMMENT ON COLUMN "&amp;エンティティ一覧!$O$2&amp;"."&amp;D$8&amp;"."&amp;D23&amp;" IS '"&amp;C23&amp;"';"</f>
        <v>COMMENT ON COLUMN milscm_2023_010.azn_202310_backup_merge_dpc_efg.koi_meisai_no IS '行為明細番号';</v>
      </c>
    </row>
    <row r="24" spans="1:45" s="25" customFormat="1">
      <c r="A24" s="4"/>
      <c r="B24" s="21">
        <f t="shared" si="2"/>
        <v>12</v>
      </c>
      <c r="C24" s="6" t="s">
        <v>327</v>
      </c>
      <c r="D24" s="6" t="s">
        <v>217</v>
      </c>
      <c r="E24" s="8"/>
      <c r="F24" s="7" t="s">
        <v>316</v>
      </c>
      <c r="G24" s="7" t="str">
        <f t="shared" si="3"/>
        <v>text</v>
      </c>
      <c r="H24" s="26"/>
      <c r="I24" s="10"/>
      <c r="J24" s="11"/>
      <c r="N24" s="76"/>
      <c r="O24" s="76"/>
      <c r="P24" s="76" t="str">
        <f t="shared" si="4"/>
        <v>,tensu_master_code</v>
      </c>
      <c r="Q24" s="76" t="str">
        <f t="shared" si="0"/>
        <v>TEXT</v>
      </c>
      <c r="R24" s="76" t="str">
        <f t="shared" si="1"/>
        <v/>
      </c>
      <c r="S24" s="76" t="str">
        <f t="shared" si="5"/>
        <v/>
      </c>
      <c r="T24" s="76" t="str">
        <f t="shared" si="6"/>
        <v>-- 病院点数マスタコード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milscm_2023_010.azn_202310_backup_merge_dpc_efg.tensu_master_code IS '病院点数マスタコード';</v>
      </c>
    </row>
    <row r="25" spans="1:45" s="25" customFormat="1" ht="37.5">
      <c r="A25" s="4"/>
      <c r="B25" s="21">
        <f t="shared" si="2"/>
        <v>13</v>
      </c>
      <c r="C25" s="13" t="s">
        <v>145</v>
      </c>
      <c r="D25" s="13" t="s">
        <v>154</v>
      </c>
      <c r="E25" s="7"/>
      <c r="F25" s="7" t="s">
        <v>316</v>
      </c>
      <c r="G25" s="7" t="str">
        <f t="shared" si="3"/>
        <v>text</v>
      </c>
      <c r="H25" s="58"/>
      <c r="I25" s="23"/>
      <c r="J25" s="24" t="s">
        <v>296</v>
      </c>
      <c r="N25" s="76"/>
      <c r="O25" s="76"/>
      <c r="P25" s="76" t="str">
        <f t="shared" si="4"/>
        <v>,receipt_densan_code</v>
      </c>
      <c r="Q25" s="76" t="str">
        <f t="shared" si="0"/>
        <v>TEXT</v>
      </c>
      <c r="R25" s="76" t="str">
        <f t="shared" si="1"/>
        <v/>
      </c>
      <c r="S25" s="76" t="str">
        <f t="shared" si="5"/>
        <v/>
      </c>
      <c r="T25" s="76" t="str">
        <f t="shared" si="6"/>
        <v>-- レセプト電算処理システム用コード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milscm_2023_010.azn_202310_backup_merge_dpc_efg.receipt_densan_code IS 'レセプト電算処理システム用コード';</v>
      </c>
    </row>
    <row r="26" spans="1:45" s="25" customFormat="1">
      <c r="A26" s="4"/>
      <c r="B26" s="21">
        <f t="shared" si="2"/>
        <v>14</v>
      </c>
      <c r="C26" s="6" t="s">
        <v>328</v>
      </c>
      <c r="D26" s="6" t="s">
        <v>219</v>
      </c>
      <c r="E26" s="8"/>
      <c r="F26" s="7" t="s">
        <v>316</v>
      </c>
      <c r="G26" s="7" t="str">
        <f t="shared" si="3"/>
        <v>text</v>
      </c>
      <c r="H26" s="26"/>
      <c r="I26" s="10"/>
      <c r="J26" s="11"/>
      <c r="N26" s="76"/>
      <c r="O26" s="76"/>
      <c r="P26" s="76" t="str">
        <f t="shared" si="4"/>
        <v>,kaishaku_no</v>
      </c>
      <c r="Q26" s="76" t="str">
        <f t="shared" si="0"/>
        <v>TEXT</v>
      </c>
      <c r="R26" s="76" t="str">
        <f t="shared" si="1"/>
        <v/>
      </c>
      <c r="S26" s="76" t="str">
        <f t="shared" si="5"/>
        <v/>
      </c>
      <c r="T26" s="76" t="str">
        <f t="shared" si="6"/>
        <v>-- 解釈番号</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milscm_2023_010.azn_202310_backup_merge_dpc_efg.kaishaku_no IS '解釈番号';</v>
      </c>
    </row>
    <row r="27" spans="1:45" s="25" customFormat="1">
      <c r="A27" s="4"/>
      <c r="B27" s="21">
        <f t="shared" si="2"/>
        <v>15</v>
      </c>
      <c r="C27" s="6" t="s">
        <v>329</v>
      </c>
      <c r="D27" s="6" t="s">
        <v>146</v>
      </c>
      <c r="E27" s="8"/>
      <c r="F27" s="7" t="s">
        <v>316</v>
      </c>
      <c r="G27" s="7" t="str">
        <f t="shared" si="3"/>
        <v>text</v>
      </c>
      <c r="H27" s="26"/>
      <c r="I27" s="10"/>
      <c r="J27" s="11" t="s">
        <v>147</v>
      </c>
      <c r="N27" s="76"/>
      <c r="O27" s="76"/>
      <c r="P27" s="76" t="str">
        <f t="shared" si="4"/>
        <v>,sinryo_meisai_name</v>
      </c>
      <c r="Q27" s="76" t="str">
        <f t="shared" si="0"/>
        <v>TEXT</v>
      </c>
      <c r="R27" s="76" t="str">
        <f t="shared" si="1"/>
        <v/>
      </c>
      <c r="S27" s="76" t="str">
        <f t="shared" si="5"/>
        <v/>
      </c>
      <c r="T27" s="76" t="str">
        <f t="shared" si="6"/>
        <v>-- 診療明細名称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milscm_2023_010.azn_202310_backup_merge_dpc_efg.sinryo_meisai_name IS '診療明細名称';</v>
      </c>
    </row>
    <row r="28" spans="1:45" s="25" customFormat="1" ht="37.5">
      <c r="A28" s="4"/>
      <c r="B28" s="21">
        <f t="shared" si="2"/>
        <v>16</v>
      </c>
      <c r="C28" s="13" t="s">
        <v>330</v>
      </c>
      <c r="D28" s="13" t="s">
        <v>129</v>
      </c>
      <c r="E28" s="7"/>
      <c r="F28" s="7" t="s">
        <v>331</v>
      </c>
      <c r="G28" s="7" t="str">
        <f t="shared" si="3"/>
        <v>numeric</v>
      </c>
      <c r="H28" s="58"/>
      <c r="I28" s="23"/>
      <c r="J28" s="24" t="s">
        <v>150</v>
      </c>
      <c r="N28" s="76"/>
      <c r="O28" s="76"/>
      <c r="P28" s="76" t="str">
        <f t="shared" si="4"/>
        <v>,shiyoryo</v>
      </c>
      <c r="Q28" s="76" t="str">
        <f t="shared" si="0"/>
        <v>NUMERIC</v>
      </c>
      <c r="R28" s="76" t="str">
        <f t="shared" si="1"/>
        <v/>
      </c>
      <c r="S28" s="76" t="str">
        <f t="shared" si="5"/>
        <v/>
      </c>
      <c r="T28" s="76" t="str">
        <f t="shared" si="6"/>
        <v>-- 使用量</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milscm_2023_010.azn_202310_backup_merge_dpc_efg.shiyoryo IS '使用量';</v>
      </c>
    </row>
    <row r="29" spans="1:45" s="25" customFormat="1">
      <c r="A29" s="4"/>
      <c r="B29" s="21">
        <f t="shared" si="2"/>
        <v>17</v>
      </c>
      <c r="C29" s="6" t="s">
        <v>332</v>
      </c>
      <c r="D29" s="6" t="s">
        <v>275</v>
      </c>
      <c r="E29" s="8"/>
      <c r="F29" s="7" t="s">
        <v>316</v>
      </c>
      <c r="G29" s="7" t="str">
        <f t="shared" si="3"/>
        <v>text</v>
      </c>
      <c r="H29" s="26"/>
      <c r="I29" s="10"/>
      <c r="J29" s="11"/>
      <c r="N29" s="76"/>
      <c r="O29" s="76"/>
      <c r="P29" s="76" t="str">
        <f t="shared" si="4"/>
        <v>,unit</v>
      </c>
      <c r="Q29" s="76" t="str">
        <f t="shared" si="0"/>
        <v>TEXT</v>
      </c>
      <c r="R29" s="76" t="str">
        <f t="shared" si="1"/>
        <v/>
      </c>
      <c r="S29" s="76" t="str">
        <f t="shared" si="5"/>
        <v/>
      </c>
      <c r="T29" s="76" t="str">
        <f t="shared" si="6"/>
        <v>-- 基準単位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milscm_2023_010.azn_202310_backup_merge_dpc_efg.unit IS '基準単位';</v>
      </c>
    </row>
    <row r="30" spans="1:45" s="25" customFormat="1">
      <c r="A30" s="4"/>
      <c r="B30" s="21">
        <f t="shared" si="2"/>
        <v>18</v>
      </c>
      <c r="C30" s="13" t="s">
        <v>333</v>
      </c>
      <c r="D30" s="13" t="s">
        <v>130</v>
      </c>
      <c r="E30" s="7"/>
      <c r="F30" s="7" t="s">
        <v>331</v>
      </c>
      <c r="G30" s="7" t="str">
        <f t="shared" si="3"/>
        <v>numeric</v>
      </c>
      <c r="H30" s="58"/>
      <c r="I30" s="23"/>
      <c r="J30" s="24"/>
      <c r="N30" s="76"/>
      <c r="O30" s="76"/>
      <c r="P30" s="76" t="str">
        <f t="shared" si="4"/>
        <v>,meisai_tensu</v>
      </c>
      <c r="Q30" s="76" t="str">
        <f t="shared" si="0"/>
        <v>NUMERIC</v>
      </c>
      <c r="R30" s="76" t="str">
        <f t="shared" si="1"/>
        <v/>
      </c>
      <c r="S30" s="76" t="str">
        <f t="shared" si="5"/>
        <v/>
      </c>
      <c r="T30" s="76" t="str">
        <f t="shared" si="6"/>
        <v>-- 明細点数・金額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milscm_2023_010.azn_202310_backup_merge_dpc_efg.meisai_tensu IS '明細点数・金額';</v>
      </c>
    </row>
    <row r="31" spans="1:45" s="25" customFormat="1">
      <c r="A31" s="4"/>
      <c r="B31" s="21">
        <f t="shared" si="2"/>
        <v>19</v>
      </c>
      <c r="C31" s="6" t="s">
        <v>334</v>
      </c>
      <c r="D31" s="6" t="s">
        <v>131</v>
      </c>
      <c r="E31" s="8"/>
      <c r="F31" s="7" t="s">
        <v>316</v>
      </c>
      <c r="G31" s="7" t="str">
        <f t="shared" si="3"/>
        <v>text</v>
      </c>
      <c r="H31" s="26"/>
      <c r="I31" s="10"/>
      <c r="J31" s="11" t="s">
        <v>152</v>
      </c>
      <c r="N31" s="76"/>
      <c r="O31" s="76"/>
      <c r="P31" s="76" t="str">
        <f t="shared" si="4"/>
        <v>,ten_kubun</v>
      </c>
      <c r="Q31" s="76" t="str">
        <f t="shared" si="0"/>
        <v>TEXT</v>
      </c>
      <c r="R31" s="76" t="str">
        <f t="shared" si="1"/>
        <v/>
      </c>
      <c r="S31" s="76" t="str">
        <f t="shared" si="5"/>
        <v/>
      </c>
      <c r="T31" s="76" t="str">
        <f t="shared" si="6"/>
        <v>-- 円・点区分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milscm_2023_010.azn_202310_backup_merge_dpc_efg.ten_kubun IS '円・点区分';</v>
      </c>
    </row>
    <row r="32" spans="1:45" s="25" customFormat="1">
      <c r="A32" s="4"/>
      <c r="B32" s="21">
        <f t="shared" si="2"/>
        <v>20</v>
      </c>
      <c r="C32" s="13" t="s">
        <v>335</v>
      </c>
      <c r="D32" s="13" t="s">
        <v>336</v>
      </c>
      <c r="E32" s="7"/>
      <c r="F32" s="7" t="s">
        <v>331</v>
      </c>
      <c r="G32" s="7" t="str">
        <f t="shared" si="3"/>
        <v>numeric</v>
      </c>
      <c r="H32" s="58"/>
      <c r="I32" s="23"/>
      <c r="J32" s="24"/>
      <c r="N32" s="76"/>
      <c r="O32" s="76"/>
      <c r="P32" s="76" t="str">
        <f t="shared" si="4"/>
        <v>,dekidaka_tensu</v>
      </c>
      <c r="Q32" s="76" t="str">
        <f t="shared" si="0"/>
        <v>NUMERIC</v>
      </c>
      <c r="R32" s="76" t="str">
        <f t="shared" si="1"/>
        <v/>
      </c>
      <c r="S32" s="76" t="str">
        <f t="shared" si="5"/>
        <v/>
      </c>
      <c r="T32" s="76" t="str">
        <f t="shared" si="6"/>
        <v>-- 出来高実績点数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milscm_2023_010.azn_202310_backup_merge_dpc_efg.dekidaka_tensu IS '出来高実績点数';</v>
      </c>
    </row>
    <row r="33" spans="1:47" s="25" customFormat="1" ht="56.25">
      <c r="A33" s="4"/>
      <c r="B33" s="21">
        <f t="shared" si="2"/>
        <v>21</v>
      </c>
      <c r="C33" s="6" t="s">
        <v>337</v>
      </c>
      <c r="D33" s="6" t="s">
        <v>132</v>
      </c>
      <c r="E33" s="8"/>
      <c r="F33" s="7" t="s">
        <v>316</v>
      </c>
      <c r="G33" s="7" t="str">
        <f t="shared" si="3"/>
        <v>text</v>
      </c>
      <c r="H33" s="26"/>
      <c r="I33" s="10"/>
      <c r="J33" s="11" t="s">
        <v>897</v>
      </c>
      <c r="N33" s="76"/>
      <c r="O33" s="76"/>
      <c r="P33" s="76" t="str">
        <f t="shared" si="4"/>
        <v>,koi_meisai_kubun</v>
      </c>
      <c r="Q33" s="76" t="str">
        <f t="shared" si="0"/>
        <v>TEXT</v>
      </c>
      <c r="R33" s="76" t="str">
        <f t="shared" si="1"/>
        <v/>
      </c>
      <c r="S33" s="76" t="str">
        <f t="shared" si="5"/>
        <v/>
      </c>
      <c r="T33" s="76" t="str">
        <f t="shared" si="6"/>
        <v>-- 行為明細区分情報</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milscm_2023_010.azn_202310_backup_merge_dpc_efg.koi_meisai_kubun IS '行為明細区分情報';</v>
      </c>
    </row>
    <row r="34" spans="1:47" s="25" customFormat="1" ht="56.25">
      <c r="A34" s="4"/>
      <c r="B34" s="21">
        <f t="shared" si="2"/>
        <v>22</v>
      </c>
      <c r="C34" s="13" t="s">
        <v>338</v>
      </c>
      <c r="D34" s="13" t="s">
        <v>339</v>
      </c>
      <c r="E34" s="7"/>
      <c r="F34" s="7" t="s">
        <v>331</v>
      </c>
      <c r="G34" s="7" t="str">
        <f t="shared" si="3"/>
        <v>numeric</v>
      </c>
      <c r="H34" s="58"/>
      <c r="I34" s="23"/>
      <c r="J34" s="24" t="s">
        <v>298</v>
      </c>
      <c r="N34" s="76"/>
      <c r="O34" s="76"/>
      <c r="P34" s="76" t="str">
        <f t="shared" si="4"/>
        <v>,koi_tensu</v>
      </c>
      <c r="Q34" s="76" t="str">
        <f t="shared" si="0"/>
        <v>NUMERIC</v>
      </c>
      <c r="R34" s="76" t="str">
        <f t="shared" si="1"/>
        <v/>
      </c>
      <c r="S34" s="76" t="str">
        <f t="shared" si="5"/>
        <v/>
      </c>
      <c r="T34" s="76" t="str">
        <f t="shared" si="6"/>
        <v>-- 行為点数</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milscm_2023_010.azn_202310_backup_merge_dpc_efg.koi_tensu IS '行為点数';</v>
      </c>
    </row>
    <row r="35" spans="1:47" s="25" customFormat="1">
      <c r="A35" s="4"/>
      <c r="B35" s="21">
        <f t="shared" si="2"/>
        <v>23</v>
      </c>
      <c r="C35" s="6" t="s">
        <v>340</v>
      </c>
      <c r="D35" s="6" t="s">
        <v>226</v>
      </c>
      <c r="E35" s="8"/>
      <c r="F35" s="7" t="s">
        <v>331</v>
      </c>
      <c r="G35" s="7" t="str">
        <f t="shared" si="3"/>
        <v>numeric</v>
      </c>
      <c r="H35" s="26"/>
      <c r="I35" s="10"/>
      <c r="J35" s="11" t="s">
        <v>299</v>
      </c>
      <c r="N35" s="76"/>
      <c r="O35" s="76"/>
      <c r="P35" s="76" t="str">
        <f t="shared" si="4"/>
        <v>,koi_yakuzai</v>
      </c>
      <c r="Q35" s="76" t="str">
        <f t="shared" si="0"/>
        <v>NUMERIC</v>
      </c>
      <c r="R35" s="76" t="str">
        <f t="shared" si="1"/>
        <v/>
      </c>
      <c r="S35" s="76" t="str">
        <f t="shared" si="5"/>
        <v/>
      </c>
      <c r="T35" s="76" t="str">
        <f t="shared" si="6"/>
        <v>-- 行為薬剤料</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milscm_2023_010.azn_202310_backup_merge_dpc_efg.koi_yakuzai IS '行為薬剤料';</v>
      </c>
    </row>
    <row r="36" spans="1:47" s="25" customFormat="1">
      <c r="A36" s="4"/>
      <c r="B36" s="21">
        <f t="shared" si="2"/>
        <v>24</v>
      </c>
      <c r="C36" s="6" t="s">
        <v>341</v>
      </c>
      <c r="D36" s="6" t="s">
        <v>228</v>
      </c>
      <c r="E36" s="8"/>
      <c r="F36" s="7" t="s">
        <v>331</v>
      </c>
      <c r="G36" s="7" t="str">
        <f t="shared" si="3"/>
        <v>numeric</v>
      </c>
      <c r="H36" s="26"/>
      <c r="I36" s="10"/>
      <c r="J36" s="11" t="s">
        <v>299</v>
      </c>
      <c r="N36" s="76"/>
      <c r="O36" s="76"/>
      <c r="P36" s="76" t="str">
        <f t="shared" si="4"/>
        <v>,koi_zairyo</v>
      </c>
      <c r="Q36" s="76" t="str">
        <f t="shared" si="0"/>
        <v>NUMERIC</v>
      </c>
      <c r="R36" s="76" t="str">
        <f t="shared" si="1"/>
        <v/>
      </c>
      <c r="S36" s="76" t="str">
        <f t="shared" si="5"/>
        <v/>
      </c>
      <c r="T36" s="76" t="str">
        <f t="shared" si="6"/>
        <v>-- 行為材料料</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milscm_2023_010.azn_202310_backup_merge_dpc_efg.koi_zairyo IS '行為材料料';</v>
      </c>
    </row>
    <row r="37" spans="1:47" s="25" customFormat="1">
      <c r="A37" s="4"/>
      <c r="B37" s="21">
        <f t="shared" si="2"/>
        <v>25</v>
      </c>
      <c r="C37" s="13" t="s">
        <v>342</v>
      </c>
      <c r="D37" s="13" t="s">
        <v>133</v>
      </c>
      <c r="E37" s="7"/>
      <c r="F37" s="7" t="s">
        <v>331</v>
      </c>
      <c r="G37" s="7" t="str">
        <f t="shared" si="3"/>
        <v>numeric</v>
      </c>
      <c r="H37" s="58"/>
      <c r="I37" s="23"/>
      <c r="J37" s="24" t="s">
        <v>300</v>
      </c>
      <c r="N37" s="76"/>
      <c r="O37" s="76"/>
      <c r="P37" s="76" t="str">
        <f t="shared" si="4"/>
        <v>,koi_times</v>
      </c>
      <c r="Q37" s="76" t="str">
        <f t="shared" si="0"/>
        <v>NUMERIC</v>
      </c>
      <c r="R37" s="76" t="str">
        <f t="shared" si="1"/>
        <v/>
      </c>
      <c r="S37" s="76" t="str">
        <f t="shared" si="5"/>
        <v/>
      </c>
      <c r="T37" s="76" t="str">
        <f t="shared" si="6"/>
        <v>-- 行為回数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milscm_2023_010.azn_202310_backup_merge_dpc_efg.koi_times IS '行為回数';</v>
      </c>
    </row>
    <row r="38" spans="1:47" s="25" customFormat="1">
      <c r="A38" s="4"/>
      <c r="B38" s="21">
        <f t="shared" si="2"/>
        <v>26</v>
      </c>
      <c r="C38" s="6" t="s">
        <v>343</v>
      </c>
      <c r="D38" s="6" t="s">
        <v>230</v>
      </c>
      <c r="E38" s="8"/>
      <c r="F38" s="7" t="s">
        <v>316</v>
      </c>
      <c r="G38" s="7" t="str">
        <f t="shared" si="3"/>
        <v>text</v>
      </c>
      <c r="H38" s="26"/>
      <c r="I38" s="10"/>
      <c r="J38" s="11"/>
      <c r="N38" s="76"/>
      <c r="O38" s="76"/>
      <c r="P38" s="76" t="str">
        <f t="shared" si="4"/>
        <v>,hoken_no</v>
      </c>
      <c r="Q38" s="76" t="str">
        <f t="shared" si="0"/>
        <v>TEXT</v>
      </c>
      <c r="R38" s="76" t="str">
        <f t="shared" si="1"/>
        <v/>
      </c>
      <c r="S38" s="76" t="str">
        <f t="shared" si="5"/>
        <v/>
      </c>
      <c r="T38" s="76" t="str">
        <f t="shared" si="6"/>
        <v>-- 保険者番号</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milscm_2023_010.azn_202310_backup_merge_dpc_efg.hoken_no IS '保険者番号';</v>
      </c>
    </row>
    <row r="39" spans="1:47" s="25" customFormat="1">
      <c r="A39" s="4"/>
      <c r="B39" s="21">
        <f t="shared" si="2"/>
        <v>27</v>
      </c>
      <c r="C39" s="13" t="s">
        <v>344</v>
      </c>
      <c r="D39" s="13" t="s">
        <v>232</v>
      </c>
      <c r="E39" s="7"/>
      <c r="F39" s="7" t="s">
        <v>316</v>
      </c>
      <c r="G39" s="7" t="str">
        <f t="shared" si="3"/>
        <v>text</v>
      </c>
      <c r="H39" s="58"/>
      <c r="I39" s="23"/>
      <c r="J39" s="24"/>
      <c r="N39" s="76"/>
      <c r="O39" s="76"/>
      <c r="P39" s="76" t="str">
        <f t="shared" si="4"/>
        <v>,receipt_type_code</v>
      </c>
      <c r="Q39" s="76" t="str">
        <f t="shared" si="0"/>
        <v>TEXT</v>
      </c>
      <c r="R39" s="76" t="str">
        <f t="shared" si="1"/>
        <v/>
      </c>
      <c r="S39" s="76" t="str">
        <f t="shared" si="5"/>
        <v/>
      </c>
      <c r="T39" s="76" t="str">
        <f t="shared" si="6"/>
        <v>-- レセプト種別コード</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milscm_2023_010.azn_202310_backup_merge_dpc_efg.receipt_type_code IS 'レセプト種別コード';</v>
      </c>
    </row>
    <row r="40" spans="1:47" s="25" customFormat="1">
      <c r="A40" s="4"/>
      <c r="B40" s="21">
        <f t="shared" si="2"/>
        <v>28</v>
      </c>
      <c r="C40" s="6" t="s">
        <v>345</v>
      </c>
      <c r="D40" s="6" t="s">
        <v>155</v>
      </c>
      <c r="E40" s="8"/>
      <c r="F40" s="7" t="s">
        <v>316</v>
      </c>
      <c r="G40" s="7" t="str">
        <f t="shared" si="3"/>
        <v>text</v>
      </c>
      <c r="H40" s="26"/>
      <c r="I40" s="10" t="s">
        <v>127</v>
      </c>
      <c r="J40" s="11" t="s">
        <v>144</v>
      </c>
      <c r="N40" s="76"/>
      <c r="O40" s="76"/>
      <c r="P40" s="76" t="str">
        <f t="shared" si="4"/>
        <v>,jisshi_ymd</v>
      </c>
      <c r="Q40" s="76" t="str">
        <f t="shared" si="0"/>
        <v>TEXT</v>
      </c>
      <c r="R40" s="76" t="str">
        <f t="shared" si="1"/>
        <v/>
      </c>
      <c r="S40" s="76" t="str">
        <f t="shared" si="5"/>
        <v>NOT NULL</v>
      </c>
      <c r="T40" s="76" t="str">
        <f t="shared" si="6"/>
        <v>-- 実施年月日・診療開始日</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milscm_2023_010.azn_202310_backup_merge_dpc_efg.jisshi_ymd IS '実施年月日・診療開始日';</v>
      </c>
    </row>
    <row r="41" spans="1:47" s="25" customFormat="1">
      <c r="A41" s="4"/>
      <c r="B41" s="21">
        <f t="shared" si="2"/>
        <v>29</v>
      </c>
      <c r="C41" s="13" t="s">
        <v>346</v>
      </c>
      <c r="D41" s="13" t="s">
        <v>234</v>
      </c>
      <c r="E41" s="7"/>
      <c r="F41" s="7" t="s">
        <v>316</v>
      </c>
      <c r="G41" s="7" t="str">
        <f t="shared" si="3"/>
        <v>text</v>
      </c>
      <c r="H41" s="58"/>
      <c r="I41" s="23"/>
      <c r="J41" s="24"/>
      <c r="N41" s="76"/>
      <c r="O41" s="76"/>
      <c r="P41" s="76" t="str">
        <f t="shared" si="4"/>
        <v>,receipt_ka_kubun</v>
      </c>
      <c r="Q41" s="76" t="str">
        <f t="shared" si="0"/>
        <v>TEXT</v>
      </c>
      <c r="R41" s="76" t="str">
        <f t="shared" si="1"/>
        <v/>
      </c>
      <c r="S41" s="76" t="str">
        <f t="shared" si="5"/>
        <v/>
      </c>
      <c r="T41" s="76" t="str">
        <f t="shared" si="6"/>
        <v>-- レセプト科区分</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milscm_2023_010.azn_202310_backup_merge_dpc_efg.receipt_ka_kubun IS 'レセプト科区分';</v>
      </c>
    </row>
    <row r="42" spans="1:47" s="25" customFormat="1">
      <c r="A42" s="4"/>
      <c r="B42" s="21">
        <f t="shared" si="2"/>
        <v>30</v>
      </c>
      <c r="C42" s="6" t="s">
        <v>134</v>
      </c>
      <c r="D42" s="6" t="s">
        <v>135</v>
      </c>
      <c r="E42" s="8"/>
      <c r="F42" s="7" t="s">
        <v>316</v>
      </c>
      <c r="G42" s="7" t="str">
        <f t="shared" si="3"/>
        <v>text</v>
      </c>
      <c r="H42" s="26"/>
      <c r="I42" s="10"/>
      <c r="J42" s="11"/>
      <c r="N42" s="76"/>
      <c r="O42" s="76"/>
      <c r="P42" s="76" t="str">
        <f t="shared" si="4"/>
        <v>,department_kubun</v>
      </c>
      <c r="Q42" s="76" t="str">
        <f t="shared" si="0"/>
        <v>TEXT</v>
      </c>
      <c r="R42" s="76" t="str">
        <f t="shared" si="1"/>
        <v/>
      </c>
      <c r="S42" s="76" t="str">
        <f t="shared" si="5"/>
        <v/>
      </c>
      <c r="T42" s="76" t="str">
        <f t="shared" si="6"/>
        <v>-- 診療科区分</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milscm_2023_010.azn_202310_backup_merge_dpc_efg.department_kubun IS '診療科区分';</v>
      </c>
    </row>
    <row r="43" spans="1:47" s="25" customFormat="1">
      <c r="A43" s="4"/>
      <c r="B43" s="21">
        <f t="shared" si="2"/>
        <v>31</v>
      </c>
      <c r="C43" s="13" t="s">
        <v>347</v>
      </c>
      <c r="D43" s="13" t="s">
        <v>236</v>
      </c>
      <c r="E43" s="7"/>
      <c r="F43" s="7" t="s">
        <v>316</v>
      </c>
      <c r="G43" s="7" t="str">
        <f t="shared" si="3"/>
        <v>text</v>
      </c>
      <c r="H43" s="58"/>
      <c r="I43" s="23"/>
      <c r="J43" s="24"/>
      <c r="N43" s="76"/>
      <c r="O43" s="76"/>
      <c r="P43" s="76" t="str">
        <f t="shared" si="4"/>
        <v>,doctor_code</v>
      </c>
      <c r="Q43" s="76" t="str">
        <f t="shared" si="0"/>
        <v>TEXT</v>
      </c>
      <c r="R43" s="76" t="str">
        <f t="shared" si="1"/>
        <v/>
      </c>
      <c r="S43" s="76" t="str">
        <f t="shared" si="5"/>
        <v/>
      </c>
      <c r="T43" s="76" t="str">
        <f t="shared" si="6"/>
        <v>-- 医師コード</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milscm_2023_010.azn_202310_backup_merge_dpc_efg.doctor_code IS '医師コード';</v>
      </c>
    </row>
    <row r="44" spans="1:47" s="25" customFormat="1">
      <c r="A44" s="4"/>
      <c r="B44" s="21">
        <f t="shared" si="2"/>
        <v>32</v>
      </c>
      <c r="C44" s="6" t="s">
        <v>348</v>
      </c>
      <c r="D44" s="6" t="s">
        <v>238</v>
      </c>
      <c r="E44" s="8"/>
      <c r="F44" s="7" t="s">
        <v>316</v>
      </c>
      <c r="G44" s="7" t="str">
        <f t="shared" si="3"/>
        <v>text</v>
      </c>
      <c r="H44" s="26"/>
      <c r="I44" s="10"/>
      <c r="J44" s="11"/>
      <c r="N44" s="76"/>
      <c r="O44" s="76"/>
      <c r="P44" s="76" t="str">
        <f t="shared" si="4"/>
        <v>,ward_code</v>
      </c>
      <c r="Q44" s="76" t="str">
        <f t="shared" si="0"/>
        <v>TEXT</v>
      </c>
      <c r="R44" s="76" t="str">
        <f t="shared" si="1"/>
        <v/>
      </c>
      <c r="S44" s="76" t="str">
        <f t="shared" si="5"/>
        <v/>
      </c>
      <c r="T44" s="76" t="str">
        <f t="shared" si="6"/>
        <v>-- 病棟コード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milscm_2023_010.azn_202310_backup_merge_dpc_efg.ward_code IS '病棟コード';</v>
      </c>
    </row>
    <row r="45" spans="1:47" s="25" customFormat="1">
      <c r="A45" s="4"/>
      <c r="B45" s="21">
        <f t="shared" si="2"/>
        <v>33</v>
      </c>
      <c r="C45" s="13" t="s">
        <v>349</v>
      </c>
      <c r="D45" s="13" t="s">
        <v>240</v>
      </c>
      <c r="E45" s="7"/>
      <c r="F45" s="7" t="s">
        <v>316</v>
      </c>
      <c r="G45" s="7" t="str">
        <f t="shared" si="3"/>
        <v>text</v>
      </c>
      <c r="H45" s="58"/>
      <c r="I45" s="23"/>
      <c r="J45" s="24" t="s">
        <v>355</v>
      </c>
      <c r="N45" s="76"/>
      <c r="O45" s="76"/>
      <c r="P45" s="76" t="str">
        <f t="shared" si="4"/>
        <v>,ward_kubun</v>
      </c>
      <c r="Q45" s="76" t="str">
        <f t="shared" si="0"/>
        <v>TEXT</v>
      </c>
      <c r="R45" s="76" t="str">
        <f t="shared" si="1"/>
        <v/>
      </c>
      <c r="S45" s="76" t="str">
        <f t="shared" si="5"/>
        <v/>
      </c>
      <c r="T45" s="76" t="str">
        <f t="shared" si="6"/>
        <v>-- 病棟区分</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milscm_2023_010.azn_202310_backup_merge_dpc_efg.ward_kubun IS '病棟区分';</v>
      </c>
    </row>
    <row r="46" spans="1:47" s="25" customFormat="1">
      <c r="A46" s="4"/>
      <c r="B46" s="21">
        <f t="shared" si="2"/>
        <v>34</v>
      </c>
      <c r="C46" s="13" t="s">
        <v>350</v>
      </c>
      <c r="D46" s="13" t="s">
        <v>242</v>
      </c>
      <c r="E46" s="7"/>
      <c r="F46" s="7" t="s">
        <v>316</v>
      </c>
      <c r="G46" s="7" t="str">
        <f t="shared" si="3"/>
        <v>text</v>
      </c>
      <c r="H46" s="58"/>
      <c r="I46" s="23"/>
      <c r="J46" s="24" t="s">
        <v>302</v>
      </c>
      <c r="N46" s="76"/>
      <c r="O46" s="76"/>
      <c r="P46" s="76" t="str">
        <f t="shared" si="4"/>
        <v>,nyugai_kubun</v>
      </c>
      <c r="Q46" s="76" t="str">
        <f t="shared" si="0"/>
        <v>TEXT</v>
      </c>
      <c r="R46" s="76" t="str">
        <f t="shared" si="1"/>
        <v/>
      </c>
      <c r="S46" s="76" t="str">
        <f t="shared" si="5"/>
        <v/>
      </c>
      <c r="T46" s="76" t="str">
        <f t="shared" si="6"/>
        <v>-- 入外区分</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milscm_2023_010.azn_202310_backup_merge_dpc_efg.nyugai_kubun IS '入外区分';</v>
      </c>
    </row>
    <row r="47" spans="1:47" s="25" customFormat="1" ht="19.5" thickBot="1">
      <c r="A47" s="4"/>
      <c r="B47" s="27">
        <f>ROW()-12</f>
        <v>35</v>
      </c>
      <c r="C47" s="57" t="s">
        <v>351</v>
      </c>
      <c r="D47" s="57" t="s">
        <v>244</v>
      </c>
      <c r="E47" s="56"/>
      <c r="F47" s="56" t="s">
        <v>316</v>
      </c>
      <c r="G47" s="56" t="str">
        <f t="shared" si="3"/>
        <v>text</v>
      </c>
      <c r="H47" s="59"/>
      <c r="I47" s="60"/>
      <c r="J47" s="61"/>
      <c r="N47" s="76"/>
      <c r="O47" s="76"/>
      <c r="P47" s="76" t="str">
        <f t="shared" si="4"/>
        <v>,facility_type</v>
      </c>
      <c r="Q47" s="76" t="str">
        <f t="shared" si="0"/>
        <v>TEXT</v>
      </c>
      <c r="R47" s="76" t="str">
        <f t="shared" si="1"/>
        <v/>
      </c>
      <c r="S47" s="76" t="str">
        <f t="shared" si="5"/>
        <v/>
      </c>
      <c r="T47" s="76" t="str">
        <f t="shared" si="6"/>
        <v>-- 施設タイプ</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milscm_2023_010.azn_202310_backup_merge_dpc_efg.facility_type IS '施設タイプ';</v>
      </c>
      <c r="AT47" s="4"/>
      <c r="AU47" s="4"/>
    </row>
    <row r="48" spans="1:47">
      <c r="M48" s="25"/>
      <c r="N48" s="76" t="s">
        <v>142</v>
      </c>
      <c r="O48" s="76"/>
      <c r="P48" s="76"/>
      <c r="Q48" s="76"/>
      <c r="R48" s="76"/>
      <c r="S48" s="76"/>
      <c r="T48" s="76"/>
      <c r="V48" s="25"/>
      <c r="W48" s="25"/>
      <c r="X48" s="25"/>
      <c r="Y48" s="25"/>
      <c r="Z48" s="25"/>
      <c r="AJ48" s="76" t="s">
        <v>142</v>
      </c>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Z1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ENT_01_C1-04</v>
      </c>
      <c r="E6" s="272"/>
      <c r="F6" s="272"/>
      <c r="G6" s="272"/>
      <c r="H6" s="272"/>
      <c r="I6" s="272"/>
      <c r="J6" s="273"/>
    </row>
    <row r="7" spans="1:45">
      <c r="B7" s="261" t="s">
        <v>115</v>
      </c>
      <c r="C7" s="262"/>
      <c r="D7" s="263" t="s">
        <v>356</v>
      </c>
      <c r="E7" s="264"/>
      <c r="F7" s="264"/>
      <c r="G7" s="264"/>
      <c r="H7" s="264"/>
      <c r="I7" s="264"/>
      <c r="J7" s="265"/>
    </row>
    <row r="8" spans="1:45">
      <c r="B8" s="261" t="s">
        <v>116</v>
      </c>
      <c r="C8" s="262"/>
      <c r="D8" s="263" t="str">
        <f>エンティティ一覧!AE2&amp;"_"&amp;D5&amp;"_merge_dpc_hn"</f>
        <v>azn_202310_backup_merge_dpc_hn</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DPC調査データ_Hファイルテーブルから組入れ条件の第一条件で絞り込んだ結果を格納するテーブル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milscm_2023_010.azn_202310_backup_merge_dpc_hn;</v>
      </c>
      <c r="O10" s="76"/>
      <c r="P10" s="76"/>
      <c r="Q10" s="76"/>
      <c r="R10" s="76"/>
      <c r="S10" s="76"/>
      <c r="T10" s="76"/>
      <c r="AJ10" s="76" t="str">
        <f>"ALTER TABLE ONLY "&amp;エンティティ一覧!$O$2&amp;"."&amp;D$8</f>
        <v>ALTER TABLE ONLY milscm_2023_010.azn_202310_backup_merge_dpc_hn</v>
      </c>
      <c r="AS10" s="76" t="str">
        <f>"ALTER TABLE "&amp;エンティティ一覧!$O$2&amp;"."&amp;D$8&amp;" OWNER TO pgmisgrp1;"</f>
        <v>ALTER TABLE milscm_2023_010.azn_202310_backup_merge_dpc_hn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milscm_2023_010.azn_202310_backup_merge_dpc_hn</v>
      </c>
      <c r="O11" s="76"/>
      <c r="P11" s="76"/>
      <c r="Q11" s="76"/>
      <c r="R11" s="76"/>
      <c r="S11" s="76"/>
      <c r="T11" s="76"/>
      <c r="AJ11" s="76" t="str">
        <f>"ADD CONSTRAINT "&amp;D$8&amp;"_pkey PRIMARY KEY"</f>
        <v>ADD CONSTRAINT azn_202310_backup_merge_dpc_hn_pkey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milscm_2023_010.azn_202310_backup_merge_dpc_hn IS 'バックアップ_DPC調査データ_Hファイル';</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352</v>
      </c>
      <c r="M13" s="4"/>
      <c r="N13" s="76"/>
      <c r="O13" s="76"/>
      <c r="P13" s="76" t="str">
        <f>IF(B13&lt;&gt;1,","&amp;D13,D13)</f>
        <v>torikomi_ym</v>
      </c>
      <c r="Q13" s="76" t="str">
        <f t="shared" ref="Q13:Q47" si="0">UPPER(G13)</f>
        <v>TEXT</v>
      </c>
      <c r="R13" s="76" t="str">
        <f t="shared" ref="R13:R47"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milscm_2023_010.azn_202310_backup_merge_dpc_hn.torikomi_ym IS '取込年月';</v>
      </c>
    </row>
    <row r="14" spans="1:45" s="25" customFormat="1">
      <c r="A14" s="4"/>
      <c r="B14" s="21">
        <f t="shared" ref="B14:B152" si="2">ROW()-12</f>
        <v>2</v>
      </c>
      <c r="C14" s="6" t="s">
        <v>201</v>
      </c>
      <c r="D14" s="6" t="s">
        <v>202</v>
      </c>
      <c r="E14" s="8"/>
      <c r="F14" s="7" t="s">
        <v>203</v>
      </c>
      <c r="G14" s="7" t="str">
        <f t="shared" ref="G14:G153" si="3">IF(F14="フラグ","boolean",IF(F14="文字列","text",IF(F14="整数","integer",IF(F14="実数","numeric",""))))</f>
        <v>integer</v>
      </c>
      <c r="H14" s="26"/>
      <c r="I14" s="10"/>
      <c r="J14" s="11" t="s">
        <v>256</v>
      </c>
      <c r="M14" s="4"/>
      <c r="N14" s="76"/>
      <c r="O14" s="76"/>
      <c r="P14" s="76" t="str">
        <f t="shared" ref="P14:P47"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milscm_2023_010.azn_202310_backup_merge_dpc_hn.mil_karute_id IS '千年カルテID';</v>
      </c>
    </row>
    <row r="15" spans="1:45" s="25" customFormat="1" ht="37.5">
      <c r="A15" s="4"/>
      <c r="B15" s="21">
        <f t="shared" si="2"/>
        <v>3</v>
      </c>
      <c r="C15" s="13" t="s">
        <v>137</v>
      </c>
      <c r="D15" s="13" t="s">
        <v>128</v>
      </c>
      <c r="E15" s="7" t="s">
        <v>127</v>
      </c>
      <c r="F15" s="7" t="s">
        <v>316</v>
      </c>
      <c r="G15" s="7" t="str">
        <f t="shared" si="3"/>
        <v>text</v>
      </c>
      <c r="H15" s="58"/>
      <c r="I15" s="23" t="s">
        <v>127</v>
      </c>
      <c r="J15" s="24" t="s">
        <v>353</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milscm_2023_010.azn_202310_backup_merge_dpc_hn.facility_id IS '施設ID';</v>
      </c>
    </row>
    <row r="16" spans="1:45" s="25" customFormat="1" ht="93.75">
      <c r="B16" s="21">
        <f t="shared" si="2"/>
        <v>4</v>
      </c>
      <c r="C16" s="6" t="s">
        <v>317</v>
      </c>
      <c r="D16" s="6" t="s">
        <v>205</v>
      </c>
      <c r="E16" s="8" t="s">
        <v>127</v>
      </c>
      <c r="F16" s="7" t="s">
        <v>316</v>
      </c>
      <c r="G16" s="7" t="str">
        <f t="shared" si="3"/>
        <v>text</v>
      </c>
      <c r="H16" s="26"/>
      <c r="I16" s="10" t="s">
        <v>127</v>
      </c>
      <c r="J16" s="53" t="s">
        <v>896</v>
      </c>
      <c r="M16" s="4"/>
      <c r="N16" s="76"/>
      <c r="O16" s="76"/>
      <c r="P16" s="76" t="str">
        <f t="shared" si="4"/>
        <v>,shinryo_ym</v>
      </c>
      <c r="Q16" s="76" t="str">
        <f t="shared" si="0"/>
        <v>TEXT</v>
      </c>
      <c r="R16" s="76" t="str">
        <f t="shared" si="1"/>
        <v/>
      </c>
      <c r="S16" s="76" t="str">
        <f t="shared" ref="S16:S47" si="5">IF(I16="○","NOT NULL","")</f>
        <v>NOT NULL</v>
      </c>
      <c r="T16" s="76" t="str">
        <f t="shared" ref="T16:T47"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milscm_2023_010.azn_202310_backup_merge_dpc_hn.shinryo_ym IS '診療年月';</v>
      </c>
    </row>
    <row r="17" spans="1:45" s="25" customFormat="1">
      <c r="B17" s="21">
        <f t="shared" si="2"/>
        <v>5</v>
      </c>
      <c r="C17" s="13" t="s">
        <v>318</v>
      </c>
      <c r="D17" s="13" t="s">
        <v>207</v>
      </c>
      <c r="E17" s="7"/>
      <c r="F17" s="7" t="s">
        <v>316</v>
      </c>
      <c r="G17" s="7" t="str">
        <f t="shared" si="3"/>
        <v>text</v>
      </c>
      <c r="H17" s="58" t="s">
        <v>258</v>
      </c>
      <c r="I17" s="23" t="s">
        <v>127</v>
      </c>
      <c r="J17" s="24" t="s">
        <v>354</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milscm_2023_010.azn_202310_backup_merge_dpc_hn.data_type IS 'データ種別';</v>
      </c>
    </row>
    <row r="18" spans="1:45" s="25" customFormat="1">
      <c r="B18" s="21">
        <f t="shared" si="2"/>
        <v>6</v>
      </c>
      <c r="C18" s="6" t="s">
        <v>348</v>
      </c>
      <c r="D18" s="6" t="s">
        <v>238</v>
      </c>
      <c r="E18" s="8" t="s">
        <v>127</v>
      </c>
      <c r="F18" s="7" t="s">
        <v>316</v>
      </c>
      <c r="G18" s="7" t="str">
        <f t="shared" si="3"/>
        <v>text</v>
      </c>
      <c r="H18" s="26"/>
      <c r="I18" s="10" t="s">
        <v>127</v>
      </c>
      <c r="J18" s="11"/>
      <c r="N18" s="76"/>
      <c r="O18" s="76"/>
      <c r="P18" s="76" t="str">
        <f t="shared" si="4"/>
        <v>,ward_code</v>
      </c>
      <c r="Q18" s="76" t="str">
        <f t="shared" si="0"/>
        <v>TEXT</v>
      </c>
      <c r="R18" s="76" t="str">
        <f t="shared" si="1"/>
        <v/>
      </c>
      <c r="S18" s="76" t="str">
        <f t="shared" si="5"/>
        <v>NOT NULL</v>
      </c>
      <c r="T18" s="76" t="str">
        <f t="shared" si="6"/>
        <v>-- 病棟コード</v>
      </c>
      <c r="U18" s="4"/>
      <c r="AA18" s="4"/>
      <c r="AB18" s="4"/>
      <c r="AC18" s="4"/>
      <c r="AD18" s="4"/>
      <c r="AE18" s="4"/>
      <c r="AF18" s="4"/>
      <c r="AG18" s="4"/>
      <c r="AH18" s="4"/>
      <c r="AI18" s="4"/>
      <c r="AJ18" s="76" t="str">
        <f>IF(E18="○",IF(COUNTA(E$13:E18)=1,"",",")&amp;D18,"")</f>
        <v>,ward_code</v>
      </c>
      <c r="AK18" s="4"/>
      <c r="AL18" s="4"/>
      <c r="AM18" s="4"/>
      <c r="AN18" s="4"/>
      <c r="AO18" s="4"/>
      <c r="AP18" s="4"/>
      <c r="AQ18" s="4"/>
      <c r="AR18" s="4"/>
      <c r="AS18" s="76" t="str">
        <f>"COMMENT ON COLUMN "&amp;エンティティ一覧!$O$2&amp;"."&amp;D$8&amp;"."&amp;D18&amp;" IS '"&amp;C18&amp;"';"</f>
        <v>COMMENT ON COLUMN milscm_2023_010.azn_202310_backup_merge_dpc_hn.ward_code IS '病棟コード';</v>
      </c>
    </row>
    <row r="19" spans="1:45" s="25" customFormat="1">
      <c r="B19" s="21">
        <f t="shared" si="2"/>
        <v>7</v>
      </c>
      <c r="C19" s="13" t="s">
        <v>319</v>
      </c>
      <c r="D19" s="13" t="s">
        <v>209</v>
      </c>
      <c r="E19" s="7" t="s">
        <v>127</v>
      </c>
      <c r="F19" s="7" t="s">
        <v>316</v>
      </c>
      <c r="G19" s="7" t="str">
        <f t="shared" si="3"/>
        <v>text</v>
      </c>
      <c r="H19" s="58"/>
      <c r="I19" s="23" t="s">
        <v>127</v>
      </c>
      <c r="J19" s="24"/>
      <c r="N19" s="76"/>
      <c r="O19" s="76"/>
      <c r="P19" s="76" t="str">
        <f t="shared" si="4"/>
        <v>,shikibetsu_no</v>
      </c>
      <c r="Q19" s="76" t="str">
        <f t="shared" si="0"/>
        <v>TEXT</v>
      </c>
      <c r="R19" s="76" t="str">
        <f t="shared" si="1"/>
        <v/>
      </c>
      <c r="S19" s="76" t="str">
        <f t="shared" si="5"/>
        <v>NOT NULL</v>
      </c>
      <c r="T19" s="76" t="str">
        <f t="shared" si="6"/>
        <v>-- データ識別番号</v>
      </c>
      <c r="U19" s="4"/>
      <c r="AA19" s="4"/>
      <c r="AB19" s="4"/>
      <c r="AC19" s="4"/>
      <c r="AD19" s="4"/>
      <c r="AE19" s="4"/>
      <c r="AF19" s="4"/>
      <c r="AG19" s="4"/>
      <c r="AH19" s="4"/>
      <c r="AI19" s="4"/>
      <c r="AJ19" s="76" t="str">
        <f>IF(E19="○",IF(COUNTA(E$13:E19)=1,"",",")&amp;D19,"")</f>
        <v>,shikibetsu_no</v>
      </c>
      <c r="AK19" s="4"/>
      <c r="AL19" s="4"/>
      <c r="AM19" s="4"/>
      <c r="AN19" s="4"/>
      <c r="AO19" s="4"/>
      <c r="AP19" s="4"/>
      <c r="AQ19" s="4"/>
      <c r="AR19" s="4"/>
      <c r="AS19" s="76" t="str">
        <f>"COMMENT ON COLUMN "&amp;エンティティ一覧!$O$2&amp;"."&amp;D$8&amp;"."&amp;D19&amp;" IS '"&amp;C19&amp;"';"</f>
        <v>COMMENT ON COLUMN milscm_2023_010.azn_202310_backup_merge_dpc_hn.shikibetsu_no IS 'データ識別番号';</v>
      </c>
    </row>
    <row r="20" spans="1:45" s="25" customFormat="1" ht="37.5">
      <c r="B20" s="21">
        <f t="shared" si="2"/>
        <v>8</v>
      </c>
      <c r="C20" s="6" t="s">
        <v>210</v>
      </c>
      <c r="D20" s="6" t="s">
        <v>211</v>
      </c>
      <c r="E20" s="8" t="s">
        <v>127</v>
      </c>
      <c r="F20" s="7" t="s">
        <v>316</v>
      </c>
      <c r="G20" s="7" t="str">
        <f t="shared" si="3"/>
        <v>text</v>
      </c>
      <c r="H20" s="26"/>
      <c r="I20" s="10" t="s">
        <v>127</v>
      </c>
      <c r="J20" s="11" t="s">
        <v>260</v>
      </c>
      <c r="N20" s="76"/>
      <c r="O20" s="76"/>
      <c r="P20" s="76" t="str">
        <f t="shared" si="4"/>
        <v>,taiin_ymd</v>
      </c>
      <c r="Q20" s="76" t="str">
        <f t="shared" si="0"/>
        <v>TEXT</v>
      </c>
      <c r="R20" s="76" t="str">
        <f t="shared" si="1"/>
        <v/>
      </c>
      <c r="S20" s="76" t="str">
        <f t="shared" si="5"/>
        <v>NOT NULL</v>
      </c>
      <c r="T20" s="76" t="str">
        <f t="shared" si="6"/>
        <v>-- 退院年月日</v>
      </c>
      <c r="U20" s="4"/>
      <c r="AA20" s="4"/>
      <c r="AB20" s="4"/>
      <c r="AC20" s="4"/>
      <c r="AD20" s="4"/>
      <c r="AE20" s="4"/>
      <c r="AF20" s="4"/>
      <c r="AG20" s="4"/>
      <c r="AH20" s="4"/>
      <c r="AI20" s="4"/>
      <c r="AJ20" s="76" t="str">
        <f>IF(E20="○",IF(COUNTA(E$13:E20)=1,"",",")&amp;D20,"")</f>
        <v>,taiin_ymd</v>
      </c>
      <c r="AK20" s="4"/>
      <c r="AL20" s="4"/>
      <c r="AM20" s="4"/>
      <c r="AN20" s="4"/>
      <c r="AO20" s="4"/>
      <c r="AP20" s="4"/>
      <c r="AQ20" s="4"/>
      <c r="AR20" s="4"/>
      <c r="AS20" s="76" t="str">
        <f>"COMMENT ON COLUMN "&amp;エンティティ一覧!$O$2&amp;"."&amp;D$8&amp;"."&amp;D20&amp;" IS '"&amp;C20&amp;"';"</f>
        <v>COMMENT ON COLUMN milscm_2023_010.azn_202310_backup_merge_dpc_hn.taiin_ymd IS '退院年月日';</v>
      </c>
    </row>
    <row r="21" spans="1:45" s="25" customFormat="1">
      <c r="A21" s="4"/>
      <c r="B21" s="21">
        <f t="shared" si="2"/>
        <v>9</v>
      </c>
      <c r="C21" s="13" t="s">
        <v>143</v>
      </c>
      <c r="D21" s="13" t="s">
        <v>156</v>
      </c>
      <c r="E21" s="7" t="s">
        <v>127</v>
      </c>
      <c r="F21" s="7" t="s">
        <v>316</v>
      </c>
      <c r="G21" s="7" t="str">
        <f t="shared" si="3"/>
        <v>text</v>
      </c>
      <c r="H21" s="58"/>
      <c r="I21" s="23" t="s">
        <v>127</v>
      </c>
      <c r="J21" s="24" t="s">
        <v>144</v>
      </c>
      <c r="N21" s="76"/>
      <c r="O21" s="76"/>
      <c r="P21" s="76" t="str">
        <f t="shared" si="4"/>
        <v>,nyuin_ymd</v>
      </c>
      <c r="Q21" s="76" t="str">
        <f t="shared" si="0"/>
        <v>TEXT</v>
      </c>
      <c r="R21" s="76" t="str">
        <f t="shared" si="1"/>
        <v/>
      </c>
      <c r="S21" s="76" t="str">
        <f t="shared" si="5"/>
        <v>NOT NULL</v>
      </c>
      <c r="T21" s="76" t="str">
        <f t="shared" si="6"/>
        <v>-- 入院年月日</v>
      </c>
      <c r="U21" s="4"/>
      <c r="AA21" s="4"/>
      <c r="AB21" s="4"/>
      <c r="AC21" s="4"/>
      <c r="AD21" s="4"/>
      <c r="AE21" s="4"/>
      <c r="AF21" s="4"/>
      <c r="AG21" s="4"/>
      <c r="AH21" s="4"/>
      <c r="AI21" s="4"/>
      <c r="AJ21" s="76" t="str">
        <f>IF(E21="○",IF(COUNTA(E$13:E21)=1,"",",")&amp;D21,"")</f>
        <v>,nyuin_ymd</v>
      </c>
      <c r="AK21" s="4"/>
      <c r="AL21" s="4"/>
      <c r="AM21" s="4"/>
      <c r="AN21" s="4"/>
      <c r="AO21" s="4"/>
      <c r="AP21" s="4"/>
      <c r="AQ21" s="4"/>
      <c r="AR21" s="4"/>
      <c r="AS21" s="76" t="str">
        <f>"COMMENT ON COLUMN "&amp;エンティティ一覧!$O$2&amp;"."&amp;D$8&amp;"."&amp;D21&amp;" IS '"&amp;C21&amp;"';"</f>
        <v>COMMENT ON COLUMN milscm_2023_010.azn_202310_backup_merge_dpc_hn.nyuin_ymd IS '入院年月日';</v>
      </c>
    </row>
    <row r="22" spans="1:45" s="25" customFormat="1">
      <c r="A22" s="4"/>
      <c r="B22" s="21">
        <f t="shared" si="2"/>
        <v>10</v>
      </c>
      <c r="C22" s="6" t="s">
        <v>149</v>
      </c>
      <c r="D22" s="6" t="s">
        <v>155</v>
      </c>
      <c r="E22" s="8" t="s">
        <v>127</v>
      </c>
      <c r="F22" s="7" t="s">
        <v>316</v>
      </c>
      <c r="G22" s="7" t="str">
        <f t="shared" si="3"/>
        <v>text</v>
      </c>
      <c r="H22" s="26"/>
      <c r="I22" s="10" t="s">
        <v>127</v>
      </c>
      <c r="J22" s="11" t="s">
        <v>144</v>
      </c>
      <c r="N22" s="76"/>
      <c r="O22" s="76"/>
      <c r="P22" s="76" t="str">
        <f t="shared" si="4"/>
        <v>,jisshi_ymd</v>
      </c>
      <c r="Q22" s="76" t="str">
        <f t="shared" si="0"/>
        <v>TEXT</v>
      </c>
      <c r="R22" s="76" t="str">
        <f t="shared" si="1"/>
        <v/>
      </c>
      <c r="S22" s="76" t="str">
        <f t="shared" si="5"/>
        <v>NOT NULL</v>
      </c>
      <c r="T22" s="76" t="str">
        <f t="shared" si="6"/>
        <v>-- 実施年月日</v>
      </c>
      <c r="U22" s="4"/>
      <c r="AA22" s="4"/>
      <c r="AB22" s="4"/>
      <c r="AC22" s="4"/>
      <c r="AD22" s="4"/>
      <c r="AE22" s="4"/>
      <c r="AF22" s="4"/>
      <c r="AG22" s="4"/>
      <c r="AH22" s="4"/>
      <c r="AI22" s="4"/>
      <c r="AJ22" s="76" t="str">
        <f>IF(E22="○",IF(COUNTA(E$13:E22)=1,"",",")&amp;D22,"")</f>
        <v>,jisshi_ymd</v>
      </c>
      <c r="AK22" s="4"/>
      <c r="AL22" s="4"/>
      <c r="AM22" s="4"/>
      <c r="AN22" s="4"/>
      <c r="AO22" s="4"/>
      <c r="AP22" s="4"/>
      <c r="AQ22" s="4"/>
      <c r="AR22" s="4"/>
      <c r="AS22" s="76" t="str">
        <f>"COMMENT ON COLUMN "&amp;エンティティ一覧!$O$2&amp;"."&amp;D$8&amp;"."&amp;D22&amp;" IS '"&amp;C22&amp;"';"</f>
        <v>COMMENT ON COLUMN milscm_2023_010.azn_202310_backup_merge_dpc_hn.jisshi_ymd IS '実施年月日';</v>
      </c>
    </row>
    <row r="23" spans="1:45" s="25" customFormat="1">
      <c r="A23" s="4"/>
      <c r="B23" s="21">
        <f t="shared" si="2"/>
        <v>11</v>
      </c>
      <c r="C23" s="13" t="s">
        <v>357</v>
      </c>
      <c r="D23" s="13" t="s">
        <v>358</v>
      </c>
      <c r="E23" s="7" t="s">
        <v>127</v>
      </c>
      <c r="F23" s="7" t="s">
        <v>316</v>
      </c>
      <c r="G23" s="7" t="str">
        <f t="shared" si="3"/>
        <v>text</v>
      </c>
      <c r="H23" s="58" t="s">
        <v>538</v>
      </c>
      <c r="I23" s="23" t="s">
        <v>127</v>
      </c>
      <c r="J23" s="24" t="s">
        <v>539</v>
      </c>
      <c r="N23" s="76"/>
      <c r="O23" s="76"/>
      <c r="P23" s="76" t="str">
        <f t="shared" si="4"/>
        <v>,code</v>
      </c>
      <c r="Q23" s="76" t="str">
        <f t="shared" si="0"/>
        <v>TEXT</v>
      </c>
      <c r="R23" s="76" t="str">
        <f t="shared" si="1"/>
        <v>default 'ASS0010'</v>
      </c>
      <c r="S23" s="76" t="str">
        <f t="shared" si="5"/>
        <v>NOT NULL</v>
      </c>
      <c r="T23" s="76" t="str">
        <f t="shared" si="6"/>
        <v>-- コード</v>
      </c>
      <c r="U23" s="4"/>
      <c r="AA23" s="4"/>
      <c r="AB23" s="4"/>
      <c r="AC23" s="4"/>
      <c r="AD23" s="4"/>
      <c r="AE23" s="4"/>
      <c r="AF23" s="4"/>
      <c r="AG23" s="4"/>
      <c r="AH23" s="4"/>
      <c r="AI23" s="4"/>
      <c r="AJ23" s="76" t="str">
        <f>IF(E23="○",IF(COUNTA(E$13:E23)=1,"",",")&amp;D23,"")</f>
        <v>,code</v>
      </c>
      <c r="AK23" s="4"/>
      <c r="AL23" s="4"/>
      <c r="AM23" s="4"/>
      <c r="AN23" s="4"/>
      <c r="AO23" s="4"/>
      <c r="AP23" s="4"/>
      <c r="AQ23" s="4"/>
      <c r="AR23" s="4"/>
      <c r="AS23" s="76" t="str">
        <f>"COMMENT ON COLUMN "&amp;エンティティ一覧!$O$2&amp;"."&amp;D$8&amp;"."&amp;D23&amp;" IS '"&amp;C23&amp;"';"</f>
        <v>COMMENT ON COLUMN milscm_2023_010.azn_202310_backup_merge_dpc_hn.code IS 'コード';</v>
      </c>
    </row>
    <row r="24" spans="1:45" s="25" customFormat="1">
      <c r="A24" s="4"/>
      <c r="B24" s="21">
        <f t="shared" si="2"/>
        <v>12</v>
      </c>
      <c r="C24" s="6" t="s">
        <v>359</v>
      </c>
      <c r="D24" s="6" t="s">
        <v>360</v>
      </c>
      <c r="E24" s="8" t="s">
        <v>127</v>
      </c>
      <c r="F24" s="7" t="s">
        <v>316</v>
      </c>
      <c r="G24" s="7" t="str">
        <f t="shared" si="3"/>
        <v>text</v>
      </c>
      <c r="H24" s="26" t="s">
        <v>540</v>
      </c>
      <c r="I24" s="10" t="s">
        <v>127</v>
      </c>
      <c r="J24" s="11" t="s">
        <v>541</v>
      </c>
      <c r="N24" s="76"/>
      <c r="O24" s="76"/>
      <c r="P24" s="76" t="str">
        <f t="shared" si="4"/>
        <v>,version</v>
      </c>
      <c r="Q24" s="76" t="str">
        <f t="shared" si="0"/>
        <v>TEXT</v>
      </c>
      <c r="R24" s="76" t="str">
        <f t="shared" si="1"/>
        <v>default '20160401'</v>
      </c>
      <c r="S24" s="76" t="str">
        <f t="shared" si="5"/>
        <v>NOT NULL</v>
      </c>
      <c r="T24" s="76" t="str">
        <f t="shared" si="6"/>
        <v>-- バージョン</v>
      </c>
      <c r="U24" s="4"/>
      <c r="AA24" s="4"/>
      <c r="AB24" s="4"/>
      <c r="AC24" s="4"/>
      <c r="AD24" s="4"/>
      <c r="AE24" s="4"/>
      <c r="AF24" s="4"/>
      <c r="AG24" s="4"/>
      <c r="AH24" s="4"/>
      <c r="AI24" s="4"/>
      <c r="AJ24" s="76" t="str">
        <f>IF(E24="○",IF(COUNTA(E$13:E24)=1,"",",")&amp;D24,"")</f>
        <v>,version</v>
      </c>
      <c r="AK24" s="4"/>
      <c r="AL24" s="4"/>
      <c r="AM24" s="4"/>
      <c r="AN24" s="4"/>
      <c r="AO24" s="4"/>
      <c r="AP24" s="4"/>
      <c r="AQ24" s="4"/>
      <c r="AR24" s="4"/>
      <c r="AS24" s="76" t="str">
        <f>"COMMENT ON COLUMN "&amp;エンティティ一覧!$O$2&amp;"."&amp;D$8&amp;"."&amp;D24&amp;" IS '"&amp;C24&amp;"';"</f>
        <v>COMMENT ON COLUMN milscm_2023_010.azn_202310_backup_merge_dpc_hn.version IS 'バージョン';</v>
      </c>
    </row>
    <row r="25" spans="1:45" s="25" customFormat="1">
      <c r="A25" s="4"/>
      <c r="B25" s="21">
        <f t="shared" si="2"/>
        <v>13</v>
      </c>
      <c r="C25" s="13" t="s">
        <v>361</v>
      </c>
      <c r="D25" s="13" t="s">
        <v>362</v>
      </c>
      <c r="E25" s="7" t="s">
        <v>127</v>
      </c>
      <c r="F25" s="7" t="s">
        <v>316</v>
      </c>
      <c r="G25" s="7" t="str">
        <f t="shared" si="3"/>
        <v>text</v>
      </c>
      <c r="H25" s="58"/>
      <c r="I25" s="23" t="s">
        <v>127</v>
      </c>
      <c r="J25" s="24"/>
      <c r="N25" s="76"/>
      <c r="O25" s="76"/>
      <c r="P25" s="76" t="str">
        <f t="shared" si="4"/>
        <v>,number</v>
      </c>
      <c r="Q25" s="76" t="str">
        <f t="shared" si="0"/>
        <v>TEXT</v>
      </c>
      <c r="R25" s="76" t="str">
        <f t="shared" si="1"/>
        <v/>
      </c>
      <c r="S25" s="76" t="str">
        <f t="shared" si="5"/>
        <v>NOT NULL</v>
      </c>
      <c r="T25" s="76" t="str">
        <f t="shared" si="6"/>
        <v>-- 連番</v>
      </c>
      <c r="U25" s="4"/>
      <c r="AA25" s="4"/>
      <c r="AB25" s="4"/>
      <c r="AC25" s="4"/>
      <c r="AD25" s="4"/>
      <c r="AE25" s="4"/>
      <c r="AF25" s="4"/>
      <c r="AG25" s="4"/>
      <c r="AH25" s="4"/>
      <c r="AI25" s="4"/>
      <c r="AJ25" s="76" t="str">
        <f>IF(E25="○",IF(COUNTA(E$13:E25)=1,"",",")&amp;D25,"")</f>
        <v>,number</v>
      </c>
      <c r="AK25" s="4"/>
      <c r="AL25" s="4"/>
      <c r="AM25" s="4"/>
      <c r="AN25" s="4"/>
      <c r="AO25" s="4"/>
      <c r="AP25" s="4"/>
      <c r="AQ25" s="4"/>
      <c r="AR25" s="4"/>
      <c r="AS25" s="76" t="str">
        <f>"COMMENT ON COLUMN "&amp;エンティティ一覧!$O$2&amp;"."&amp;D$8&amp;"."&amp;D25&amp;" IS '"&amp;C25&amp;"';"</f>
        <v>COMMENT ON COLUMN milscm_2023_010.azn_202310_backup_merge_dpc_hn.number IS '連番';</v>
      </c>
    </row>
    <row r="26" spans="1:45" s="25" customFormat="1" ht="168.75">
      <c r="A26" s="4"/>
      <c r="B26" s="21">
        <f t="shared" si="2"/>
        <v>14</v>
      </c>
      <c r="C26" s="6" t="s">
        <v>363</v>
      </c>
      <c r="D26" s="6" t="s">
        <v>364</v>
      </c>
      <c r="E26" s="8"/>
      <c r="F26" s="7" t="s">
        <v>316</v>
      </c>
      <c r="G26" s="7" t="str">
        <f t="shared" si="3"/>
        <v>text</v>
      </c>
      <c r="H26" s="26"/>
      <c r="I26" s="10"/>
      <c r="J26" s="11" t="s">
        <v>542</v>
      </c>
      <c r="N26" s="76"/>
      <c r="O26" s="76"/>
      <c r="P26" s="76" t="str">
        <f t="shared" si="4"/>
        <v>,ass0010_sosho_shochi</v>
      </c>
      <c r="Q26" s="76" t="str">
        <f t="shared" si="0"/>
        <v>TEXT</v>
      </c>
      <c r="R26" s="76" t="str">
        <f t="shared" si="1"/>
        <v/>
      </c>
      <c r="S26" s="76" t="str">
        <f t="shared" si="5"/>
        <v/>
      </c>
      <c r="T26" s="76" t="str">
        <f t="shared" si="6"/>
        <v>-- 創傷処置</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milscm_2023_010.azn_202310_backup_merge_dpc_hn.ass0010_sosho_shochi IS '創傷処置';</v>
      </c>
    </row>
    <row r="27" spans="1:45" s="25" customFormat="1">
      <c r="A27" s="4"/>
      <c r="B27" s="21">
        <f t="shared" si="2"/>
        <v>15</v>
      </c>
      <c r="C27" s="6" t="s">
        <v>365</v>
      </c>
      <c r="D27" s="6" t="s">
        <v>366</v>
      </c>
      <c r="E27" s="8"/>
      <c r="F27" s="7" t="s">
        <v>316</v>
      </c>
      <c r="G27" s="7" t="str">
        <f t="shared" si="3"/>
        <v>text</v>
      </c>
      <c r="H27" s="26"/>
      <c r="I27" s="10"/>
      <c r="J27" s="11" t="s">
        <v>543</v>
      </c>
      <c r="N27" s="76"/>
      <c r="O27" s="76"/>
      <c r="P27" s="76" t="str">
        <f t="shared" si="4"/>
        <v>,ass0010_kokyu_care</v>
      </c>
      <c r="Q27" s="76" t="str">
        <f t="shared" si="0"/>
        <v>TEXT</v>
      </c>
      <c r="R27" s="76" t="str">
        <f t="shared" si="1"/>
        <v/>
      </c>
      <c r="S27" s="76" t="str">
        <f t="shared" si="5"/>
        <v/>
      </c>
      <c r="T27" s="76" t="str">
        <f t="shared" si="6"/>
        <v>-- 呼吸ケア</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milscm_2023_010.azn_202310_backup_merge_dpc_hn.ass0010_kokyu_care IS '呼吸ケア';</v>
      </c>
    </row>
    <row r="28" spans="1:45" s="25" customFormat="1">
      <c r="A28" s="4"/>
      <c r="B28" s="21">
        <f t="shared" si="2"/>
        <v>16</v>
      </c>
      <c r="C28" s="13" t="s">
        <v>367</v>
      </c>
      <c r="D28" s="13" t="s">
        <v>368</v>
      </c>
      <c r="E28" s="7"/>
      <c r="F28" s="7" t="s">
        <v>316</v>
      </c>
      <c r="G28" s="7" t="str">
        <f t="shared" si="3"/>
        <v>text</v>
      </c>
      <c r="H28" s="58"/>
      <c r="I28" s="23"/>
      <c r="J28" s="24" t="s">
        <v>543</v>
      </c>
      <c r="N28" s="76"/>
      <c r="O28" s="76"/>
      <c r="P28" s="76" t="str">
        <f t="shared" si="4"/>
        <v>,ass0010_tenteki_kanri</v>
      </c>
      <c r="Q28" s="76" t="str">
        <f t="shared" si="0"/>
        <v>TEXT</v>
      </c>
      <c r="R28" s="76" t="str">
        <f t="shared" si="1"/>
        <v/>
      </c>
      <c r="S28" s="76" t="str">
        <f t="shared" si="5"/>
        <v/>
      </c>
      <c r="T28" s="76" t="str">
        <f t="shared" si="6"/>
        <v>-- 点滴ライン同時3本以上の管理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milscm_2023_010.azn_202310_backup_merge_dpc_hn.ass0010_tenteki_kanri IS '点滴ライン同時3本以上の管理';</v>
      </c>
    </row>
    <row r="29" spans="1:45" s="25" customFormat="1">
      <c r="A29" s="4"/>
      <c r="B29" s="21">
        <f t="shared" si="2"/>
        <v>17</v>
      </c>
      <c r="C29" s="6" t="s">
        <v>369</v>
      </c>
      <c r="D29" s="6" t="s">
        <v>370</v>
      </c>
      <c r="E29" s="8"/>
      <c r="F29" s="7" t="s">
        <v>316</v>
      </c>
      <c r="G29" s="7" t="str">
        <f t="shared" si="3"/>
        <v>text</v>
      </c>
      <c r="H29" s="26"/>
      <c r="I29" s="10"/>
      <c r="J29" s="11" t="s">
        <v>543</v>
      </c>
      <c r="N29" s="76"/>
      <c r="O29" s="76"/>
      <c r="P29" s="76" t="str">
        <f t="shared" si="4"/>
        <v>,ass0010_shindenzu_kanri</v>
      </c>
      <c r="Q29" s="76" t="str">
        <f t="shared" si="0"/>
        <v>TEXT</v>
      </c>
      <c r="R29" s="76" t="str">
        <f t="shared" si="1"/>
        <v/>
      </c>
      <c r="S29" s="76" t="str">
        <f t="shared" si="5"/>
        <v/>
      </c>
      <c r="T29" s="76" t="str">
        <f t="shared" si="6"/>
        <v>-- 心電図モニターの管理</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milscm_2023_010.azn_202310_backup_merge_dpc_hn.ass0010_shindenzu_kanri IS '心電図モニターの管理';</v>
      </c>
    </row>
    <row r="30" spans="1:45" s="25" customFormat="1" ht="31.5">
      <c r="A30" s="4"/>
      <c r="B30" s="21">
        <f t="shared" si="2"/>
        <v>18</v>
      </c>
      <c r="C30" s="13" t="s">
        <v>371</v>
      </c>
      <c r="D30" s="13" t="s">
        <v>372</v>
      </c>
      <c r="E30" s="7"/>
      <c r="F30" s="7" t="s">
        <v>316</v>
      </c>
      <c r="G30" s="7" t="str">
        <f t="shared" si="3"/>
        <v>text</v>
      </c>
      <c r="H30" s="58"/>
      <c r="I30" s="23"/>
      <c r="J30" s="24" t="s">
        <v>543</v>
      </c>
      <c r="N30" s="76"/>
      <c r="O30" s="76"/>
      <c r="P30" s="76" t="str">
        <f t="shared" si="4"/>
        <v>,ass0010_syringe_pump_kanri</v>
      </c>
      <c r="Q30" s="76" t="str">
        <f t="shared" si="0"/>
        <v>TEXT</v>
      </c>
      <c r="R30" s="76" t="str">
        <f t="shared" si="1"/>
        <v/>
      </c>
      <c r="S30" s="76" t="str">
        <f t="shared" si="5"/>
        <v/>
      </c>
      <c r="T30" s="76" t="str">
        <f t="shared" si="6"/>
        <v>-- シリンジポンプの管理</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milscm_2023_010.azn_202310_backup_merge_dpc_hn.ass0010_syringe_pump_kanri IS 'シリンジポンプの管理';</v>
      </c>
    </row>
    <row r="31" spans="1:45" s="25" customFormat="1" ht="31.5">
      <c r="A31" s="4"/>
      <c r="B31" s="21">
        <f t="shared" si="2"/>
        <v>19</v>
      </c>
      <c r="C31" s="6" t="s">
        <v>373</v>
      </c>
      <c r="D31" s="6" t="s">
        <v>374</v>
      </c>
      <c r="E31" s="8"/>
      <c r="F31" s="7" t="s">
        <v>316</v>
      </c>
      <c r="G31" s="7" t="str">
        <f t="shared" si="3"/>
        <v>text</v>
      </c>
      <c r="H31" s="26"/>
      <c r="I31" s="10"/>
      <c r="J31" s="11" t="s">
        <v>543</v>
      </c>
      <c r="N31" s="76"/>
      <c r="O31" s="76"/>
      <c r="P31" s="76" t="str">
        <f t="shared" si="4"/>
        <v>,ass0010_blood_products_kanri</v>
      </c>
      <c r="Q31" s="76" t="str">
        <f t="shared" si="0"/>
        <v>TEXT</v>
      </c>
      <c r="R31" s="76" t="str">
        <f t="shared" si="1"/>
        <v/>
      </c>
      <c r="S31" s="76" t="str">
        <f t="shared" si="5"/>
        <v/>
      </c>
      <c r="T31" s="76" t="str">
        <f t="shared" si="6"/>
        <v>-- 輸血や血液製剤の管理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milscm_2023_010.azn_202310_backup_merge_dpc_hn.ass0010_blood_products_kanri IS '輸血や血液製剤の管理';</v>
      </c>
    </row>
    <row r="32" spans="1:45" s="25" customFormat="1" ht="281.25">
      <c r="A32" s="4"/>
      <c r="B32" s="21">
        <f t="shared" si="2"/>
        <v>20</v>
      </c>
      <c r="C32" s="13" t="s">
        <v>375</v>
      </c>
      <c r="D32" s="13" t="s">
        <v>376</v>
      </c>
      <c r="E32" s="7"/>
      <c r="F32" s="7" t="s">
        <v>316</v>
      </c>
      <c r="G32" s="7" t="str">
        <f t="shared" si="3"/>
        <v>text</v>
      </c>
      <c r="H32" s="58"/>
      <c r="I32" s="23"/>
      <c r="J32" s="24" t="s">
        <v>544</v>
      </c>
      <c r="N32" s="76"/>
      <c r="O32" s="76"/>
      <c r="P32" s="76" t="str">
        <f t="shared" si="4"/>
        <v>,ass0010_expert_chiryo</v>
      </c>
      <c r="Q32" s="76" t="str">
        <f t="shared" si="0"/>
        <v>TEXT</v>
      </c>
      <c r="R32" s="76" t="str">
        <f t="shared" si="1"/>
        <v/>
      </c>
      <c r="S32" s="76" t="str">
        <f t="shared" si="5"/>
        <v/>
      </c>
      <c r="T32" s="76" t="str">
        <f t="shared" si="6"/>
        <v>-- 専門的な治療・処置</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milscm_2023_010.azn_202310_backup_merge_dpc_hn.ass0010_expert_chiryo IS '専門的な治療・処置';</v>
      </c>
    </row>
    <row r="33" spans="1:52" s="25" customFormat="1">
      <c r="A33" s="4"/>
      <c r="B33" s="21">
        <f t="shared" si="2"/>
        <v>21</v>
      </c>
      <c r="C33" s="6" t="s">
        <v>377</v>
      </c>
      <c r="D33" s="6" t="s">
        <v>378</v>
      </c>
      <c r="E33" s="8"/>
      <c r="F33" s="7" t="s">
        <v>316</v>
      </c>
      <c r="G33" s="7" t="str">
        <f t="shared" si="3"/>
        <v>text</v>
      </c>
      <c r="H33" s="26"/>
      <c r="I33" s="10"/>
      <c r="J33" s="11" t="s">
        <v>543</v>
      </c>
      <c r="N33" s="76"/>
      <c r="O33" s="76"/>
      <c r="P33" s="76" t="str">
        <f t="shared" si="4"/>
        <v>,ass0010_hanso_nyuin_flag</v>
      </c>
      <c r="Q33" s="76" t="str">
        <f t="shared" si="0"/>
        <v>TEXT</v>
      </c>
      <c r="R33" s="76" t="str">
        <f t="shared" si="1"/>
        <v/>
      </c>
      <c r="S33" s="76" t="str">
        <f t="shared" si="5"/>
        <v/>
      </c>
      <c r="T33" s="76" t="str">
        <f t="shared" si="6"/>
        <v>-- 救急搬送後の入院</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milscm_2023_010.azn_202310_backup_merge_dpc_hn.ass0010_hanso_nyuin_flag IS '救急搬送後の入院';</v>
      </c>
    </row>
    <row r="34" spans="1:52" s="25" customFormat="1" ht="168.75">
      <c r="A34" s="4"/>
      <c r="B34" s="21">
        <f t="shared" si="2"/>
        <v>22</v>
      </c>
      <c r="C34" s="13" t="s">
        <v>363</v>
      </c>
      <c r="D34" s="13" t="s">
        <v>379</v>
      </c>
      <c r="E34" s="7"/>
      <c r="F34" s="7" t="s">
        <v>316</v>
      </c>
      <c r="G34" s="7" t="str">
        <f t="shared" si="3"/>
        <v>text</v>
      </c>
      <c r="H34" s="58"/>
      <c r="I34" s="23"/>
      <c r="J34" s="24" t="s">
        <v>542</v>
      </c>
      <c r="N34" s="76"/>
      <c r="O34" s="76"/>
      <c r="P34" s="76" t="str">
        <f t="shared" si="4"/>
        <v>,ass0011_sosho_shochi</v>
      </c>
      <c r="Q34" s="76" t="str">
        <f t="shared" si="0"/>
        <v>TEXT</v>
      </c>
      <c r="R34" s="76" t="str">
        <f t="shared" si="1"/>
        <v/>
      </c>
      <c r="S34" s="76" t="str">
        <f t="shared" si="5"/>
        <v/>
      </c>
      <c r="T34" s="76" t="str">
        <f t="shared" si="6"/>
        <v>-- 創傷処置</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milscm_2023_010.azn_202310_backup_merge_dpc_hn.ass0011_sosho_shochi IS '創傷処置';</v>
      </c>
    </row>
    <row r="35" spans="1:52" s="25" customFormat="1">
      <c r="A35" s="4"/>
      <c r="B35" s="21">
        <f t="shared" si="2"/>
        <v>23</v>
      </c>
      <c r="C35" s="6" t="s">
        <v>365</v>
      </c>
      <c r="D35" s="6" t="s">
        <v>380</v>
      </c>
      <c r="E35" s="8"/>
      <c r="F35" s="7" t="s">
        <v>316</v>
      </c>
      <c r="G35" s="7" t="str">
        <f t="shared" si="3"/>
        <v>text</v>
      </c>
      <c r="H35" s="26"/>
      <c r="I35" s="10"/>
      <c r="J35" s="11" t="s">
        <v>543</v>
      </c>
      <c r="N35" s="76"/>
      <c r="O35" s="76"/>
      <c r="P35" s="76" t="str">
        <f t="shared" si="4"/>
        <v>,ass0011_kokyu_care</v>
      </c>
      <c r="Q35" s="76" t="str">
        <f t="shared" si="0"/>
        <v>TEXT</v>
      </c>
      <c r="R35" s="76" t="str">
        <f t="shared" si="1"/>
        <v/>
      </c>
      <c r="S35" s="76" t="str">
        <f t="shared" si="5"/>
        <v/>
      </c>
      <c r="T35" s="76" t="str">
        <f t="shared" si="6"/>
        <v>-- 呼吸ケア</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milscm_2023_010.azn_202310_backup_merge_dpc_hn.ass0011_kokyu_care IS '呼吸ケア';</v>
      </c>
    </row>
    <row r="36" spans="1:52" s="25" customFormat="1">
      <c r="A36" s="4"/>
      <c r="B36" s="21">
        <f t="shared" si="2"/>
        <v>24</v>
      </c>
      <c r="C36" s="6" t="s">
        <v>367</v>
      </c>
      <c r="D36" s="6" t="s">
        <v>381</v>
      </c>
      <c r="E36" s="8"/>
      <c r="F36" s="7" t="s">
        <v>316</v>
      </c>
      <c r="G36" s="7" t="str">
        <f t="shared" si="3"/>
        <v>text</v>
      </c>
      <c r="H36" s="26"/>
      <c r="I36" s="10"/>
      <c r="J36" s="11" t="s">
        <v>543</v>
      </c>
      <c r="N36" s="76"/>
      <c r="O36" s="76"/>
      <c r="P36" s="76" t="str">
        <f t="shared" si="4"/>
        <v>,ass0011_tenteki_kanri</v>
      </c>
      <c r="Q36" s="76" t="str">
        <f t="shared" si="0"/>
        <v>TEXT</v>
      </c>
      <c r="R36" s="76" t="str">
        <f t="shared" si="1"/>
        <v/>
      </c>
      <c r="S36" s="76" t="str">
        <f t="shared" si="5"/>
        <v/>
      </c>
      <c r="T36" s="76" t="str">
        <f t="shared" si="6"/>
        <v>-- 点滴ライン同時3本以上の管理</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milscm_2023_010.azn_202310_backup_merge_dpc_hn.ass0011_tenteki_kanri IS '点滴ライン同時3本以上の管理';</v>
      </c>
    </row>
    <row r="37" spans="1:52" s="25" customFormat="1">
      <c r="A37" s="4"/>
      <c r="B37" s="21">
        <f t="shared" si="2"/>
        <v>25</v>
      </c>
      <c r="C37" s="13" t="s">
        <v>369</v>
      </c>
      <c r="D37" s="13" t="s">
        <v>382</v>
      </c>
      <c r="E37" s="7"/>
      <c r="F37" s="7" t="s">
        <v>316</v>
      </c>
      <c r="G37" s="7" t="str">
        <f t="shared" si="3"/>
        <v>text</v>
      </c>
      <c r="H37" s="58"/>
      <c r="I37" s="23"/>
      <c r="J37" s="24" t="s">
        <v>543</v>
      </c>
      <c r="N37" s="76"/>
      <c r="O37" s="76"/>
      <c r="P37" s="76" t="str">
        <f t="shared" si="4"/>
        <v>,ass0011_shindenzu_kanri</v>
      </c>
      <c r="Q37" s="76" t="str">
        <f t="shared" si="0"/>
        <v>TEXT</v>
      </c>
      <c r="R37" s="76" t="str">
        <f t="shared" si="1"/>
        <v/>
      </c>
      <c r="S37" s="76" t="str">
        <f t="shared" si="5"/>
        <v/>
      </c>
      <c r="T37" s="76" t="str">
        <f t="shared" si="6"/>
        <v>-- 心電図モニターの管理</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milscm_2023_010.azn_202310_backup_merge_dpc_hn.ass0011_shindenzu_kanri IS '心電図モニターの管理';</v>
      </c>
    </row>
    <row r="38" spans="1:52" s="25" customFormat="1" ht="31.5">
      <c r="A38" s="4"/>
      <c r="B38" s="21">
        <f t="shared" si="2"/>
        <v>26</v>
      </c>
      <c r="C38" s="6" t="s">
        <v>371</v>
      </c>
      <c r="D38" s="6" t="s">
        <v>383</v>
      </c>
      <c r="E38" s="8"/>
      <c r="F38" s="7" t="s">
        <v>316</v>
      </c>
      <c r="G38" s="7" t="str">
        <f t="shared" si="3"/>
        <v>text</v>
      </c>
      <c r="H38" s="26"/>
      <c r="I38" s="10"/>
      <c r="J38" s="11" t="s">
        <v>543</v>
      </c>
      <c r="N38" s="76"/>
      <c r="O38" s="76"/>
      <c r="P38" s="76" t="str">
        <f t="shared" si="4"/>
        <v>,ass0011_syringe_pump_kanri</v>
      </c>
      <c r="Q38" s="76" t="str">
        <f t="shared" si="0"/>
        <v>TEXT</v>
      </c>
      <c r="R38" s="76" t="str">
        <f t="shared" si="1"/>
        <v/>
      </c>
      <c r="S38" s="76" t="str">
        <f t="shared" si="5"/>
        <v/>
      </c>
      <c r="T38" s="76" t="str">
        <f t="shared" si="6"/>
        <v>-- シリンジポンプの管理</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milscm_2023_010.azn_202310_backup_merge_dpc_hn.ass0011_syringe_pump_kanri IS 'シリンジポンプの管理';</v>
      </c>
    </row>
    <row r="39" spans="1:52" s="25" customFormat="1" ht="31.5">
      <c r="A39" s="4"/>
      <c r="B39" s="21">
        <f t="shared" si="2"/>
        <v>27</v>
      </c>
      <c r="C39" s="13" t="s">
        <v>373</v>
      </c>
      <c r="D39" s="13" t="s">
        <v>384</v>
      </c>
      <c r="E39" s="7"/>
      <c r="F39" s="7" t="s">
        <v>316</v>
      </c>
      <c r="G39" s="7" t="str">
        <f t="shared" si="3"/>
        <v>text</v>
      </c>
      <c r="H39" s="58"/>
      <c r="I39" s="23"/>
      <c r="J39" s="24" t="s">
        <v>543</v>
      </c>
      <c r="N39" s="76"/>
      <c r="O39" s="76"/>
      <c r="P39" s="76" t="str">
        <f t="shared" si="4"/>
        <v>,ass0011_blood_products_kanri</v>
      </c>
      <c r="Q39" s="76" t="str">
        <f t="shared" si="0"/>
        <v>TEXT</v>
      </c>
      <c r="R39" s="76" t="str">
        <f t="shared" si="1"/>
        <v/>
      </c>
      <c r="S39" s="76" t="str">
        <f t="shared" si="5"/>
        <v/>
      </c>
      <c r="T39" s="76" t="str">
        <f t="shared" si="6"/>
        <v>-- 輸血や血液製剤の管理</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milscm_2023_010.azn_202310_backup_merge_dpc_hn.ass0011_blood_products_kanri IS '輸血や血液製剤の管理';</v>
      </c>
    </row>
    <row r="40" spans="1:52" s="25" customFormat="1" ht="150">
      <c r="A40" s="4"/>
      <c r="B40" s="21">
        <f t="shared" si="2"/>
        <v>28</v>
      </c>
      <c r="C40" s="6" t="s">
        <v>385</v>
      </c>
      <c r="D40" s="6" t="s">
        <v>386</v>
      </c>
      <c r="E40" s="8"/>
      <c r="F40" s="7" t="s">
        <v>316</v>
      </c>
      <c r="G40" s="7" t="str">
        <f t="shared" si="3"/>
        <v>text</v>
      </c>
      <c r="H40" s="26"/>
      <c r="I40" s="10"/>
      <c r="J40" s="11" t="s">
        <v>545</v>
      </c>
      <c r="N40" s="76"/>
      <c r="O40" s="76"/>
      <c r="P40" s="76" t="str">
        <f t="shared" si="4"/>
        <v>,ass0011_expert_chiryo_sankoumoku</v>
      </c>
      <c r="Q40" s="76" t="str">
        <f t="shared" si="0"/>
        <v>TEXT</v>
      </c>
      <c r="R40" s="76" t="str">
        <f t="shared" si="1"/>
        <v/>
      </c>
      <c r="S40" s="76" t="str">
        <f t="shared" si="5"/>
        <v/>
      </c>
      <c r="T40" s="76" t="str">
        <f t="shared" si="6"/>
        <v>-- 専門的な治療・処置（3項目）</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milscm_2023_010.azn_202310_backup_merge_dpc_hn.ass0011_expert_chiryo_sankoumoku IS '専門的な治療・処置（3項目）';</v>
      </c>
    </row>
    <row r="41" spans="1:52" s="25" customFormat="1">
      <c r="A41" s="4"/>
      <c r="B41" s="21">
        <f t="shared" si="2"/>
        <v>29</v>
      </c>
      <c r="C41" s="13" t="s">
        <v>377</v>
      </c>
      <c r="D41" s="13" t="s">
        <v>387</v>
      </c>
      <c r="E41" s="7"/>
      <c r="F41" s="7" t="s">
        <v>316</v>
      </c>
      <c r="G41" s="7" t="str">
        <f t="shared" si="3"/>
        <v>text</v>
      </c>
      <c r="H41" s="58"/>
      <c r="I41" s="23"/>
      <c r="J41" s="24" t="s">
        <v>543</v>
      </c>
      <c r="N41" s="76"/>
      <c r="O41" s="76"/>
      <c r="P41" s="76" t="str">
        <f t="shared" si="4"/>
        <v>,ass0011_hanso_nyuin_flag</v>
      </c>
      <c r="Q41" s="76" t="str">
        <f t="shared" si="0"/>
        <v>TEXT</v>
      </c>
      <c r="R41" s="76" t="str">
        <f t="shared" si="1"/>
        <v/>
      </c>
      <c r="S41" s="76" t="str">
        <f t="shared" si="5"/>
        <v/>
      </c>
      <c r="T41" s="76" t="str">
        <f t="shared" si="6"/>
        <v>-- 救急搬送後の入院</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milscm_2023_010.azn_202310_backup_merge_dpc_hn.ass0011_hanso_nyuin_flag IS '救急搬送後の入院';</v>
      </c>
    </row>
    <row r="42" spans="1:52" s="25" customFormat="1" ht="168.75">
      <c r="A42" s="4"/>
      <c r="B42" s="21">
        <f t="shared" si="2"/>
        <v>30</v>
      </c>
      <c r="C42" s="6" t="s">
        <v>363</v>
      </c>
      <c r="D42" s="6" t="s">
        <v>388</v>
      </c>
      <c r="E42" s="8"/>
      <c r="F42" s="7" t="s">
        <v>316</v>
      </c>
      <c r="G42" s="7" t="str">
        <f t="shared" si="3"/>
        <v>text</v>
      </c>
      <c r="H42" s="26"/>
      <c r="I42" s="10"/>
      <c r="J42" s="11" t="s">
        <v>542</v>
      </c>
      <c r="N42" s="76"/>
      <c r="O42" s="76"/>
      <c r="P42" s="76" t="str">
        <f t="shared" si="4"/>
        <v>,ass0012_sosho_shochi</v>
      </c>
      <c r="Q42" s="76" t="str">
        <f t="shared" si="0"/>
        <v>TEXT</v>
      </c>
      <c r="R42" s="76" t="str">
        <f t="shared" si="1"/>
        <v/>
      </c>
      <c r="S42" s="76" t="str">
        <f t="shared" si="5"/>
        <v/>
      </c>
      <c r="T42" s="76" t="str">
        <f t="shared" si="6"/>
        <v>-- 創傷処置</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milscm_2023_010.azn_202310_backup_merge_dpc_hn.ass0012_sosho_shochi IS '創傷処置';</v>
      </c>
    </row>
    <row r="43" spans="1:52" s="25" customFormat="1" ht="31.5">
      <c r="A43" s="4"/>
      <c r="B43" s="21">
        <f t="shared" si="2"/>
        <v>31</v>
      </c>
      <c r="C43" s="13" t="s">
        <v>389</v>
      </c>
      <c r="D43" s="13" t="s">
        <v>390</v>
      </c>
      <c r="E43" s="7"/>
      <c r="F43" s="7" t="s">
        <v>316</v>
      </c>
      <c r="G43" s="7" t="str">
        <f t="shared" si="3"/>
        <v>text</v>
      </c>
      <c r="H43" s="58"/>
      <c r="I43" s="23"/>
      <c r="J43" s="24" t="s">
        <v>543</v>
      </c>
      <c r="N43" s="76"/>
      <c r="O43" s="76"/>
      <c r="P43" s="76" t="str">
        <f t="shared" si="4"/>
        <v>,ass0012_kokyu_care_kakutan_trim</v>
      </c>
      <c r="Q43" s="76" t="str">
        <f t="shared" si="0"/>
        <v>TEXT</v>
      </c>
      <c r="R43" s="76" t="str">
        <f t="shared" si="1"/>
        <v/>
      </c>
      <c r="S43" s="76" t="str">
        <f t="shared" si="5"/>
        <v/>
      </c>
      <c r="T43" s="76" t="str">
        <f t="shared" si="6"/>
        <v>-- 呼吸ケア（喀痰吸引のみの場合を除く）</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milscm_2023_010.azn_202310_backup_merge_dpc_hn.ass0012_kokyu_care_kakutan_trim IS '呼吸ケア（喀痰吸引のみの場合を除く）';</v>
      </c>
    </row>
    <row r="44" spans="1:52" s="25" customFormat="1">
      <c r="A44" s="4"/>
      <c r="B44" s="21">
        <f t="shared" si="2"/>
        <v>32</v>
      </c>
      <c r="C44" s="6" t="s">
        <v>391</v>
      </c>
      <c r="D44" s="6" t="s">
        <v>392</v>
      </c>
      <c r="E44" s="8"/>
      <c r="F44" s="7" t="s">
        <v>316</v>
      </c>
      <c r="G44" s="7" t="str">
        <f t="shared" si="3"/>
        <v>text</v>
      </c>
      <c r="H44" s="26"/>
      <c r="I44" s="10"/>
      <c r="J44" s="11" t="s">
        <v>543</v>
      </c>
      <c r="N44" s="76"/>
      <c r="O44" s="76"/>
      <c r="P44" s="76" t="str">
        <f t="shared" si="4"/>
        <v>,ass0012_chusya_kanri</v>
      </c>
      <c r="Q44" s="76" t="str">
        <f t="shared" si="0"/>
        <v>TEXT</v>
      </c>
      <c r="R44" s="76" t="str">
        <f t="shared" si="1"/>
        <v/>
      </c>
      <c r="S44" s="76" t="str">
        <f t="shared" si="5"/>
        <v/>
      </c>
      <c r="T44" s="76" t="str">
        <f t="shared" si="6"/>
        <v>-- 注射薬剤３種類以上の管理</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milscm_2023_010.azn_202310_backup_merge_dpc_hn.ass0012_chusya_kanri IS '注射薬剤３種類以上の管理';</v>
      </c>
    </row>
    <row r="45" spans="1:52" s="25" customFormat="1" ht="31.5">
      <c r="A45" s="4"/>
      <c r="B45" s="21">
        <f t="shared" si="2"/>
        <v>33</v>
      </c>
      <c r="C45" s="13" t="s">
        <v>371</v>
      </c>
      <c r="D45" s="13" t="s">
        <v>393</v>
      </c>
      <c r="E45" s="7"/>
      <c r="F45" s="7" t="s">
        <v>316</v>
      </c>
      <c r="G45" s="7" t="str">
        <f t="shared" si="3"/>
        <v>text</v>
      </c>
      <c r="H45" s="58"/>
      <c r="I45" s="23"/>
      <c r="J45" s="24" t="s">
        <v>543</v>
      </c>
      <c r="N45" s="76"/>
      <c r="O45" s="76"/>
      <c r="P45" s="76" t="str">
        <f t="shared" si="4"/>
        <v>,ass0012_syringe_pump_kanri</v>
      </c>
      <c r="Q45" s="76" t="str">
        <f t="shared" si="0"/>
        <v>TEXT</v>
      </c>
      <c r="R45" s="76" t="str">
        <f t="shared" si="1"/>
        <v/>
      </c>
      <c r="S45" s="76" t="str">
        <f t="shared" si="5"/>
        <v/>
      </c>
      <c r="T45" s="76" t="str">
        <f t="shared" si="6"/>
        <v>-- シリンジポンプの管理</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milscm_2023_010.azn_202310_backup_merge_dpc_hn.ass0012_syringe_pump_kanri IS 'シリンジポンプの管理';</v>
      </c>
    </row>
    <row r="46" spans="1:52" s="25" customFormat="1" ht="31.5">
      <c r="A46" s="4"/>
      <c r="B46" s="21">
        <f t="shared" si="2"/>
        <v>34</v>
      </c>
      <c r="C46" s="13" t="s">
        <v>373</v>
      </c>
      <c r="D46" s="13" t="s">
        <v>394</v>
      </c>
      <c r="E46" s="7"/>
      <c r="F46" s="7" t="s">
        <v>316</v>
      </c>
      <c r="G46" s="7" t="str">
        <f t="shared" si="3"/>
        <v>text</v>
      </c>
      <c r="H46" s="58"/>
      <c r="I46" s="23"/>
      <c r="J46" s="24" t="s">
        <v>543</v>
      </c>
      <c r="N46" s="76"/>
      <c r="O46" s="76"/>
      <c r="P46" s="76" t="str">
        <f t="shared" si="4"/>
        <v>,ass0012_blood_products_kanri</v>
      </c>
      <c r="Q46" s="76" t="str">
        <f t="shared" si="0"/>
        <v>TEXT</v>
      </c>
      <c r="R46" s="76" t="str">
        <f t="shared" si="1"/>
        <v/>
      </c>
      <c r="S46" s="76" t="str">
        <f t="shared" si="5"/>
        <v/>
      </c>
      <c r="T46" s="76" t="str">
        <f t="shared" si="6"/>
        <v>-- 輸血や血液製剤の管理</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milscm_2023_010.azn_202310_backup_merge_dpc_hn.ass0012_blood_products_kanri IS '輸血や血液製剤の管理';</v>
      </c>
    </row>
    <row r="47" spans="1:52" s="25" customFormat="1" ht="150">
      <c r="A47" s="4"/>
      <c r="B47" s="21">
        <f t="shared" si="2"/>
        <v>35</v>
      </c>
      <c r="C47" s="13" t="s">
        <v>375</v>
      </c>
      <c r="D47" s="13" t="s">
        <v>395</v>
      </c>
      <c r="E47" s="7"/>
      <c r="F47" s="7" t="s">
        <v>316</v>
      </c>
      <c r="G47" s="7" t="str">
        <f t="shared" si="3"/>
        <v>text</v>
      </c>
      <c r="H47" s="58"/>
      <c r="I47" s="23"/>
      <c r="J47" s="24" t="s">
        <v>545</v>
      </c>
      <c r="N47" s="76"/>
      <c r="O47" s="76"/>
      <c r="P47" s="76" t="str">
        <f t="shared" si="4"/>
        <v>,ass0012_expert_chiryo</v>
      </c>
      <c r="Q47" s="76" t="str">
        <f t="shared" si="0"/>
        <v>TEXT</v>
      </c>
      <c r="R47" s="76" t="str">
        <f t="shared" si="1"/>
        <v/>
      </c>
      <c r="S47" s="76" t="str">
        <f t="shared" si="5"/>
        <v/>
      </c>
      <c r="T47" s="76" t="str">
        <f t="shared" si="6"/>
        <v>-- 専門的な治療・処置</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milscm_2023_010.azn_202310_backup_merge_dpc_hn.ass0012_expert_chiryo IS '専門的な治療・処置';</v>
      </c>
      <c r="AT47" s="4"/>
      <c r="AU47" s="4"/>
    </row>
    <row r="48" spans="1:52" s="25" customFormat="1">
      <c r="A48" s="4"/>
      <c r="B48" s="21">
        <f t="shared" si="2"/>
        <v>36</v>
      </c>
      <c r="C48" s="6" t="s">
        <v>377</v>
      </c>
      <c r="D48" s="6" t="s">
        <v>396</v>
      </c>
      <c r="E48" s="8"/>
      <c r="F48" s="7" t="s">
        <v>316</v>
      </c>
      <c r="G48" s="7" t="str">
        <f t="shared" si="3"/>
        <v>text</v>
      </c>
      <c r="H48" s="26"/>
      <c r="I48" s="10"/>
      <c r="J48" s="11" t="s">
        <v>543</v>
      </c>
      <c r="L48" s="4"/>
      <c r="N48" s="76"/>
      <c r="O48" s="76"/>
      <c r="P48" s="76" t="str">
        <f t="shared" ref="P48:P111" si="7">IF(B48&lt;&gt;1,","&amp;D48,D48)</f>
        <v>,ass0012_hanso_nyuin_flag</v>
      </c>
      <c r="Q48" s="76" t="str">
        <f t="shared" ref="Q48:Q111" si="8">UPPER(G48)</f>
        <v>TEXT</v>
      </c>
      <c r="R48" s="76" t="str">
        <f t="shared" ref="R48:R111" si="9">IF(H48&lt;&gt;"","default "&amp;IF(G48="text","'"&amp;H48&amp;"'",H48),"")</f>
        <v/>
      </c>
      <c r="S48" s="76" t="str">
        <f t="shared" ref="S48:S111" si="10">IF(I48="○","NOT NULL","")</f>
        <v/>
      </c>
      <c r="T48" s="76" t="str">
        <f t="shared" ref="T48:T111" si="11">"-- "&amp;C48</f>
        <v>-- 救急搬送後の入院</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milscm_2023_010.azn_202310_backup_merge_dpc_hn.ass0012_hanso_nyuin_flag IS '救急搬送後の入院';</v>
      </c>
      <c r="AT48" s="4"/>
      <c r="AU48" s="4"/>
      <c r="AV48" s="4"/>
      <c r="AW48" s="4"/>
      <c r="AX48" s="4"/>
      <c r="AY48" s="4"/>
      <c r="AZ48" s="4"/>
    </row>
    <row r="49" spans="1:52" s="25" customFormat="1" ht="37.5">
      <c r="A49" s="4"/>
      <c r="B49" s="21">
        <f t="shared" si="2"/>
        <v>37</v>
      </c>
      <c r="C49" s="13" t="s">
        <v>397</v>
      </c>
      <c r="D49" s="13" t="s">
        <v>398</v>
      </c>
      <c r="E49" s="7"/>
      <c r="F49" s="7" t="s">
        <v>316</v>
      </c>
      <c r="G49" s="7" t="str">
        <f t="shared" si="3"/>
        <v>text</v>
      </c>
      <c r="H49" s="58"/>
      <c r="I49" s="23"/>
      <c r="J49" s="24" t="s">
        <v>546</v>
      </c>
      <c r="L49" s="4"/>
      <c r="N49" s="76"/>
      <c r="O49" s="76"/>
      <c r="P49" s="76" t="str">
        <f t="shared" si="7"/>
        <v>,ass0020_negaeri</v>
      </c>
      <c r="Q49" s="76" t="str">
        <f t="shared" si="8"/>
        <v>TEXT</v>
      </c>
      <c r="R49" s="76" t="str">
        <f t="shared" si="9"/>
        <v/>
      </c>
      <c r="S49" s="76" t="str">
        <f t="shared" si="10"/>
        <v/>
      </c>
      <c r="T49" s="76" t="str">
        <f t="shared" si="11"/>
        <v>-- 寝返り</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milscm_2023_010.azn_202310_backup_merge_dpc_hn.ass0020_negaeri IS '寝返り';</v>
      </c>
      <c r="AT49" s="4"/>
      <c r="AU49" s="4"/>
      <c r="AV49" s="4"/>
      <c r="AW49" s="4"/>
      <c r="AX49" s="4"/>
      <c r="AY49" s="4"/>
      <c r="AZ49" s="4"/>
    </row>
    <row r="50" spans="1:52" s="25" customFormat="1">
      <c r="A50" s="4"/>
      <c r="B50" s="21">
        <f t="shared" si="2"/>
        <v>38</v>
      </c>
      <c r="C50" s="6" t="s">
        <v>399</v>
      </c>
      <c r="D50" s="6" t="s">
        <v>400</v>
      </c>
      <c r="E50" s="8"/>
      <c r="F50" s="7" t="s">
        <v>316</v>
      </c>
      <c r="G50" s="7" t="str">
        <f t="shared" si="3"/>
        <v>text</v>
      </c>
      <c r="H50" s="26"/>
      <c r="I50" s="10"/>
      <c r="J50" s="11" t="s">
        <v>547</v>
      </c>
      <c r="L50" s="4"/>
      <c r="N50" s="76"/>
      <c r="O50" s="76"/>
      <c r="P50" s="76" t="str">
        <f t="shared" si="7"/>
        <v>,ass0020_ijo</v>
      </c>
      <c r="Q50" s="76" t="str">
        <f t="shared" si="8"/>
        <v>TEXT</v>
      </c>
      <c r="R50" s="76" t="str">
        <f t="shared" si="9"/>
        <v/>
      </c>
      <c r="S50" s="76" t="str">
        <f t="shared" si="10"/>
        <v/>
      </c>
      <c r="T50" s="76" t="str">
        <f t="shared" si="11"/>
        <v>-- 移乗</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milscm_2023_010.azn_202310_backup_merge_dpc_hn.ass0020_ijo IS '移乗';</v>
      </c>
      <c r="AT50" s="4"/>
      <c r="AU50" s="4"/>
      <c r="AV50" s="4"/>
      <c r="AW50" s="4"/>
      <c r="AX50" s="4"/>
      <c r="AY50" s="4"/>
      <c r="AZ50" s="4"/>
    </row>
    <row r="51" spans="1:52" s="25" customFormat="1">
      <c r="A51" s="4"/>
      <c r="B51" s="21">
        <f t="shared" si="2"/>
        <v>39</v>
      </c>
      <c r="C51" s="13" t="s">
        <v>401</v>
      </c>
      <c r="D51" s="13" t="s">
        <v>402</v>
      </c>
      <c r="E51" s="7"/>
      <c r="F51" s="7" t="s">
        <v>316</v>
      </c>
      <c r="G51" s="7" t="str">
        <f t="shared" si="3"/>
        <v>text</v>
      </c>
      <c r="H51" s="58"/>
      <c r="I51" s="23"/>
      <c r="J51" s="24" t="s">
        <v>548</v>
      </c>
      <c r="L51" s="4"/>
      <c r="N51" s="76"/>
      <c r="O51" s="76"/>
      <c r="P51" s="76" t="str">
        <f t="shared" si="7"/>
        <v>,ass0020_koku_seiketsu</v>
      </c>
      <c r="Q51" s="76" t="str">
        <f t="shared" si="8"/>
        <v>TEXT</v>
      </c>
      <c r="R51" s="76" t="str">
        <f t="shared" si="9"/>
        <v/>
      </c>
      <c r="S51" s="76" t="str">
        <f t="shared" si="10"/>
        <v/>
      </c>
      <c r="T51" s="76" t="str">
        <f t="shared" si="11"/>
        <v>-- 口腔清潔</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milscm_2023_010.azn_202310_backup_merge_dpc_hn.ass0020_koku_seiketsu IS '口腔清潔';</v>
      </c>
      <c r="AT51" s="4"/>
      <c r="AU51" s="4"/>
      <c r="AV51" s="4"/>
      <c r="AW51" s="4"/>
      <c r="AX51" s="4"/>
      <c r="AY51" s="4"/>
      <c r="AZ51" s="4"/>
    </row>
    <row r="52" spans="1:52" s="25" customFormat="1">
      <c r="A52" s="4"/>
      <c r="B52" s="21">
        <f t="shared" si="2"/>
        <v>40</v>
      </c>
      <c r="C52" s="6" t="s">
        <v>403</v>
      </c>
      <c r="D52" s="6" t="s">
        <v>404</v>
      </c>
      <c r="E52" s="8"/>
      <c r="F52" s="7" t="s">
        <v>316</v>
      </c>
      <c r="G52" s="7" t="str">
        <f t="shared" si="3"/>
        <v>text</v>
      </c>
      <c r="H52" s="26"/>
      <c r="I52" s="10"/>
      <c r="J52" s="11" t="s">
        <v>547</v>
      </c>
      <c r="L52" s="4"/>
      <c r="N52" s="76"/>
      <c r="O52" s="76"/>
      <c r="P52" s="76" t="str">
        <f t="shared" si="7"/>
        <v>,ass0020_shokuji_sesshu</v>
      </c>
      <c r="Q52" s="76" t="str">
        <f t="shared" si="8"/>
        <v>TEXT</v>
      </c>
      <c r="R52" s="76" t="str">
        <f t="shared" si="9"/>
        <v/>
      </c>
      <c r="S52" s="76" t="str">
        <f t="shared" si="10"/>
        <v/>
      </c>
      <c r="T52" s="76" t="str">
        <f t="shared" si="11"/>
        <v>-- 食事摂取</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milscm_2023_010.azn_202310_backup_merge_dpc_hn.ass0020_shokuji_sesshu IS '食事摂取';</v>
      </c>
      <c r="AT52" s="4"/>
      <c r="AU52" s="4"/>
      <c r="AV52" s="4"/>
      <c r="AW52" s="4"/>
      <c r="AX52" s="4"/>
      <c r="AY52" s="4"/>
      <c r="AZ52" s="4"/>
    </row>
    <row r="53" spans="1:52" s="25" customFormat="1">
      <c r="A53" s="4"/>
      <c r="B53" s="21">
        <f t="shared" si="2"/>
        <v>41</v>
      </c>
      <c r="C53" s="6" t="s">
        <v>405</v>
      </c>
      <c r="D53" s="6" t="s">
        <v>406</v>
      </c>
      <c r="E53" s="8"/>
      <c r="F53" s="7" t="s">
        <v>316</v>
      </c>
      <c r="G53" s="7" t="str">
        <f t="shared" si="3"/>
        <v>text</v>
      </c>
      <c r="H53" s="26"/>
      <c r="I53" s="10"/>
      <c r="J53" s="11" t="s">
        <v>547</v>
      </c>
      <c r="L53" s="4"/>
      <c r="N53" s="76"/>
      <c r="O53" s="76"/>
      <c r="P53" s="76" t="str">
        <f t="shared" si="7"/>
        <v>,ass0020_ifuku_chakudatsu</v>
      </c>
      <c r="Q53" s="76" t="str">
        <f t="shared" si="8"/>
        <v>TEXT</v>
      </c>
      <c r="R53" s="76" t="str">
        <f t="shared" si="9"/>
        <v/>
      </c>
      <c r="S53" s="76" t="str">
        <f t="shared" si="10"/>
        <v/>
      </c>
      <c r="T53" s="76" t="str">
        <f t="shared" si="11"/>
        <v>-- 衣服の着脱</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milscm_2023_010.azn_202310_backup_merge_dpc_hn.ass0020_ifuku_chakudatsu IS '衣服の着脱';</v>
      </c>
      <c r="AT53" s="4"/>
      <c r="AU53" s="4"/>
      <c r="AV53" s="4"/>
      <c r="AW53" s="4"/>
      <c r="AX53" s="4"/>
      <c r="AY53" s="4"/>
      <c r="AZ53" s="4"/>
    </row>
    <row r="54" spans="1:52" s="25" customFormat="1">
      <c r="A54" s="4"/>
      <c r="B54" s="21">
        <f t="shared" si="2"/>
        <v>42</v>
      </c>
      <c r="C54" s="13" t="s">
        <v>407</v>
      </c>
      <c r="D54" s="13" t="s">
        <v>408</v>
      </c>
      <c r="E54" s="7"/>
      <c r="F54" s="7" t="s">
        <v>316</v>
      </c>
      <c r="G54" s="7" t="str">
        <f t="shared" si="3"/>
        <v>text</v>
      </c>
      <c r="H54" s="58"/>
      <c r="I54" s="23"/>
      <c r="J54" s="24" t="s">
        <v>549</v>
      </c>
      <c r="L54" s="4"/>
      <c r="M54" s="4"/>
      <c r="N54" s="76"/>
      <c r="O54" s="76"/>
      <c r="P54" s="76" t="str">
        <f t="shared" si="7"/>
        <v>,ass0020_shinryo_shiji</v>
      </c>
      <c r="Q54" s="76" t="str">
        <f t="shared" si="8"/>
        <v>TEXT</v>
      </c>
      <c r="R54" s="76" t="str">
        <f t="shared" si="9"/>
        <v/>
      </c>
      <c r="S54" s="76" t="str">
        <f t="shared" si="10"/>
        <v/>
      </c>
      <c r="T54" s="76" t="str">
        <f t="shared" si="11"/>
        <v>-- 診療・療養上の指示が通じる</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milscm_2023_010.azn_202310_backup_merge_dpc_hn.ass0020_shinryo_shiji IS '診療・療養上の指示が通じる';</v>
      </c>
      <c r="AT54" s="4"/>
      <c r="AU54" s="4"/>
      <c r="AV54" s="4"/>
      <c r="AW54" s="4"/>
      <c r="AX54" s="4"/>
      <c r="AY54" s="4"/>
      <c r="AZ54" s="4"/>
    </row>
    <row r="55" spans="1:52" s="25" customFormat="1">
      <c r="A55" s="4"/>
      <c r="B55" s="21">
        <f t="shared" si="2"/>
        <v>43</v>
      </c>
      <c r="C55" s="6" t="s">
        <v>409</v>
      </c>
      <c r="D55" s="6" t="s">
        <v>410</v>
      </c>
      <c r="E55" s="8"/>
      <c r="F55" s="7" t="s">
        <v>316</v>
      </c>
      <c r="G55" s="7" t="str">
        <f t="shared" si="3"/>
        <v>text</v>
      </c>
      <c r="H55" s="26"/>
      <c r="I55" s="10"/>
      <c r="J55" s="11" t="s">
        <v>550</v>
      </c>
      <c r="L55" s="4"/>
      <c r="M55" s="4"/>
      <c r="N55" s="76"/>
      <c r="O55" s="76"/>
      <c r="P55" s="76" t="str">
        <f t="shared" si="7"/>
        <v>,ass0020_kiken_kodo</v>
      </c>
      <c r="Q55" s="76" t="str">
        <f t="shared" si="8"/>
        <v>TEXT</v>
      </c>
      <c r="R55" s="76" t="str">
        <f t="shared" si="9"/>
        <v/>
      </c>
      <c r="S55" s="76" t="str">
        <f t="shared" si="10"/>
        <v/>
      </c>
      <c r="T55" s="76" t="str">
        <f t="shared" si="11"/>
        <v>-- 危険行動</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milscm_2023_010.azn_202310_backup_merge_dpc_hn.ass0020_kiken_kodo IS '危険行動';</v>
      </c>
      <c r="AT55" s="4"/>
      <c r="AU55" s="4"/>
      <c r="AV55" s="4"/>
      <c r="AW55" s="4"/>
      <c r="AX55" s="4"/>
      <c r="AY55" s="4"/>
      <c r="AZ55" s="4"/>
    </row>
    <row r="56" spans="1:52" s="25" customFormat="1" ht="37.5">
      <c r="A56" s="4"/>
      <c r="B56" s="21">
        <f t="shared" si="2"/>
        <v>44</v>
      </c>
      <c r="C56" s="13" t="s">
        <v>397</v>
      </c>
      <c r="D56" s="13" t="s">
        <v>411</v>
      </c>
      <c r="E56" s="7"/>
      <c r="F56" s="7" t="s">
        <v>316</v>
      </c>
      <c r="G56" s="7" t="str">
        <f t="shared" si="3"/>
        <v>text</v>
      </c>
      <c r="H56" s="58"/>
      <c r="I56" s="23"/>
      <c r="J56" s="24" t="s">
        <v>546</v>
      </c>
      <c r="L56" s="4"/>
      <c r="M56" s="4"/>
      <c r="N56" s="76"/>
      <c r="O56" s="76"/>
      <c r="P56" s="76" t="str">
        <f t="shared" si="7"/>
        <v>,ass0021_negaeri</v>
      </c>
      <c r="Q56" s="76" t="str">
        <f t="shared" si="8"/>
        <v>TEXT</v>
      </c>
      <c r="R56" s="76" t="str">
        <f t="shared" si="9"/>
        <v/>
      </c>
      <c r="S56" s="76" t="str">
        <f t="shared" si="10"/>
        <v/>
      </c>
      <c r="T56" s="76" t="str">
        <f t="shared" si="11"/>
        <v>-- 寝返り</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milscm_2023_010.azn_202310_backup_merge_dpc_hn.ass0021_negaeri IS '寝返り';</v>
      </c>
      <c r="AT56" s="4"/>
      <c r="AU56" s="4"/>
      <c r="AV56" s="4"/>
      <c r="AW56" s="4"/>
      <c r="AX56" s="4"/>
      <c r="AY56" s="4"/>
      <c r="AZ56" s="4"/>
    </row>
    <row r="57" spans="1:52" s="25" customFormat="1">
      <c r="A57" s="4"/>
      <c r="B57" s="21">
        <f t="shared" si="2"/>
        <v>45</v>
      </c>
      <c r="C57" s="6" t="s">
        <v>412</v>
      </c>
      <c r="D57" s="6" t="s">
        <v>413</v>
      </c>
      <c r="E57" s="8"/>
      <c r="F57" s="7" t="s">
        <v>316</v>
      </c>
      <c r="G57" s="7" t="str">
        <f t="shared" si="3"/>
        <v>text</v>
      </c>
      <c r="H57" s="26"/>
      <c r="I57" s="10"/>
      <c r="J57" s="11" t="s">
        <v>551</v>
      </c>
      <c r="L57" s="4"/>
      <c r="M57" s="4"/>
      <c r="N57" s="76"/>
      <c r="O57" s="76"/>
      <c r="P57" s="76" t="str">
        <f t="shared" si="7"/>
        <v>,ass0021_ijo_kanja</v>
      </c>
      <c r="Q57" s="76" t="str">
        <f t="shared" si="8"/>
        <v>TEXT</v>
      </c>
      <c r="R57" s="76" t="str">
        <f t="shared" si="9"/>
        <v/>
      </c>
      <c r="S57" s="76" t="str">
        <f t="shared" si="10"/>
        <v/>
      </c>
      <c r="T57" s="76" t="str">
        <f t="shared" si="11"/>
        <v>-- 移乗（患者の状態）</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milscm_2023_010.azn_202310_backup_merge_dpc_hn.ass0021_ijo_kanja IS '移乗（患者の状態）';</v>
      </c>
      <c r="AT57" s="4"/>
      <c r="AU57" s="4"/>
      <c r="AV57" s="4"/>
      <c r="AW57" s="4"/>
      <c r="AX57" s="4"/>
      <c r="AY57" s="4"/>
      <c r="AZ57" s="4"/>
    </row>
    <row r="58" spans="1:52" s="25" customFormat="1" ht="31.5">
      <c r="A58" s="4"/>
      <c r="B58" s="21">
        <f t="shared" si="2"/>
        <v>46</v>
      </c>
      <c r="C58" s="13" t="s">
        <v>414</v>
      </c>
      <c r="D58" s="13" t="s">
        <v>415</v>
      </c>
      <c r="E58" s="7"/>
      <c r="F58" s="7" t="s">
        <v>316</v>
      </c>
      <c r="G58" s="7" t="str">
        <f t="shared" si="3"/>
        <v>text</v>
      </c>
      <c r="H58" s="58"/>
      <c r="I58" s="23"/>
      <c r="J58" s="24" t="s">
        <v>552</v>
      </c>
      <c r="L58" s="4"/>
      <c r="M58" s="4"/>
      <c r="N58" s="76"/>
      <c r="O58" s="76"/>
      <c r="P58" s="76" t="str">
        <f t="shared" si="7"/>
        <v>,ass0021_koku_seiketsu_kanja</v>
      </c>
      <c r="Q58" s="76" t="str">
        <f t="shared" si="8"/>
        <v>TEXT</v>
      </c>
      <c r="R58" s="76" t="str">
        <f t="shared" si="9"/>
        <v/>
      </c>
      <c r="S58" s="76" t="str">
        <f t="shared" si="10"/>
        <v/>
      </c>
      <c r="T58" s="76" t="str">
        <f t="shared" si="11"/>
        <v>-- 口腔清潔（患者の状態）</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milscm_2023_010.azn_202310_backup_merge_dpc_hn.ass0021_koku_seiketsu_kanja IS '口腔清潔（患者の状態）';</v>
      </c>
      <c r="AT58" s="4"/>
      <c r="AU58" s="4"/>
      <c r="AV58" s="4"/>
      <c r="AW58" s="4"/>
      <c r="AX58" s="4"/>
      <c r="AY58" s="4"/>
      <c r="AZ58" s="4"/>
    </row>
    <row r="59" spans="1:52" s="25" customFormat="1" ht="31.5">
      <c r="A59" s="4"/>
      <c r="B59" s="21">
        <f t="shared" si="2"/>
        <v>47</v>
      </c>
      <c r="C59" s="6" t="s">
        <v>416</v>
      </c>
      <c r="D59" s="6" t="s">
        <v>417</v>
      </c>
      <c r="E59" s="8"/>
      <c r="F59" s="7" t="s">
        <v>316</v>
      </c>
      <c r="G59" s="7" t="str">
        <f t="shared" si="3"/>
        <v>text</v>
      </c>
      <c r="H59" s="26"/>
      <c r="I59" s="10"/>
      <c r="J59" s="11" t="s">
        <v>551</v>
      </c>
      <c r="L59" s="4"/>
      <c r="M59" s="4"/>
      <c r="N59" s="76"/>
      <c r="O59" s="76"/>
      <c r="P59" s="76" t="str">
        <f t="shared" si="7"/>
        <v>,ass0021_shokuji_sesshu_kanja</v>
      </c>
      <c r="Q59" s="76" t="str">
        <f t="shared" si="8"/>
        <v>TEXT</v>
      </c>
      <c r="R59" s="76" t="str">
        <f t="shared" si="9"/>
        <v/>
      </c>
      <c r="S59" s="76" t="str">
        <f t="shared" si="10"/>
        <v/>
      </c>
      <c r="T59" s="76" t="str">
        <f t="shared" si="11"/>
        <v>-- 食事摂取（患者の状態）</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milscm_2023_010.azn_202310_backup_merge_dpc_hn.ass0021_shokuji_sesshu_kanja IS '食事摂取（患者の状態）';</v>
      </c>
      <c r="AT59" s="4"/>
      <c r="AU59" s="4"/>
      <c r="AV59" s="4"/>
      <c r="AW59" s="4"/>
      <c r="AX59" s="4"/>
      <c r="AY59" s="4"/>
      <c r="AZ59" s="4"/>
    </row>
    <row r="60" spans="1:52" s="25" customFormat="1" ht="31.5">
      <c r="A60" s="4"/>
      <c r="B60" s="21">
        <f t="shared" si="2"/>
        <v>48</v>
      </c>
      <c r="C60" s="13" t="s">
        <v>418</v>
      </c>
      <c r="D60" s="13" t="s">
        <v>419</v>
      </c>
      <c r="E60" s="7"/>
      <c r="F60" s="7" t="s">
        <v>316</v>
      </c>
      <c r="G60" s="7" t="str">
        <f t="shared" si="3"/>
        <v>text</v>
      </c>
      <c r="H60" s="58"/>
      <c r="I60" s="23"/>
      <c r="J60" s="24" t="s">
        <v>551</v>
      </c>
      <c r="L60" s="4"/>
      <c r="M60" s="4"/>
      <c r="N60" s="76"/>
      <c r="O60" s="76"/>
      <c r="P60" s="76" t="str">
        <f t="shared" si="7"/>
        <v>,ass0021_ifuku_chakudatsu_kanja</v>
      </c>
      <c r="Q60" s="76" t="str">
        <f t="shared" si="8"/>
        <v>TEXT</v>
      </c>
      <c r="R60" s="76" t="str">
        <f t="shared" si="9"/>
        <v/>
      </c>
      <c r="S60" s="76" t="str">
        <f t="shared" si="10"/>
        <v/>
      </c>
      <c r="T60" s="76" t="str">
        <f t="shared" si="11"/>
        <v>-- 衣服の着脱（患者の状態）</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milscm_2023_010.azn_202310_backup_merge_dpc_hn.ass0021_ifuku_chakudatsu_kanja IS '衣服の着脱（患者の状態）';</v>
      </c>
      <c r="AT60" s="4"/>
      <c r="AU60" s="4"/>
      <c r="AV60" s="4"/>
      <c r="AW60" s="4"/>
      <c r="AX60" s="4"/>
      <c r="AY60" s="4"/>
      <c r="AZ60" s="4"/>
    </row>
    <row r="61" spans="1:52" s="25" customFormat="1">
      <c r="A61" s="4"/>
      <c r="B61" s="21">
        <f t="shared" si="2"/>
        <v>49</v>
      </c>
      <c r="C61" s="6" t="s">
        <v>407</v>
      </c>
      <c r="D61" s="6" t="s">
        <v>420</v>
      </c>
      <c r="E61" s="8"/>
      <c r="F61" s="7" t="s">
        <v>316</v>
      </c>
      <c r="G61" s="7" t="str">
        <f t="shared" si="3"/>
        <v>text</v>
      </c>
      <c r="H61" s="26"/>
      <c r="I61" s="10"/>
      <c r="J61" s="11" t="s">
        <v>549</v>
      </c>
      <c r="L61" s="4"/>
      <c r="M61" s="4"/>
      <c r="N61" s="76"/>
      <c r="O61" s="76"/>
      <c r="P61" s="76" t="str">
        <f t="shared" si="7"/>
        <v>,ass0021_shinryo_shiji</v>
      </c>
      <c r="Q61" s="76" t="str">
        <f t="shared" si="8"/>
        <v>TEXT</v>
      </c>
      <c r="R61" s="76" t="str">
        <f t="shared" si="9"/>
        <v/>
      </c>
      <c r="S61" s="76" t="str">
        <f t="shared" si="10"/>
        <v/>
      </c>
      <c r="T61" s="76" t="str">
        <f t="shared" si="11"/>
        <v>-- 診療・療養上の指示が通じる</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milscm_2023_010.azn_202310_backup_merge_dpc_hn.ass0021_shinryo_shiji IS '診療・療養上の指示が通じる';</v>
      </c>
      <c r="AT61" s="4"/>
      <c r="AU61" s="4"/>
      <c r="AV61" s="4"/>
      <c r="AW61" s="4"/>
      <c r="AX61" s="4"/>
      <c r="AY61" s="4"/>
      <c r="AZ61" s="4"/>
    </row>
    <row r="62" spans="1:52" s="25" customFormat="1">
      <c r="A62" s="4"/>
      <c r="B62" s="21">
        <f t="shared" si="2"/>
        <v>50</v>
      </c>
      <c r="C62" s="13" t="s">
        <v>409</v>
      </c>
      <c r="D62" s="13" t="s">
        <v>421</v>
      </c>
      <c r="E62" s="7"/>
      <c r="F62" s="7" t="s">
        <v>316</v>
      </c>
      <c r="G62" s="7" t="str">
        <f t="shared" si="3"/>
        <v>text</v>
      </c>
      <c r="H62" s="58"/>
      <c r="I62" s="23"/>
      <c r="J62" s="24" t="s">
        <v>550</v>
      </c>
      <c r="L62" s="4"/>
      <c r="M62" s="4"/>
      <c r="N62" s="76"/>
      <c r="O62" s="76"/>
      <c r="P62" s="76" t="str">
        <f t="shared" si="7"/>
        <v>,ass0021_kiken_kodo</v>
      </c>
      <c r="Q62" s="76" t="str">
        <f t="shared" si="8"/>
        <v>TEXT</v>
      </c>
      <c r="R62" s="76" t="str">
        <f t="shared" si="9"/>
        <v/>
      </c>
      <c r="S62" s="76" t="str">
        <f t="shared" si="10"/>
        <v/>
      </c>
      <c r="T62" s="76" t="str">
        <f t="shared" si="11"/>
        <v>-- 危険行動</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milscm_2023_010.azn_202310_backup_merge_dpc_hn.ass0021_kiken_kodo IS '危険行動';</v>
      </c>
      <c r="AT62" s="4"/>
      <c r="AU62" s="4"/>
      <c r="AV62" s="4"/>
      <c r="AW62" s="4"/>
      <c r="AX62" s="4"/>
      <c r="AY62" s="4"/>
      <c r="AZ62" s="4"/>
    </row>
    <row r="63" spans="1:52" s="25" customFormat="1">
      <c r="A63" s="4"/>
      <c r="B63" s="21">
        <f t="shared" si="2"/>
        <v>51</v>
      </c>
      <c r="C63" s="13" t="s">
        <v>422</v>
      </c>
      <c r="D63" s="13" t="s">
        <v>423</v>
      </c>
      <c r="E63" s="7"/>
      <c r="F63" s="7" t="s">
        <v>316</v>
      </c>
      <c r="G63" s="7" t="str">
        <f t="shared" si="3"/>
        <v>text</v>
      </c>
      <c r="H63" s="58"/>
      <c r="I63" s="23"/>
      <c r="J63" s="24" t="s">
        <v>553</v>
      </c>
      <c r="L63" s="4"/>
      <c r="M63" s="4"/>
      <c r="N63" s="76"/>
      <c r="O63" s="76"/>
      <c r="P63" s="76" t="str">
        <f t="shared" si="7"/>
        <v>,ass0021_ijo_kaijo</v>
      </c>
      <c r="Q63" s="76" t="str">
        <f t="shared" si="8"/>
        <v>TEXT</v>
      </c>
      <c r="R63" s="76" t="str">
        <f t="shared" si="9"/>
        <v/>
      </c>
      <c r="S63" s="76" t="str">
        <f t="shared" si="10"/>
        <v/>
      </c>
      <c r="T63" s="76" t="str">
        <f t="shared" si="11"/>
        <v>-- 移乗（介助の状態）</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milscm_2023_010.azn_202310_backup_merge_dpc_hn.ass0021_ijo_kaijo IS '移乗（介助の状態）';</v>
      </c>
      <c r="AT63" s="4"/>
      <c r="AU63" s="4"/>
      <c r="AV63" s="4"/>
      <c r="AW63" s="4"/>
      <c r="AX63" s="4"/>
      <c r="AY63" s="4"/>
      <c r="AZ63" s="4"/>
    </row>
    <row r="64" spans="1:52" s="25" customFormat="1" ht="31.5">
      <c r="A64" s="4"/>
      <c r="B64" s="21">
        <f t="shared" si="2"/>
        <v>52</v>
      </c>
      <c r="C64" s="13" t="s">
        <v>424</v>
      </c>
      <c r="D64" s="13" t="s">
        <v>425</v>
      </c>
      <c r="E64" s="7"/>
      <c r="F64" s="7" t="s">
        <v>316</v>
      </c>
      <c r="G64" s="7" t="str">
        <f t="shared" si="3"/>
        <v>text</v>
      </c>
      <c r="H64" s="58"/>
      <c r="I64" s="23"/>
      <c r="J64" s="24" t="s">
        <v>553</v>
      </c>
      <c r="L64" s="4"/>
      <c r="M64" s="4"/>
      <c r="N64" s="76"/>
      <c r="O64" s="76"/>
      <c r="P64" s="76" t="str">
        <f t="shared" si="7"/>
        <v>,ass0021_koku_seiketsu_kaijo</v>
      </c>
      <c r="Q64" s="76" t="str">
        <f t="shared" si="8"/>
        <v>TEXT</v>
      </c>
      <c r="R64" s="76" t="str">
        <f t="shared" si="9"/>
        <v/>
      </c>
      <c r="S64" s="76" t="str">
        <f t="shared" si="10"/>
        <v/>
      </c>
      <c r="T64" s="76" t="str">
        <f t="shared" si="11"/>
        <v>-- 口腔清潔（介助の状態）</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milscm_2023_010.azn_202310_backup_merge_dpc_hn.ass0021_koku_seiketsu_kaijo IS '口腔清潔（介助の状態）';</v>
      </c>
      <c r="AT64" s="4"/>
      <c r="AU64" s="4"/>
      <c r="AV64" s="4"/>
      <c r="AW64" s="4"/>
      <c r="AX64" s="4"/>
      <c r="AY64" s="4"/>
      <c r="AZ64" s="4"/>
    </row>
    <row r="65" spans="1:52" s="25" customFormat="1" ht="31.5">
      <c r="A65" s="4"/>
      <c r="B65" s="21">
        <f t="shared" si="2"/>
        <v>53</v>
      </c>
      <c r="C65" s="6" t="s">
        <v>426</v>
      </c>
      <c r="D65" s="6" t="s">
        <v>427</v>
      </c>
      <c r="E65" s="8"/>
      <c r="F65" s="7" t="s">
        <v>316</v>
      </c>
      <c r="G65" s="7" t="str">
        <f t="shared" si="3"/>
        <v>text</v>
      </c>
      <c r="H65" s="26"/>
      <c r="I65" s="10"/>
      <c r="J65" s="11" t="s">
        <v>553</v>
      </c>
      <c r="L65" s="4"/>
      <c r="M65" s="4"/>
      <c r="N65" s="76"/>
      <c r="O65" s="76"/>
      <c r="P65" s="76" t="str">
        <f t="shared" si="7"/>
        <v>,ass0021_shokuji_sesshu_kaijo</v>
      </c>
      <c r="Q65" s="76" t="str">
        <f t="shared" si="8"/>
        <v>TEXT</v>
      </c>
      <c r="R65" s="76" t="str">
        <f t="shared" si="9"/>
        <v/>
      </c>
      <c r="S65" s="76" t="str">
        <f t="shared" si="10"/>
        <v/>
      </c>
      <c r="T65" s="76" t="str">
        <f t="shared" si="11"/>
        <v>-- 食事摂取（介助の状態）</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milscm_2023_010.azn_202310_backup_merge_dpc_hn.ass0021_shokuji_sesshu_kaijo IS '食事摂取（介助の状態）';</v>
      </c>
      <c r="AT65" s="4"/>
      <c r="AU65" s="4"/>
      <c r="AV65" s="4"/>
      <c r="AW65" s="4"/>
      <c r="AX65" s="4"/>
      <c r="AY65" s="4"/>
      <c r="AZ65" s="4"/>
    </row>
    <row r="66" spans="1:52" s="25" customFormat="1" ht="31.5">
      <c r="A66" s="4"/>
      <c r="B66" s="21">
        <f t="shared" si="2"/>
        <v>54</v>
      </c>
      <c r="C66" s="13" t="s">
        <v>428</v>
      </c>
      <c r="D66" s="13" t="s">
        <v>429</v>
      </c>
      <c r="E66" s="7"/>
      <c r="F66" s="7" t="s">
        <v>316</v>
      </c>
      <c r="G66" s="7" t="str">
        <f t="shared" si="3"/>
        <v>text</v>
      </c>
      <c r="H66" s="58"/>
      <c r="I66" s="23"/>
      <c r="J66" s="24" t="s">
        <v>553</v>
      </c>
      <c r="L66" s="4"/>
      <c r="M66" s="4"/>
      <c r="N66" s="76"/>
      <c r="O66" s="76"/>
      <c r="P66" s="76" t="str">
        <f t="shared" si="7"/>
        <v>,ass0021_ifuku_chakudatsu_kaijo</v>
      </c>
      <c r="Q66" s="76" t="str">
        <f t="shared" si="8"/>
        <v>TEXT</v>
      </c>
      <c r="R66" s="76" t="str">
        <f t="shared" si="9"/>
        <v/>
      </c>
      <c r="S66" s="76" t="str">
        <f t="shared" si="10"/>
        <v/>
      </c>
      <c r="T66" s="76" t="str">
        <f t="shared" si="11"/>
        <v>-- 衣服の着脱（介助の状態）</v>
      </c>
      <c r="U66" s="4"/>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milscm_2023_010.azn_202310_backup_merge_dpc_hn.ass0021_ifuku_chakudatsu_kaijo IS '衣服の着脱（介助の状態）';</v>
      </c>
      <c r="AT66" s="4"/>
      <c r="AU66" s="4"/>
      <c r="AV66" s="4"/>
      <c r="AW66" s="4"/>
      <c r="AX66" s="4"/>
      <c r="AY66" s="4"/>
      <c r="AZ66" s="4"/>
    </row>
    <row r="67" spans="1:52" s="25" customFormat="1" ht="31.5">
      <c r="A67" s="4"/>
      <c r="B67" s="21">
        <f t="shared" si="2"/>
        <v>55</v>
      </c>
      <c r="C67" s="6" t="s">
        <v>430</v>
      </c>
      <c r="D67" s="6" t="s">
        <v>431</v>
      </c>
      <c r="E67" s="8"/>
      <c r="F67" s="7" t="s">
        <v>316</v>
      </c>
      <c r="G67" s="7" t="str">
        <f t="shared" si="3"/>
        <v>text</v>
      </c>
      <c r="H67" s="26"/>
      <c r="I67" s="10"/>
      <c r="J67" s="11" t="s">
        <v>543</v>
      </c>
      <c r="L67" s="4"/>
      <c r="M67" s="4"/>
      <c r="N67" s="76"/>
      <c r="O67" s="76"/>
      <c r="P67" s="76" t="str">
        <f t="shared" si="7"/>
        <v>,ass0030_kaito_shujutsu_7days</v>
      </c>
      <c r="Q67" s="76" t="str">
        <f t="shared" si="8"/>
        <v>TEXT</v>
      </c>
      <c r="R67" s="76" t="str">
        <f t="shared" si="9"/>
        <v/>
      </c>
      <c r="S67" s="76" t="str">
        <f t="shared" si="10"/>
        <v/>
      </c>
      <c r="T67" s="76" t="str">
        <f t="shared" si="11"/>
        <v>-- 開頭手術（7日間）</v>
      </c>
      <c r="U67" s="4"/>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milscm_2023_010.azn_202310_backup_merge_dpc_hn.ass0030_kaito_shujutsu_7days IS '開頭手術（7日間）';</v>
      </c>
      <c r="AT67" s="4"/>
      <c r="AU67" s="4"/>
      <c r="AV67" s="4"/>
      <c r="AW67" s="4"/>
      <c r="AX67" s="4"/>
      <c r="AY67" s="4"/>
      <c r="AZ67" s="4"/>
    </row>
    <row r="68" spans="1:52" s="25" customFormat="1" ht="31.5">
      <c r="A68" s="4"/>
      <c r="B68" s="21">
        <f t="shared" si="2"/>
        <v>56</v>
      </c>
      <c r="C68" s="13" t="s">
        <v>432</v>
      </c>
      <c r="D68" s="13" t="s">
        <v>433</v>
      </c>
      <c r="E68" s="7"/>
      <c r="F68" s="7" t="s">
        <v>316</v>
      </c>
      <c r="G68" s="7" t="str">
        <f t="shared" si="3"/>
        <v>text</v>
      </c>
      <c r="H68" s="58"/>
      <c r="I68" s="23"/>
      <c r="J68" s="24" t="s">
        <v>543</v>
      </c>
      <c r="L68" s="4"/>
      <c r="M68" s="4"/>
      <c r="N68" s="76"/>
      <c r="O68" s="76"/>
      <c r="P68" s="76" t="str">
        <f t="shared" si="7"/>
        <v>,ass0030_kaikyo_shujutsu_7days</v>
      </c>
      <c r="Q68" s="76" t="str">
        <f t="shared" si="8"/>
        <v>TEXT</v>
      </c>
      <c r="R68" s="76" t="str">
        <f t="shared" si="9"/>
        <v/>
      </c>
      <c r="S68" s="76" t="str">
        <f t="shared" si="10"/>
        <v/>
      </c>
      <c r="T68" s="76" t="str">
        <f t="shared" si="11"/>
        <v>-- 開胸手術（7日間）</v>
      </c>
      <c r="U68" s="4"/>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milscm_2023_010.azn_202310_backup_merge_dpc_hn.ass0030_kaikyo_shujutsu_7days IS '開胸手術（7日間）';</v>
      </c>
      <c r="AT68" s="4"/>
      <c r="AU68" s="4"/>
      <c r="AV68" s="4"/>
      <c r="AW68" s="4"/>
      <c r="AX68" s="4"/>
      <c r="AY68" s="4"/>
      <c r="AZ68" s="4"/>
    </row>
    <row r="69" spans="1:52" s="25" customFormat="1" ht="31.5">
      <c r="A69" s="4"/>
      <c r="B69" s="21">
        <f t="shared" si="2"/>
        <v>57</v>
      </c>
      <c r="C69" s="6" t="s">
        <v>434</v>
      </c>
      <c r="D69" s="6" t="s">
        <v>435</v>
      </c>
      <c r="E69" s="8"/>
      <c r="F69" s="7" t="s">
        <v>316</v>
      </c>
      <c r="G69" s="7" t="str">
        <f t="shared" si="3"/>
        <v>text</v>
      </c>
      <c r="H69" s="26"/>
      <c r="I69" s="10"/>
      <c r="J69" s="11" t="s">
        <v>543</v>
      </c>
      <c r="L69" s="4"/>
      <c r="M69" s="4"/>
      <c r="N69" s="76"/>
      <c r="O69" s="76"/>
      <c r="P69" s="76" t="str">
        <f t="shared" si="7"/>
        <v>,ass0030_kaifuku_shujutsu_4days</v>
      </c>
      <c r="Q69" s="76" t="str">
        <f t="shared" si="8"/>
        <v>TEXT</v>
      </c>
      <c r="R69" s="76" t="str">
        <f t="shared" si="9"/>
        <v/>
      </c>
      <c r="S69" s="76" t="str">
        <f t="shared" si="10"/>
        <v/>
      </c>
      <c r="T69" s="76" t="str">
        <f t="shared" si="11"/>
        <v>-- 開腹手術（4日間）</v>
      </c>
      <c r="U69" s="4"/>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milscm_2023_010.azn_202310_backup_merge_dpc_hn.ass0030_kaifuku_shujutsu_4days IS '開腹手術（4日間）';</v>
      </c>
      <c r="AT69" s="4"/>
      <c r="AU69" s="4"/>
      <c r="AV69" s="4"/>
      <c r="AW69" s="4"/>
      <c r="AX69" s="4"/>
      <c r="AY69" s="4"/>
      <c r="AZ69" s="4"/>
    </row>
    <row r="70" spans="1:52" s="25" customFormat="1" ht="31.5">
      <c r="A70" s="4"/>
      <c r="B70" s="21">
        <f t="shared" si="2"/>
        <v>58</v>
      </c>
      <c r="C70" s="6" t="s">
        <v>436</v>
      </c>
      <c r="D70" s="6" t="s">
        <v>437</v>
      </c>
      <c r="E70" s="8"/>
      <c r="F70" s="7" t="s">
        <v>316</v>
      </c>
      <c r="G70" s="7" t="str">
        <f t="shared" si="3"/>
        <v>text</v>
      </c>
      <c r="H70" s="26"/>
      <c r="I70" s="10"/>
      <c r="J70" s="11" t="s">
        <v>543</v>
      </c>
      <c r="L70" s="4"/>
      <c r="M70" s="4"/>
      <c r="N70" s="76"/>
      <c r="O70" s="76"/>
      <c r="P70" s="76" t="str">
        <f t="shared" si="7"/>
        <v>,ass0030_hone_shujutsu_5days</v>
      </c>
      <c r="Q70" s="76" t="str">
        <f t="shared" si="8"/>
        <v>TEXT</v>
      </c>
      <c r="R70" s="76" t="str">
        <f t="shared" si="9"/>
        <v/>
      </c>
      <c r="S70" s="76" t="str">
        <f t="shared" si="10"/>
        <v/>
      </c>
      <c r="T70" s="76" t="str">
        <f t="shared" si="11"/>
        <v>-- 骨の手術（5日間）</v>
      </c>
      <c r="U70" s="4"/>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milscm_2023_010.azn_202310_backup_merge_dpc_hn.ass0030_hone_shujutsu_5days IS '骨の手術（5日間）';</v>
      </c>
      <c r="AT70" s="4"/>
      <c r="AU70" s="4"/>
      <c r="AV70" s="4"/>
      <c r="AW70" s="4"/>
      <c r="AX70" s="4"/>
      <c r="AY70" s="4"/>
      <c r="AZ70" s="4"/>
    </row>
    <row r="71" spans="1:52" s="25" customFormat="1" ht="31.5">
      <c r="A71" s="4"/>
      <c r="B71" s="21">
        <f t="shared" si="2"/>
        <v>59</v>
      </c>
      <c r="C71" s="13" t="s">
        <v>438</v>
      </c>
      <c r="D71" s="13" t="s">
        <v>439</v>
      </c>
      <c r="E71" s="7"/>
      <c r="F71" s="7" t="s">
        <v>316</v>
      </c>
      <c r="G71" s="7" t="str">
        <f t="shared" si="3"/>
        <v>text</v>
      </c>
      <c r="H71" s="58"/>
      <c r="I71" s="23"/>
      <c r="J71" s="24" t="s">
        <v>543</v>
      </c>
      <c r="L71" s="4"/>
      <c r="M71" s="4"/>
      <c r="N71" s="76"/>
      <c r="O71" s="76"/>
      <c r="P71" s="76" t="str">
        <f t="shared" si="7"/>
        <v>,ass0030_kokyo_shujutsu_3days</v>
      </c>
      <c r="Q71" s="76" t="str">
        <f t="shared" si="8"/>
        <v>TEXT</v>
      </c>
      <c r="R71" s="76" t="str">
        <f t="shared" si="9"/>
        <v/>
      </c>
      <c r="S71" s="76" t="str">
        <f t="shared" si="10"/>
        <v/>
      </c>
      <c r="T71" s="76" t="str">
        <f t="shared" si="11"/>
        <v>-- 胸腔鏡・腹腔鏡手術（3日間）</v>
      </c>
      <c r="U71" s="4"/>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milscm_2023_010.azn_202310_backup_merge_dpc_hn.ass0030_kokyo_shujutsu_3days IS '胸腔鏡・腹腔鏡手術（3日間）';</v>
      </c>
      <c r="AT71" s="4"/>
      <c r="AU71" s="4"/>
      <c r="AV71" s="4"/>
      <c r="AW71" s="4"/>
      <c r="AX71" s="4"/>
      <c r="AY71" s="4"/>
      <c r="AZ71" s="4"/>
    </row>
    <row r="72" spans="1:52" s="25" customFormat="1" ht="31.5">
      <c r="A72" s="4"/>
      <c r="B72" s="21">
        <f t="shared" si="2"/>
        <v>60</v>
      </c>
      <c r="C72" s="6" t="s">
        <v>440</v>
      </c>
      <c r="D72" s="6" t="s">
        <v>441</v>
      </c>
      <c r="E72" s="8"/>
      <c r="F72" s="7" t="s">
        <v>316</v>
      </c>
      <c r="G72" s="7" t="str">
        <f t="shared" si="3"/>
        <v>text</v>
      </c>
      <c r="H72" s="26"/>
      <c r="I72" s="10"/>
      <c r="J72" s="11" t="s">
        <v>543</v>
      </c>
      <c r="L72" s="4"/>
      <c r="M72" s="4"/>
      <c r="N72" s="76"/>
      <c r="O72" s="76"/>
      <c r="P72" s="76" t="str">
        <f t="shared" si="7"/>
        <v>,ass0030_masui_shujutsu_2days</v>
      </c>
      <c r="Q72" s="76" t="str">
        <f t="shared" si="8"/>
        <v>TEXT</v>
      </c>
      <c r="R72" s="76" t="str">
        <f t="shared" si="9"/>
        <v/>
      </c>
      <c r="S72" s="76" t="str">
        <f t="shared" si="10"/>
        <v/>
      </c>
      <c r="T72" s="76" t="str">
        <f t="shared" si="11"/>
        <v>-- 全身麻酔・脊椎麻酔の手術（2日間）</v>
      </c>
      <c r="U72" s="4"/>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milscm_2023_010.azn_202310_backup_merge_dpc_hn.ass0030_masui_shujutsu_2days IS '全身麻酔・脊椎麻酔の手術（2日間）';</v>
      </c>
      <c r="AT72" s="4"/>
      <c r="AU72" s="4"/>
      <c r="AV72" s="4"/>
      <c r="AW72" s="4"/>
      <c r="AX72" s="4"/>
      <c r="AY72" s="4"/>
      <c r="AZ72" s="4"/>
    </row>
    <row r="73" spans="1:52" s="25" customFormat="1" ht="150">
      <c r="A73" s="4"/>
      <c r="B73" s="21">
        <f t="shared" si="2"/>
        <v>61</v>
      </c>
      <c r="C73" s="13" t="s">
        <v>442</v>
      </c>
      <c r="D73" s="13" t="s">
        <v>443</v>
      </c>
      <c r="E73" s="7"/>
      <c r="F73" s="7" t="s">
        <v>316</v>
      </c>
      <c r="G73" s="7" t="str">
        <f t="shared" si="3"/>
        <v>text</v>
      </c>
      <c r="H73" s="58"/>
      <c r="I73" s="23"/>
      <c r="J73" s="24" t="s">
        <v>554</v>
      </c>
      <c r="L73" s="4"/>
      <c r="M73" s="4"/>
      <c r="N73" s="76"/>
      <c r="O73" s="76"/>
      <c r="P73" s="76" t="str">
        <f t="shared" si="7"/>
        <v>,ass0030_naika_chiryo_2days</v>
      </c>
      <c r="Q73" s="76" t="str">
        <f t="shared" si="8"/>
        <v>TEXT</v>
      </c>
      <c r="R73" s="76" t="str">
        <f t="shared" si="9"/>
        <v/>
      </c>
      <c r="S73" s="76" t="str">
        <f t="shared" si="10"/>
        <v/>
      </c>
      <c r="T73" s="76" t="str">
        <f t="shared" si="11"/>
        <v>-- 救命等に係る内科的治療（2日間）</v>
      </c>
      <c r="U73" s="4"/>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milscm_2023_010.azn_202310_backup_merge_dpc_hn.ass0030_naika_chiryo_2days IS '救命等に係る内科的治療（2日間）';</v>
      </c>
      <c r="AT73" s="4"/>
      <c r="AU73" s="4"/>
      <c r="AV73" s="4"/>
      <c r="AW73" s="4"/>
      <c r="AX73" s="4"/>
      <c r="AY73" s="4"/>
      <c r="AZ73" s="4"/>
    </row>
    <row r="74" spans="1:52" s="25" customFormat="1">
      <c r="A74" s="4"/>
      <c r="B74" s="21">
        <f t="shared" si="2"/>
        <v>62</v>
      </c>
      <c r="C74" s="6" t="s">
        <v>369</v>
      </c>
      <c r="D74" s="6" t="s">
        <v>444</v>
      </c>
      <c r="E74" s="8"/>
      <c r="F74" s="7" t="s">
        <v>316</v>
      </c>
      <c r="G74" s="7" t="str">
        <f t="shared" si="3"/>
        <v>text</v>
      </c>
      <c r="H74" s="26"/>
      <c r="I74" s="10"/>
      <c r="J74" s="11" t="s">
        <v>543</v>
      </c>
      <c r="L74" s="4"/>
      <c r="M74" s="4"/>
      <c r="N74" s="76"/>
      <c r="O74" s="76"/>
      <c r="P74" s="76" t="str">
        <f t="shared" si="7"/>
        <v>,ass0040_shindenzu_kanri</v>
      </c>
      <c r="Q74" s="76" t="str">
        <f t="shared" si="8"/>
        <v>TEXT</v>
      </c>
      <c r="R74" s="76" t="str">
        <f t="shared" si="9"/>
        <v/>
      </c>
      <c r="S74" s="76" t="str">
        <f t="shared" si="10"/>
        <v/>
      </c>
      <c r="T74" s="76" t="str">
        <f t="shared" si="11"/>
        <v>-- 心電図モニターの管理</v>
      </c>
      <c r="U74" s="4"/>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milscm_2023_010.azn_202310_backup_merge_dpc_hn.ass0040_shindenzu_kanri IS '心電図モニターの管理';</v>
      </c>
      <c r="AT74" s="4"/>
      <c r="AU74" s="4"/>
      <c r="AV74" s="4"/>
      <c r="AW74" s="4"/>
      <c r="AX74" s="4"/>
      <c r="AY74" s="4"/>
      <c r="AZ74" s="4"/>
    </row>
    <row r="75" spans="1:52" s="25" customFormat="1" ht="31.5">
      <c r="A75" s="4"/>
      <c r="B75" s="21">
        <f t="shared" si="2"/>
        <v>63</v>
      </c>
      <c r="C75" s="13" t="s">
        <v>445</v>
      </c>
      <c r="D75" s="13" t="s">
        <v>446</v>
      </c>
      <c r="E75" s="7"/>
      <c r="F75" s="7" t="s">
        <v>316</v>
      </c>
      <c r="G75" s="7" t="str">
        <f t="shared" si="3"/>
        <v>text</v>
      </c>
      <c r="H75" s="58"/>
      <c r="I75" s="23"/>
      <c r="J75" s="24" t="s">
        <v>543</v>
      </c>
      <c r="L75" s="4"/>
      <c r="M75" s="4"/>
      <c r="N75" s="76"/>
      <c r="O75" s="76"/>
      <c r="P75" s="76" t="str">
        <f t="shared" si="7"/>
        <v>,ass0040_yueki_pump_kanri</v>
      </c>
      <c r="Q75" s="76" t="str">
        <f t="shared" si="8"/>
        <v>TEXT</v>
      </c>
      <c r="R75" s="76" t="str">
        <f t="shared" si="9"/>
        <v/>
      </c>
      <c r="S75" s="76" t="str">
        <f t="shared" si="10"/>
        <v/>
      </c>
      <c r="T75" s="76" t="str">
        <f t="shared" si="11"/>
        <v>-- 輸液ポンプの管理</v>
      </c>
      <c r="U75" s="4"/>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milscm_2023_010.azn_202310_backup_merge_dpc_hn.ass0040_yueki_pump_kanri IS '輸液ポンプの管理';</v>
      </c>
      <c r="AT75" s="4"/>
      <c r="AU75" s="4"/>
      <c r="AV75" s="4"/>
      <c r="AW75" s="4"/>
      <c r="AX75" s="4"/>
      <c r="AY75" s="4"/>
      <c r="AZ75" s="4"/>
    </row>
    <row r="76" spans="1:52" s="25" customFormat="1">
      <c r="A76" s="4"/>
      <c r="B76" s="21">
        <f t="shared" si="2"/>
        <v>64</v>
      </c>
      <c r="C76" s="6" t="s">
        <v>447</v>
      </c>
      <c r="D76" s="6" t="s">
        <v>448</v>
      </c>
      <c r="E76" s="8"/>
      <c r="F76" s="7" t="s">
        <v>316</v>
      </c>
      <c r="G76" s="7" t="str">
        <f t="shared" si="3"/>
        <v>text</v>
      </c>
      <c r="H76" s="26"/>
      <c r="I76" s="10"/>
      <c r="J76" s="11" t="s">
        <v>543</v>
      </c>
      <c r="L76" s="4"/>
      <c r="M76" s="4"/>
      <c r="N76" s="76"/>
      <c r="O76" s="76"/>
      <c r="P76" s="76" t="str">
        <f t="shared" si="7"/>
        <v>,ass0040_domyaku_sokutei</v>
      </c>
      <c r="Q76" s="76" t="str">
        <f t="shared" si="8"/>
        <v>TEXT</v>
      </c>
      <c r="R76" s="76" t="str">
        <f t="shared" si="9"/>
        <v/>
      </c>
      <c r="S76" s="76" t="str">
        <f t="shared" si="10"/>
        <v/>
      </c>
      <c r="T76" s="76" t="str">
        <f t="shared" si="11"/>
        <v>-- 動脈圧測定（動脈ライン）</v>
      </c>
      <c r="U76" s="4"/>
      <c r="AA76" s="4"/>
      <c r="AB76" s="4"/>
      <c r="AC76" s="4"/>
      <c r="AD76" s="4"/>
      <c r="AE76" s="4"/>
      <c r="AF76" s="4"/>
      <c r="AG76" s="4"/>
      <c r="AH76" s="4"/>
      <c r="AI76" s="4"/>
      <c r="AJ76" s="76" t="str">
        <f>IF(E76="○",IF(COUNTA(E$13:E76)=1,"",",")&amp;D76,"")</f>
        <v/>
      </c>
      <c r="AK76" s="4"/>
      <c r="AL76" s="4"/>
      <c r="AM76" s="4"/>
      <c r="AN76" s="4"/>
      <c r="AO76" s="4"/>
      <c r="AP76" s="4"/>
      <c r="AQ76" s="4"/>
      <c r="AR76" s="4"/>
      <c r="AS76" s="76" t="str">
        <f>"COMMENT ON COLUMN "&amp;エンティティ一覧!$O$2&amp;"."&amp;D$8&amp;"."&amp;D76&amp;" IS '"&amp;C76&amp;"';"</f>
        <v>COMMENT ON COLUMN milscm_2023_010.azn_202310_backup_merge_dpc_hn.ass0040_domyaku_sokutei IS '動脈圧測定（動脈ライン）';</v>
      </c>
      <c r="AT76" s="4"/>
      <c r="AU76" s="4"/>
      <c r="AV76" s="4"/>
      <c r="AW76" s="4"/>
      <c r="AX76" s="4"/>
      <c r="AY76" s="4"/>
      <c r="AZ76" s="4"/>
    </row>
    <row r="77" spans="1:52" s="25" customFormat="1" ht="31.5">
      <c r="A77" s="4"/>
      <c r="B77" s="21">
        <f t="shared" si="2"/>
        <v>65</v>
      </c>
      <c r="C77" s="13" t="s">
        <v>371</v>
      </c>
      <c r="D77" s="13" t="s">
        <v>449</v>
      </c>
      <c r="E77" s="7"/>
      <c r="F77" s="7" t="s">
        <v>316</v>
      </c>
      <c r="G77" s="7" t="str">
        <f t="shared" si="3"/>
        <v>text</v>
      </c>
      <c r="H77" s="58"/>
      <c r="I77" s="23"/>
      <c r="J77" s="24" t="s">
        <v>543</v>
      </c>
      <c r="L77" s="4"/>
      <c r="M77" s="4"/>
      <c r="N77" s="76"/>
      <c r="O77" s="76"/>
      <c r="P77" s="76" t="str">
        <f t="shared" si="7"/>
        <v>,ass0040_syringe_pump_kanri</v>
      </c>
      <c r="Q77" s="76" t="str">
        <f t="shared" si="8"/>
        <v>TEXT</v>
      </c>
      <c r="R77" s="76" t="str">
        <f t="shared" si="9"/>
        <v/>
      </c>
      <c r="S77" s="76" t="str">
        <f t="shared" si="10"/>
        <v/>
      </c>
      <c r="T77" s="76" t="str">
        <f t="shared" si="11"/>
        <v>-- シリンジポンプの管理</v>
      </c>
      <c r="U77" s="4"/>
      <c r="AA77" s="4"/>
      <c r="AB77" s="4"/>
      <c r="AC77" s="4"/>
      <c r="AD77" s="4"/>
      <c r="AE77" s="4"/>
      <c r="AF77" s="4"/>
      <c r="AG77" s="4"/>
      <c r="AH77" s="4"/>
      <c r="AI77" s="4"/>
      <c r="AJ77" s="76" t="str">
        <f>IF(E77="○",IF(COUNTA(E$13:E77)=1,"",",")&amp;D77,"")</f>
        <v/>
      </c>
      <c r="AK77" s="4"/>
      <c r="AL77" s="4"/>
      <c r="AM77" s="4"/>
      <c r="AN77" s="4"/>
      <c r="AO77" s="4"/>
      <c r="AP77" s="4"/>
      <c r="AQ77" s="4"/>
      <c r="AR77" s="4"/>
      <c r="AS77" s="76" t="str">
        <f>"COMMENT ON COLUMN "&amp;エンティティ一覧!$O$2&amp;"."&amp;D$8&amp;"."&amp;D77&amp;" IS '"&amp;C77&amp;"';"</f>
        <v>COMMENT ON COLUMN milscm_2023_010.azn_202310_backup_merge_dpc_hn.ass0040_syringe_pump_kanri IS 'シリンジポンプの管理';</v>
      </c>
      <c r="AT77" s="4"/>
      <c r="AU77" s="4"/>
      <c r="AV77" s="4"/>
      <c r="AW77" s="4"/>
      <c r="AX77" s="4"/>
      <c r="AY77" s="4"/>
      <c r="AZ77" s="4"/>
    </row>
    <row r="78" spans="1:52" s="25" customFormat="1" ht="31.5">
      <c r="A78" s="4"/>
      <c r="B78" s="21">
        <f t="shared" si="2"/>
        <v>66</v>
      </c>
      <c r="C78" s="6" t="s">
        <v>450</v>
      </c>
      <c r="D78" s="6" t="s">
        <v>451</v>
      </c>
      <c r="E78" s="8"/>
      <c r="F78" s="7" t="s">
        <v>316</v>
      </c>
      <c r="G78" s="7" t="str">
        <f t="shared" si="3"/>
        <v>text</v>
      </c>
      <c r="H78" s="26"/>
      <c r="I78" s="10"/>
      <c r="J78" s="11" t="s">
        <v>543</v>
      </c>
      <c r="L78" s="4"/>
      <c r="M78" s="4"/>
      <c r="N78" s="76"/>
      <c r="O78" s="76"/>
      <c r="P78" s="76" t="str">
        <f t="shared" si="7"/>
        <v>,ass0040_jomyaku_sokutei</v>
      </c>
      <c r="Q78" s="76" t="str">
        <f t="shared" si="8"/>
        <v>TEXT</v>
      </c>
      <c r="R78" s="76" t="str">
        <f t="shared" si="9"/>
        <v/>
      </c>
      <c r="S78" s="76" t="str">
        <f t="shared" si="10"/>
        <v/>
      </c>
      <c r="T78" s="76" t="str">
        <f t="shared" si="11"/>
        <v>-- 中心静脈圧測定（中心静脈ライン）</v>
      </c>
      <c r="U78" s="4"/>
      <c r="AA78" s="4"/>
      <c r="AB78" s="4"/>
      <c r="AC78" s="4"/>
      <c r="AD78" s="4"/>
      <c r="AE78" s="4"/>
      <c r="AF78" s="4"/>
      <c r="AG78" s="4"/>
      <c r="AH78" s="4"/>
      <c r="AI78" s="4"/>
      <c r="AJ78" s="76" t="str">
        <f>IF(E78="○",IF(COUNTA(E$13:E78)=1,"",",")&amp;D78,"")</f>
        <v/>
      </c>
      <c r="AK78" s="4"/>
      <c r="AL78" s="4"/>
      <c r="AM78" s="4"/>
      <c r="AN78" s="4"/>
      <c r="AO78" s="4"/>
      <c r="AP78" s="4"/>
      <c r="AQ78" s="4"/>
      <c r="AR78" s="4"/>
      <c r="AS78" s="76" t="str">
        <f>"COMMENT ON COLUMN "&amp;エンティティ一覧!$O$2&amp;"."&amp;D$8&amp;"."&amp;D78&amp;" IS '"&amp;C78&amp;"';"</f>
        <v>COMMENT ON COLUMN milscm_2023_010.azn_202310_backup_merge_dpc_hn.ass0040_jomyaku_sokutei IS '中心静脈圧測定（中心静脈ライン）';</v>
      </c>
      <c r="AT78" s="4"/>
      <c r="AU78" s="4"/>
      <c r="AV78" s="4"/>
      <c r="AW78" s="4"/>
      <c r="AX78" s="4"/>
      <c r="AY78" s="4"/>
      <c r="AZ78" s="4"/>
    </row>
    <row r="79" spans="1:52" s="25" customFormat="1" ht="31.5">
      <c r="A79" s="4"/>
      <c r="B79" s="21">
        <f t="shared" si="2"/>
        <v>67</v>
      </c>
      <c r="C79" s="13" t="s">
        <v>452</v>
      </c>
      <c r="D79" s="13" t="s">
        <v>453</v>
      </c>
      <c r="E79" s="7"/>
      <c r="F79" s="7" t="s">
        <v>316</v>
      </c>
      <c r="G79" s="7" t="str">
        <f t="shared" si="3"/>
        <v>text</v>
      </c>
      <c r="H79" s="58"/>
      <c r="I79" s="23"/>
      <c r="J79" s="24" t="s">
        <v>543</v>
      </c>
      <c r="L79" s="4"/>
      <c r="M79" s="4"/>
      <c r="N79" s="76"/>
      <c r="O79" s="76"/>
      <c r="P79" s="76" t="str">
        <f t="shared" si="7"/>
        <v>,ass0040_jinko_kokyuki_kanri</v>
      </c>
      <c r="Q79" s="76" t="str">
        <f t="shared" si="8"/>
        <v>TEXT</v>
      </c>
      <c r="R79" s="76" t="str">
        <f t="shared" si="9"/>
        <v/>
      </c>
      <c r="S79" s="76" t="str">
        <f t="shared" si="10"/>
        <v/>
      </c>
      <c r="T79" s="76" t="str">
        <f t="shared" si="11"/>
        <v>-- 人工呼吸器の管理</v>
      </c>
      <c r="U79" s="4"/>
      <c r="AA79" s="4"/>
      <c r="AB79" s="4"/>
      <c r="AC79" s="4"/>
      <c r="AD79" s="4"/>
      <c r="AE79" s="4"/>
      <c r="AF79" s="4"/>
      <c r="AG79" s="4"/>
      <c r="AH79" s="4"/>
      <c r="AI79" s="4"/>
      <c r="AJ79" s="76" t="str">
        <f>IF(E79="○",IF(COUNTA(E$13:E79)=1,"",",")&amp;D79,"")</f>
        <v/>
      </c>
      <c r="AK79" s="4"/>
      <c r="AL79" s="4"/>
      <c r="AM79" s="4"/>
      <c r="AN79" s="4"/>
      <c r="AO79" s="4"/>
      <c r="AP79" s="4"/>
      <c r="AQ79" s="4"/>
      <c r="AR79" s="4"/>
      <c r="AS79" s="76" t="str">
        <f>"COMMENT ON COLUMN "&amp;エンティティ一覧!$O$2&amp;"."&amp;D$8&amp;"."&amp;D79&amp;" IS '"&amp;C79&amp;"';"</f>
        <v>COMMENT ON COLUMN milscm_2023_010.azn_202310_backup_merge_dpc_hn.ass0040_jinko_kokyuki_kanri IS '人工呼吸器の管理';</v>
      </c>
      <c r="AT79" s="4"/>
      <c r="AU79" s="4"/>
      <c r="AV79" s="4"/>
      <c r="AW79" s="4"/>
      <c r="AX79" s="4"/>
      <c r="AY79" s="4"/>
      <c r="AZ79" s="4"/>
    </row>
    <row r="80" spans="1:52" s="25" customFormat="1" ht="31.5">
      <c r="A80" s="4"/>
      <c r="B80" s="21">
        <f t="shared" si="2"/>
        <v>68</v>
      </c>
      <c r="C80" s="13" t="s">
        <v>373</v>
      </c>
      <c r="D80" s="13" t="s">
        <v>454</v>
      </c>
      <c r="E80" s="7"/>
      <c r="F80" s="7" t="s">
        <v>316</v>
      </c>
      <c r="G80" s="7" t="str">
        <f t="shared" si="3"/>
        <v>text</v>
      </c>
      <c r="H80" s="58"/>
      <c r="I80" s="23"/>
      <c r="J80" s="24" t="s">
        <v>543</v>
      </c>
      <c r="L80" s="4"/>
      <c r="M80" s="4"/>
      <c r="N80" s="76"/>
      <c r="O80" s="76"/>
      <c r="P80" s="76" t="str">
        <f t="shared" si="7"/>
        <v>,ass0040_blood_products_kanri</v>
      </c>
      <c r="Q80" s="76" t="str">
        <f t="shared" si="8"/>
        <v>TEXT</v>
      </c>
      <c r="R80" s="76" t="str">
        <f t="shared" si="9"/>
        <v/>
      </c>
      <c r="S80" s="76" t="str">
        <f t="shared" si="10"/>
        <v/>
      </c>
      <c r="T80" s="76" t="str">
        <f t="shared" si="11"/>
        <v>-- 輸血や血液製剤の管理</v>
      </c>
      <c r="U80" s="4"/>
      <c r="AA80" s="4"/>
      <c r="AB80" s="4"/>
      <c r="AC80" s="4"/>
      <c r="AD80" s="4"/>
      <c r="AE80" s="4"/>
      <c r="AF80" s="4"/>
      <c r="AG80" s="4"/>
      <c r="AH80" s="4"/>
      <c r="AI80" s="4"/>
      <c r="AJ80" s="76" t="str">
        <f>IF(E80="○",IF(COUNTA(E$13:E80)=1,"",",")&amp;D80,"")</f>
        <v/>
      </c>
      <c r="AK80" s="4"/>
      <c r="AL80" s="4"/>
      <c r="AM80" s="4"/>
      <c r="AN80" s="4"/>
      <c r="AO80" s="4"/>
      <c r="AP80" s="4"/>
      <c r="AQ80" s="4"/>
      <c r="AR80" s="4"/>
      <c r="AS80" s="76" t="str">
        <f>"COMMENT ON COLUMN "&amp;エンティティ一覧!$O$2&amp;"."&amp;D$8&amp;"."&amp;D80&amp;" IS '"&amp;C80&amp;"';"</f>
        <v>COMMENT ON COLUMN milscm_2023_010.azn_202310_backup_merge_dpc_hn.ass0040_blood_products_kanri IS '輸血や血液製剤の管理';</v>
      </c>
      <c r="AT80" s="4"/>
      <c r="AU80" s="4"/>
      <c r="AV80" s="4"/>
      <c r="AW80" s="4"/>
      <c r="AX80" s="4"/>
      <c r="AY80" s="4"/>
      <c r="AZ80" s="4"/>
    </row>
    <row r="81" spans="1:52" s="25" customFormat="1" ht="31.5">
      <c r="A81" s="4"/>
      <c r="B81" s="21">
        <f t="shared" si="2"/>
        <v>69</v>
      </c>
      <c r="C81" s="13" t="s">
        <v>455</v>
      </c>
      <c r="D81" s="13" t="s">
        <v>456</v>
      </c>
      <c r="E81" s="7"/>
      <c r="F81" s="7" t="s">
        <v>316</v>
      </c>
      <c r="G81" s="7" t="str">
        <f t="shared" si="3"/>
        <v>text</v>
      </c>
      <c r="H81" s="58"/>
      <c r="I81" s="23"/>
      <c r="J81" s="24" t="s">
        <v>543</v>
      </c>
      <c r="L81" s="4"/>
      <c r="M81" s="4"/>
      <c r="N81" s="76"/>
      <c r="O81" s="76"/>
      <c r="P81" s="76" t="str">
        <f t="shared" si="7"/>
        <v>,ass0040_hai_domyaku_sokutei</v>
      </c>
      <c r="Q81" s="76" t="str">
        <f t="shared" si="8"/>
        <v>TEXT</v>
      </c>
      <c r="R81" s="76" t="str">
        <f t="shared" si="9"/>
        <v/>
      </c>
      <c r="S81" s="76" t="str">
        <f t="shared" si="10"/>
        <v/>
      </c>
      <c r="T81" s="76" t="str">
        <f t="shared" si="11"/>
        <v>-- 肺動脈圧測定（スワンガンツカテーテル）</v>
      </c>
      <c r="U81" s="4"/>
      <c r="AA81" s="4"/>
      <c r="AB81" s="4"/>
      <c r="AC81" s="4"/>
      <c r="AD81" s="4"/>
      <c r="AE81" s="4"/>
      <c r="AF81" s="4"/>
      <c r="AG81" s="4"/>
      <c r="AH81" s="4"/>
      <c r="AI81" s="4"/>
      <c r="AJ81" s="76" t="str">
        <f>IF(E81="○",IF(COUNTA(E$13:E81)=1,"",",")&amp;D81,"")</f>
        <v/>
      </c>
      <c r="AK81" s="4"/>
      <c r="AL81" s="4"/>
      <c r="AM81" s="4"/>
      <c r="AN81" s="4"/>
      <c r="AO81" s="4"/>
      <c r="AP81" s="4"/>
      <c r="AQ81" s="4"/>
      <c r="AR81" s="4"/>
      <c r="AS81" s="76" t="str">
        <f>"COMMENT ON COLUMN "&amp;エンティティ一覧!$O$2&amp;"."&amp;D$8&amp;"."&amp;D81&amp;" IS '"&amp;C81&amp;"';"</f>
        <v>COMMENT ON COLUMN milscm_2023_010.azn_202310_backup_merge_dpc_hn.ass0040_hai_domyaku_sokutei IS '肺動脈圧測定（スワンガンツカテーテル）';</v>
      </c>
      <c r="AT81" s="4"/>
      <c r="AU81" s="4"/>
      <c r="AV81" s="4"/>
      <c r="AW81" s="4"/>
      <c r="AX81" s="4"/>
      <c r="AY81" s="4"/>
      <c r="AZ81" s="4"/>
    </row>
    <row r="82" spans="1:52" s="25" customFormat="1">
      <c r="A82" s="4"/>
      <c r="B82" s="21">
        <f t="shared" si="2"/>
        <v>70</v>
      </c>
      <c r="C82" s="6" t="s">
        <v>457</v>
      </c>
      <c r="D82" s="6" t="s">
        <v>458</v>
      </c>
      <c r="E82" s="8"/>
      <c r="F82" s="7" t="s">
        <v>316</v>
      </c>
      <c r="G82" s="7" t="str">
        <f t="shared" si="3"/>
        <v>text</v>
      </c>
      <c r="H82" s="26"/>
      <c r="I82" s="10"/>
      <c r="J82" s="11" t="s">
        <v>543</v>
      </c>
      <c r="L82" s="4"/>
      <c r="M82" s="4"/>
      <c r="N82" s="76"/>
      <c r="O82" s="76"/>
      <c r="P82" s="76" t="str">
        <f t="shared" si="7"/>
        <v>,ass0040_special_chiryo</v>
      </c>
      <c r="Q82" s="76" t="str">
        <f t="shared" si="8"/>
        <v>TEXT</v>
      </c>
      <c r="R82" s="76" t="str">
        <f t="shared" si="9"/>
        <v/>
      </c>
      <c r="S82" s="76" t="str">
        <f t="shared" si="10"/>
        <v/>
      </c>
      <c r="T82" s="76" t="str">
        <f t="shared" si="11"/>
        <v>-- 特殊な治療法等</v>
      </c>
      <c r="U82" s="4"/>
      <c r="AA82" s="4"/>
      <c r="AB82" s="4"/>
      <c r="AC82" s="4"/>
      <c r="AD82" s="4"/>
      <c r="AE82" s="4"/>
      <c r="AF82" s="4"/>
      <c r="AG82" s="4"/>
      <c r="AH82" s="4"/>
      <c r="AI82" s="4"/>
      <c r="AJ82" s="76" t="str">
        <f>IF(E82="○",IF(COUNTA(E$13:E82)=1,"",",")&amp;D82,"")</f>
        <v/>
      </c>
      <c r="AK82" s="4"/>
      <c r="AL82" s="4"/>
      <c r="AM82" s="4"/>
      <c r="AN82" s="4"/>
      <c r="AO82" s="4"/>
      <c r="AP82" s="4"/>
      <c r="AQ82" s="4"/>
      <c r="AR82" s="4"/>
      <c r="AS82" s="76" t="str">
        <f>"COMMENT ON COLUMN "&amp;エンティティ一覧!$O$2&amp;"."&amp;D$8&amp;"."&amp;D82&amp;" IS '"&amp;C82&amp;"';"</f>
        <v>COMMENT ON COLUMN milscm_2023_010.azn_202310_backup_merge_dpc_hn.ass0040_special_chiryo IS '特殊な治療法等';</v>
      </c>
      <c r="AT82" s="4"/>
      <c r="AU82" s="4"/>
      <c r="AV82" s="4"/>
      <c r="AW82" s="4"/>
      <c r="AX82" s="4"/>
      <c r="AY82" s="4"/>
      <c r="AZ82" s="4"/>
    </row>
    <row r="83" spans="1:52" s="25" customFormat="1" ht="31.5">
      <c r="A83" s="4"/>
      <c r="B83" s="21">
        <f t="shared" si="2"/>
        <v>71</v>
      </c>
      <c r="C83" s="13" t="s">
        <v>445</v>
      </c>
      <c r="D83" s="13" t="s">
        <v>459</v>
      </c>
      <c r="E83" s="7"/>
      <c r="F83" s="7" t="s">
        <v>316</v>
      </c>
      <c r="G83" s="7" t="str">
        <f t="shared" si="3"/>
        <v>text</v>
      </c>
      <c r="H83" s="58"/>
      <c r="I83" s="23"/>
      <c r="J83" s="24" t="s">
        <v>543</v>
      </c>
      <c r="L83" s="4"/>
      <c r="M83" s="4"/>
      <c r="N83" s="76"/>
      <c r="O83" s="76"/>
      <c r="P83" s="76" t="str">
        <f t="shared" si="7"/>
        <v>,ass0041_yueki_pump_kanri</v>
      </c>
      <c r="Q83" s="76" t="str">
        <f t="shared" si="8"/>
        <v>TEXT</v>
      </c>
      <c r="R83" s="76" t="str">
        <f t="shared" si="9"/>
        <v/>
      </c>
      <c r="S83" s="76" t="str">
        <f t="shared" si="10"/>
        <v/>
      </c>
      <c r="T83" s="76" t="str">
        <f t="shared" si="11"/>
        <v>-- 輸液ポンプの管理</v>
      </c>
      <c r="U83" s="4"/>
      <c r="AA83" s="4"/>
      <c r="AB83" s="4"/>
      <c r="AC83" s="4"/>
      <c r="AD83" s="4"/>
      <c r="AE83" s="4"/>
      <c r="AF83" s="4"/>
      <c r="AG83" s="4"/>
      <c r="AH83" s="4"/>
      <c r="AI83" s="4"/>
      <c r="AJ83" s="76" t="str">
        <f>IF(E83="○",IF(COUNTA(E$13:E83)=1,"",",")&amp;D83,"")</f>
        <v/>
      </c>
      <c r="AK83" s="4"/>
      <c r="AL83" s="4"/>
      <c r="AM83" s="4"/>
      <c r="AN83" s="4"/>
      <c r="AO83" s="4"/>
      <c r="AP83" s="4"/>
      <c r="AQ83" s="4"/>
      <c r="AR83" s="4"/>
      <c r="AS83" s="76" t="str">
        <f>"COMMENT ON COLUMN "&amp;エンティティ一覧!$O$2&amp;"."&amp;D$8&amp;"."&amp;D83&amp;" IS '"&amp;C83&amp;"';"</f>
        <v>COMMENT ON COLUMN milscm_2023_010.azn_202310_backup_merge_dpc_hn.ass0041_yueki_pump_kanri IS '輸液ポンプの管理';</v>
      </c>
      <c r="AT83" s="4"/>
      <c r="AU83" s="4"/>
      <c r="AV83" s="4"/>
      <c r="AW83" s="4"/>
      <c r="AX83" s="4"/>
      <c r="AY83" s="4"/>
      <c r="AZ83" s="4"/>
    </row>
    <row r="84" spans="1:52" s="25" customFormat="1" ht="31.5">
      <c r="A84" s="4"/>
      <c r="B84" s="21">
        <f t="shared" si="2"/>
        <v>72</v>
      </c>
      <c r="C84" s="6" t="s">
        <v>460</v>
      </c>
      <c r="D84" s="6" t="s">
        <v>461</v>
      </c>
      <c r="E84" s="8"/>
      <c r="F84" s="7" t="s">
        <v>316</v>
      </c>
      <c r="G84" s="7" t="str">
        <f t="shared" si="3"/>
        <v>text</v>
      </c>
      <c r="H84" s="26"/>
      <c r="I84" s="10"/>
      <c r="J84" s="11" t="s">
        <v>543</v>
      </c>
      <c r="L84" s="4"/>
      <c r="M84" s="4"/>
      <c r="N84" s="76"/>
      <c r="O84" s="76"/>
      <c r="P84" s="76" t="str">
        <f t="shared" si="7"/>
        <v>,ass0041_domyakuatsu_sokute</v>
      </c>
      <c r="Q84" s="76" t="str">
        <f t="shared" si="8"/>
        <v>TEXT</v>
      </c>
      <c r="R84" s="76" t="str">
        <f t="shared" si="9"/>
        <v/>
      </c>
      <c r="S84" s="76" t="str">
        <f t="shared" si="10"/>
        <v/>
      </c>
      <c r="T84" s="76" t="str">
        <f t="shared" si="11"/>
        <v>-- 動脈圧測定</v>
      </c>
      <c r="U84" s="4"/>
      <c r="AA84" s="4"/>
      <c r="AB84" s="4"/>
      <c r="AC84" s="4"/>
      <c r="AD84" s="4"/>
      <c r="AE84" s="4"/>
      <c r="AF84" s="4"/>
      <c r="AG84" s="4"/>
      <c r="AH84" s="4"/>
      <c r="AI84" s="4"/>
      <c r="AJ84" s="76" t="str">
        <f>IF(E84="○",IF(COUNTA(E$13:E84)=1,"",",")&amp;D84,"")</f>
        <v/>
      </c>
      <c r="AK84" s="4"/>
      <c r="AL84" s="4"/>
      <c r="AM84" s="4"/>
      <c r="AN84" s="4"/>
      <c r="AO84" s="4"/>
      <c r="AP84" s="4"/>
      <c r="AQ84" s="4"/>
      <c r="AR84" s="4"/>
      <c r="AS84" s="76" t="str">
        <f>"COMMENT ON COLUMN "&amp;エンティティ一覧!$O$2&amp;"."&amp;D$8&amp;"."&amp;D84&amp;" IS '"&amp;C84&amp;"';"</f>
        <v>COMMENT ON COLUMN milscm_2023_010.azn_202310_backup_merge_dpc_hn.ass0041_domyakuatsu_sokute IS '動脈圧測定';</v>
      </c>
      <c r="AT84" s="4"/>
      <c r="AU84" s="4"/>
      <c r="AV84" s="4"/>
      <c r="AW84" s="4"/>
      <c r="AX84" s="4"/>
      <c r="AY84" s="4"/>
      <c r="AZ84" s="4"/>
    </row>
    <row r="85" spans="1:52" s="25" customFormat="1" ht="31.5">
      <c r="A85" s="4"/>
      <c r="B85" s="21">
        <f t="shared" si="2"/>
        <v>73</v>
      </c>
      <c r="C85" s="13" t="s">
        <v>371</v>
      </c>
      <c r="D85" s="13" t="s">
        <v>462</v>
      </c>
      <c r="E85" s="7"/>
      <c r="F85" s="7" t="s">
        <v>316</v>
      </c>
      <c r="G85" s="7" t="str">
        <f t="shared" si="3"/>
        <v>text</v>
      </c>
      <c r="H85" s="58"/>
      <c r="I85" s="23"/>
      <c r="J85" s="24" t="s">
        <v>543</v>
      </c>
      <c r="L85" s="4"/>
      <c r="M85" s="4"/>
      <c r="N85" s="76"/>
      <c r="O85" s="76"/>
      <c r="P85" s="76" t="str">
        <f t="shared" si="7"/>
        <v>,ass0041_syringe_pump_kanri</v>
      </c>
      <c r="Q85" s="76" t="str">
        <f t="shared" si="8"/>
        <v>TEXT</v>
      </c>
      <c r="R85" s="76" t="str">
        <f t="shared" si="9"/>
        <v/>
      </c>
      <c r="S85" s="76" t="str">
        <f t="shared" si="10"/>
        <v/>
      </c>
      <c r="T85" s="76" t="str">
        <f t="shared" si="11"/>
        <v>-- シリンジポンプの管理</v>
      </c>
      <c r="U85" s="4"/>
      <c r="AA85" s="4"/>
      <c r="AB85" s="4"/>
      <c r="AC85" s="4"/>
      <c r="AD85" s="4"/>
      <c r="AE85" s="4"/>
      <c r="AF85" s="4"/>
      <c r="AG85" s="4"/>
      <c r="AH85" s="4"/>
      <c r="AI85" s="4"/>
      <c r="AJ85" s="76" t="str">
        <f>IF(E85="○",IF(COUNTA(E$13:E85)=1,"",",")&amp;D85,"")</f>
        <v/>
      </c>
      <c r="AK85" s="4"/>
      <c r="AL85" s="4"/>
      <c r="AM85" s="4"/>
      <c r="AN85" s="4"/>
      <c r="AO85" s="4"/>
      <c r="AP85" s="4"/>
      <c r="AQ85" s="4"/>
      <c r="AR85" s="4"/>
      <c r="AS85" s="76" t="str">
        <f>"COMMENT ON COLUMN "&amp;エンティティ一覧!$O$2&amp;"."&amp;D$8&amp;"."&amp;D85&amp;" IS '"&amp;C85&amp;"';"</f>
        <v>COMMENT ON COLUMN milscm_2023_010.azn_202310_backup_merge_dpc_hn.ass0041_syringe_pump_kanri IS 'シリンジポンプの管理';</v>
      </c>
      <c r="AT85" s="4"/>
      <c r="AU85" s="4"/>
      <c r="AV85" s="4"/>
      <c r="AW85" s="4"/>
      <c r="AX85" s="4"/>
      <c r="AY85" s="4"/>
      <c r="AZ85" s="4"/>
    </row>
    <row r="86" spans="1:52" s="25" customFormat="1" ht="31.5">
      <c r="A86" s="4"/>
      <c r="B86" s="21">
        <f t="shared" si="2"/>
        <v>74</v>
      </c>
      <c r="C86" s="6" t="s">
        <v>450</v>
      </c>
      <c r="D86" s="6" t="s">
        <v>463</v>
      </c>
      <c r="E86" s="8"/>
      <c r="F86" s="7" t="s">
        <v>316</v>
      </c>
      <c r="G86" s="7" t="str">
        <f t="shared" si="3"/>
        <v>text</v>
      </c>
      <c r="H86" s="26"/>
      <c r="I86" s="10"/>
      <c r="J86" s="11" t="s">
        <v>543</v>
      </c>
      <c r="L86" s="4"/>
      <c r="M86" s="4"/>
      <c r="N86" s="76"/>
      <c r="O86" s="76"/>
      <c r="P86" s="76" t="str">
        <f t="shared" si="7"/>
        <v>,ass0041_jomyaku_sokutei</v>
      </c>
      <c r="Q86" s="76" t="str">
        <f t="shared" si="8"/>
        <v>TEXT</v>
      </c>
      <c r="R86" s="76" t="str">
        <f t="shared" si="9"/>
        <v/>
      </c>
      <c r="S86" s="76" t="str">
        <f t="shared" si="10"/>
        <v/>
      </c>
      <c r="T86" s="76" t="str">
        <f t="shared" si="11"/>
        <v>-- 中心静脈圧測定（中心静脈ライン）</v>
      </c>
      <c r="U86" s="4"/>
      <c r="AA86" s="4"/>
      <c r="AB86" s="4"/>
      <c r="AC86" s="4"/>
      <c r="AD86" s="4"/>
      <c r="AE86" s="4"/>
      <c r="AF86" s="4"/>
      <c r="AG86" s="4"/>
      <c r="AH86" s="4"/>
      <c r="AI86" s="4"/>
      <c r="AJ86" s="76" t="str">
        <f>IF(E86="○",IF(COUNTA(E$13:E86)=1,"",",")&amp;D86,"")</f>
        <v/>
      </c>
      <c r="AK86" s="4"/>
      <c r="AL86" s="4"/>
      <c r="AM86" s="4"/>
      <c r="AN86" s="4"/>
      <c r="AO86" s="4"/>
      <c r="AP86" s="4"/>
      <c r="AQ86" s="4"/>
      <c r="AR86" s="4"/>
      <c r="AS86" s="76" t="str">
        <f>"COMMENT ON COLUMN "&amp;エンティティ一覧!$O$2&amp;"."&amp;D$8&amp;"."&amp;D86&amp;" IS '"&amp;C86&amp;"';"</f>
        <v>COMMENT ON COLUMN milscm_2023_010.azn_202310_backup_merge_dpc_hn.ass0041_jomyaku_sokutei IS '中心静脈圧測定（中心静脈ライン）';</v>
      </c>
      <c r="AT86" s="4"/>
      <c r="AU86" s="4"/>
      <c r="AV86" s="4"/>
      <c r="AW86" s="4"/>
      <c r="AX86" s="4"/>
      <c r="AY86" s="4"/>
      <c r="AZ86" s="4"/>
    </row>
    <row r="87" spans="1:52" s="25" customFormat="1" ht="31.5">
      <c r="A87" s="4"/>
      <c r="B87" s="21">
        <f t="shared" si="2"/>
        <v>75</v>
      </c>
      <c r="C87" s="6" t="s">
        <v>464</v>
      </c>
      <c r="D87" s="6" t="s">
        <v>465</v>
      </c>
      <c r="E87" s="8"/>
      <c r="F87" s="7" t="s">
        <v>316</v>
      </c>
      <c r="G87" s="7" t="str">
        <f t="shared" si="3"/>
        <v>text</v>
      </c>
      <c r="H87" s="26"/>
      <c r="I87" s="10"/>
      <c r="J87" s="11" t="s">
        <v>543</v>
      </c>
      <c r="L87" s="4"/>
      <c r="M87" s="4"/>
      <c r="N87" s="76"/>
      <c r="O87" s="76"/>
      <c r="P87" s="76" t="str">
        <f t="shared" si="7"/>
        <v>,ass0041_jinko_kokyuki_kanri</v>
      </c>
      <c r="Q87" s="76" t="str">
        <f t="shared" si="8"/>
        <v>TEXT</v>
      </c>
      <c r="R87" s="76" t="str">
        <f t="shared" si="9"/>
        <v/>
      </c>
      <c r="S87" s="76" t="str">
        <f t="shared" si="10"/>
        <v/>
      </c>
      <c r="T87" s="76" t="str">
        <f t="shared" si="11"/>
        <v>-- 人工呼吸器の管理</v>
      </c>
      <c r="U87" s="4"/>
      <c r="AA87" s="4"/>
      <c r="AB87" s="4"/>
      <c r="AC87" s="4"/>
      <c r="AD87" s="4"/>
      <c r="AE87" s="4"/>
      <c r="AF87" s="4"/>
      <c r="AG87" s="4"/>
      <c r="AH87" s="4"/>
      <c r="AI87" s="4"/>
      <c r="AJ87" s="76" t="str">
        <f>IF(E87="○",IF(COUNTA(E$13:E87)=1,"",",")&amp;D87,"")</f>
        <v/>
      </c>
      <c r="AK87" s="4"/>
      <c r="AL87" s="4"/>
      <c r="AM87" s="4"/>
      <c r="AN87" s="4"/>
      <c r="AO87" s="4"/>
      <c r="AP87" s="4"/>
      <c r="AQ87" s="4"/>
      <c r="AR87" s="4"/>
      <c r="AS87" s="76" t="str">
        <f>"COMMENT ON COLUMN "&amp;エンティティ一覧!$O$2&amp;"."&amp;D$8&amp;"."&amp;D87&amp;" IS '"&amp;C87&amp;"';"</f>
        <v>COMMENT ON COLUMN milscm_2023_010.azn_202310_backup_merge_dpc_hn.ass0041_jinko_kokyuki_kanri IS '人工呼吸器の管理';</v>
      </c>
      <c r="AT87" s="4"/>
      <c r="AU87" s="4"/>
      <c r="AV87" s="4"/>
      <c r="AW87" s="4"/>
      <c r="AX87" s="4"/>
      <c r="AY87" s="4"/>
      <c r="AZ87" s="4"/>
    </row>
    <row r="88" spans="1:52" s="25" customFormat="1" ht="31.5">
      <c r="A88" s="4"/>
      <c r="B88" s="21">
        <f t="shared" si="2"/>
        <v>76</v>
      </c>
      <c r="C88" s="13" t="s">
        <v>373</v>
      </c>
      <c r="D88" s="13" t="s">
        <v>466</v>
      </c>
      <c r="E88" s="7"/>
      <c r="F88" s="7" t="s">
        <v>316</v>
      </c>
      <c r="G88" s="7" t="str">
        <f t="shared" si="3"/>
        <v>text</v>
      </c>
      <c r="H88" s="58"/>
      <c r="I88" s="23"/>
      <c r="J88" s="24" t="s">
        <v>543</v>
      </c>
      <c r="L88" s="4"/>
      <c r="M88" s="4"/>
      <c r="N88" s="76"/>
      <c r="O88" s="76"/>
      <c r="P88" s="76" t="str">
        <f t="shared" si="7"/>
        <v>,ass0041_blood_products_kanri</v>
      </c>
      <c r="Q88" s="76" t="str">
        <f t="shared" si="8"/>
        <v>TEXT</v>
      </c>
      <c r="R88" s="76" t="str">
        <f t="shared" si="9"/>
        <v/>
      </c>
      <c r="S88" s="76" t="str">
        <f t="shared" si="10"/>
        <v/>
      </c>
      <c r="T88" s="76" t="str">
        <f t="shared" si="11"/>
        <v>-- 輸血や血液製剤の管理</v>
      </c>
      <c r="U88" s="4"/>
      <c r="AA88" s="4"/>
      <c r="AB88" s="4"/>
      <c r="AC88" s="4"/>
      <c r="AD88" s="4"/>
      <c r="AE88" s="4"/>
      <c r="AF88" s="4"/>
      <c r="AG88" s="4"/>
      <c r="AH88" s="4"/>
      <c r="AI88" s="4"/>
      <c r="AJ88" s="76" t="str">
        <f>IF(E88="○",IF(COUNTA(E$13:E88)=1,"",",")&amp;D88,"")</f>
        <v/>
      </c>
      <c r="AK88" s="4"/>
      <c r="AL88" s="4"/>
      <c r="AM88" s="4"/>
      <c r="AN88" s="4"/>
      <c r="AO88" s="4"/>
      <c r="AP88" s="4"/>
      <c r="AQ88" s="4"/>
      <c r="AR88" s="4"/>
      <c r="AS88" s="76" t="str">
        <f>"COMMENT ON COLUMN "&amp;エンティティ一覧!$O$2&amp;"."&amp;D$8&amp;"."&amp;D88&amp;" IS '"&amp;C88&amp;"';"</f>
        <v>COMMENT ON COLUMN milscm_2023_010.azn_202310_backup_merge_dpc_hn.ass0041_blood_products_kanri IS '輸血や血液製剤の管理';</v>
      </c>
      <c r="AT88" s="4"/>
      <c r="AU88" s="4"/>
      <c r="AV88" s="4"/>
      <c r="AW88" s="4"/>
      <c r="AX88" s="4"/>
      <c r="AY88" s="4"/>
      <c r="AZ88" s="4"/>
    </row>
    <row r="89" spans="1:52" s="25" customFormat="1" ht="31.5">
      <c r="A89" s="4"/>
      <c r="B89" s="21">
        <f t="shared" si="2"/>
        <v>77</v>
      </c>
      <c r="C89" s="6" t="s">
        <v>467</v>
      </c>
      <c r="D89" s="6" t="s">
        <v>468</v>
      </c>
      <c r="E89" s="8"/>
      <c r="F89" s="7" t="s">
        <v>316</v>
      </c>
      <c r="G89" s="7" t="str">
        <f t="shared" si="3"/>
        <v>text</v>
      </c>
      <c r="H89" s="26"/>
      <c r="I89" s="10"/>
      <c r="J89" s="11" t="s">
        <v>543</v>
      </c>
      <c r="L89" s="4"/>
      <c r="M89" s="4"/>
      <c r="N89" s="76"/>
      <c r="O89" s="76"/>
      <c r="P89" s="76" t="str">
        <f t="shared" si="7"/>
        <v>,ass0041_hai_domyaku_sokutei</v>
      </c>
      <c r="Q89" s="76" t="str">
        <f t="shared" si="8"/>
        <v>TEXT</v>
      </c>
      <c r="R89" s="76" t="str">
        <f t="shared" si="9"/>
        <v/>
      </c>
      <c r="S89" s="76" t="str">
        <f t="shared" si="10"/>
        <v/>
      </c>
      <c r="T89" s="76" t="str">
        <f t="shared" si="11"/>
        <v>-- 肺動脈圧測定（スワンガンツカテーテル）</v>
      </c>
      <c r="U89" s="4"/>
      <c r="AA89" s="4"/>
      <c r="AB89" s="4"/>
      <c r="AC89" s="4"/>
      <c r="AD89" s="4"/>
      <c r="AE89" s="4"/>
      <c r="AF89" s="4"/>
      <c r="AG89" s="4"/>
      <c r="AH89" s="4"/>
      <c r="AI89" s="4"/>
      <c r="AJ89" s="76" t="str">
        <f>IF(E89="○",IF(COUNTA(E$13:E89)=1,"",",")&amp;D89,"")</f>
        <v/>
      </c>
      <c r="AK89" s="4"/>
      <c r="AL89" s="4"/>
      <c r="AM89" s="4"/>
      <c r="AN89" s="4"/>
      <c r="AO89" s="4"/>
      <c r="AP89" s="4"/>
      <c r="AQ89" s="4"/>
      <c r="AR89" s="4"/>
      <c r="AS89" s="76" t="str">
        <f>"COMMENT ON COLUMN "&amp;エンティティ一覧!$O$2&amp;"."&amp;D$8&amp;"."&amp;D89&amp;" IS '"&amp;C89&amp;"';"</f>
        <v>COMMENT ON COLUMN milscm_2023_010.azn_202310_backup_merge_dpc_hn.ass0041_hai_domyaku_sokutei IS '肺動脈圧測定（スワンガンツカテーテル）';</v>
      </c>
      <c r="AT89" s="4"/>
      <c r="AU89" s="4"/>
      <c r="AV89" s="4"/>
      <c r="AW89" s="4"/>
      <c r="AX89" s="4"/>
      <c r="AY89" s="4"/>
      <c r="AZ89" s="4"/>
    </row>
    <row r="90" spans="1:52" s="25" customFormat="1">
      <c r="A90" s="4"/>
      <c r="B90" s="21">
        <f t="shared" si="2"/>
        <v>78</v>
      </c>
      <c r="C90" s="13" t="s">
        <v>457</v>
      </c>
      <c r="D90" s="13" t="s">
        <v>469</v>
      </c>
      <c r="E90" s="7"/>
      <c r="F90" s="7" t="s">
        <v>316</v>
      </c>
      <c r="G90" s="7" t="str">
        <f t="shared" si="3"/>
        <v>text</v>
      </c>
      <c r="H90" s="58"/>
      <c r="I90" s="23"/>
      <c r="J90" s="24" t="s">
        <v>543</v>
      </c>
      <c r="L90" s="4"/>
      <c r="M90" s="4"/>
      <c r="N90" s="76"/>
      <c r="O90" s="76"/>
      <c r="P90" s="76" t="str">
        <f t="shared" si="7"/>
        <v>,ass0041_special_chiryo</v>
      </c>
      <c r="Q90" s="76" t="str">
        <f t="shared" si="8"/>
        <v>TEXT</v>
      </c>
      <c r="R90" s="76" t="str">
        <f t="shared" si="9"/>
        <v/>
      </c>
      <c r="S90" s="76" t="str">
        <f t="shared" si="10"/>
        <v/>
      </c>
      <c r="T90" s="76" t="str">
        <f t="shared" si="11"/>
        <v>-- 特殊な治療法等</v>
      </c>
      <c r="U90" s="4"/>
      <c r="AA90" s="4"/>
      <c r="AB90" s="4"/>
      <c r="AC90" s="4"/>
      <c r="AD90" s="4"/>
      <c r="AE90" s="4"/>
      <c r="AF90" s="4"/>
      <c r="AG90" s="4"/>
      <c r="AH90" s="4"/>
      <c r="AI90" s="4"/>
      <c r="AJ90" s="76" t="str">
        <f>IF(E90="○",IF(COUNTA(E$13:E90)=1,"",",")&amp;D90,"")</f>
        <v/>
      </c>
      <c r="AK90" s="4"/>
      <c r="AL90" s="4"/>
      <c r="AM90" s="4"/>
      <c r="AN90" s="4"/>
      <c r="AO90" s="4"/>
      <c r="AP90" s="4"/>
      <c r="AQ90" s="4"/>
      <c r="AR90" s="4"/>
      <c r="AS90" s="76" t="str">
        <f>"COMMENT ON COLUMN "&amp;エンティティ一覧!$O$2&amp;"."&amp;D$8&amp;"."&amp;D90&amp;" IS '"&amp;C90&amp;"';"</f>
        <v>COMMENT ON COLUMN milscm_2023_010.azn_202310_backup_merge_dpc_hn.ass0041_special_chiryo IS '特殊な治療法等';</v>
      </c>
      <c r="AT90" s="4"/>
      <c r="AU90" s="4"/>
      <c r="AV90" s="4"/>
      <c r="AW90" s="4"/>
      <c r="AX90" s="4"/>
      <c r="AY90" s="4"/>
      <c r="AZ90" s="4"/>
    </row>
    <row r="91" spans="1:52" s="25" customFormat="1" ht="37.5">
      <c r="A91" s="4"/>
      <c r="B91" s="21">
        <f t="shared" si="2"/>
        <v>79</v>
      </c>
      <c r="C91" s="6" t="s">
        <v>397</v>
      </c>
      <c r="D91" s="6" t="s">
        <v>470</v>
      </c>
      <c r="E91" s="8"/>
      <c r="F91" s="7" t="s">
        <v>316</v>
      </c>
      <c r="G91" s="7" t="str">
        <f t="shared" si="3"/>
        <v>text</v>
      </c>
      <c r="H91" s="26"/>
      <c r="I91" s="10"/>
      <c r="J91" s="11" t="s">
        <v>546</v>
      </c>
      <c r="L91" s="4"/>
      <c r="M91" s="4"/>
      <c r="N91" s="76"/>
      <c r="O91" s="76"/>
      <c r="P91" s="76" t="str">
        <f t="shared" si="7"/>
        <v>,ass0050_negaeri</v>
      </c>
      <c r="Q91" s="76" t="str">
        <f t="shared" si="8"/>
        <v>TEXT</v>
      </c>
      <c r="R91" s="76" t="str">
        <f t="shared" si="9"/>
        <v/>
      </c>
      <c r="S91" s="76" t="str">
        <f t="shared" si="10"/>
        <v/>
      </c>
      <c r="T91" s="76" t="str">
        <f t="shared" si="11"/>
        <v>-- 寝返り</v>
      </c>
      <c r="U91" s="4"/>
      <c r="AA91" s="4"/>
      <c r="AB91" s="4"/>
      <c r="AC91" s="4"/>
      <c r="AD91" s="4"/>
      <c r="AE91" s="4"/>
      <c r="AF91" s="4"/>
      <c r="AG91" s="4"/>
      <c r="AH91" s="4"/>
      <c r="AI91" s="4"/>
      <c r="AJ91" s="76" t="str">
        <f>IF(E91="○",IF(COUNTA(E$13:E91)=1,"",",")&amp;D91,"")</f>
        <v/>
      </c>
      <c r="AK91" s="4"/>
      <c r="AL91" s="4"/>
      <c r="AM91" s="4"/>
      <c r="AN91" s="4"/>
      <c r="AO91" s="4"/>
      <c r="AP91" s="4"/>
      <c r="AQ91" s="4"/>
      <c r="AR91" s="4"/>
      <c r="AS91" s="76" t="str">
        <f>"COMMENT ON COLUMN "&amp;エンティティ一覧!$O$2&amp;"."&amp;D$8&amp;"."&amp;D91&amp;" IS '"&amp;C91&amp;"';"</f>
        <v>COMMENT ON COLUMN milscm_2023_010.azn_202310_backup_merge_dpc_hn.ass0050_negaeri IS '寝返り';</v>
      </c>
      <c r="AT91" s="4"/>
      <c r="AU91" s="4"/>
      <c r="AV91" s="4"/>
      <c r="AW91" s="4"/>
      <c r="AX91" s="4"/>
      <c r="AY91" s="4"/>
      <c r="AZ91" s="4"/>
    </row>
    <row r="92" spans="1:52" s="25" customFormat="1">
      <c r="A92" s="4"/>
      <c r="B92" s="21">
        <f t="shared" si="2"/>
        <v>80</v>
      </c>
      <c r="C92" s="13" t="s">
        <v>399</v>
      </c>
      <c r="D92" s="13" t="s">
        <v>471</v>
      </c>
      <c r="E92" s="7"/>
      <c r="F92" s="7" t="s">
        <v>316</v>
      </c>
      <c r="G92" s="7" t="str">
        <f t="shared" si="3"/>
        <v>text</v>
      </c>
      <c r="H92" s="58"/>
      <c r="I92" s="23"/>
      <c r="J92" s="24" t="s">
        <v>547</v>
      </c>
      <c r="L92" s="4"/>
      <c r="M92" s="4"/>
      <c r="N92" s="76"/>
      <c r="O92" s="76"/>
      <c r="P92" s="76" t="str">
        <f t="shared" si="7"/>
        <v>,ass0050_ijo</v>
      </c>
      <c r="Q92" s="76" t="str">
        <f t="shared" si="8"/>
        <v>TEXT</v>
      </c>
      <c r="R92" s="76" t="str">
        <f t="shared" si="9"/>
        <v/>
      </c>
      <c r="S92" s="76" t="str">
        <f t="shared" si="10"/>
        <v/>
      </c>
      <c r="T92" s="76" t="str">
        <f t="shared" si="11"/>
        <v>-- 移乗</v>
      </c>
      <c r="U92" s="4"/>
      <c r="AA92" s="4"/>
      <c r="AB92" s="4"/>
      <c r="AC92" s="4"/>
      <c r="AD92" s="4"/>
      <c r="AE92" s="4"/>
      <c r="AF92" s="4"/>
      <c r="AG92" s="4"/>
      <c r="AH92" s="4"/>
      <c r="AI92" s="4"/>
      <c r="AJ92" s="76" t="str">
        <f>IF(E92="○",IF(COUNTA(E$13:E92)=1,"",",")&amp;D92,"")</f>
        <v/>
      </c>
      <c r="AK92" s="4"/>
      <c r="AL92" s="4"/>
      <c r="AM92" s="4"/>
      <c r="AN92" s="4"/>
      <c r="AO92" s="4"/>
      <c r="AP92" s="4"/>
      <c r="AQ92" s="4"/>
      <c r="AR92" s="4"/>
      <c r="AS92" s="76" t="str">
        <f>"COMMENT ON COLUMN "&amp;エンティティ一覧!$O$2&amp;"."&amp;D$8&amp;"."&amp;D92&amp;" IS '"&amp;C92&amp;"';"</f>
        <v>COMMENT ON COLUMN milscm_2023_010.azn_202310_backup_merge_dpc_hn.ass0050_ijo IS '移乗';</v>
      </c>
      <c r="AT92" s="4"/>
      <c r="AU92" s="4"/>
      <c r="AV92" s="4"/>
      <c r="AW92" s="4"/>
      <c r="AX92" s="4"/>
      <c r="AY92" s="4"/>
      <c r="AZ92" s="4"/>
    </row>
    <row r="93" spans="1:52" s="25" customFormat="1">
      <c r="A93" s="4"/>
      <c r="B93" s="21">
        <f t="shared" si="2"/>
        <v>81</v>
      </c>
      <c r="C93" s="6" t="s">
        <v>401</v>
      </c>
      <c r="D93" s="6" t="s">
        <v>472</v>
      </c>
      <c r="E93" s="8"/>
      <c r="F93" s="7" t="s">
        <v>316</v>
      </c>
      <c r="G93" s="7" t="str">
        <f t="shared" si="3"/>
        <v>text</v>
      </c>
      <c r="H93" s="26"/>
      <c r="I93" s="10"/>
      <c r="J93" s="11" t="s">
        <v>548</v>
      </c>
      <c r="L93" s="4"/>
      <c r="M93" s="4"/>
      <c r="N93" s="76"/>
      <c r="O93" s="76"/>
      <c r="P93" s="76" t="str">
        <f t="shared" si="7"/>
        <v>,ass0050_koku_seiketsu</v>
      </c>
      <c r="Q93" s="76" t="str">
        <f t="shared" si="8"/>
        <v>TEXT</v>
      </c>
      <c r="R93" s="76" t="str">
        <f t="shared" si="9"/>
        <v/>
      </c>
      <c r="S93" s="76" t="str">
        <f t="shared" si="10"/>
        <v/>
      </c>
      <c r="T93" s="76" t="str">
        <f t="shared" si="11"/>
        <v>-- 口腔清潔</v>
      </c>
      <c r="U93" s="4"/>
      <c r="AA93" s="4"/>
      <c r="AB93" s="4"/>
      <c r="AC93" s="4"/>
      <c r="AD93" s="4"/>
      <c r="AE93" s="4"/>
      <c r="AF93" s="4"/>
      <c r="AG93" s="4"/>
      <c r="AH93" s="4"/>
      <c r="AI93" s="4"/>
      <c r="AJ93" s="76" t="str">
        <f>IF(E93="○",IF(COUNTA(E$13:E93)=1,"",",")&amp;D93,"")</f>
        <v/>
      </c>
      <c r="AK93" s="4"/>
      <c r="AL93" s="4"/>
      <c r="AM93" s="4"/>
      <c r="AN93" s="4"/>
      <c r="AO93" s="4"/>
      <c r="AP93" s="4"/>
      <c r="AQ93" s="4"/>
      <c r="AR93" s="4"/>
      <c r="AS93" s="76" t="str">
        <f>"COMMENT ON COLUMN "&amp;エンティティ一覧!$O$2&amp;"."&amp;D$8&amp;"."&amp;D93&amp;" IS '"&amp;C93&amp;"';"</f>
        <v>COMMENT ON COLUMN milscm_2023_010.azn_202310_backup_merge_dpc_hn.ass0050_koku_seiketsu IS '口腔清潔';</v>
      </c>
      <c r="AT93" s="4"/>
      <c r="AU93" s="4"/>
      <c r="AV93" s="4"/>
      <c r="AW93" s="4"/>
      <c r="AX93" s="4"/>
      <c r="AY93" s="4"/>
      <c r="AZ93" s="4"/>
    </row>
    <row r="94" spans="1:52" s="25" customFormat="1">
      <c r="A94" s="4"/>
      <c r="B94" s="21">
        <f t="shared" si="2"/>
        <v>82</v>
      </c>
      <c r="C94" s="13" t="s">
        <v>403</v>
      </c>
      <c r="D94" s="13" t="s">
        <v>473</v>
      </c>
      <c r="E94" s="7"/>
      <c r="F94" s="7" t="s">
        <v>316</v>
      </c>
      <c r="G94" s="7" t="str">
        <f t="shared" si="3"/>
        <v>text</v>
      </c>
      <c r="H94" s="58"/>
      <c r="I94" s="23"/>
      <c r="J94" s="24" t="s">
        <v>547</v>
      </c>
      <c r="L94" s="4"/>
      <c r="M94" s="4"/>
      <c r="N94" s="76"/>
      <c r="O94" s="76"/>
      <c r="P94" s="76" t="str">
        <f t="shared" si="7"/>
        <v>,ass0050_shokuji_sesshu</v>
      </c>
      <c r="Q94" s="76" t="str">
        <f t="shared" si="8"/>
        <v>TEXT</v>
      </c>
      <c r="R94" s="76" t="str">
        <f t="shared" si="9"/>
        <v/>
      </c>
      <c r="S94" s="76" t="str">
        <f t="shared" si="10"/>
        <v/>
      </c>
      <c r="T94" s="76" t="str">
        <f t="shared" si="11"/>
        <v>-- 食事摂取</v>
      </c>
      <c r="U94" s="4"/>
      <c r="AA94" s="4"/>
      <c r="AB94" s="4"/>
      <c r="AC94" s="4"/>
      <c r="AD94" s="4"/>
      <c r="AE94" s="4"/>
      <c r="AF94" s="4"/>
      <c r="AG94" s="4"/>
      <c r="AH94" s="4"/>
      <c r="AI94" s="4"/>
      <c r="AJ94" s="76" t="str">
        <f>IF(E94="○",IF(COUNTA(E$13:E94)=1,"",",")&amp;D94,"")</f>
        <v/>
      </c>
      <c r="AK94" s="4"/>
      <c r="AL94" s="4"/>
      <c r="AM94" s="4"/>
      <c r="AN94" s="4"/>
      <c r="AO94" s="4"/>
      <c r="AP94" s="4"/>
      <c r="AQ94" s="4"/>
      <c r="AR94" s="4"/>
      <c r="AS94" s="76" t="str">
        <f>"COMMENT ON COLUMN "&amp;エンティティ一覧!$O$2&amp;"."&amp;D$8&amp;"."&amp;D94&amp;" IS '"&amp;C94&amp;"';"</f>
        <v>COMMENT ON COLUMN milscm_2023_010.azn_202310_backup_merge_dpc_hn.ass0050_shokuji_sesshu IS '食事摂取';</v>
      </c>
      <c r="AT94" s="4"/>
      <c r="AU94" s="4"/>
      <c r="AV94" s="4"/>
      <c r="AW94" s="4"/>
      <c r="AX94" s="4"/>
      <c r="AY94" s="4"/>
      <c r="AZ94" s="4"/>
    </row>
    <row r="95" spans="1:52" s="25" customFormat="1">
      <c r="A95" s="4"/>
      <c r="B95" s="21">
        <f t="shared" si="2"/>
        <v>83</v>
      </c>
      <c r="C95" s="6" t="s">
        <v>405</v>
      </c>
      <c r="D95" s="6" t="s">
        <v>474</v>
      </c>
      <c r="E95" s="8"/>
      <c r="F95" s="7" t="s">
        <v>316</v>
      </c>
      <c r="G95" s="7" t="str">
        <f t="shared" si="3"/>
        <v>text</v>
      </c>
      <c r="H95" s="26"/>
      <c r="I95" s="10"/>
      <c r="J95" s="11" t="s">
        <v>547</v>
      </c>
      <c r="L95" s="4"/>
      <c r="M95" s="4"/>
      <c r="N95" s="76"/>
      <c r="O95" s="76"/>
      <c r="P95" s="76" t="str">
        <f t="shared" si="7"/>
        <v>,ass0050_ifuku_chakudatsu</v>
      </c>
      <c r="Q95" s="76" t="str">
        <f t="shared" si="8"/>
        <v>TEXT</v>
      </c>
      <c r="R95" s="76" t="str">
        <f t="shared" si="9"/>
        <v/>
      </c>
      <c r="S95" s="76" t="str">
        <f t="shared" si="10"/>
        <v/>
      </c>
      <c r="T95" s="76" t="str">
        <f t="shared" si="11"/>
        <v>-- 衣服の着脱</v>
      </c>
      <c r="U95" s="4"/>
      <c r="AA95" s="4"/>
      <c r="AB95" s="4"/>
      <c r="AC95" s="4"/>
      <c r="AD95" s="4"/>
      <c r="AE95" s="4"/>
      <c r="AF95" s="4"/>
      <c r="AG95" s="4"/>
      <c r="AH95" s="4"/>
      <c r="AI95" s="4"/>
      <c r="AJ95" s="76" t="str">
        <f>IF(E95="○",IF(COUNTA(E$13:E95)=1,"",",")&amp;D95,"")</f>
        <v/>
      </c>
      <c r="AK95" s="4"/>
      <c r="AL95" s="4"/>
      <c r="AM95" s="4"/>
      <c r="AN95" s="4"/>
      <c r="AO95" s="4"/>
      <c r="AP95" s="4"/>
      <c r="AQ95" s="4"/>
      <c r="AR95" s="4"/>
      <c r="AS95" s="76" t="str">
        <f>"COMMENT ON COLUMN "&amp;エンティティ一覧!$O$2&amp;"."&amp;D$8&amp;"."&amp;D95&amp;" IS '"&amp;C95&amp;"';"</f>
        <v>COMMENT ON COLUMN milscm_2023_010.azn_202310_backup_merge_dpc_hn.ass0050_ifuku_chakudatsu IS '衣服の着脱';</v>
      </c>
      <c r="AT95" s="4"/>
      <c r="AU95" s="4"/>
      <c r="AV95" s="4"/>
      <c r="AW95" s="4"/>
      <c r="AX95" s="4"/>
      <c r="AY95" s="4"/>
      <c r="AZ95" s="4"/>
    </row>
    <row r="96" spans="1:52" s="25" customFormat="1">
      <c r="A96" s="4"/>
      <c r="B96" s="21">
        <f t="shared" si="2"/>
        <v>84</v>
      </c>
      <c r="C96" s="13" t="s">
        <v>407</v>
      </c>
      <c r="D96" s="13" t="s">
        <v>475</v>
      </c>
      <c r="E96" s="7"/>
      <c r="F96" s="7" t="s">
        <v>316</v>
      </c>
      <c r="G96" s="7" t="str">
        <f t="shared" si="3"/>
        <v>text</v>
      </c>
      <c r="H96" s="58"/>
      <c r="I96" s="23"/>
      <c r="J96" s="24" t="s">
        <v>549</v>
      </c>
      <c r="L96" s="4"/>
      <c r="M96" s="4"/>
      <c r="N96" s="76"/>
      <c r="O96" s="76"/>
      <c r="P96" s="76" t="str">
        <f t="shared" si="7"/>
        <v>,ass0050_shinryo_shiji</v>
      </c>
      <c r="Q96" s="76" t="str">
        <f t="shared" si="8"/>
        <v>TEXT</v>
      </c>
      <c r="R96" s="76" t="str">
        <f t="shared" si="9"/>
        <v/>
      </c>
      <c r="S96" s="76" t="str">
        <f t="shared" si="10"/>
        <v/>
      </c>
      <c r="T96" s="76" t="str">
        <f t="shared" si="11"/>
        <v>-- 診療・療養上の指示が通じる</v>
      </c>
      <c r="U96" s="4"/>
      <c r="AA96" s="4"/>
      <c r="AB96" s="4"/>
      <c r="AC96" s="4"/>
      <c r="AD96" s="4"/>
      <c r="AE96" s="4"/>
      <c r="AF96" s="4"/>
      <c r="AG96" s="4"/>
      <c r="AH96" s="4"/>
      <c r="AI96" s="4"/>
      <c r="AJ96" s="76" t="str">
        <f>IF(E96="○",IF(COUNTA(E$13:E96)=1,"",",")&amp;D96,"")</f>
        <v/>
      </c>
      <c r="AK96" s="4"/>
      <c r="AL96" s="4"/>
      <c r="AM96" s="4"/>
      <c r="AN96" s="4"/>
      <c r="AO96" s="4"/>
      <c r="AP96" s="4"/>
      <c r="AQ96" s="4"/>
      <c r="AR96" s="4"/>
      <c r="AS96" s="76" t="str">
        <f>"COMMENT ON COLUMN "&amp;エンティティ一覧!$O$2&amp;"."&amp;D$8&amp;"."&amp;D96&amp;" IS '"&amp;C96&amp;"';"</f>
        <v>COMMENT ON COLUMN milscm_2023_010.azn_202310_backup_merge_dpc_hn.ass0050_shinryo_shiji IS '診療・療養上の指示が通じる';</v>
      </c>
      <c r="AT96" s="4"/>
      <c r="AU96" s="4"/>
      <c r="AV96" s="4"/>
      <c r="AW96" s="4"/>
      <c r="AX96" s="4"/>
      <c r="AY96" s="4"/>
      <c r="AZ96" s="4"/>
    </row>
    <row r="97" spans="1:52" s="25" customFormat="1">
      <c r="A97" s="4"/>
      <c r="B97" s="21">
        <f t="shared" si="2"/>
        <v>85</v>
      </c>
      <c r="C97" s="13" t="s">
        <v>409</v>
      </c>
      <c r="D97" s="13" t="s">
        <v>476</v>
      </c>
      <c r="E97" s="7"/>
      <c r="F97" s="7" t="s">
        <v>316</v>
      </c>
      <c r="G97" s="7" t="str">
        <f t="shared" si="3"/>
        <v>text</v>
      </c>
      <c r="H97" s="58"/>
      <c r="I97" s="23"/>
      <c r="J97" s="24" t="s">
        <v>550</v>
      </c>
      <c r="L97" s="4"/>
      <c r="M97" s="4"/>
      <c r="N97" s="76"/>
      <c r="O97" s="76"/>
      <c r="P97" s="76" t="str">
        <f t="shared" si="7"/>
        <v>,ass0050_kiken_kodo</v>
      </c>
      <c r="Q97" s="76" t="str">
        <f t="shared" si="8"/>
        <v>TEXT</v>
      </c>
      <c r="R97" s="76" t="str">
        <f t="shared" si="9"/>
        <v/>
      </c>
      <c r="S97" s="76" t="str">
        <f t="shared" si="10"/>
        <v/>
      </c>
      <c r="T97" s="76" t="str">
        <f t="shared" si="11"/>
        <v>-- 危険行動</v>
      </c>
      <c r="U97" s="4"/>
      <c r="AA97" s="4"/>
      <c r="AB97" s="4"/>
      <c r="AC97" s="4"/>
      <c r="AD97" s="4"/>
      <c r="AE97" s="4"/>
      <c r="AF97" s="4"/>
      <c r="AG97" s="4"/>
      <c r="AH97" s="4"/>
      <c r="AI97" s="4"/>
      <c r="AJ97" s="76" t="str">
        <f>IF(E97="○",IF(COUNTA(E$13:E97)=1,"",",")&amp;D97,"")</f>
        <v/>
      </c>
      <c r="AK97" s="4"/>
      <c r="AL97" s="4"/>
      <c r="AM97" s="4"/>
      <c r="AN97" s="4"/>
      <c r="AO97" s="4"/>
      <c r="AP97" s="4"/>
      <c r="AQ97" s="4"/>
      <c r="AR97" s="4"/>
      <c r="AS97" s="76" t="str">
        <f>"COMMENT ON COLUMN "&amp;エンティティ一覧!$O$2&amp;"."&amp;D$8&amp;"."&amp;D97&amp;" IS '"&amp;C97&amp;"';"</f>
        <v>COMMENT ON COLUMN milscm_2023_010.azn_202310_backup_merge_dpc_hn.ass0050_kiken_kodo IS '危険行動';</v>
      </c>
      <c r="AT97" s="4"/>
      <c r="AU97" s="4"/>
      <c r="AV97" s="4"/>
      <c r="AW97" s="4"/>
      <c r="AX97" s="4"/>
      <c r="AY97" s="4"/>
      <c r="AZ97" s="4"/>
    </row>
    <row r="98" spans="1:52" s="25" customFormat="1" ht="37.5">
      <c r="A98" s="4"/>
      <c r="B98" s="21">
        <f t="shared" si="2"/>
        <v>86</v>
      </c>
      <c r="C98" s="13" t="s">
        <v>397</v>
      </c>
      <c r="D98" s="13" t="s">
        <v>477</v>
      </c>
      <c r="E98" s="7"/>
      <c r="F98" s="7" t="s">
        <v>316</v>
      </c>
      <c r="G98" s="7" t="str">
        <f t="shared" si="3"/>
        <v>text</v>
      </c>
      <c r="H98" s="58"/>
      <c r="I98" s="23"/>
      <c r="J98" s="24" t="s">
        <v>546</v>
      </c>
      <c r="L98" s="4"/>
      <c r="M98" s="4"/>
      <c r="N98" s="76"/>
      <c r="O98" s="76"/>
      <c r="P98" s="76" t="str">
        <f t="shared" si="7"/>
        <v>,ass0051_negaeri</v>
      </c>
      <c r="Q98" s="76" t="str">
        <f t="shared" si="8"/>
        <v>TEXT</v>
      </c>
      <c r="R98" s="76" t="str">
        <f t="shared" si="9"/>
        <v/>
      </c>
      <c r="S98" s="76" t="str">
        <f t="shared" si="10"/>
        <v/>
      </c>
      <c r="T98" s="76" t="str">
        <f t="shared" si="11"/>
        <v>-- 寝返り</v>
      </c>
      <c r="U98" s="4"/>
      <c r="AA98" s="4"/>
      <c r="AB98" s="4"/>
      <c r="AC98" s="4"/>
      <c r="AD98" s="4"/>
      <c r="AE98" s="4"/>
      <c r="AF98" s="4"/>
      <c r="AG98" s="4"/>
      <c r="AH98" s="4"/>
      <c r="AI98" s="4"/>
      <c r="AJ98" s="76" t="str">
        <f>IF(E98="○",IF(COUNTA(E$13:E98)=1,"",",")&amp;D98,"")</f>
        <v/>
      </c>
      <c r="AK98" s="4"/>
      <c r="AL98" s="4"/>
      <c r="AM98" s="4"/>
      <c r="AN98" s="4"/>
      <c r="AO98" s="4"/>
      <c r="AP98" s="4"/>
      <c r="AQ98" s="4"/>
      <c r="AR98" s="4"/>
      <c r="AS98" s="76" t="str">
        <f>"COMMENT ON COLUMN "&amp;エンティティ一覧!$O$2&amp;"."&amp;D$8&amp;"."&amp;D98&amp;" IS '"&amp;C98&amp;"';"</f>
        <v>COMMENT ON COLUMN milscm_2023_010.azn_202310_backup_merge_dpc_hn.ass0051_negaeri IS '寝返り';</v>
      </c>
      <c r="AT98" s="4"/>
      <c r="AU98" s="4"/>
      <c r="AV98" s="4"/>
      <c r="AW98" s="4"/>
      <c r="AX98" s="4"/>
      <c r="AY98" s="4"/>
      <c r="AZ98" s="4"/>
    </row>
    <row r="99" spans="1:52" s="25" customFormat="1">
      <c r="A99" s="4"/>
      <c r="B99" s="21">
        <f t="shared" si="2"/>
        <v>87</v>
      </c>
      <c r="C99" s="6" t="s">
        <v>412</v>
      </c>
      <c r="D99" s="6" t="s">
        <v>478</v>
      </c>
      <c r="E99" s="8"/>
      <c r="F99" s="7" t="s">
        <v>316</v>
      </c>
      <c r="G99" s="7" t="str">
        <f t="shared" si="3"/>
        <v>text</v>
      </c>
      <c r="H99" s="26"/>
      <c r="I99" s="10"/>
      <c r="J99" s="11" t="s">
        <v>551</v>
      </c>
      <c r="L99" s="4"/>
      <c r="M99" s="4"/>
      <c r="N99" s="76"/>
      <c r="O99" s="76"/>
      <c r="P99" s="76" t="str">
        <f t="shared" si="7"/>
        <v>,ass0051_ijo_kanja</v>
      </c>
      <c r="Q99" s="76" t="str">
        <f t="shared" si="8"/>
        <v>TEXT</v>
      </c>
      <c r="R99" s="76" t="str">
        <f t="shared" si="9"/>
        <v/>
      </c>
      <c r="S99" s="76" t="str">
        <f t="shared" si="10"/>
        <v/>
      </c>
      <c r="T99" s="76" t="str">
        <f t="shared" si="11"/>
        <v>-- 移乗（患者の状態）</v>
      </c>
      <c r="U99" s="4"/>
      <c r="AA99" s="4"/>
      <c r="AB99" s="4"/>
      <c r="AC99" s="4"/>
      <c r="AD99" s="4"/>
      <c r="AE99" s="4"/>
      <c r="AF99" s="4"/>
      <c r="AG99" s="4"/>
      <c r="AH99" s="4"/>
      <c r="AI99" s="4"/>
      <c r="AJ99" s="76" t="str">
        <f>IF(E99="○",IF(COUNTA(E$13:E99)=1,"",",")&amp;D99,"")</f>
        <v/>
      </c>
      <c r="AK99" s="4"/>
      <c r="AL99" s="4"/>
      <c r="AM99" s="4"/>
      <c r="AN99" s="4"/>
      <c r="AO99" s="4"/>
      <c r="AP99" s="4"/>
      <c r="AQ99" s="4"/>
      <c r="AR99" s="4"/>
      <c r="AS99" s="76" t="str">
        <f>"COMMENT ON COLUMN "&amp;エンティティ一覧!$O$2&amp;"."&amp;D$8&amp;"."&amp;D99&amp;" IS '"&amp;C99&amp;"';"</f>
        <v>COMMENT ON COLUMN milscm_2023_010.azn_202310_backup_merge_dpc_hn.ass0051_ijo_kanja IS '移乗（患者の状態）';</v>
      </c>
      <c r="AT99" s="4"/>
      <c r="AU99" s="4"/>
      <c r="AV99" s="4"/>
      <c r="AW99" s="4"/>
      <c r="AX99" s="4"/>
      <c r="AY99" s="4"/>
      <c r="AZ99" s="4"/>
    </row>
    <row r="100" spans="1:52" s="25" customFormat="1" ht="31.5">
      <c r="A100" s="4"/>
      <c r="B100" s="21">
        <f t="shared" si="2"/>
        <v>88</v>
      </c>
      <c r="C100" s="13" t="s">
        <v>414</v>
      </c>
      <c r="D100" s="13" t="s">
        <v>479</v>
      </c>
      <c r="E100" s="7"/>
      <c r="F100" s="7" t="s">
        <v>316</v>
      </c>
      <c r="G100" s="7" t="str">
        <f t="shared" si="3"/>
        <v>text</v>
      </c>
      <c r="H100" s="58"/>
      <c r="I100" s="23"/>
      <c r="J100" s="24" t="s">
        <v>552</v>
      </c>
      <c r="L100" s="4"/>
      <c r="M100" s="4"/>
      <c r="N100" s="76"/>
      <c r="O100" s="76"/>
      <c r="P100" s="76" t="str">
        <f t="shared" si="7"/>
        <v>,ass0051_koku_seiketsu_kanja</v>
      </c>
      <c r="Q100" s="76" t="str">
        <f t="shared" si="8"/>
        <v>TEXT</v>
      </c>
      <c r="R100" s="76" t="str">
        <f t="shared" si="9"/>
        <v/>
      </c>
      <c r="S100" s="76" t="str">
        <f t="shared" si="10"/>
        <v/>
      </c>
      <c r="T100" s="76" t="str">
        <f t="shared" si="11"/>
        <v>-- 口腔清潔（患者の状態）</v>
      </c>
      <c r="U100" s="4"/>
      <c r="AA100" s="4"/>
      <c r="AB100" s="4"/>
      <c r="AC100" s="4"/>
      <c r="AD100" s="4"/>
      <c r="AE100" s="4"/>
      <c r="AF100" s="4"/>
      <c r="AG100" s="4"/>
      <c r="AH100" s="4"/>
      <c r="AI100" s="4"/>
      <c r="AJ100" s="76" t="str">
        <f>IF(E100="○",IF(COUNTA(E$13:E100)=1,"",",")&amp;D100,"")</f>
        <v/>
      </c>
      <c r="AK100" s="4"/>
      <c r="AL100" s="4"/>
      <c r="AM100" s="4"/>
      <c r="AN100" s="4"/>
      <c r="AO100" s="4"/>
      <c r="AP100" s="4"/>
      <c r="AQ100" s="4"/>
      <c r="AR100" s="4"/>
      <c r="AS100" s="76" t="str">
        <f>"COMMENT ON COLUMN "&amp;エンティティ一覧!$O$2&amp;"."&amp;D$8&amp;"."&amp;D100&amp;" IS '"&amp;C100&amp;"';"</f>
        <v>COMMENT ON COLUMN milscm_2023_010.azn_202310_backup_merge_dpc_hn.ass0051_koku_seiketsu_kanja IS '口腔清潔（患者の状態）';</v>
      </c>
      <c r="AT100" s="4"/>
      <c r="AU100" s="4"/>
      <c r="AV100" s="4"/>
      <c r="AW100" s="4"/>
      <c r="AX100" s="4"/>
      <c r="AY100" s="4"/>
      <c r="AZ100" s="4"/>
    </row>
    <row r="101" spans="1:52" s="25" customFormat="1" ht="31.5">
      <c r="A101" s="4"/>
      <c r="B101" s="21">
        <f t="shared" si="2"/>
        <v>89</v>
      </c>
      <c r="C101" s="6" t="s">
        <v>416</v>
      </c>
      <c r="D101" s="6" t="s">
        <v>480</v>
      </c>
      <c r="E101" s="8"/>
      <c r="F101" s="7" t="s">
        <v>316</v>
      </c>
      <c r="G101" s="7" t="str">
        <f t="shared" si="3"/>
        <v>text</v>
      </c>
      <c r="H101" s="26"/>
      <c r="I101" s="10"/>
      <c r="J101" s="11" t="s">
        <v>551</v>
      </c>
      <c r="L101" s="4"/>
      <c r="M101" s="4"/>
      <c r="N101" s="76"/>
      <c r="O101" s="76"/>
      <c r="P101" s="76" t="str">
        <f t="shared" si="7"/>
        <v>,ass0051_shokuji_sesshu_kanja</v>
      </c>
      <c r="Q101" s="76" t="str">
        <f t="shared" si="8"/>
        <v>TEXT</v>
      </c>
      <c r="R101" s="76" t="str">
        <f t="shared" si="9"/>
        <v/>
      </c>
      <c r="S101" s="76" t="str">
        <f t="shared" si="10"/>
        <v/>
      </c>
      <c r="T101" s="76" t="str">
        <f t="shared" si="11"/>
        <v>-- 食事摂取（患者の状態）</v>
      </c>
      <c r="U101" s="4"/>
      <c r="AA101" s="4"/>
      <c r="AB101" s="4"/>
      <c r="AC101" s="4"/>
      <c r="AD101" s="4"/>
      <c r="AE101" s="4"/>
      <c r="AF101" s="4"/>
      <c r="AG101" s="4"/>
      <c r="AH101" s="4"/>
      <c r="AI101" s="4"/>
      <c r="AJ101" s="76" t="str">
        <f>IF(E101="○",IF(COUNTA(E$13:E101)=1,"",",")&amp;D101,"")</f>
        <v/>
      </c>
      <c r="AK101" s="4"/>
      <c r="AL101" s="4"/>
      <c r="AM101" s="4"/>
      <c r="AN101" s="4"/>
      <c r="AO101" s="4"/>
      <c r="AP101" s="4"/>
      <c r="AQ101" s="4"/>
      <c r="AR101" s="4"/>
      <c r="AS101" s="76" t="str">
        <f>"COMMENT ON COLUMN "&amp;エンティティ一覧!$O$2&amp;"."&amp;D$8&amp;"."&amp;D101&amp;" IS '"&amp;C101&amp;"';"</f>
        <v>COMMENT ON COLUMN milscm_2023_010.azn_202310_backup_merge_dpc_hn.ass0051_shokuji_sesshu_kanja IS '食事摂取（患者の状態）';</v>
      </c>
      <c r="AT101" s="4"/>
      <c r="AU101" s="4"/>
      <c r="AV101" s="4"/>
      <c r="AW101" s="4"/>
      <c r="AX101" s="4"/>
      <c r="AY101" s="4"/>
      <c r="AZ101" s="4"/>
    </row>
    <row r="102" spans="1:52" s="25" customFormat="1" ht="31.5">
      <c r="A102" s="4"/>
      <c r="B102" s="21">
        <f t="shared" si="2"/>
        <v>90</v>
      </c>
      <c r="C102" s="13" t="s">
        <v>418</v>
      </c>
      <c r="D102" s="13" t="s">
        <v>481</v>
      </c>
      <c r="E102" s="7"/>
      <c r="F102" s="7" t="s">
        <v>316</v>
      </c>
      <c r="G102" s="7" t="str">
        <f t="shared" si="3"/>
        <v>text</v>
      </c>
      <c r="H102" s="58"/>
      <c r="I102" s="23"/>
      <c r="J102" s="24" t="s">
        <v>551</v>
      </c>
      <c r="L102" s="4"/>
      <c r="M102" s="4"/>
      <c r="N102" s="76"/>
      <c r="O102" s="76"/>
      <c r="P102" s="76" t="str">
        <f t="shared" si="7"/>
        <v>,ass0051_ifuku_chakudatsu_kanja</v>
      </c>
      <c r="Q102" s="76" t="str">
        <f t="shared" si="8"/>
        <v>TEXT</v>
      </c>
      <c r="R102" s="76" t="str">
        <f t="shared" si="9"/>
        <v/>
      </c>
      <c r="S102" s="76" t="str">
        <f t="shared" si="10"/>
        <v/>
      </c>
      <c r="T102" s="76" t="str">
        <f t="shared" si="11"/>
        <v>-- 衣服の着脱（患者の状態）</v>
      </c>
      <c r="U102" s="4"/>
      <c r="AA102" s="4"/>
      <c r="AB102" s="4"/>
      <c r="AC102" s="4"/>
      <c r="AD102" s="4"/>
      <c r="AE102" s="4"/>
      <c r="AF102" s="4"/>
      <c r="AG102" s="4"/>
      <c r="AH102" s="4"/>
      <c r="AI102" s="4"/>
      <c r="AJ102" s="76" t="str">
        <f>IF(E102="○",IF(COUNTA(E$13:E102)=1,"",",")&amp;D102,"")</f>
        <v/>
      </c>
      <c r="AK102" s="4"/>
      <c r="AL102" s="4"/>
      <c r="AM102" s="4"/>
      <c r="AN102" s="4"/>
      <c r="AO102" s="4"/>
      <c r="AP102" s="4"/>
      <c r="AQ102" s="4"/>
      <c r="AR102" s="4"/>
      <c r="AS102" s="76" t="str">
        <f>"COMMENT ON COLUMN "&amp;エンティティ一覧!$O$2&amp;"."&amp;D$8&amp;"."&amp;D102&amp;" IS '"&amp;C102&amp;"';"</f>
        <v>COMMENT ON COLUMN milscm_2023_010.azn_202310_backup_merge_dpc_hn.ass0051_ifuku_chakudatsu_kanja IS '衣服の着脱（患者の状態）';</v>
      </c>
      <c r="AT102" s="4"/>
      <c r="AU102" s="4"/>
      <c r="AV102" s="4"/>
      <c r="AW102" s="4"/>
      <c r="AX102" s="4"/>
      <c r="AY102" s="4"/>
      <c r="AZ102" s="4"/>
    </row>
    <row r="103" spans="1:52" s="25" customFormat="1">
      <c r="A103" s="4"/>
      <c r="B103" s="21">
        <f t="shared" si="2"/>
        <v>91</v>
      </c>
      <c r="C103" s="6" t="s">
        <v>407</v>
      </c>
      <c r="D103" s="6" t="s">
        <v>482</v>
      </c>
      <c r="E103" s="8"/>
      <c r="F103" s="7" t="s">
        <v>316</v>
      </c>
      <c r="G103" s="7" t="str">
        <f t="shared" si="3"/>
        <v>text</v>
      </c>
      <c r="H103" s="26"/>
      <c r="I103" s="10"/>
      <c r="J103" s="11" t="s">
        <v>549</v>
      </c>
      <c r="L103" s="4"/>
      <c r="M103" s="4"/>
      <c r="N103" s="76"/>
      <c r="O103" s="76"/>
      <c r="P103" s="76" t="str">
        <f t="shared" si="7"/>
        <v>,ass0051_shinryo_shiji</v>
      </c>
      <c r="Q103" s="76" t="str">
        <f t="shared" si="8"/>
        <v>TEXT</v>
      </c>
      <c r="R103" s="76" t="str">
        <f t="shared" si="9"/>
        <v/>
      </c>
      <c r="S103" s="76" t="str">
        <f t="shared" si="10"/>
        <v/>
      </c>
      <c r="T103" s="76" t="str">
        <f t="shared" si="11"/>
        <v>-- 診療・療養上の指示が通じる</v>
      </c>
      <c r="U103" s="4"/>
      <c r="AA103" s="4"/>
      <c r="AB103" s="4"/>
      <c r="AC103" s="4"/>
      <c r="AD103" s="4"/>
      <c r="AE103" s="4"/>
      <c r="AF103" s="4"/>
      <c r="AG103" s="4"/>
      <c r="AH103" s="4"/>
      <c r="AI103" s="4"/>
      <c r="AJ103" s="76" t="str">
        <f>IF(E103="○",IF(COUNTA(E$13:E103)=1,"",",")&amp;D103,"")</f>
        <v/>
      </c>
      <c r="AK103" s="4"/>
      <c r="AL103" s="4"/>
      <c r="AM103" s="4"/>
      <c r="AN103" s="4"/>
      <c r="AO103" s="4"/>
      <c r="AP103" s="4"/>
      <c r="AQ103" s="4"/>
      <c r="AR103" s="4"/>
      <c r="AS103" s="76" t="str">
        <f>"COMMENT ON COLUMN "&amp;エンティティ一覧!$O$2&amp;"."&amp;D$8&amp;"."&amp;D103&amp;" IS '"&amp;C103&amp;"';"</f>
        <v>COMMENT ON COLUMN milscm_2023_010.azn_202310_backup_merge_dpc_hn.ass0051_shinryo_shiji IS '診療・療養上の指示が通じる';</v>
      </c>
      <c r="AT103" s="4"/>
      <c r="AU103" s="4"/>
      <c r="AV103" s="4"/>
      <c r="AW103" s="4"/>
      <c r="AX103" s="4"/>
      <c r="AY103" s="4"/>
      <c r="AZ103" s="4"/>
    </row>
    <row r="104" spans="1:52" s="25" customFormat="1">
      <c r="A104" s="4"/>
      <c r="B104" s="21">
        <f t="shared" si="2"/>
        <v>92</v>
      </c>
      <c r="C104" s="6" t="s">
        <v>409</v>
      </c>
      <c r="D104" s="6" t="s">
        <v>483</v>
      </c>
      <c r="E104" s="8"/>
      <c r="F104" s="7" t="s">
        <v>316</v>
      </c>
      <c r="G104" s="7" t="str">
        <f t="shared" si="3"/>
        <v>text</v>
      </c>
      <c r="H104" s="26"/>
      <c r="I104" s="10"/>
      <c r="J104" s="11" t="s">
        <v>550</v>
      </c>
      <c r="L104" s="4"/>
      <c r="M104" s="4"/>
      <c r="N104" s="76"/>
      <c r="O104" s="76"/>
      <c r="P104" s="76" t="str">
        <f t="shared" si="7"/>
        <v>,ass0051_kiken_kodo</v>
      </c>
      <c r="Q104" s="76" t="str">
        <f t="shared" si="8"/>
        <v>TEXT</v>
      </c>
      <c r="R104" s="76" t="str">
        <f t="shared" si="9"/>
        <v/>
      </c>
      <c r="S104" s="76" t="str">
        <f t="shared" si="10"/>
        <v/>
      </c>
      <c r="T104" s="76" t="str">
        <f t="shared" si="11"/>
        <v>-- 危険行動</v>
      </c>
      <c r="U104" s="4"/>
      <c r="AA104" s="4"/>
      <c r="AB104" s="4"/>
      <c r="AC104" s="4"/>
      <c r="AD104" s="4"/>
      <c r="AE104" s="4"/>
      <c r="AF104" s="4"/>
      <c r="AG104" s="4"/>
      <c r="AH104" s="4"/>
      <c r="AI104" s="4"/>
      <c r="AJ104" s="76" t="str">
        <f>IF(E104="○",IF(COUNTA(E$13:E104)=1,"",",")&amp;D104,"")</f>
        <v/>
      </c>
      <c r="AK104" s="4"/>
      <c r="AL104" s="4"/>
      <c r="AM104" s="4"/>
      <c r="AN104" s="4"/>
      <c r="AO104" s="4"/>
      <c r="AP104" s="4"/>
      <c r="AQ104" s="4"/>
      <c r="AR104" s="4"/>
      <c r="AS104" s="76" t="str">
        <f>"COMMENT ON COLUMN "&amp;エンティティ一覧!$O$2&amp;"."&amp;D$8&amp;"."&amp;D104&amp;" IS '"&amp;C104&amp;"';"</f>
        <v>COMMENT ON COLUMN milscm_2023_010.azn_202310_backup_merge_dpc_hn.ass0051_kiken_kodo IS '危険行動';</v>
      </c>
      <c r="AT104" s="4"/>
      <c r="AU104" s="4"/>
      <c r="AV104" s="4"/>
      <c r="AW104" s="4"/>
      <c r="AX104" s="4"/>
      <c r="AY104" s="4"/>
      <c r="AZ104" s="4"/>
    </row>
    <row r="105" spans="1:52" s="25" customFormat="1">
      <c r="A105" s="4"/>
      <c r="B105" s="21">
        <f t="shared" si="2"/>
        <v>93</v>
      </c>
      <c r="C105" s="13" t="s">
        <v>422</v>
      </c>
      <c r="D105" s="13" t="s">
        <v>484</v>
      </c>
      <c r="E105" s="7"/>
      <c r="F105" s="7" t="s">
        <v>316</v>
      </c>
      <c r="G105" s="7" t="str">
        <f t="shared" si="3"/>
        <v>text</v>
      </c>
      <c r="H105" s="58"/>
      <c r="I105" s="23"/>
      <c r="J105" s="24" t="s">
        <v>553</v>
      </c>
      <c r="L105" s="4"/>
      <c r="M105" s="4"/>
      <c r="N105" s="76"/>
      <c r="O105" s="76"/>
      <c r="P105" s="76" t="str">
        <f t="shared" si="7"/>
        <v>,ass0051_ijo_kaijo</v>
      </c>
      <c r="Q105" s="76" t="str">
        <f t="shared" si="8"/>
        <v>TEXT</v>
      </c>
      <c r="R105" s="76" t="str">
        <f t="shared" si="9"/>
        <v/>
      </c>
      <c r="S105" s="76" t="str">
        <f t="shared" si="10"/>
        <v/>
      </c>
      <c r="T105" s="76" t="str">
        <f t="shared" si="11"/>
        <v>-- 移乗（介助の状態）</v>
      </c>
      <c r="U105" s="4"/>
      <c r="AA105" s="4"/>
      <c r="AB105" s="4"/>
      <c r="AC105" s="4"/>
      <c r="AD105" s="4"/>
      <c r="AE105" s="4"/>
      <c r="AF105" s="4"/>
      <c r="AG105" s="4"/>
      <c r="AH105" s="4"/>
      <c r="AI105" s="4"/>
      <c r="AJ105" s="76" t="str">
        <f>IF(E105="○",IF(COUNTA(E$13:E105)=1,"",",")&amp;D105,"")</f>
        <v/>
      </c>
      <c r="AK105" s="4"/>
      <c r="AL105" s="4"/>
      <c r="AM105" s="4"/>
      <c r="AN105" s="4"/>
      <c r="AO105" s="4"/>
      <c r="AP105" s="4"/>
      <c r="AQ105" s="4"/>
      <c r="AR105" s="4"/>
      <c r="AS105" s="76" t="str">
        <f>"COMMENT ON COLUMN "&amp;エンティティ一覧!$O$2&amp;"."&amp;D$8&amp;"."&amp;D105&amp;" IS '"&amp;C105&amp;"';"</f>
        <v>COMMENT ON COLUMN milscm_2023_010.azn_202310_backup_merge_dpc_hn.ass0051_ijo_kaijo IS '移乗（介助の状態）';</v>
      </c>
      <c r="AT105" s="4"/>
      <c r="AU105" s="4"/>
      <c r="AV105" s="4"/>
      <c r="AW105" s="4"/>
      <c r="AX105" s="4"/>
      <c r="AY105" s="4"/>
      <c r="AZ105" s="4"/>
    </row>
    <row r="106" spans="1:52" s="25" customFormat="1" ht="31.5">
      <c r="A106" s="4"/>
      <c r="B106" s="21">
        <f t="shared" si="2"/>
        <v>94</v>
      </c>
      <c r="C106" s="6" t="s">
        <v>424</v>
      </c>
      <c r="D106" s="6" t="s">
        <v>485</v>
      </c>
      <c r="E106" s="8"/>
      <c r="F106" s="7" t="s">
        <v>316</v>
      </c>
      <c r="G106" s="7" t="str">
        <f t="shared" si="3"/>
        <v>text</v>
      </c>
      <c r="H106" s="26"/>
      <c r="I106" s="10"/>
      <c r="J106" s="11" t="s">
        <v>553</v>
      </c>
      <c r="L106" s="4"/>
      <c r="M106" s="4"/>
      <c r="N106" s="76"/>
      <c r="O106" s="76"/>
      <c r="P106" s="76" t="str">
        <f t="shared" si="7"/>
        <v>,ass0051_koku_seiketsu_kaijo</v>
      </c>
      <c r="Q106" s="76" t="str">
        <f t="shared" si="8"/>
        <v>TEXT</v>
      </c>
      <c r="R106" s="76" t="str">
        <f t="shared" si="9"/>
        <v/>
      </c>
      <c r="S106" s="76" t="str">
        <f t="shared" si="10"/>
        <v/>
      </c>
      <c r="T106" s="76" t="str">
        <f t="shared" si="11"/>
        <v>-- 口腔清潔（介助の状態）</v>
      </c>
      <c r="U106" s="4"/>
      <c r="AA106" s="4"/>
      <c r="AB106" s="4"/>
      <c r="AC106" s="4"/>
      <c r="AD106" s="4"/>
      <c r="AE106" s="4"/>
      <c r="AF106" s="4"/>
      <c r="AG106" s="4"/>
      <c r="AH106" s="4"/>
      <c r="AI106" s="4"/>
      <c r="AJ106" s="76" t="str">
        <f>IF(E106="○",IF(COUNTA(E$13:E106)=1,"",",")&amp;D106,"")</f>
        <v/>
      </c>
      <c r="AK106" s="4"/>
      <c r="AL106" s="4"/>
      <c r="AM106" s="4"/>
      <c r="AN106" s="4"/>
      <c r="AO106" s="4"/>
      <c r="AP106" s="4"/>
      <c r="AQ106" s="4"/>
      <c r="AR106" s="4"/>
      <c r="AS106" s="76" t="str">
        <f>"COMMENT ON COLUMN "&amp;エンティティ一覧!$O$2&amp;"."&amp;D$8&amp;"."&amp;D106&amp;" IS '"&amp;C106&amp;"';"</f>
        <v>COMMENT ON COLUMN milscm_2023_010.azn_202310_backup_merge_dpc_hn.ass0051_koku_seiketsu_kaijo IS '口腔清潔（介助の状態）';</v>
      </c>
      <c r="AT106" s="4"/>
      <c r="AU106" s="4"/>
      <c r="AV106" s="4"/>
      <c r="AW106" s="4"/>
      <c r="AX106" s="4"/>
      <c r="AY106" s="4"/>
      <c r="AZ106" s="4"/>
    </row>
    <row r="107" spans="1:52" s="25" customFormat="1" ht="31.5">
      <c r="A107" s="4"/>
      <c r="B107" s="21">
        <f t="shared" si="2"/>
        <v>95</v>
      </c>
      <c r="C107" s="13" t="s">
        <v>426</v>
      </c>
      <c r="D107" s="13" t="s">
        <v>486</v>
      </c>
      <c r="E107" s="7"/>
      <c r="F107" s="7" t="s">
        <v>316</v>
      </c>
      <c r="G107" s="7" t="str">
        <f t="shared" si="3"/>
        <v>text</v>
      </c>
      <c r="H107" s="58"/>
      <c r="I107" s="23"/>
      <c r="J107" s="24" t="s">
        <v>553</v>
      </c>
      <c r="L107" s="4"/>
      <c r="M107" s="4"/>
      <c r="N107" s="76"/>
      <c r="O107" s="76"/>
      <c r="P107" s="76" t="str">
        <f t="shared" si="7"/>
        <v>,ass0051_shokuji_sesshu_kaijo</v>
      </c>
      <c r="Q107" s="76" t="str">
        <f t="shared" si="8"/>
        <v>TEXT</v>
      </c>
      <c r="R107" s="76" t="str">
        <f t="shared" si="9"/>
        <v/>
      </c>
      <c r="S107" s="76" t="str">
        <f t="shared" si="10"/>
        <v/>
      </c>
      <c r="T107" s="76" t="str">
        <f t="shared" si="11"/>
        <v>-- 食事摂取（介助の状態）</v>
      </c>
      <c r="U107" s="4"/>
      <c r="AA107" s="4"/>
      <c r="AB107" s="4"/>
      <c r="AC107" s="4"/>
      <c r="AD107" s="4"/>
      <c r="AE107" s="4"/>
      <c r="AF107" s="4"/>
      <c r="AG107" s="4"/>
      <c r="AH107" s="4"/>
      <c r="AI107" s="4"/>
      <c r="AJ107" s="76" t="str">
        <f>IF(E107="○",IF(COUNTA(E$13:E107)=1,"",",")&amp;D107,"")</f>
        <v/>
      </c>
      <c r="AK107" s="4"/>
      <c r="AL107" s="4"/>
      <c r="AM107" s="4"/>
      <c r="AN107" s="4"/>
      <c r="AO107" s="4"/>
      <c r="AP107" s="4"/>
      <c r="AQ107" s="4"/>
      <c r="AR107" s="4"/>
      <c r="AS107" s="76" t="str">
        <f>"COMMENT ON COLUMN "&amp;エンティティ一覧!$O$2&amp;"."&amp;D$8&amp;"."&amp;D107&amp;" IS '"&amp;C107&amp;"';"</f>
        <v>COMMENT ON COLUMN milscm_2023_010.azn_202310_backup_merge_dpc_hn.ass0051_shokuji_sesshu_kaijo IS '食事摂取（介助の状態）';</v>
      </c>
      <c r="AT107" s="4"/>
      <c r="AU107" s="4"/>
      <c r="AV107" s="4"/>
      <c r="AW107" s="4"/>
      <c r="AX107" s="4"/>
      <c r="AY107" s="4"/>
      <c r="AZ107" s="4"/>
    </row>
    <row r="108" spans="1:52" s="25" customFormat="1" ht="31.5">
      <c r="A108" s="4"/>
      <c r="B108" s="21">
        <f t="shared" si="2"/>
        <v>96</v>
      </c>
      <c r="C108" s="6" t="s">
        <v>428</v>
      </c>
      <c r="D108" s="6" t="s">
        <v>487</v>
      </c>
      <c r="E108" s="8"/>
      <c r="F108" s="7" t="s">
        <v>316</v>
      </c>
      <c r="G108" s="7" t="str">
        <f t="shared" si="3"/>
        <v>text</v>
      </c>
      <c r="H108" s="26"/>
      <c r="I108" s="10"/>
      <c r="J108" s="11" t="s">
        <v>553</v>
      </c>
      <c r="L108" s="4"/>
      <c r="M108" s="4"/>
      <c r="N108" s="76"/>
      <c r="O108" s="76"/>
      <c r="P108" s="76" t="str">
        <f t="shared" si="7"/>
        <v>,ass0051_ifuku_chakudatsu_kaijo</v>
      </c>
      <c r="Q108" s="76" t="str">
        <f t="shared" si="8"/>
        <v>TEXT</v>
      </c>
      <c r="R108" s="76" t="str">
        <f t="shared" si="9"/>
        <v/>
      </c>
      <c r="S108" s="76" t="str">
        <f t="shared" si="10"/>
        <v/>
      </c>
      <c r="T108" s="76" t="str">
        <f t="shared" si="11"/>
        <v>-- 衣服の着脱（介助の状態）</v>
      </c>
      <c r="U108" s="4"/>
      <c r="AA108" s="4"/>
      <c r="AB108" s="4"/>
      <c r="AC108" s="4"/>
      <c r="AD108" s="4"/>
      <c r="AE108" s="4"/>
      <c r="AF108" s="4"/>
      <c r="AG108" s="4"/>
      <c r="AH108" s="4"/>
      <c r="AI108" s="4"/>
      <c r="AJ108" s="76" t="str">
        <f>IF(E108="○",IF(COUNTA(E$13:E108)=1,"",",")&amp;D108,"")</f>
        <v/>
      </c>
      <c r="AK108" s="4"/>
      <c r="AL108" s="4"/>
      <c r="AM108" s="4"/>
      <c r="AN108" s="4"/>
      <c r="AO108" s="4"/>
      <c r="AP108" s="4"/>
      <c r="AQ108" s="4"/>
      <c r="AR108" s="4"/>
      <c r="AS108" s="76" t="str">
        <f>"COMMENT ON COLUMN "&amp;エンティティ一覧!$O$2&amp;"."&amp;D$8&amp;"."&amp;D108&amp;" IS '"&amp;C108&amp;"';"</f>
        <v>COMMENT ON COLUMN milscm_2023_010.azn_202310_backup_merge_dpc_hn.ass0051_ifuku_chakudatsu_kaijo IS '衣服の着脱（介助の状態）';</v>
      </c>
      <c r="AT108" s="4"/>
      <c r="AU108" s="4"/>
      <c r="AV108" s="4"/>
      <c r="AW108" s="4"/>
      <c r="AX108" s="4"/>
      <c r="AY108" s="4"/>
      <c r="AZ108" s="4"/>
    </row>
    <row r="109" spans="1:52" s="25" customFormat="1" ht="168.75">
      <c r="A109" s="4"/>
      <c r="B109" s="21">
        <f t="shared" si="2"/>
        <v>97</v>
      </c>
      <c r="C109" s="13" t="s">
        <v>363</v>
      </c>
      <c r="D109" s="13" t="s">
        <v>488</v>
      </c>
      <c r="E109" s="7"/>
      <c r="F109" s="7" t="s">
        <v>316</v>
      </c>
      <c r="G109" s="7" t="str">
        <f t="shared" si="3"/>
        <v>text</v>
      </c>
      <c r="H109" s="58"/>
      <c r="I109" s="23"/>
      <c r="J109" s="24" t="s">
        <v>555</v>
      </c>
      <c r="L109" s="4"/>
      <c r="M109" s="4"/>
      <c r="N109" s="76"/>
      <c r="O109" s="76"/>
      <c r="P109" s="76" t="str">
        <f t="shared" si="7"/>
        <v>,ass0060_sosho_shochi</v>
      </c>
      <c r="Q109" s="76" t="str">
        <f t="shared" si="8"/>
        <v>TEXT</v>
      </c>
      <c r="R109" s="76" t="str">
        <f t="shared" si="9"/>
        <v/>
      </c>
      <c r="S109" s="76" t="str">
        <f t="shared" si="10"/>
        <v/>
      </c>
      <c r="T109" s="76" t="str">
        <f t="shared" si="11"/>
        <v>-- 創傷処置</v>
      </c>
      <c r="U109" s="4"/>
      <c r="AA109" s="4"/>
      <c r="AB109" s="4"/>
      <c r="AC109" s="4"/>
      <c r="AD109" s="4"/>
      <c r="AE109" s="4"/>
      <c r="AF109" s="4"/>
      <c r="AG109" s="4"/>
      <c r="AH109" s="4"/>
      <c r="AI109" s="4"/>
      <c r="AJ109" s="76" t="str">
        <f>IF(E109="○",IF(COUNTA(E$13:E109)=1,"",",")&amp;D109,"")</f>
        <v/>
      </c>
      <c r="AK109" s="4"/>
      <c r="AL109" s="4"/>
      <c r="AM109" s="4"/>
      <c r="AN109" s="4"/>
      <c r="AO109" s="4"/>
      <c r="AP109" s="4"/>
      <c r="AQ109" s="4"/>
      <c r="AR109" s="4"/>
      <c r="AS109" s="76" t="str">
        <f>"COMMENT ON COLUMN "&amp;エンティティ一覧!$O$2&amp;"."&amp;D$8&amp;"."&amp;D109&amp;" IS '"&amp;C109&amp;"';"</f>
        <v>COMMENT ON COLUMN milscm_2023_010.azn_202310_backup_merge_dpc_hn.ass0060_sosho_shochi IS '創傷処置';</v>
      </c>
      <c r="AT109" s="4"/>
      <c r="AU109" s="4"/>
      <c r="AV109" s="4"/>
      <c r="AW109" s="4"/>
      <c r="AX109" s="4"/>
      <c r="AY109" s="4"/>
      <c r="AZ109" s="4"/>
    </row>
    <row r="110" spans="1:52" s="25" customFormat="1">
      <c r="A110" s="4"/>
      <c r="B110" s="21">
        <f t="shared" si="2"/>
        <v>98</v>
      </c>
      <c r="C110" s="6" t="s">
        <v>489</v>
      </c>
      <c r="D110" s="6" t="s">
        <v>490</v>
      </c>
      <c r="E110" s="8"/>
      <c r="F110" s="7" t="s">
        <v>316</v>
      </c>
      <c r="G110" s="7" t="str">
        <f t="shared" si="3"/>
        <v>text</v>
      </c>
      <c r="H110" s="26"/>
      <c r="I110" s="10"/>
      <c r="J110" s="11" t="s">
        <v>543</v>
      </c>
      <c r="L110" s="4"/>
      <c r="M110" s="4"/>
      <c r="N110" s="76"/>
      <c r="O110" s="76"/>
      <c r="P110" s="76" t="str">
        <f t="shared" si="7"/>
        <v>,ass0060_sosei</v>
      </c>
      <c r="Q110" s="76" t="str">
        <f t="shared" si="8"/>
        <v>TEXT</v>
      </c>
      <c r="R110" s="76" t="str">
        <f t="shared" si="9"/>
        <v/>
      </c>
      <c r="S110" s="76" t="str">
        <f t="shared" si="10"/>
        <v/>
      </c>
      <c r="T110" s="76" t="str">
        <f t="shared" si="11"/>
        <v>-- 蘇生術の施行</v>
      </c>
      <c r="U110" s="4"/>
      <c r="AA110" s="4"/>
      <c r="AB110" s="4"/>
      <c r="AC110" s="4"/>
      <c r="AD110" s="4"/>
      <c r="AE110" s="4"/>
      <c r="AF110" s="4"/>
      <c r="AG110" s="4"/>
      <c r="AH110" s="4"/>
      <c r="AI110" s="4"/>
      <c r="AJ110" s="76" t="str">
        <f>IF(E110="○",IF(COUNTA(E$13:E110)=1,"",",")&amp;D110,"")</f>
        <v/>
      </c>
      <c r="AK110" s="4"/>
      <c r="AL110" s="4"/>
      <c r="AM110" s="4"/>
      <c r="AN110" s="4"/>
      <c r="AO110" s="4"/>
      <c r="AP110" s="4"/>
      <c r="AQ110" s="4"/>
      <c r="AR110" s="4"/>
      <c r="AS110" s="76" t="str">
        <f>"COMMENT ON COLUMN "&amp;エンティティ一覧!$O$2&amp;"."&amp;D$8&amp;"."&amp;D110&amp;" IS '"&amp;C110&amp;"';"</f>
        <v>COMMENT ON COLUMN milscm_2023_010.azn_202310_backup_merge_dpc_hn.ass0060_sosei IS '蘇生術の施行';</v>
      </c>
      <c r="AT110" s="4"/>
      <c r="AU110" s="4"/>
      <c r="AV110" s="4"/>
      <c r="AW110" s="4"/>
      <c r="AX110" s="4"/>
      <c r="AY110" s="4"/>
      <c r="AZ110" s="4"/>
    </row>
    <row r="111" spans="1:52" s="25" customFormat="1">
      <c r="A111" s="4"/>
      <c r="B111" s="21">
        <f t="shared" si="2"/>
        <v>99</v>
      </c>
      <c r="C111" s="13" t="s">
        <v>365</v>
      </c>
      <c r="D111" s="13" t="s">
        <v>491</v>
      </c>
      <c r="E111" s="7"/>
      <c r="F111" s="7" t="s">
        <v>316</v>
      </c>
      <c r="G111" s="7" t="str">
        <f t="shared" si="3"/>
        <v>text</v>
      </c>
      <c r="H111" s="58"/>
      <c r="I111" s="23"/>
      <c r="J111" s="24" t="s">
        <v>543</v>
      </c>
      <c r="L111" s="4"/>
      <c r="M111" s="4"/>
      <c r="N111" s="76"/>
      <c r="O111" s="76"/>
      <c r="P111" s="76" t="str">
        <f t="shared" si="7"/>
        <v>,ass0060_kokyu_care</v>
      </c>
      <c r="Q111" s="76" t="str">
        <f t="shared" si="8"/>
        <v>TEXT</v>
      </c>
      <c r="R111" s="76" t="str">
        <f t="shared" si="9"/>
        <v/>
      </c>
      <c r="S111" s="76" t="str">
        <f t="shared" si="10"/>
        <v/>
      </c>
      <c r="T111" s="76" t="str">
        <f t="shared" si="11"/>
        <v>-- 呼吸ケア</v>
      </c>
      <c r="U111" s="4"/>
      <c r="AA111" s="4"/>
      <c r="AB111" s="4"/>
      <c r="AC111" s="4"/>
      <c r="AD111" s="4"/>
      <c r="AE111" s="4"/>
      <c r="AF111" s="4"/>
      <c r="AG111" s="4"/>
      <c r="AH111" s="4"/>
      <c r="AI111" s="4"/>
      <c r="AJ111" s="76" t="str">
        <f>IF(E111="○",IF(COUNTA(E$13:E111)=1,"",",")&amp;D111,"")</f>
        <v/>
      </c>
      <c r="AK111" s="4"/>
      <c r="AL111" s="4"/>
      <c r="AM111" s="4"/>
      <c r="AN111" s="4"/>
      <c r="AO111" s="4"/>
      <c r="AP111" s="4"/>
      <c r="AQ111" s="4"/>
      <c r="AR111" s="4"/>
      <c r="AS111" s="76" t="str">
        <f>"COMMENT ON COLUMN "&amp;エンティティ一覧!$O$2&amp;"."&amp;D$8&amp;"."&amp;D111&amp;" IS '"&amp;C111&amp;"';"</f>
        <v>COMMENT ON COLUMN milscm_2023_010.azn_202310_backup_merge_dpc_hn.ass0060_kokyu_care IS '呼吸ケア';</v>
      </c>
      <c r="AT111" s="4"/>
      <c r="AU111" s="4"/>
      <c r="AV111" s="4"/>
      <c r="AW111" s="4"/>
      <c r="AX111" s="4"/>
      <c r="AY111" s="4"/>
      <c r="AZ111" s="4"/>
    </row>
    <row r="112" spans="1:52" s="25" customFormat="1">
      <c r="A112" s="4"/>
      <c r="B112" s="21">
        <f t="shared" si="2"/>
        <v>100</v>
      </c>
      <c r="C112" s="6" t="s">
        <v>367</v>
      </c>
      <c r="D112" s="6" t="s">
        <v>492</v>
      </c>
      <c r="E112" s="8"/>
      <c r="F112" s="7" t="s">
        <v>316</v>
      </c>
      <c r="G112" s="7" t="str">
        <f t="shared" si="3"/>
        <v>text</v>
      </c>
      <c r="H112" s="26"/>
      <c r="I112" s="10"/>
      <c r="J112" s="11" t="s">
        <v>543</v>
      </c>
      <c r="L112" s="4"/>
      <c r="M112" s="4"/>
      <c r="N112" s="76"/>
      <c r="O112" s="76"/>
      <c r="P112" s="76" t="str">
        <f t="shared" ref="P112:P153" si="12">IF(B112&lt;&gt;1,","&amp;D112,D112)</f>
        <v>,ass0060_tenteki_kanri</v>
      </c>
      <c r="Q112" s="76" t="str">
        <f t="shared" ref="Q112:Q153" si="13">UPPER(G112)</f>
        <v>TEXT</v>
      </c>
      <c r="R112" s="76" t="str">
        <f t="shared" ref="R112:R153" si="14">IF(H112&lt;&gt;"","default "&amp;IF(G112="text","'"&amp;H112&amp;"'",H112),"")</f>
        <v/>
      </c>
      <c r="S112" s="76" t="str">
        <f t="shared" ref="S112:S153" si="15">IF(I112="○","NOT NULL","")</f>
        <v/>
      </c>
      <c r="T112" s="76" t="str">
        <f t="shared" ref="T112:T153" si="16">"-- "&amp;C112</f>
        <v>-- 点滴ライン同時3本以上の管理</v>
      </c>
      <c r="U112" s="4"/>
      <c r="AA112" s="4"/>
      <c r="AB112" s="4"/>
      <c r="AC112" s="4"/>
      <c r="AD112" s="4"/>
      <c r="AE112" s="4"/>
      <c r="AF112" s="4"/>
      <c r="AG112" s="4"/>
      <c r="AH112" s="4"/>
      <c r="AI112" s="4"/>
      <c r="AJ112" s="76" t="str">
        <f>IF(E112="○",IF(COUNTA(E$13:E112)=1,"",",")&amp;D112,"")</f>
        <v/>
      </c>
      <c r="AK112" s="4"/>
      <c r="AL112" s="4"/>
      <c r="AM112" s="4"/>
      <c r="AN112" s="4"/>
      <c r="AO112" s="4"/>
      <c r="AP112" s="4"/>
      <c r="AQ112" s="4"/>
      <c r="AR112" s="4"/>
      <c r="AS112" s="76" t="str">
        <f>"COMMENT ON COLUMN "&amp;エンティティ一覧!$O$2&amp;"."&amp;D$8&amp;"."&amp;D112&amp;" IS '"&amp;C112&amp;"';"</f>
        <v>COMMENT ON COLUMN milscm_2023_010.azn_202310_backup_merge_dpc_hn.ass0060_tenteki_kanri IS '点滴ライン同時3本以上の管理';</v>
      </c>
      <c r="AT112" s="4"/>
      <c r="AU112" s="4"/>
      <c r="AV112" s="4"/>
      <c r="AW112" s="4"/>
      <c r="AX112" s="4"/>
      <c r="AY112" s="4"/>
      <c r="AZ112" s="4"/>
    </row>
    <row r="113" spans="1:52" s="25" customFormat="1">
      <c r="A113" s="4"/>
      <c r="B113" s="21">
        <f t="shared" si="2"/>
        <v>101</v>
      </c>
      <c r="C113" s="13" t="s">
        <v>369</v>
      </c>
      <c r="D113" s="13" t="s">
        <v>493</v>
      </c>
      <c r="E113" s="7"/>
      <c r="F113" s="7" t="s">
        <v>316</v>
      </c>
      <c r="G113" s="7" t="str">
        <f t="shared" si="3"/>
        <v>text</v>
      </c>
      <c r="H113" s="58"/>
      <c r="I113" s="23"/>
      <c r="J113" s="24" t="s">
        <v>543</v>
      </c>
      <c r="L113" s="4"/>
      <c r="M113" s="4"/>
      <c r="N113" s="76"/>
      <c r="O113" s="76"/>
      <c r="P113" s="76" t="str">
        <f t="shared" si="12"/>
        <v>,ass0060_shindenzu_kanri</v>
      </c>
      <c r="Q113" s="76" t="str">
        <f t="shared" si="13"/>
        <v>TEXT</v>
      </c>
      <c r="R113" s="76" t="str">
        <f t="shared" si="14"/>
        <v/>
      </c>
      <c r="S113" s="76" t="str">
        <f t="shared" si="15"/>
        <v/>
      </c>
      <c r="T113" s="76" t="str">
        <f t="shared" si="16"/>
        <v>-- 心電図モニターの管理</v>
      </c>
      <c r="U113" s="4"/>
      <c r="AA113" s="4"/>
      <c r="AB113" s="4"/>
      <c r="AC113" s="4"/>
      <c r="AD113" s="4"/>
      <c r="AE113" s="4"/>
      <c r="AF113" s="4"/>
      <c r="AG113" s="4"/>
      <c r="AH113" s="4"/>
      <c r="AI113" s="4"/>
      <c r="AJ113" s="76" t="str">
        <f>IF(E113="○",IF(COUNTA(E$13:E113)=1,"",",")&amp;D113,"")</f>
        <v/>
      </c>
      <c r="AK113" s="4"/>
      <c r="AL113" s="4"/>
      <c r="AM113" s="4"/>
      <c r="AN113" s="4"/>
      <c r="AO113" s="4"/>
      <c r="AP113" s="4"/>
      <c r="AQ113" s="4"/>
      <c r="AR113" s="4"/>
      <c r="AS113" s="76" t="str">
        <f>"COMMENT ON COLUMN "&amp;エンティティ一覧!$O$2&amp;"."&amp;D$8&amp;"."&amp;D113&amp;" IS '"&amp;C113&amp;"';"</f>
        <v>COMMENT ON COLUMN milscm_2023_010.azn_202310_backup_merge_dpc_hn.ass0060_shindenzu_kanri IS '心電図モニターの管理';</v>
      </c>
      <c r="AT113" s="4"/>
      <c r="AU113" s="4"/>
      <c r="AV113" s="4"/>
      <c r="AW113" s="4"/>
      <c r="AX113" s="4"/>
      <c r="AY113" s="4"/>
      <c r="AZ113" s="4"/>
    </row>
    <row r="114" spans="1:52" s="25" customFormat="1" ht="31.5">
      <c r="A114" s="4"/>
      <c r="B114" s="21">
        <f t="shared" si="2"/>
        <v>102</v>
      </c>
      <c r="C114" s="13" t="s">
        <v>445</v>
      </c>
      <c r="D114" s="13" t="s">
        <v>494</v>
      </c>
      <c r="E114" s="7"/>
      <c r="F114" s="7" t="s">
        <v>316</v>
      </c>
      <c r="G114" s="7" t="str">
        <f t="shared" si="3"/>
        <v>text</v>
      </c>
      <c r="H114" s="58"/>
      <c r="I114" s="23"/>
      <c r="J114" s="24" t="s">
        <v>543</v>
      </c>
      <c r="L114" s="4"/>
      <c r="M114" s="4"/>
      <c r="N114" s="76"/>
      <c r="O114" s="76"/>
      <c r="P114" s="76" t="str">
        <f t="shared" si="12"/>
        <v>,ass0060_yueki_pump_kanri</v>
      </c>
      <c r="Q114" s="76" t="str">
        <f t="shared" si="13"/>
        <v>TEXT</v>
      </c>
      <c r="R114" s="76" t="str">
        <f t="shared" si="14"/>
        <v/>
      </c>
      <c r="S114" s="76" t="str">
        <f t="shared" si="15"/>
        <v/>
      </c>
      <c r="T114" s="76" t="str">
        <f t="shared" si="16"/>
        <v>-- 輸液ポンプの管理</v>
      </c>
      <c r="U114" s="4"/>
      <c r="AA114" s="4"/>
      <c r="AB114" s="4"/>
      <c r="AC114" s="4"/>
      <c r="AD114" s="4"/>
      <c r="AE114" s="4"/>
      <c r="AF114" s="4"/>
      <c r="AG114" s="4"/>
      <c r="AH114" s="4"/>
      <c r="AI114" s="4"/>
      <c r="AJ114" s="76" t="str">
        <f>IF(E114="○",IF(COUNTA(E$13:E114)=1,"",",")&amp;D114,"")</f>
        <v/>
      </c>
      <c r="AK114" s="4"/>
      <c r="AL114" s="4"/>
      <c r="AM114" s="4"/>
      <c r="AN114" s="4"/>
      <c r="AO114" s="4"/>
      <c r="AP114" s="4"/>
      <c r="AQ114" s="4"/>
      <c r="AR114" s="4"/>
      <c r="AS114" s="76" t="str">
        <f>"COMMENT ON COLUMN "&amp;エンティティ一覧!$O$2&amp;"."&amp;D$8&amp;"."&amp;D114&amp;" IS '"&amp;C114&amp;"';"</f>
        <v>COMMENT ON COLUMN milscm_2023_010.azn_202310_backup_merge_dpc_hn.ass0060_yueki_pump_kanri IS '輸液ポンプの管理';</v>
      </c>
      <c r="AT114" s="4"/>
      <c r="AU114" s="4"/>
      <c r="AV114" s="4"/>
      <c r="AW114" s="4"/>
      <c r="AX114" s="4"/>
      <c r="AY114" s="4"/>
      <c r="AZ114" s="4"/>
    </row>
    <row r="115" spans="1:52" s="25" customFormat="1">
      <c r="A115" s="4"/>
      <c r="B115" s="21">
        <f t="shared" si="2"/>
        <v>103</v>
      </c>
      <c r="C115" s="13" t="s">
        <v>447</v>
      </c>
      <c r="D115" s="13" t="s">
        <v>495</v>
      </c>
      <c r="E115" s="7"/>
      <c r="F115" s="7" t="s">
        <v>316</v>
      </c>
      <c r="G115" s="7" t="str">
        <f t="shared" si="3"/>
        <v>text</v>
      </c>
      <c r="H115" s="58"/>
      <c r="I115" s="23"/>
      <c r="J115" s="24" t="s">
        <v>543</v>
      </c>
      <c r="L115" s="4"/>
      <c r="M115" s="4"/>
      <c r="N115" s="76"/>
      <c r="O115" s="76"/>
      <c r="P115" s="76" t="str">
        <f t="shared" si="12"/>
        <v>,ass0060_domyaku_sokutei</v>
      </c>
      <c r="Q115" s="76" t="str">
        <f t="shared" si="13"/>
        <v>TEXT</v>
      </c>
      <c r="R115" s="76" t="str">
        <f t="shared" si="14"/>
        <v/>
      </c>
      <c r="S115" s="76" t="str">
        <f t="shared" si="15"/>
        <v/>
      </c>
      <c r="T115" s="76" t="str">
        <f t="shared" si="16"/>
        <v>-- 動脈圧測定（動脈ライン）</v>
      </c>
      <c r="U115" s="4"/>
      <c r="AA115" s="4"/>
      <c r="AB115" s="4"/>
      <c r="AC115" s="4"/>
      <c r="AD115" s="4"/>
      <c r="AE115" s="4"/>
      <c r="AF115" s="4"/>
      <c r="AG115" s="4"/>
      <c r="AH115" s="4"/>
      <c r="AI115" s="4"/>
      <c r="AJ115" s="76" t="str">
        <f>IF(E115="○",IF(COUNTA(E$13:E115)=1,"",",")&amp;D115,"")</f>
        <v/>
      </c>
      <c r="AK115" s="4"/>
      <c r="AL115" s="4"/>
      <c r="AM115" s="4"/>
      <c r="AN115" s="4"/>
      <c r="AO115" s="4"/>
      <c r="AP115" s="4"/>
      <c r="AQ115" s="4"/>
      <c r="AR115" s="4"/>
      <c r="AS115" s="76" t="str">
        <f>"COMMENT ON COLUMN "&amp;エンティティ一覧!$O$2&amp;"."&amp;D$8&amp;"."&amp;D115&amp;" IS '"&amp;C115&amp;"';"</f>
        <v>COMMENT ON COLUMN milscm_2023_010.azn_202310_backup_merge_dpc_hn.ass0060_domyaku_sokutei IS '動脈圧測定（動脈ライン）';</v>
      </c>
      <c r="AT115" s="4"/>
      <c r="AU115" s="4"/>
      <c r="AV115" s="4"/>
      <c r="AW115" s="4"/>
      <c r="AX115" s="4"/>
      <c r="AY115" s="4"/>
      <c r="AZ115" s="4"/>
    </row>
    <row r="116" spans="1:52" s="25" customFormat="1" ht="31.5">
      <c r="A116" s="4"/>
      <c r="B116" s="21">
        <f t="shared" si="2"/>
        <v>104</v>
      </c>
      <c r="C116" s="6" t="s">
        <v>371</v>
      </c>
      <c r="D116" s="6" t="s">
        <v>496</v>
      </c>
      <c r="E116" s="8"/>
      <c r="F116" s="7" t="s">
        <v>316</v>
      </c>
      <c r="G116" s="7" t="str">
        <f t="shared" si="3"/>
        <v>text</v>
      </c>
      <c r="H116" s="26"/>
      <c r="I116" s="10"/>
      <c r="J116" s="11" t="s">
        <v>543</v>
      </c>
      <c r="L116" s="4"/>
      <c r="M116" s="4"/>
      <c r="N116" s="76"/>
      <c r="O116" s="76"/>
      <c r="P116" s="76" t="str">
        <f t="shared" si="12"/>
        <v>,ass0060_syringe_pump_kanri</v>
      </c>
      <c r="Q116" s="76" t="str">
        <f t="shared" si="13"/>
        <v>TEXT</v>
      </c>
      <c r="R116" s="76" t="str">
        <f t="shared" si="14"/>
        <v/>
      </c>
      <c r="S116" s="76" t="str">
        <f t="shared" si="15"/>
        <v/>
      </c>
      <c r="T116" s="76" t="str">
        <f t="shared" si="16"/>
        <v>-- シリンジポンプの管理</v>
      </c>
      <c r="U116" s="4"/>
      <c r="AA116" s="4"/>
      <c r="AB116" s="4"/>
      <c r="AC116" s="4"/>
      <c r="AD116" s="4"/>
      <c r="AE116" s="4"/>
      <c r="AF116" s="4"/>
      <c r="AG116" s="4"/>
      <c r="AH116" s="4"/>
      <c r="AI116" s="4"/>
      <c r="AJ116" s="76" t="str">
        <f>IF(E116="○",IF(COUNTA(E$13:E116)=1,"",",")&amp;D116,"")</f>
        <v/>
      </c>
      <c r="AK116" s="4"/>
      <c r="AL116" s="4"/>
      <c r="AM116" s="4"/>
      <c r="AN116" s="4"/>
      <c r="AO116" s="4"/>
      <c r="AP116" s="4"/>
      <c r="AQ116" s="4"/>
      <c r="AR116" s="4"/>
      <c r="AS116" s="76" t="str">
        <f>"COMMENT ON COLUMN "&amp;エンティティ一覧!$O$2&amp;"."&amp;D$8&amp;"."&amp;D116&amp;" IS '"&amp;C116&amp;"';"</f>
        <v>COMMENT ON COLUMN milscm_2023_010.azn_202310_backup_merge_dpc_hn.ass0060_syringe_pump_kanri IS 'シリンジポンプの管理';</v>
      </c>
      <c r="AT116" s="4"/>
      <c r="AU116" s="4"/>
      <c r="AV116" s="4"/>
      <c r="AW116" s="4"/>
      <c r="AX116" s="4"/>
      <c r="AY116" s="4"/>
      <c r="AZ116" s="4"/>
    </row>
    <row r="117" spans="1:52" s="25" customFormat="1" ht="31.5">
      <c r="A117" s="4"/>
      <c r="B117" s="21">
        <f t="shared" si="2"/>
        <v>105</v>
      </c>
      <c r="C117" s="13" t="s">
        <v>450</v>
      </c>
      <c r="D117" s="13" t="s">
        <v>497</v>
      </c>
      <c r="E117" s="7"/>
      <c r="F117" s="7" t="s">
        <v>316</v>
      </c>
      <c r="G117" s="7" t="str">
        <f t="shared" si="3"/>
        <v>text</v>
      </c>
      <c r="H117" s="58"/>
      <c r="I117" s="23"/>
      <c r="J117" s="24" t="s">
        <v>543</v>
      </c>
      <c r="L117" s="4"/>
      <c r="M117" s="4"/>
      <c r="N117" s="76"/>
      <c r="O117" s="76"/>
      <c r="P117" s="76" t="str">
        <f t="shared" si="12"/>
        <v>,ass0060_jomyaku_sokutei</v>
      </c>
      <c r="Q117" s="76" t="str">
        <f t="shared" si="13"/>
        <v>TEXT</v>
      </c>
      <c r="R117" s="76" t="str">
        <f t="shared" si="14"/>
        <v/>
      </c>
      <c r="S117" s="76" t="str">
        <f t="shared" si="15"/>
        <v/>
      </c>
      <c r="T117" s="76" t="str">
        <f t="shared" si="16"/>
        <v>-- 中心静脈圧測定（中心静脈ライン）</v>
      </c>
      <c r="U117" s="4"/>
      <c r="AA117" s="4"/>
      <c r="AB117" s="4"/>
      <c r="AC117" s="4"/>
      <c r="AD117" s="4"/>
      <c r="AE117" s="4"/>
      <c r="AF117" s="4"/>
      <c r="AG117" s="4"/>
      <c r="AH117" s="4"/>
      <c r="AI117" s="4"/>
      <c r="AJ117" s="76" t="str">
        <f>IF(E117="○",IF(COUNTA(E$13:E117)=1,"",",")&amp;D117,"")</f>
        <v/>
      </c>
      <c r="AK117" s="4"/>
      <c r="AL117" s="4"/>
      <c r="AM117" s="4"/>
      <c r="AN117" s="4"/>
      <c r="AO117" s="4"/>
      <c r="AP117" s="4"/>
      <c r="AQ117" s="4"/>
      <c r="AR117" s="4"/>
      <c r="AS117" s="76" t="str">
        <f>"COMMENT ON COLUMN "&amp;エンティティ一覧!$O$2&amp;"."&amp;D$8&amp;"."&amp;D117&amp;" IS '"&amp;C117&amp;"';"</f>
        <v>COMMENT ON COLUMN milscm_2023_010.azn_202310_backup_merge_dpc_hn.ass0060_jomyaku_sokutei IS '中心静脈圧測定（中心静脈ライン）';</v>
      </c>
      <c r="AT117" s="4"/>
      <c r="AU117" s="4"/>
      <c r="AV117" s="4"/>
      <c r="AW117" s="4"/>
      <c r="AX117" s="4"/>
      <c r="AY117" s="4"/>
      <c r="AZ117" s="4"/>
    </row>
    <row r="118" spans="1:52" s="25" customFormat="1" ht="31.5">
      <c r="A118" s="4"/>
      <c r="B118" s="21">
        <f t="shared" si="2"/>
        <v>106</v>
      </c>
      <c r="C118" s="6" t="s">
        <v>452</v>
      </c>
      <c r="D118" s="6" t="s">
        <v>498</v>
      </c>
      <c r="E118" s="8"/>
      <c r="F118" s="7" t="s">
        <v>316</v>
      </c>
      <c r="G118" s="7" t="str">
        <f t="shared" si="3"/>
        <v>text</v>
      </c>
      <c r="H118" s="26"/>
      <c r="I118" s="10"/>
      <c r="J118" s="11" t="s">
        <v>543</v>
      </c>
      <c r="L118" s="4"/>
      <c r="M118" s="4"/>
      <c r="N118" s="76"/>
      <c r="O118" s="76"/>
      <c r="P118" s="76" t="str">
        <f t="shared" si="12"/>
        <v>,ass0060_jinko_kokyuki_kanri</v>
      </c>
      <c r="Q118" s="76" t="str">
        <f t="shared" si="13"/>
        <v>TEXT</v>
      </c>
      <c r="R118" s="76" t="str">
        <f t="shared" si="14"/>
        <v/>
      </c>
      <c r="S118" s="76" t="str">
        <f t="shared" si="15"/>
        <v/>
      </c>
      <c r="T118" s="76" t="str">
        <f t="shared" si="16"/>
        <v>-- 人工呼吸器の管理</v>
      </c>
      <c r="U118" s="4"/>
      <c r="AA118" s="4"/>
      <c r="AB118" s="4"/>
      <c r="AC118" s="4"/>
      <c r="AD118" s="4"/>
      <c r="AE118" s="4"/>
      <c r="AF118" s="4"/>
      <c r="AG118" s="4"/>
      <c r="AH118" s="4"/>
      <c r="AI118" s="4"/>
      <c r="AJ118" s="76" t="str">
        <f>IF(E118="○",IF(COUNTA(E$13:E118)=1,"",",")&amp;D118,"")</f>
        <v/>
      </c>
      <c r="AK118" s="4"/>
      <c r="AL118" s="4"/>
      <c r="AM118" s="4"/>
      <c r="AN118" s="4"/>
      <c r="AO118" s="4"/>
      <c r="AP118" s="4"/>
      <c r="AQ118" s="4"/>
      <c r="AR118" s="4"/>
      <c r="AS118" s="76" t="str">
        <f>"COMMENT ON COLUMN "&amp;エンティティ一覧!$O$2&amp;"."&amp;D$8&amp;"."&amp;D118&amp;" IS '"&amp;C118&amp;"';"</f>
        <v>COMMENT ON COLUMN milscm_2023_010.azn_202310_backup_merge_dpc_hn.ass0060_jinko_kokyuki_kanri IS '人工呼吸器の管理';</v>
      </c>
      <c r="AT118" s="4"/>
      <c r="AU118" s="4"/>
      <c r="AV118" s="4"/>
      <c r="AW118" s="4"/>
      <c r="AX118" s="4"/>
      <c r="AY118" s="4"/>
      <c r="AZ118" s="4"/>
    </row>
    <row r="119" spans="1:52" s="25" customFormat="1" ht="31.5">
      <c r="A119" s="4"/>
      <c r="B119" s="21">
        <f t="shared" si="2"/>
        <v>107</v>
      </c>
      <c r="C119" s="13" t="s">
        <v>373</v>
      </c>
      <c r="D119" s="13" t="s">
        <v>499</v>
      </c>
      <c r="E119" s="7"/>
      <c r="F119" s="7" t="s">
        <v>316</v>
      </c>
      <c r="G119" s="7" t="str">
        <f t="shared" si="3"/>
        <v>text</v>
      </c>
      <c r="H119" s="58"/>
      <c r="I119" s="23"/>
      <c r="J119" s="24" t="s">
        <v>543</v>
      </c>
      <c r="L119" s="4"/>
      <c r="M119" s="4"/>
      <c r="N119" s="76"/>
      <c r="O119" s="76"/>
      <c r="P119" s="76" t="str">
        <f t="shared" si="12"/>
        <v>,ass0060_blood_products_kanri</v>
      </c>
      <c r="Q119" s="76" t="str">
        <f t="shared" si="13"/>
        <v>TEXT</v>
      </c>
      <c r="R119" s="76" t="str">
        <f t="shared" si="14"/>
        <v/>
      </c>
      <c r="S119" s="76" t="str">
        <f t="shared" si="15"/>
        <v/>
      </c>
      <c r="T119" s="76" t="str">
        <f t="shared" si="16"/>
        <v>-- 輸血や血液製剤の管理</v>
      </c>
      <c r="U119" s="4"/>
      <c r="AA119" s="4"/>
      <c r="AB119" s="4"/>
      <c r="AC119" s="4"/>
      <c r="AD119" s="4"/>
      <c r="AE119" s="4"/>
      <c r="AF119" s="4"/>
      <c r="AG119" s="4"/>
      <c r="AH119" s="4"/>
      <c r="AI119" s="4"/>
      <c r="AJ119" s="76" t="str">
        <f>IF(E119="○",IF(COUNTA(E$13:E119)=1,"",",")&amp;D119,"")</f>
        <v/>
      </c>
      <c r="AK119" s="4"/>
      <c r="AL119" s="4"/>
      <c r="AM119" s="4"/>
      <c r="AN119" s="4"/>
      <c r="AO119" s="4"/>
      <c r="AP119" s="4"/>
      <c r="AQ119" s="4"/>
      <c r="AR119" s="4"/>
      <c r="AS119" s="76" t="str">
        <f>"COMMENT ON COLUMN "&amp;エンティティ一覧!$O$2&amp;"."&amp;D$8&amp;"."&amp;D119&amp;" IS '"&amp;C119&amp;"';"</f>
        <v>COMMENT ON COLUMN milscm_2023_010.azn_202310_backup_merge_dpc_hn.ass0060_blood_products_kanri IS '輸血や血液製剤の管理';</v>
      </c>
      <c r="AT119" s="4"/>
      <c r="AU119" s="4"/>
      <c r="AV119" s="4"/>
      <c r="AW119" s="4"/>
      <c r="AX119" s="4"/>
      <c r="AY119" s="4"/>
      <c r="AZ119" s="4"/>
    </row>
    <row r="120" spans="1:52" s="25" customFormat="1" ht="31.5">
      <c r="A120" s="4"/>
      <c r="B120" s="21">
        <f t="shared" si="2"/>
        <v>108</v>
      </c>
      <c r="C120" s="6" t="s">
        <v>455</v>
      </c>
      <c r="D120" s="6" t="s">
        <v>500</v>
      </c>
      <c r="E120" s="8"/>
      <c r="F120" s="7" t="s">
        <v>316</v>
      </c>
      <c r="G120" s="7" t="str">
        <f t="shared" si="3"/>
        <v>text</v>
      </c>
      <c r="H120" s="26"/>
      <c r="I120" s="10"/>
      <c r="J120" s="11" t="s">
        <v>543</v>
      </c>
      <c r="L120" s="4"/>
      <c r="M120" s="4"/>
      <c r="N120" s="76"/>
      <c r="O120" s="76"/>
      <c r="P120" s="76" t="str">
        <f t="shared" si="12"/>
        <v>,ass0060_hai_domyaku_sokutei</v>
      </c>
      <c r="Q120" s="76" t="str">
        <f t="shared" si="13"/>
        <v>TEXT</v>
      </c>
      <c r="R120" s="76" t="str">
        <f t="shared" si="14"/>
        <v/>
      </c>
      <c r="S120" s="76" t="str">
        <f t="shared" si="15"/>
        <v/>
      </c>
      <c r="T120" s="76" t="str">
        <f t="shared" si="16"/>
        <v>-- 肺動脈圧測定（スワンガンツカテーテル）</v>
      </c>
      <c r="U120" s="4"/>
      <c r="AA120" s="4"/>
      <c r="AB120" s="4"/>
      <c r="AC120" s="4"/>
      <c r="AD120" s="4"/>
      <c r="AE120" s="4"/>
      <c r="AF120" s="4"/>
      <c r="AG120" s="4"/>
      <c r="AH120" s="4"/>
      <c r="AI120" s="4"/>
      <c r="AJ120" s="76" t="str">
        <f>IF(E120="○",IF(COUNTA(E$13:E120)=1,"",",")&amp;D120,"")</f>
        <v/>
      </c>
      <c r="AK120" s="4"/>
      <c r="AL120" s="4"/>
      <c r="AM120" s="4"/>
      <c r="AN120" s="4"/>
      <c r="AO120" s="4"/>
      <c r="AP120" s="4"/>
      <c r="AQ120" s="4"/>
      <c r="AR120" s="4"/>
      <c r="AS120" s="76" t="str">
        <f>"COMMENT ON COLUMN "&amp;エンティティ一覧!$O$2&amp;"."&amp;D$8&amp;"."&amp;D120&amp;" IS '"&amp;C120&amp;"';"</f>
        <v>COMMENT ON COLUMN milscm_2023_010.azn_202310_backup_merge_dpc_hn.ass0060_hai_domyaku_sokutei IS '肺動脈圧測定（スワンガンツカテーテル）';</v>
      </c>
      <c r="AT120" s="4"/>
      <c r="AU120" s="4"/>
      <c r="AV120" s="4"/>
      <c r="AW120" s="4"/>
      <c r="AX120" s="4"/>
      <c r="AY120" s="4"/>
      <c r="AZ120" s="4"/>
    </row>
    <row r="121" spans="1:52" s="25" customFormat="1">
      <c r="A121" s="4"/>
      <c r="B121" s="21">
        <f t="shared" si="2"/>
        <v>109</v>
      </c>
      <c r="C121" s="13" t="s">
        <v>457</v>
      </c>
      <c r="D121" s="13" t="s">
        <v>501</v>
      </c>
      <c r="E121" s="7"/>
      <c r="F121" s="7" t="s">
        <v>316</v>
      </c>
      <c r="G121" s="7" t="str">
        <f t="shared" si="3"/>
        <v>text</v>
      </c>
      <c r="H121" s="58"/>
      <c r="I121" s="23"/>
      <c r="J121" s="24" t="s">
        <v>543</v>
      </c>
      <c r="L121" s="4"/>
      <c r="M121" s="4"/>
      <c r="N121" s="76"/>
      <c r="O121" s="76"/>
      <c r="P121" s="76" t="str">
        <f t="shared" si="12"/>
        <v>,ass0060_special_chiryo</v>
      </c>
      <c r="Q121" s="76" t="str">
        <f t="shared" si="13"/>
        <v>TEXT</v>
      </c>
      <c r="R121" s="76" t="str">
        <f t="shared" si="14"/>
        <v/>
      </c>
      <c r="S121" s="76" t="str">
        <f t="shared" si="15"/>
        <v/>
      </c>
      <c r="T121" s="76" t="str">
        <f t="shared" si="16"/>
        <v>-- 特殊な治療法等</v>
      </c>
      <c r="U121" s="4"/>
      <c r="AA121" s="4"/>
      <c r="AB121" s="4"/>
      <c r="AC121" s="4"/>
      <c r="AD121" s="4"/>
      <c r="AE121" s="4"/>
      <c r="AF121" s="4"/>
      <c r="AG121" s="4"/>
      <c r="AH121" s="4"/>
      <c r="AI121" s="4"/>
      <c r="AJ121" s="76" t="str">
        <f>IF(E121="○",IF(COUNTA(E$13:E121)=1,"",",")&amp;D121,"")</f>
        <v/>
      </c>
      <c r="AK121" s="4"/>
      <c r="AL121" s="4"/>
      <c r="AM121" s="4"/>
      <c r="AN121" s="4"/>
      <c r="AO121" s="4"/>
      <c r="AP121" s="4"/>
      <c r="AQ121" s="4"/>
      <c r="AR121" s="4"/>
      <c r="AS121" s="76" t="str">
        <f>"COMMENT ON COLUMN "&amp;エンティティ一覧!$O$2&amp;"."&amp;D$8&amp;"."&amp;D121&amp;" IS '"&amp;C121&amp;"';"</f>
        <v>COMMENT ON COLUMN milscm_2023_010.azn_202310_backup_merge_dpc_hn.ass0060_special_chiryo IS '特殊な治療法等';</v>
      </c>
      <c r="AT121" s="4"/>
      <c r="AU121" s="4"/>
      <c r="AV121" s="4"/>
      <c r="AW121" s="4"/>
      <c r="AX121" s="4"/>
      <c r="AY121" s="4"/>
      <c r="AZ121" s="4"/>
    </row>
    <row r="122" spans="1:52" s="25" customFormat="1" ht="168.75">
      <c r="A122" s="4"/>
      <c r="B122" s="21">
        <f t="shared" si="2"/>
        <v>110</v>
      </c>
      <c r="C122" s="6" t="s">
        <v>363</v>
      </c>
      <c r="D122" s="6" t="s">
        <v>502</v>
      </c>
      <c r="E122" s="8"/>
      <c r="F122" s="7" t="s">
        <v>316</v>
      </c>
      <c r="G122" s="7" t="str">
        <f t="shared" si="3"/>
        <v>text</v>
      </c>
      <c r="H122" s="26"/>
      <c r="I122" s="10"/>
      <c r="J122" s="11" t="s">
        <v>542</v>
      </c>
      <c r="L122" s="4"/>
      <c r="M122" s="4"/>
      <c r="N122" s="76"/>
      <c r="O122" s="76"/>
      <c r="P122" s="76" t="str">
        <f t="shared" si="12"/>
        <v>,ass0061_sosho_shochi</v>
      </c>
      <c r="Q122" s="76" t="str">
        <f t="shared" si="13"/>
        <v>TEXT</v>
      </c>
      <c r="R122" s="76" t="str">
        <f t="shared" si="14"/>
        <v/>
      </c>
      <c r="S122" s="76" t="str">
        <f t="shared" si="15"/>
        <v/>
      </c>
      <c r="T122" s="76" t="str">
        <f t="shared" si="16"/>
        <v>-- 創傷処置</v>
      </c>
      <c r="U122" s="4"/>
      <c r="AA122" s="4"/>
      <c r="AB122" s="4"/>
      <c r="AC122" s="4"/>
      <c r="AD122" s="4"/>
      <c r="AE122" s="4"/>
      <c r="AF122" s="4"/>
      <c r="AG122" s="4"/>
      <c r="AH122" s="4"/>
      <c r="AI122" s="4"/>
      <c r="AJ122" s="76" t="str">
        <f>IF(E122="○",IF(COUNTA(E$13:E122)=1,"",",")&amp;D122,"")</f>
        <v/>
      </c>
      <c r="AK122" s="4"/>
      <c r="AL122" s="4"/>
      <c r="AM122" s="4"/>
      <c r="AN122" s="4"/>
      <c r="AO122" s="4"/>
      <c r="AP122" s="4"/>
      <c r="AQ122" s="4"/>
      <c r="AR122" s="4"/>
      <c r="AS122" s="76" t="str">
        <f>"COMMENT ON COLUMN "&amp;エンティティ一覧!$O$2&amp;"."&amp;D$8&amp;"."&amp;D122&amp;" IS '"&amp;C122&amp;"';"</f>
        <v>COMMENT ON COLUMN milscm_2023_010.azn_202310_backup_merge_dpc_hn.ass0061_sosho_shochi IS '創傷処置';</v>
      </c>
      <c r="AT122" s="4"/>
      <c r="AU122" s="4"/>
      <c r="AV122" s="4"/>
      <c r="AW122" s="4"/>
      <c r="AX122" s="4"/>
      <c r="AY122" s="4"/>
      <c r="AZ122" s="4"/>
    </row>
    <row r="123" spans="1:52" s="25" customFormat="1">
      <c r="A123" s="4"/>
      <c r="B123" s="21">
        <f t="shared" si="2"/>
        <v>111</v>
      </c>
      <c r="C123" s="13" t="s">
        <v>489</v>
      </c>
      <c r="D123" s="13" t="s">
        <v>503</v>
      </c>
      <c r="E123" s="7"/>
      <c r="F123" s="7" t="s">
        <v>316</v>
      </c>
      <c r="G123" s="7" t="str">
        <f t="shared" si="3"/>
        <v>text</v>
      </c>
      <c r="H123" s="58"/>
      <c r="I123" s="23"/>
      <c r="J123" s="24" t="s">
        <v>543</v>
      </c>
      <c r="L123" s="4"/>
      <c r="M123" s="4"/>
      <c r="N123" s="76"/>
      <c r="O123" s="76"/>
      <c r="P123" s="76" t="str">
        <f t="shared" si="12"/>
        <v>,ass0061_sosei</v>
      </c>
      <c r="Q123" s="76" t="str">
        <f t="shared" si="13"/>
        <v>TEXT</v>
      </c>
      <c r="R123" s="76" t="str">
        <f t="shared" si="14"/>
        <v/>
      </c>
      <c r="S123" s="76" t="str">
        <f t="shared" si="15"/>
        <v/>
      </c>
      <c r="T123" s="76" t="str">
        <f t="shared" si="16"/>
        <v>-- 蘇生術の施行</v>
      </c>
      <c r="U123" s="4"/>
      <c r="AA123" s="4"/>
      <c r="AB123" s="4"/>
      <c r="AC123" s="4"/>
      <c r="AD123" s="4"/>
      <c r="AE123" s="4"/>
      <c r="AF123" s="4"/>
      <c r="AG123" s="4"/>
      <c r="AH123" s="4"/>
      <c r="AI123" s="4"/>
      <c r="AJ123" s="76" t="str">
        <f>IF(E123="○",IF(COUNTA(E$13:E123)=1,"",",")&amp;D123,"")</f>
        <v/>
      </c>
      <c r="AK123" s="4"/>
      <c r="AL123" s="4"/>
      <c r="AM123" s="4"/>
      <c r="AN123" s="4"/>
      <c r="AO123" s="4"/>
      <c r="AP123" s="4"/>
      <c r="AQ123" s="4"/>
      <c r="AR123" s="4"/>
      <c r="AS123" s="76" t="str">
        <f>"COMMENT ON COLUMN "&amp;エンティティ一覧!$O$2&amp;"."&amp;D$8&amp;"."&amp;D123&amp;" IS '"&amp;C123&amp;"';"</f>
        <v>COMMENT ON COLUMN milscm_2023_010.azn_202310_backup_merge_dpc_hn.ass0061_sosei IS '蘇生術の施行';</v>
      </c>
      <c r="AT123" s="4"/>
      <c r="AU123" s="4"/>
      <c r="AV123" s="4"/>
      <c r="AW123" s="4"/>
      <c r="AX123" s="4"/>
      <c r="AY123" s="4"/>
      <c r="AZ123" s="4"/>
    </row>
    <row r="124" spans="1:52" s="25" customFormat="1" ht="31.5">
      <c r="A124" s="4"/>
      <c r="B124" s="21">
        <f t="shared" si="2"/>
        <v>112</v>
      </c>
      <c r="C124" s="13" t="s">
        <v>504</v>
      </c>
      <c r="D124" s="13" t="s">
        <v>505</v>
      </c>
      <c r="E124" s="7"/>
      <c r="F124" s="7" t="s">
        <v>316</v>
      </c>
      <c r="G124" s="7" t="str">
        <f t="shared" si="3"/>
        <v>text</v>
      </c>
      <c r="H124" s="58"/>
      <c r="I124" s="23"/>
      <c r="J124" s="24" t="s">
        <v>543</v>
      </c>
      <c r="L124" s="4"/>
      <c r="M124" s="4"/>
      <c r="N124" s="76"/>
      <c r="O124" s="76"/>
      <c r="P124" s="76" t="str">
        <f t="shared" si="12"/>
        <v>,ass0061_kokyu_care_respirator_trim</v>
      </c>
      <c r="Q124" s="76" t="str">
        <f t="shared" si="13"/>
        <v>TEXT</v>
      </c>
      <c r="R124" s="76" t="str">
        <f t="shared" si="14"/>
        <v/>
      </c>
      <c r="S124" s="76" t="str">
        <f t="shared" si="15"/>
        <v/>
      </c>
      <c r="T124" s="76" t="str">
        <f t="shared" si="16"/>
        <v>-- 呼吸ケア（喀痰吸引のみの場合及び人工呼吸器の装着の場合を除く）</v>
      </c>
      <c r="U124" s="4"/>
      <c r="AA124" s="4"/>
      <c r="AB124" s="4"/>
      <c r="AC124" s="4"/>
      <c r="AD124" s="4"/>
      <c r="AE124" s="4"/>
      <c r="AF124" s="4"/>
      <c r="AG124" s="4"/>
      <c r="AH124" s="4"/>
      <c r="AI124" s="4"/>
      <c r="AJ124" s="76" t="str">
        <f>IF(E124="○",IF(COUNTA(E$13:E124)=1,"",",")&amp;D124,"")</f>
        <v/>
      </c>
      <c r="AK124" s="4"/>
      <c r="AL124" s="4"/>
      <c r="AM124" s="4"/>
      <c r="AN124" s="4"/>
      <c r="AO124" s="4"/>
      <c r="AP124" s="4"/>
      <c r="AQ124" s="4"/>
      <c r="AR124" s="4"/>
      <c r="AS124" s="76" t="str">
        <f>"COMMENT ON COLUMN "&amp;エンティティ一覧!$O$2&amp;"."&amp;D$8&amp;"."&amp;D124&amp;" IS '"&amp;C124&amp;"';"</f>
        <v>COMMENT ON COLUMN milscm_2023_010.azn_202310_backup_merge_dpc_hn.ass0061_kokyu_care_respirator_trim IS '呼吸ケア（喀痰吸引のみの場合及び人工呼吸器の装着の場合を除く）';</v>
      </c>
      <c r="AT124" s="4"/>
      <c r="AU124" s="4"/>
      <c r="AV124" s="4"/>
      <c r="AW124" s="4"/>
      <c r="AX124" s="4"/>
      <c r="AY124" s="4"/>
      <c r="AZ124" s="4"/>
    </row>
    <row r="125" spans="1:52" s="25" customFormat="1">
      <c r="A125" s="4"/>
      <c r="B125" s="21">
        <f t="shared" si="2"/>
        <v>113</v>
      </c>
      <c r="C125" s="6" t="s">
        <v>506</v>
      </c>
      <c r="D125" s="6" t="s">
        <v>507</v>
      </c>
      <c r="E125" s="8"/>
      <c r="F125" s="7" t="s">
        <v>316</v>
      </c>
      <c r="G125" s="7" t="str">
        <f t="shared" si="3"/>
        <v>text</v>
      </c>
      <c r="H125" s="26"/>
      <c r="I125" s="10"/>
      <c r="J125" s="11" t="s">
        <v>543</v>
      </c>
      <c r="L125" s="4"/>
      <c r="M125" s="4"/>
      <c r="N125" s="76"/>
      <c r="O125" s="76"/>
      <c r="P125" s="76" t="str">
        <f t="shared" si="12"/>
        <v>,ass0061_tenteki_kanri</v>
      </c>
      <c r="Q125" s="76" t="str">
        <f t="shared" si="13"/>
        <v>TEXT</v>
      </c>
      <c r="R125" s="76" t="str">
        <f t="shared" si="14"/>
        <v/>
      </c>
      <c r="S125" s="76" t="str">
        <f t="shared" si="15"/>
        <v/>
      </c>
      <c r="T125" s="76" t="str">
        <f t="shared" si="16"/>
        <v>-- 点滴ライン同時３本以上の管理</v>
      </c>
      <c r="U125" s="4"/>
      <c r="AA125" s="4"/>
      <c r="AB125" s="4"/>
      <c r="AC125" s="4"/>
      <c r="AD125" s="4"/>
      <c r="AE125" s="4"/>
      <c r="AF125" s="4"/>
      <c r="AG125" s="4"/>
      <c r="AH125" s="4"/>
      <c r="AI125" s="4"/>
      <c r="AJ125" s="76" t="str">
        <f>IF(E125="○",IF(COUNTA(E$13:E125)=1,"",",")&amp;D125,"")</f>
        <v/>
      </c>
      <c r="AK125" s="4"/>
      <c r="AL125" s="4"/>
      <c r="AM125" s="4"/>
      <c r="AN125" s="4"/>
      <c r="AO125" s="4"/>
      <c r="AP125" s="4"/>
      <c r="AQ125" s="4"/>
      <c r="AR125" s="4"/>
      <c r="AS125" s="76" t="str">
        <f>"COMMENT ON COLUMN "&amp;エンティティ一覧!$O$2&amp;"."&amp;D$8&amp;"."&amp;D125&amp;" IS '"&amp;C125&amp;"';"</f>
        <v>COMMENT ON COLUMN milscm_2023_010.azn_202310_backup_merge_dpc_hn.ass0061_tenteki_kanri IS '点滴ライン同時３本以上の管理';</v>
      </c>
      <c r="AT125" s="4"/>
      <c r="AU125" s="4"/>
      <c r="AV125" s="4"/>
      <c r="AW125" s="4"/>
      <c r="AX125" s="4"/>
      <c r="AY125" s="4"/>
      <c r="AZ125" s="4"/>
    </row>
    <row r="126" spans="1:52" s="25" customFormat="1">
      <c r="A126" s="4"/>
      <c r="B126" s="21">
        <f t="shared" si="2"/>
        <v>114</v>
      </c>
      <c r="C126" s="13" t="s">
        <v>369</v>
      </c>
      <c r="D126" s="13" t="s">
        <v>508</v>
      </c>
      <c r="E126" s="7"/>
      <c r="F126" s="7" t="s">
        <v>316</v>
      </c>
      <c r="G126" s="7" t="str">
        <f t="shared" si="3"/>
        <v>text</v>
      </c>
      <c r="H126" s="58"/>
      <c r="I126" s="23"/>
      <c r="J126" s="24" t="s">
        <v>543</v>
      </c>
      <c r="L126" s="4"/>
      <c r="M126" s="4"/>
      <c r="N126" s="76"/>
      <c r="O126" s="76"/>
      <c r="P126" s="76" t="str">
        <f t="shared" si="12"/>
        <v>,ass0061_shindenzu_kanri</v>
      </c>
      <c r="Q126" s="76" t="str">
        <f t="shared" si="13"/>
        <v>TEXT</v>
      </c>
      <c r="R126" s="76" t="str">
        <f t="shared" si="14"/>
        <v/>
      </c>
      <c r="S126" s="76" t="str">
        <f t="shared" si="15"/>
        <v/>
      </c>
      <c r="T126" s="76" t="str">
        <f t="shared" si="16"/>
        <v>-- 心電図モニターの管理</v>
      </c>
      <c r="U126" s="4"/>
      <c r="AA126" s="4"/>
      <c r="AB126" s="4"/>
      <c r="AC126" s="4"/>
      <c r="AD126" s="4"/>
      <c r="AE126" s="4"/>
      <c r="AF126" s="4"/>
      <c r="AG126" s="4"/>
      <c r="AH126" s="4"/>
      <c r="AI126" s="4"/>
      <c r="AJ126" s="76" t="str">
        <f>IF(E126="○",IF(COUNTA(E$13:E126)=1,"",",")&amp;D126,"")</f>
        <v/>
      </c>
      <c r="AK126" s="4"/>
      <c r="AL126" s="4"/>
      <c r="AM126" s="4"/>
      <c r="AN126" s="4"/>
      <c r="AO126" s="4"/>
      <c r="AP126" s="4"/>
      <c r="AQ126" s="4"/>
      <c r="AR126" s="4"/>
      <c r="AS126" s="76" t="str">
        <f>"COMMENT ON COLUMN "&amp;エンティティ一覧!$O$2&amp;"."&amp;D$8&amp;"."&amp;D126&amp;" IS '"&amp;C126&amp;"';"</f>
        <v>COMMENT ON COLUMN milscm_2023_010.azn_202310_backup_merge_dpc_hn.ass0061_shindenzu_kanri IS '心電図モニターの管理';</v>
      </c>
      <c r="AT126" s="4"/>
      <c r="AU126" s="4"/>
      <c r="AV126" s="4"/>
      <c r="AW126" s="4"/>
      <c r="AX126" s="4"/>
      <c r="AY126" s="4"/>
      <c r="AZ126" s="4"/>
    </row>
    <row r="127" spans="1:52" s="25" customFormat="1" ht="31.5">
      <c r="A127" s="4"/>
      <c r="B127" s="21">
        <f t="shared" si="2"/>
        <v>115</v>
      </c>
      <c r="C127" s="13" t="s">
        <v>445</v>
      </c>
      <c r="D127" s="13" t="s">
        <v>509</v>
      </c>
      <c r="E127" s="7"/>
      <c r="F127" s="7" t="s">
        <v>316</v>
      </c>
      <c r="G127" s="7" t="str">
        <f t="shared" si="3"/>
        <v>text</v>
      </c>
      <c r="H127" s="58"/>
      <c r="I127" s="23"/>
      <c r="J127" s="24" t="s">
        <v>543</v>
      </c>
      <c r="L127" s="4"/>
      <c r="M127" s="4"/>
      <c r="N127" s="76"/>
      <c r="O127" s="76"/>
      <c r="P127" s="76" t="str">
        <f t="shared" si="12"/>
        <v>,ass0061_yueki_pump_kanri</v>
      </c>
      <c r="Q127" s="76" t="str">
        <f t="shared" si="13"/>
        <v>TEXT</v>
      </c>
      <c r="R127" s="76" t="str">
        <f t="shared" si="14"/>
        <v/>
      </c>
      <c r="S127" s="76" t="str">
        <f t="shared" si="15"/>
        <v/>
      </c>
      <c r="T127" s="76" t="str">
        <f t="shared" si="16"/>
        <v>-- 輸液ポンプの管理</v>
      </c>
      <c r="U127" s="4"/>
      <c r="AA127" s="4"/>
      <c r="AB127" s="4"/>
      <c r="AC127" s="4"/>
      <c r="AD127" s="4"/>
      <c r="AE127" s="4"/>
      <c r="AF127" s="4"/>
      <c r="AG127" s="4"/>
      <c r="AH127" s="4"/>
      <c r="AI127" s="4"/>
      <c r="AJ127" s="76" t="str">
        <f>IF(E127="○",IF(COUNTA(E$13:E127)=1,"",",")&amp;D127,"")</f>
        <v/>
      </c>
      <c r="AK127" s="4"/>
      <c r="AL127" s="4"/>
      <c r="AM127" s="4"/>
      <c r="AN127" s="4"/>
      <c r="AO127" s="4"/>
      <c r="AP127" s="4"/>
      <c r="AQ127" s="4"/>
      <c r="AR127" s="4"/>
      <c r="AS127" s="76" t="str">
        <f>"COMMENT ON COLUMN "&amp;エンティティ一覧!$O$2&amp;"."&amp;D$8&amp;"."&amp;D127&amp;" IS '"&amp;C127&amp;"';"</f>
        <v>COMMENT ON COLUMN milscm_2023_010.azn_202310_backup_merge_dpc_hn.ass0061_yueki_pump_kanri IS '輸液ポンプの管理';</v>
      </c>
      <c r="AT127" s="4"/>
      <c r="AU127" s="4"/>
      <c r="AV127" s="4"/>
      <c r="AW127" s="4"/>
      <c r="AX127" s="4"/>
      <c r="AY127" s="4"/>
      <c r="AZ127" s="4"/>
    </row>
    <row r="128" spans="1:52" s="25" customFormat="1">
      <c r="A128" s="4"/>
      <c r="B128" s="21">
        <f t="shared" si="2"/>
        <v>116</v>
      </c>
      <c r="C128" s="13" t="s">
        <v>447</v>
      </c>
      <c r="D128" s="13" t="s">
        <v>510</v>
      </c>
      <c r="E128" s="7"/>
      <c r="F128" s="7" t="s">
        <v>316</v>
      </c>
      <c r="G128" s="7" t="str">
        <f t="shared" si="3"/>
        <v>text</v>
      </c>
      <c r="H128" s="58"/>
      <c r="I128" s="23"/>
      <c r="J128" s="24" t="s">
        <v>543</v>
      </c>
      <c r="L128" s="4"/>
      <c r="M128" s="4"/>
      <c r="N128" s="76"/>
      <c r="O128" s="76"/>
      <c r="P128" s="76" t="str">
        <f t="shared" si="12"/>
        <v>,ass0061_domyaku_sokutei</v>
      </c>
      <c r="Q128" s="76" t="str">
        <f t="shared" si="13"/>
        <v>TEXT</v>
      </c>
      <c r="R128" s="76" t="str">
        <f t="shared" si="14"/>
        <v/>
      </c>
      <c r="S128" s="76" t="str">
        <f t="shared" si="15"/>
        <v/>
      </c>
      <c r="T128" s="76" t="str">
        <f t="shared" si="16"/>
        <v>-- 動脈圧測定（動脈ライン）</v>
      </c>
      <c r="U128" s="4"/>
      <c r="AA128" s="4"/>
      <c r="AB128" s="4"/>
      <c r="AC128" s="4"/>
      <c r="AD128" s="4"/>
      <c r="AE128" s="4"/>
      <c r="AF128" s="4"/>
      <c r="AG128" s="4"/>
      <c r="AH128" s="4"/>
      <c r="AI128" s="4"/>
      <c r="AJ128" s="76" t="str">
        <f>IF(E128="○",IF(COUNTA(E$13:E128)=1,"",",")&amp;D128,"")</f>
        <v/>
      </c>
      <c r="AK128" s="4"/>
      <c r="AL128" s="4"/>
      <c r="AM128" s="4"/>
      <c r="AN128" s="4"/>
      <c r="AO128" s="4"/>
      <c r="AP128" s="4"/>
      <c r="AQ128" s="4"/>
      <c r="AR128" s="4"/>
      <c r="AS128" s="76" t="str">
        <f>"COMMENT ON COLUMN "&amp;エンティティ一覧!$O$2&amp;"."&amp;D$8&amp;"."&amp;D128&amp;" IS '"&amp;C128&amp;"';"</f>
        <v>COMMENT ON COLUMN milscm_2023_010.azn_202310_backup_merge_dpc_hn.ass0061_domyaku_sokutei IS '動脈圧測定（動脈ライン）';</v>
      </c>
      <c r="AT128" s="4"/>
      <c r="AU128" s="4"/>
      <c r="AV128" s="4"/>
      <c r="AW128" s="4"/>
      <c r="AX128" s="4"/>
      <c r="AY128" s="4"/>
      <c r="AZ128" s="4"/>
    </row>
    <row r="129" spans="1:52" s="25" customFormat="1" ht="31.5">
      <c r="A129" s="4"/>
      <c r="B129" s="21">
        <f t="shared" si="2"/>
        <v>117</v>
      </c>
      <c r="C129" s="6" t="s">
        <v>371</v>
      </c>
      <c r="D129" s="6" t="s">
        <v>511</v>
      </c>
      <c r="E129" s="8"/>
      <c r="F129" s="7" t="s">
        <v>316</v>
      </c>
      <c r="G129" s="7" t="str">
        <f t="shared" si="3"/>
        <v>text</v>
      </c>
      <c r="H129" s="26"/>
      <c r="I129" s="10"/>
      <c r="J129" s="11" t="s">
        <v>543</v>
      </c>
      <c r="L129" s="4"/>
      <c r="M129" s="4"/>
      <c r="N129" s="76"/>
      <c r="O129" s="76"/>
      <c r="P129" s="76" t="str">
        <f t="shared" si="12"/>
        <v>,ass0061_syringe_pump_kanri</v>
      </c>
      <c r="Q129" s="76" t="str">
        <f t="shared" si="13"/>
        <v>TEXT</v>
      </c>
      <c r="R129" s="76" t="str">
        <f t="shared" si="14"/>
        <v/>
      </c>
      <c r="S129" s="76" t="str">
        <f t="shared" si="15"/>
        <v/>
      </c>
      <c r="T129" s="76" t="str">
        <f t="shared" si="16"/>
        <v>-- シリンジポンプの管理</v>
      </c>
      <c r="U129" s="4"/>
      <c r="AA129" s="4"/>
      <c r="AB129" s="4"/>
      <c r="AC129" s="4"/>
      <c r="AD129" s="4"/>
      <c r="AE129" s="4"/>
      <c r="AF129" s="4"/>
      <c r="AG129" s="4"/>
      <c r="AH129" s="4"/>
      <c r="AI129" s="4"/>
      <c r="AJ129" s="76" t="str">
        <f>IF(E129="○",IF(COUNTA(E$13:E129)=1,"",",")&amp;D129,"")</f>
        <v/>
      </c>
      <c r="AK129" s="4"/>
      <c r="AL129" s="4"/>
      <c r="AM129" s="4"/>
      <c r="AN129" s="4"/>
      <c r="AO129" s="4"/>
      <c r="AP129" s="4"/>
      <c r="AQ129" s="4"/>
      <c r="AR129" s="4"/>
      <c r="AS129" s="76" t="str">
        <f>"COMMENT ON COLUMN "&amp;エンティティ一覧!$O$2&amp;"."&amp;D$8&amp;"."&amp;D129&amp;" IS '"&amp;C129&amp;"';"</f>
        <v>COMMENT ON COLUMN milscm_2023_010.azn_202310_backup_merge_dpc_hn.ass0061_syringe_pump_kanri IS 'シリンジポンプの管理';</v>
      </c>
      <c r="AT129" s="4"/>
      <c r="AU129" s="4"/>
      <c r="AV129" s="4"/>
      <c r="AW129" s="4"/>
      <c r="AX129" s="4"/>
      <c r="AY129" s="4"/>
      <c r="AZ129" s="4"/>
    </row>
    <row r="130" spans="1:52" s="25" customFormat="1" ht="31.5">
      <c r="A130" s="4"/>
      <c r="B130" s="21">
        <f t="shared" si="2"/>
        <v>118</v>
      </c>
      <c r="C130" s="13" t="s">
        <v>450</v>
      </c>
      <c r="D130" s="13" t="s">
        <v>512</v>
      </c>
      <c r="E130" s="7"/>
      <c r="F130" s="7" t="s">
        <v>316</v>
      </c>
      <c r="G130" s="7" t="str">
        <f t="shared" si="3"/>
        <v>text</v>
      </c>
      <c r="H130" s="58"/>
      <c r="I130" s="23"/>
      <c r="J130" s="24" t="s">
        <v>543</v>
      </c>
      <c r="L130" s="4"/>
      <c r="M130" s="4"/>
      <c r="N130" s="76"/>
      <c r="O130" s="76"/>
      <c r="P130" s="76" t="str">
        <f t="shared" si="12"/>
        <v>,ass0061_jomyaku_sokutei</v>
      </c>
      <c r="Q130" s="76" t="str">
        <f t="shared" si="13"/>
        <v>TEXT</v>
      </c>
      <c r="R130" s="76" t="str">
        <f t="shared" si="14"/>
        <v/>
      </c>
      <c r="S130" s="76" t="str">
        <f t="shared" si="15"/>
        <v/>
      </c>
      <c r="T130" s="76" t="str">
        <f t="shared" si="16"/>
        <v>-- 中心静脈圧測定（中心静脈ライン）</v>
      </c>
      <c r="U130" s="4"/>
      <c r="AA130" s="4"/>
      <c r="AB130" s="4"/>
      <c r="AC130" s="4"/>
      <c r="AD130" s="4"/>
      <c r="AE130" s="4"/>
      <c r="AF130" s="4"/>
      <c r="AG130" s="4"/>
      <c r="AH130" s="4"/>
      <c r="AI130" s="4"/>
      <c r="AJ130" s="76" t="str">
        <f>IF(E130="○",IF(COUNTA(E$13:E130)=1,"",",")&amp;D130,"")</f>
        <v/>
      </c>
      <c r="AK130" s="4"/>
      <c r="AL130" s="4"/>
      <c r="AM130" s="4"/>
      <c r="AN130" s="4"/>
      <c r="AO130" s="4"/>
      <c r="AP130" s="4"/>
      <c r="AQ130" s="4"/>
      <c r="AR130" s="4"/>
      <c r="AS130" s="76" t="str">
        <f>"COMMENT ON COLUMN "&amp;エンティティ一覧!$O$2&amp;"."&amp;D$8&amp;"."&amp;D130&amp;" IS '"&amp;C130&amp;"';"</f>
        <v>COMMENT ON COLUMN milscm_2023_010.azn_202310_backup_merge_dpc_hn.ass0061_jomyaku_sokutei IS '中心静脈圧測定（中心静脈ライン）';</v>
      </c>
      <c r="AT130" s="4"/>
      <c r="AU130" s="4"/>
      <c r="AV130" s="4"/>
      <c r="AW130" s="4"/>
      <c r="AX130" s="4"/>
      <c r="AY130" s="4"/>
      <c r="AZ130" s="4"/>
    </row>
    <row r="131" spans="1:52" s="25" customFormat="1" ht="31.5">
      <c r="A131" s="4"/>
      <c r="B131" s="21">
        <f t="shared" si="2"/>
        <v>119</v>
      </c>
      <c r="C131" s="6" t="s">
        <v>464</v>
      </c>
      <c r="D131" s="6" t="s">
        <v>513</v>
      </c>
      <c r="E131" s="8"/>
      <c r="F131" s="7" t="s">
        <v>316</v>
      </c>
      <c r="G131" s="7" t="str">
        <f t="shared" si="3"/>
        <v>text</v>
      </c>
      <c r="H131" s="26"/>
      <c r="I131" s="10"/>
      <c r="J131" s="11" t="s">
        <v>543</v>
      </c>
      <c r="L131" s="4"/>
      <c r="M131" s="4"/>
      <c r="N131" s="76"/>
      <c r="O131" s="76"/>
      <c r="P131" s="76" t="str">
        <f t="shared" si="12"/>
        <v>,ass0061_jinko_kokyuki_kanri</v>
      </c>
      <c r="Q131" s="76" t="str">
        <f t="shared" si="13"/>
        <v>TEXT</v>
      </c>
      <c r="R131" s="76" t="str">
        <f t="shared" si="14"/>
        <v/>
      </c>
      <c r="S131" s="76" t="str">
        <f t="shared" si="15"/>
        <v/>
      </c>
      <c r="T131" s="76" t="str">
        <f t="shared" si="16"/>
        <v>-- 人工呼吸器の管理</v>
      </c>
      <c r="U131" s="4"/>
      <c r="AA131" s="4"/>
      <c r="AB131" s="4"/>
      <c r="AC131" s="4"/>
      <c r="AD131" s="4"/>
      <c r="AE131" s="4"/>
      <c r="AF131" s="4"/>
      <c r="AG131" s="4"/>
      <c r="AH131" s="4"/>
      <c r="AI131" s="4"/>
      <c r="AJ131" s="76" t="str">
        <f>IF(E131="○",IF(COUNTA(E$13:E131)=1,"",",")&amp;D131,"")</f>
        <v/>
      </c>
      <c r="AK131" s="4"/>
      <c r="AL131" s="4"/>
      <c r="AM131" s="4"/>
      <c r="AN131" s="4"/>
      <c r="AO131" s="4"/>
      <c r="AP131" s="4"/>
      <c r="AQ131" s="4"/>
      <c r="AR131" s="4"/>
      <c r="AS131" s="76" t="str">
        <f>"COMMENT ON COLUMN "&amp;エンティティ一覧!$O$2&amp;"."&amp;D$8&amp;"."&amp;D131&amp;" IS '"&amp;C131&amp;"';"</f>
        <v>COMMENT ON COLUMN milscm_2023_010.azn_202310_backup_merge_dpc_hn.ass0061_jinko_kokyuki_kanri IS '人工呼吸器の管理';</v>
      </c>
      <c r="AT131" s="4"/>
      <c r="AU131" s="4"/>
      <c r="AV131" s="4"/>
      <c r="AW131" s="4"/>
      <c r="AX131" s="4"/>
      <c r="AY131" s="4"/>
      <c r="AZ131" s="4"/>
    </row>
    <row r="132" spans="1:52" s="25" customFormat="1" ht="31.5">
      <c r="A132" s="4"/>
      <c r="B132" s="21">
        <f t="shared" si="2"/>
        <v>120</v>
      </c>
      <c r="C132" s="13" t="s">
        <v>373</v>
      </c>
      <c r="D132" s="13" t="s">
        <v>514</v>
      </c>
      <c r="E132" s="7"/>
      <c r="F132" s="7" t="s">
        <v>316</v>
      </c>
      <c r="G132" s="7" t="str">
        <f t="shared" si="3"/>
        <v>text</v>
      </c>
      <c r="H132" s="58"/>
      <c r="I132" s="23"/>
      <c r="J132" s="24" t="s">
        <v>543</v>
      </c>
      <c r="L132" s="4"/>
      <c r="M132" s="4"/>
      <c r="N132" s="76"/>
      <c r="O132" s="76"/>
      <c r="P132" s="76" t="str">
        <f t="shared" si="12"/>
        <v>,ass0061_blood_products_kanri</v>
      </c>
      <c r="Q132" s="76" t="str">
        <f t="shared" si="13"/>
        <v>TEXT</v>
      </c>
      <c r="R132" s="76" t="str">
        <f t="shared" si="14"/>
        <v/>
      </c>
      <c r="S132" s="76" t="str">
        <f t="shared" si="15"/>
        <v/>
      </c>
      <c r="T132" s="76" t="str">
        <f t="shared" si="16"/>
        <v>-- 輸血や血液製剤の管理</v>
      </c>
      <c r="U132" s="4"/>
      <c r="AA132" s="4"/>
      <c r="AB132" s="4"/>
      <c r="AC132" s="4"/>
      <c r="AD132" s="4"/>
      <c r="AE132" s="4"/>
      <c r="AF132" s="4"/>
      <c r="AG132" s="4"/>
      <c r="AH132" s="4"/>
      <c r="AI132" s="4"/>
      <c r="AJ132" s="76" t="str">
        <f>IF(E132="○",IF(COUNTA(E$13:E132)=1,"",",")&amp;D132,"")</f>
        <v/>
      </c>
      <c r="AK132" s="4"/>
      <c r="AL132" s="4"/>
      <c r="AM132" s="4"/>
      <c r="AN132" s="4"/>
      <c r="AO132" s="4"/>
      <c r="AP132" s="4"/>
      <c r="AQ132" s="4"/>
      <c r="AR132" s="4"/>
      <c r="AS132" s="76" t="str">
        <f>"COMMENT ON COLUMN "&amp;エンティティ一覧!$O$2&amp;"."&amp;D$8&amp;"."&amp;D132&amp;" IS '"&amp;C132&amp;"';"</f>
        <v>COMMENT ON COLUMN milscm_2023_010.azn_202310_backup_merge_dpc_hn.ass0061_blood_products_kanri IS '輸血や血液製剤の管理';</v>
      </c>
      <c r="AT132" s="4"/>
      <c r="AU132" s="4"/>
      <c r="AV132" s="4"/>
      <c r="AW132" s="4"/>
      <c r="AX132" s="4"/>
      <c r="AY132" s="4"/>
      <c r="AZ132" s="4"/>
    </row>
    <row r="133" spans="1:52" s="25" customFormat="1" ht="31.5">
      <c r="A133" s="4"/>
      <c r="B133" s="21">
        <f t="shared" si="2"/>
        <v>121</v>
      </c>
      <c r="C133" s="6" t="s">
        <v>467</v>
      </c>
      <c r="D133" s="6" t="s">
        <v>515</v>
      </c>
      <c r="E133" s="8"/>
      <c r="F133" s="7" t="s">
        <v>316</v>
      </c>
      <c r="G133" s="7" t="str">
        <f t="shared" si="3"/>
        <v>text</v>
      </c>
      <c r="H133" s="26"/>
      <c r="I133" s="10"/>
      <c r="J133" s="11" t="s">
        <v>543</v>
      </c>
      <c r="L133" s="4"/>
      <c r="M133" s="4"/>
      <c r="N133" s="76"/>
      <c r="O133" s="76"/>
      <c r="P133" s="76" t="str">
        <f t="shared" si="12"/>
        <v>,ass0061_hai_domyaku_sokutei</v>
      </c>
      <c r="Q133" s="76" t="str">
        <f t="shared" si="13"/>
        <v>TEXT</v>
      </c>
      <c r="R133" s="76" t="str">
        <f t="shared" si="14"/>
        <v/>
      </c>
      <c r="S133" s="76" t="str">
        <f t="shared" si="15"/>
        <v/>
      </c>
      <c r="T133" s="76" t="str">
        <f t="shared" si="16"/>
        <v>-- 肺動脈圧測定（スワンガンツカテーテル）</v>
      </c>
      <c r="U133" s="4"/>
      <c r="AA133" s="4"/>
      <c r="AB133" s="4"/>
      <c r="AC133" s="4"/>
      <c r="AD133" s="4"/>
      <c r="AE133" s="4"/>
      <c r="AF133" s="4"/>
      <c r="AG133" s="4"/>
      <c r="AH133" s="4"/>
      <c r="AI133" s="4"/>
      <c r="AJ133" s="76" t="str">
        <f>IF(E133="○",IF(COUNTA(E$13:E133)=1,"",",")&amp;D133,"")</f>
        <v/>
      </c>
      <c r="AK133" s="4"/>
      <c r="AL133" s="4"/>
      <c r="AM133" s="4"/>
      <c r="AN133" s="4"/>
      <c r="AO133" s="4"/>
      <c r="AP133" s="4"/>
      <c r="AQ133" s="4"/>
      <c r="AR133" s="4"/>
      <c r="AS133" s="76" t="str">
        <f>"COMMENT ON COLUMN "&amp;エンティティ一覧!$O$2&amp;"."&amp;D$8&amp;"."&amp;D133&amp;" IS '"&amp;C133&amp;"';"</f>
        <v>COMMENT ON COLUMN milscm_2023_010.azn_202310_backup_merge_dpc_hn.ass0061_hai_domyaku_sokutei IS '肺動脈圧測定（スワンガンツカテーテル）';</v>
      </c>
      <c r="AT133" s="4"/>
      <c r="AU133" s="4"/>
      <c r="AV133" s="4"/>
      <c r="AW133" s="4"/>
      <c r="AX133" s="4"/>
      <c r="AY133" s="4"/>
      <c r="AZ133" s="4"/>
    </row>
    <row r="134" spans="1:52" s="25" customFormat="1">
      <c r="A134" s="4"/>
      <c r="B134" s="21">
        <f t="shared" si="2"/>
        <v>122</v>
      </c>
      <c r="C134" s="13" t="s">
        <v>457</v>
      </c>
      <c r="D134" s="13" t="s">
        <v>516</v>
      </c>
      <c r="E134" s="7"/>
      <c r="F134" s="7" t="s">
        <v>316</v>
      </c>
      <c r="G134" s="7" t="str">
        <f t="shared" si="3"/>
        <v>text</v>
      </c>
      <c r="H134" s="58"/>
      <c r="I134" s="23"/>
      <c r="J134" s="24" t="s">
        <v>543</v>
      </c>
      <c r="L134" s="4"/>
      <c r="M134" s="4"/>
      <c r="N134" s="76"/>
      <c r="O134" s="76"/>
      <c r="P134" s="76" t="str">
        <f t="shared" si="12"/>
        <v>,ass0061_special_chiryo</v>
      </c>
      <c r="Q134" s="76" t="str">
        <f t="shared" si="13"/>
        <v>TEXT</v>
      </c>
      <c r="R134" s="76" t="str">
        <f t="shared" si="14"/>
        <v/>
      </c>
      <c r="S134" s="76" t="str">
        <f t="shared" si="15"/>
        <v/>
      </c>
      <c r="T134" s="76" t="str">
        <f t="shared" si="16"/>
        <v>-- 特殊な治療法等</v>
      </c>
      <c r="U134" s="4"/>
      <c r="AA134" s="4"/>
      <c r="AB134" s="4"/>
      <c r="AC134" s="4"/>
      <c r="AD134" s="4"/>
      <c r="AE134" s="4"/>
      <c r="AF134" s="4"/>
      <c r="AG134" s="4"/>
      <c r="AH134" s="4"/>
      <c r="AI134" s="4"/>
      <c r="AJ134" s="76" t="str">
        <f>IF(E134="○",IF(COUNTA(E$13:E134)=1,"",",")&amp;D134,"")</f>
        <v/>
      </c>
      <c r="AK134" s="4"/>
      <c r="AL134" s="4"/>
      <c r="AM134" s="4"/>
      <c r="AN134" s="4"/>
      <c r="AO134" s="4"/>
      <c r="AP134" s="4"/>
      <c r="AQ134" s="4"/>
      <c r="AR134" s="4"/>
      <c r="AS134" s="76" t="str">
        <f>"COMMENT ON COLUMN "&amp;エンティティ一覧!$O$2&amp;"."&amp;D$8&amp;"."&amp;D134&amp;" IS '"&amp;C134&amp;"';"</f>
        <v>COMMENT ON COLUMN milscm_2023_010.azn_202310_backup_merge_dpc_hn.ass0061_special_chiryo IS '特殊な治療法等';</v>
      </c>
      <c r="AT134" s="4"/>
      <c r="AU134" s="4"/>
      <c r="AV134" s="4"/>
      <c r="AW134" s="4"/>
      <c r="AX134" s="4"/>
      <c r="AY134" s="4"/>
      <c r="AZ134" s="4"/>
    </row>
    <row r="135" spans="1:52" s="25" customFormat="1" ht="37.5">
      <c r="A135" s="4"/>
      <c r="B135" s="21">
        <f t="shared" si="2"/>
        <v>123</v>
      </c>
      <c r="C135" s="6" t="s">
        <v>397</v>
      </c>
      <c r="D135" s="6" t="s">
        <v>517</v>
      </c>
      <c r="E135" s="8"/>
      <c r="F135" s="7" t="s">
        <v>316</v>
      </c>
      <c r="G135" s="7" t="str">
        <f t="shared" si="3"/>
        <v>text</v>
      </c>
      <c r="H135" s="26"/>
      <c r="I135" s="10"/>
      <c r="J135" s="11" t="s">
        <v>546</v>
      </c>
      <c r="L135" s="4"/>
      <c r="M135" s="4"/>
      <c r="N135" s="76"/>
      <c r="O135" s="76"/>
      <c r="P135" s="76" t="str">
        <f t="shared" si="12"/>
        <v>,ass0070_negaeri</v>
      </c>
      <c r="Q135" s="76" t="str">
        <f t="shared" si="13"/>
        <v>TEXT</v>
      </c>
      <c r="R135" s="76" t="str">
        <f t="shared" si="14"/>
        <v/>
      </c>
      <c r="S135" s="76" t="str">
        <f t="shared" si="15"/>
        <v/>
      </c>
      <c r="T135" s="76" t="str">
        <f t="shared" si="16"/>
        <v>-- 寝返り</v>
      </c>
      <c r="U135" s="4"/>
      <c r="AA135" s="4"/>
      <c r="AB135" s="4"/>
      <c r="AC135" s="4"/>
      <c r="AD135" s="4"/>
      <c r="AE135" s="4"/>
      <c r="AF135" s="4"/>
      <c r="AG135" s="4"/>
      <c r="AH135" s="4"/>
      <c r="AI135" s="4"/>
      <c r="AJ135" s="76" t="str">
        <f>IF(E135="○",IF(COUNTA(E$13:E135)=1,"",",")&amp;D135,"")</f>
        <v/>
      </c>
      <c r="AK135" s="4"/>
      <c r="AL135" s="4"/>
      <c r="AM135" s="4"/>
      <c r="AN135" s="4"/>
      <c r="AO135" s="4"/>
      <c r="AP135" s="4"/>
      <c r="AQ135" s="4"/>
      <c r="AR135" s="4"/>
      <c r="AS135" s="76" t="str">
        <f>"COMMENT ON COLUMN "&amp;エンティティ一覧!$O$2&amp;"."&amp;D$8&amp;"."&amp;D135&amp;" IS '"&amp;C135&amp;"';"</f>
        <v>COMMENT ON COLUMN milscm_2023_010.azn_202310_backup_merge_dpc_hn.ass0070_negaeri IS '寝返り';</v>
      </c>
      <c r="AT135" s="4"/>
      <c r="AU135" s="4"/>
      <c r="AV135" s="4"/>
      <c r="AW135" s="4"/>
      <c r="AX135" s="4"/>
      <c r="AY135" s="4"/>
      <c r="AZ135" s="4"/>
    </row>
    <row r="136" spans="1:52" s="25" customFormat="1">
      <c r="A136" s="4"/>
      <c r="B136" s="21">
        <f t="shared" si="2"/>
        <v>124</v>
      </c>
      <c r="C136" s="13" t="s">
        <v>399</v>
      </c>
      <c r="D136" s="13" t="s">
        <v>518</v>
      </c>
      <c r="E136" s="7"/>
      <c r="F136" s="7" t="s">
        <v>316</v>
      </c>
      <c r="G136" s="7" t="str">
        <f t="shared" si="3"/>
        <v>text</v>
      </c>
      <c r="H136" s="58"/>
      <c r="I136" s="23"/>
      <c r="J136" s="24" t="s">
        <v>547</v>
      </c>
      <c r="L136" s="4"/>
      <c r="M136" s="4"/>
      <c r="N136" s="76"/>
      <c r="O136" s="76"/>
      <c r="P136" s="76" t="str">
        <f t="shared" si="12"/>
        <v>,ass0070_ijo</v>
      </c>
      <c r="Q136" s="76" t="str">
        <f t="shared" si="13"/>
        <v>TEXT</v>
      </c>
      <c r="R136" s="76" t="str">
        <f t="shared" si="14"/>
        <v/>
      </c>
      <c r="S136" s="76" t="str">
        <f t="shared" si="15"/>
        <v/>
      </c>
      <c r="T136" s="76" t="str">
        <f t="shared" si="16"/>
        <v>-- 移乗</v>
      </c>
      <c r="U136" s="4"/>
      <c r="AA136" s="4"/>
      <c r="AB136" s="4"/>
      <c r="AC136" s="4"/>
      <c r="AD136" s="4"/>
      <c r="AE136" s="4"/>
      <c r="AF136" s="4"/>
      <c r="AG136" s="4"/>
      <c r="AH136" s="4"/>
      <c r="AI136" s="4"/>
      <c r="AJ136" s="76" t="str">
        <f>IF(E136="○",IF(COUNTA(E$13:E136)=1,"",",")&amp;D136,"")</f>
        <v/>
      </c>
      <c r="AK136" s="4"/>
      <c r="AL136" s="4"/>
      <c r="AM136" s="4"/>
      <c r="AN136" s="4"/>
      <c r="AO136" s="4"/>
      <c r="AP136" s="4"/>
      <c r="AQ136" s="4"/>
      <c r="AR136" s="4"/>
      <c r="AS136" s="76" t="str">
        <f>"COMMENT ON COLUMN "&amp;エンティティ一覧!$O$2&amp;"."&amp;D$8&amp;"."&amp;D136&amp;" IS '"&amp;C136&amp;"';"</f>
        <v>COMMENT ON COLUMN milscm_2023_010.azn_202310_backup_merge_dpc_hn.ass0070_ijo IS '移乗';</v>
      </c>
      <c r="AT136" s="4"/>
      <c r="AU136" s="4"/>
      <c r="AV136" s="4"/>
      <c r="AW136" s="4"/>
      <c r="AX136" s="4"/>
      <c r="AY136" s="4"/>
      <c r="AZ136" s="4"/>
    </row>
    <row r="137" spans="1:52" s="25" customFormat="1">
      <c r="A137" s="4"/>
      <c r="B137" s="21">
        <f t="shared" si="2"/>
        <v>125</v>
      </c>
      <c r="C137" s="13" t="s">
        <v>401</v>
      </c>
      <c r="D137" s="13" t="s">
        <v>519</v>
      </c>
      <c r="E137" s="7"/>
      <c r="F137" s="7" t="s">
        <v>316</v>
      </c>
      <c r="G137" s="7" t="str">
        <f t="shared" si="3"/>
        <v>text</v>
      </c>
      <c r="H137" s="58"/>
      <c r="I137" s="23"/>
      <c r="J137" s="24" t="s">
        <v>548</v>
      </c>
      <c r="L137" s="4"/>
      <c r="M137" s="4"/>
      <c r="N137" s="76"/>
      <c r="O137" s="76"/>
      <c r="P137" s="76" t="str">
        <f t="shared" si="12"/>
        <v>,ass0070_koku_seiketsu</v>
      </c>
      <c r="Q137" s="76" t="str">
        <f t="shared" si="13"/>
        <v>TEXT</v>
      </c>
      <c r="R137" s="76" t="str">
        <f t="shared" si="14"/>
        <v/>
      </c>
      <c r="S137" s="76" t="str">
        <f t="shared" si="15"/>
        <v/>
      </c>
      <c r="T137" s="76" t="str">
        <f t="shared" si="16"/>
        <v>-- 口腔清潔</v>
      </c>
      <c r="U137" s="4"/>
      <c r="AA137" s="4"/>
      <c r="AB137" s="4"/>
      <c r="AC137" s="4"/>
      <c r="AD137" s="4"/>
      <c r="AE137" s="4"/>
      <c r="AF137" s="4"/>
      <c r="AG137" s="4"/>
      <c r="AH137" s="4"/>
      <c r="AI137" s="4"/>
      <c r="AJ137" s="76" t="str">
        <f>IF(E137="○",IF(COUNTA(E$13:E137)=1,"",",")&amp;D137,"")</f>
        <v/>
      </c>
      <c r="AK137" s="4"/>
      <c r="AL137" s="4"/>
      <c r="AM137" s="4"/>
      <c r="AN137" s="4"/>
      <c r="AO137" s="4"/>
      <c r="AP137" s="4"/>
      <c r="AQ137" s="4"/>
      <c r="AR137" s="4"/>
      <c r="AS137" s="76" t="str">
        <f>"COMMENT ON COLUMN "&amp;エンティティ一覧!$O$2&amp;"."&amp;D$8&amp;"."&amp;D137&amp;" IS '"&amp;C137&amp;"';"</f>
        <v>COMMENT ON COLUMN milscm_2023_010.azn_202310_backup_merge_dpc_hn.ass0070_koku_seiketsu IS '口腔清潔';</v>
      </c>
      <c r="AT137" s="4"/>
      <c r="AU137" s="4"/>
      <c r="AV137" s="4"/>
      <c r="AW137" s="4"/>
      <c r="AX137" s="4"/>
      <c r="AY137" s="4"/>
      <c r="AZ137" s="4"/>
    </row>
    <row r="138" spans="1:52" s="25" customFormat="1">
      <c r="A138" s="4"/>
      <c r="B138" s="21">
        <f t="shared" si="2"/>
        <v>126</v>
      </c>
      <c r="C138" s="6" t="s">
        <v>403</v>
      </c>
      <c r="D138" s="6" t="s">
        <v>520</v>
      </c>
      <c r="E138" s="8"/>
      <c r="F138" s="7" t="s">
        <v>316</v>
      </c>
      <c r="G138" s="7" t="str">
        <f t="shared" si="3"/>
        <v>text</v>
      </c>
      <c r="H138" s="26"/>
      <c r="I138" s="10"/>
      <c r="J138" s="11" t="s">
        <v>547</v>
      </c>
      <c r="L138" s="4"/>
      <c r="M138" s="4"/>
      <c r="N138" s="76"/>
      <c r="O138" s="76"/>
      <c r="P138" s="76" t="str">
        <f t="shared" si="12"/>
        <v>,ass0070_shokuji_sesshu</v>
      </c>
      <c r="Q138" s="76" t="str">
        <f t="shared" si="13"/>
        <v>TEXT</v>
      </c>
      <c r="R138" s="76" t="str">
        <f t="shared" si="14"/>
        <v/>
      </c>
      <c r="S138" s="76" t="str">
        <f t="shared" si="15"/>
        <v/>
      </c>
      <c r="T138" s="76" t="str">
        <f t="shared" si="16"/>
        <v>-- 食事摂取</v>
      </c>
      <c r="U138" s="4"/>
      <c r="AA138" s="4"/>
      <c r="AB138" s="4"/>
      <c r="AC138" s="4"/>
      <c r="AD138" s="4"/>
      <c r="AE138" s="4"/>
      <c r="AF138" s="4"/>
      <c r="AG138" s="4"/>
      <c r="AH138" s="4"/>
      <c r="AI138" s="4"/>
      <c r="AJ138" s="76" t="str">
        <f>IF(E138="○",IF(COUNTA(E$13:E138)=1,"",",")&amp;D138,"")</f>
        <v/>
      </c>
      <c r="AK138" s="4"/>
      <c r="AL138" s="4"/>
      <c r="AM138" s="4"/>
      <c r="AN138" s="4"/>
      <c r="AO138" s="4"/>
      <c r="AP138" s="4"/>
      <c r="AQ138" s="4"/>
      <c r="AR138" s="4"/>
      <c r="AS138" s="76" t="str">
        <f>"COMMENT ON COLUMN "&amp;エンティティ一覧!$O$2&amp;"."&amp;D$8&amp;"."&amp;D138&amp;" IS '"&amp;C138&amp;"';"</f>
        <v>COMMENT ON COLUMN milscm_2023_010.azn_202310_backup_merge_dpc_hn.ass0070_shokuji_sesshu IS '食事摂取';</v>
      </c>
      <c r="AT138" s="4"/>
      <c r="AU138" s="4"/>
      <c r="AV138" s="4"/>
      <c r="AW138" s="4"/>
      <c r="AX138" s="4"/>
      <c r="AY138" s="4"/>
      <c r="AZ138" s="4"/>
    </row>
    <row r="139" spans="1:52" s="25" customFormat="1">
      <c r="A139" s="4"/>
      <c r="B139" s="21">
        <f t="shared" si="2"/>
        <v>127</v>
      </c>
      <c r="C139" s="13" t="s">
        <v>405</v>
      </c>
      <c r="D139" s="13" t="s">
        <v>521</v>
      </c>
      <c r="E139" s="7"/>
      <c r="F139" s="7" t="s">
        <v>316</v>
      </c>
      <c r="G139" s="7" t="str">
        <f t="shared" si="3"/>
        <v>text</v>
      </c>
      <c r="H139" s="58"/>
      <c r="I139" s="23"/>
      <c r="J139" s="24" t="s">
        <v>547</v>
      </c>
      <c r="L139" s="4"/>
      <c r="M139" s="4"/>
      <c r="N139" s="76"/>
      <c r="O139" s="76"/>
      <c r="P139" s="76" t="str">
        <f t="shared" si="12"/>
        <v>,ass0070_ifuku_chakudatsu</v>
      </c>
      <c r="Q139" s="76" t="str">
        <f t="shared" si="13"/>
        <v>TEXT</v>
      </c>
      <c r="R139" s="76" t="str">
        <f t="shared" si="14"/>
        <v/>
      </c>
      <c r="S139" s="76" t="str">
        <f t="shared" si="15"/>
        <v/>
      </c>
      <c r="T139" s="76" t="str">
        <f t="shared" si="16"/>
        <v>-- 衣服の着脱</v>
      </c>
      <c r="U139" s="4"/>
      <c r="AA139" s="4"/>
      <c r="AB139" s="4"/>
      <c r="AC139" s="4"/>
      <c r="AD139" s="4"/>
      <c r="AE139" s="4"/>
      <c r="AF139" s="4"/>
      <c r="AG139" s="4"/>
      <c r="AH139" s="4"/>
      <c r="AI139" s="4"/>
      <c r="AJ139" s="76" t="str">
        <f>IF(E139="○",IF(COUNTA(E$13:E139)=1,"",",")&amp;D139,"")</f>
        <v/>
      </c>
      <c r="AK139" s="4"/>
      <c r="AL139" s="4"/>
      <c r="AM139" s="4"/>
      <c r="AN139" s="4"/>
      <c r="AO139" s="4"/>
      <c r="AP139" s="4"/>
      <c r="AQ139" s="4"/>
      <c r="AR139" s="4"/>
      <c r="AS139" s="76" t="str">
        <f>"COMMENT ON COLUMN "&amp;エンティティ一覧!$O$2&amp;"."&amp;D$8&amp;"."&amp;D139&amp;" IS '"&amp;C139&amp;"';"</f>
        <v>COMMENT ON COLUMN milscm_2023_010.azn_202310_backup_merge_dpc_hn.ass0070_ifuku_chakudatsu IS '衣服の着脱';</v>
      </c>
      <c r="AT139" s="4"/>
      <c r="AU139" s="4"/>
      <c r="AV139" s="4"/>
      <c r="AW139" s="4"/>
      <c r="AX139" s="4"/>
      <c r="AY139" s="4"/>
      <c r="AZ139" s="4"/>
    </row>
    <row r="140" spans="1:52" s="25" customFormat="1">
      <c r="A140" s="4"/>
      <c r="B140" s="21">
        <f t="shared" si="2"/>
        <v>128</v>
      </c>
      <c r="C140" s="13" t="s">
        <v>407</v>
      </c>
      <c r="D140" s="13" t="s">
        <v>522</v>
      </c>
      <c r="E140" s="7"/>
      <c r="F140" s="7" t="s">
        <v>316</v>
      </c>
      <c r="G140" s="7" t="str">
        <f t="shared" si="3"/>
        <v>text</v>
      </c>
      <c r="H140" s="58"/>
      <c r="I140" s="23"/>
      <c r="J140" s="24" t="s">
        <v>549</v>
      </c>
      <c r="L140" s="4"/>
      <c r="M140" s="4"/>
      <c r="N140" s="76"/>
      <c r="O140" s="76"/>
      <c r="P140" s="76" t="str">
        <f t="shared" si="12"/>
        <v>,ass0070_shinryo_shiji</v>
      </c>
      <c r="Q140" s="76" t="str">
        <f t="shared" si="13"/>
        <v>TEXT</v>
      </c>
      <c r="R140" s="76" t="str">
        <f t="shared" si="14"/>
        <v/>
      </c>
      <c r="S140" s="76" t="str">
        <f t="shared" si="15"/>
        <v/>
      </c>
      <c r="T140" s="76" t="str">
        <f t="shared" si="16"/>
        <v>-- 診療・療養上の指示が通じる</v>
      </c>
      <c r="U140" s="4"/>
      <c r="AA140" s="4"/>
      <c r="AB140" s="4"/>
      <c r="AC140" s="4"/>
      <c r="AD140" s="4"/>
      <c r="AE140" s="4"/>
      <c r="AF140" s="4"/>
      <c r="AG140" s="4"/>
      <c r="AH140" s="4"/>
      <c r="AI140" s="4"/>
      <c r="AJ140" s="76" t="str">
        <f>IF(E140="○",IF(COUNTA(E$13:E140)=1,"",",")&amp;D140,"")</f>
        <v/>
      </c>
      <c r="AK140" s="4"/>
      <c r="AL140" s="4"/>
      <c r="AM140" s="4"/>
      <c r="AN140" s="4"/>
      <c r="AO140" s="4"/>
      <c r="AP140" s="4"/>
      <c r="AQ140" s="4"/>
      <c r="AR140" s="4"/>
      <c r="AS140" s="76" t="str">
        <f>"COMMENT ON COLUMN "&amp;エンティティ一覧!$O$2&amp;"."&amp;D$8&amp;"."&amp;D140&amp;" IS '"&amp;C140&amp;"';"</f>
        <v>COMMENT ON COLUMN milscm_2023_010.azn_202310_backup_merge_dpc_hn.ass0070_shinryo_shiji IS '診療・療養上の指示が通じる';</v>
      </c>
      <c r="AT140" s="4"/>
      <c r="AU140" s="4"/>
      <c r="AV140" s="4"/>
      <c r="AW140" s="4"/>
      <c r="AX140" s="4"/>
      <c r="AY140" s="4"/>
      <c r="AZ140" s="4"/>
    </row>
    <row r="141" spans="1:52" s="25" customFormat="1">
      <c r="A141" s="4"/>
      <c r="B141" s="21">
        <f t="shared" si="2"/>
        <v>129</v>
      </c>
      <c r="C141" s="13" t="s">
        <v>523</v>
      </c>
      <c r="D141" s="13" t="s">
        <v>524</v>
      </c>
      <c r="E141" s="7"/>
      <c r="F141" s="7" t="s">
        <v>316</v>
      </c>
      <c r="G141" s="7" t="str">
        <f t="shared" si="3"/>
        <v>text</v>
      </c>
      <c r="H141" s="58"/>
      <c r="I141" s="23"/>
      <c r="J141" s="24" t="s">
        <v>550</v>
      </c>
      <c r="L141" s="4"/>
      <c r="M141" s="4"/>
      <c r="N141" s="76"/>
      <c r="O141" s="76"/>
      <c r="P141" s="76" t="str">
        <f t="shared" si="12"/>
        <v>,ass0070_kiken_kodo</v>
      </c>
      <c r="Q141" s="76" t="str">
        <f t="shared" si="13"/>
        <v>TEXT</v>
      </c>
      <c r="R141" s="76" t="str">
        <f t="shared" si="14"/>
        <v/>
      </c>
      <c r="S141" s="76" t="str">
        <f t="shared" si="15"/>
        <v/>
      </c>
      <c r="T141" s="76" t="str">
        <f t="shared" si="16"/>
        <v>-- 危険行動</v>
      </c>
      <c r="U141" s="4"/>
      <c r="AA141" s="4"/>
      <c r="AB141" s="4"/>
      <c r="AC141" s="4"/>
      <c r="AD141" s="4"/>
      <c r="AE141" s="4"/>
      <c r="AF141" s="4"/>
      <c r="AG141" s="4"/>
      <c r="AH141" s="4"/>
      <c r="AI141" s="4"/>
      <c r="AJ141" s="76" t="str">
        <f>IF(E141="○",IF(COUNTA(E$13:E141)=1,"",",")&amp;D141,"")</f>
        <v/>
      </c>
      <c r="AK141" s="4"/>
      <c r="AL141" s="4"/>
      <c r="AM141" s="4"/>
      <c r="AN141" s="4"/>
      <c r="AO141" s="4"/>
      <c r="AP141" s="4"/>
      <c r="AQ141" s="4"/>
      <c r="AR141" s="4"/>
      <c r="AS141" s="76" t="str">
        <f>"COMMENT ON COLUMN "&amp;エンティティ一覧!$O$2&amp;"."&amp;D$8&amp;"."&amp;D141&amp;" IS '"&amp;C141&amp;"';"</f>
        <v>COMMENT ON COLUMN milscm_2023_010.azn_202310_backup_merge_dpc_hn.ass0070_kiken_kodo IS '危険行動';</v>
      </c>
      <c r="AT141" s="4"/>
      <c r="AU141" s="4"/>
      <c r="AV141" s="4"/>
      <c r="AW141" s="4"/>
      <c r="AX141" s="4"/>
      <c r="AY141" s="4"/>
      <c r="AZ141" s="4"/>
    </row>
    <row r="142" spans="1:52" s="25" customFormat="1" ht="37.5">
      <c r="A142" s="4"/>
      <c r="B142" s="21">
        <f t="shared" si="2"/>
        <v>130</v>
      </c>
      <c r="C142" s="6" t="s">
        <v>397</v>
      </c>
      <c r="D142" s="6" t="s">
        <v>525</v>
      </c>
      <c r="E142" s="8"/>
      <c r="F142" s="7" t="s">
        <v>316</v>
      </c>
      <c r="G142" s="7" t="str">
        <f t="shared" si="3"/>
        <v>text</v>
      </c>
      <c r="H142" s="26"/>
      <c r="I142" s="10"/>
      <c r="J142" s="11" t="s">
        <v>546</v>
      </c>
      <c r="L142" s="4"/>
      <c r="M142" s="4"/>
      <c r="N142" s="76"/>
      <c r="O142" s="76"/>
      <c r="P142" s="76" t="str">
        <f t="shared" si="12"/>
        <v>,ass0071_negaeri</v>
      </c>
      <c r="Q142" s="76" t="str">
        <f t="shared" si="13"/>
        <v>TEXT</v>
      </c>
      <c r="R142" s="76" t="str">
        <f t="shared" si="14"/>
        <v/>
      </c>
      <c r="S142" s="76" t="str">
        <f t="shared" si="15"/>
        <v/>
      </c>
      <c r="T142" s="76" t="str">
        <f t="shared" si="16"/>
        <v>-- 寝返り</v>
      </c>
      <c r="U142" s="4"/>
      <c r="AA142" s="4"/>
      <c r="AB142" s="4"/>
      <c r="AC142" s="4"/>
      <c r="AD142" s="4"/>
      <c r="AE142" s="4"/>
      <c r="AF142" s="4"/>
      <c r="AG142" s="4"/>
      <c r="AH142" s="4"/>
      <c r="AI142" s="4"/>
      <c r="AJ142" s="76" t="str">
        <f>IF(E142="○",IF(COUNTA(E$13:E142)=1,"",",")&amp;D142,"")</f>
        <v/>
      </c>
      <c r="AK142" s="4"/>
      <c r="AL142" s="4"/>
      <c r="AM142" s="4"/>
      <c r="AN142" s="4"/>
      <c r="AO142" s="4"/>
      <c r="AP142" s="4"/>
      <c r="AQ142" s="4"/>
      <c r="AR142" s="4"/>
      <c r="AS142" s="76" t="str">
        <f>"COMMENT ON COLUMN "&amp;エンティティ一覧!$O$2&amp;"."&amp;D$8&amp;"."&amp;D142&amp;" IS '"&amp;C142&amp;"';"</f>
        <v>COMMENT ON COLUMN milscm_2023_010.azn_202310_backup_merge_dpc_hn.ass0071_negaeri IS '寝返り';</v>
      </c>
      <c r="AT142" s="4"/>
      <c r="AU142" s="4"/>
      <c r="AV142" s="4"/>
      <c r="AW142" s="4"/>
      <c r="AX142" s="4"/>
      <c r="AY142" s="4"/>
      <c r="AZ142" s="4"/>
    </row>
    <row r="143" spans="1:52" s="25" customFormat="1">
      <c r="A143" s="4"/>
      <c r="B143" s="21">
        <f t="shared" si="2"/>
        <v>131</v>
      </c>
      <c r="C143" s="13" t="s">
        <v>412</v>
      </c>
      <c r="D143" s="13" t="s">
        <v>526</v>
      </c>
      <c r="E143" s="7"/>
      <c r="F143" s="7" t="s">
        <v>316</v>
      </c>
      <c r="G143" s="7" t="str">
        <f t="shared" si="3"/>
        <v>text</v>
      </c>
      <c r="H143" s="58"/>
      <c r="I143" s="23"/>
      <c r="J143" s="24" t="s">
        <v>551</v>
      </c>
      <c r="L143" s="4"/>
      <c r="M143" s="4"/>
      <c r="N143" s="76"/>
      <c r="O143" s="76"/>
      <c r="P143" s="76" t="str">
        <f t="shared" si="12"/>
        <v>,ass0071_ijo_kanja</v>
      </c>
      <c r="Q143" s="76" t="str">
        <f t="shared" si="13"/>
        <v>TEXT</v>
      </c>
      <c r="R143" s="76" t="str">
        <f t="shared" si="14"/>
        <v/>
      </c>
      <c r="S143" s="76" t="str">
        <f t="shared" si="15"/>
        <v/>
      </c>
      <c r="T143" s="76" t="str">
        <f t="shared" si="16"/>
        <v>-- 移乗（患者の状態）</v>
      </c>
      <c r="U143" s="4"/>
      <c r="AA143" s="4"/>
      <c r="AB143" s="4"/>
      <c r="AC143" s="4"/>
      <c r="AD143" s="4"/>
      <c r="AE143" s="4"/>
      <c r="AF143" s="4"/>
      <c r="AG143" s="4"/>
      <c r="AH143" s="4"/>
      <c r="AI143" s="4"/>
      <c r="AJ143" s="76" t="str">
        <f>IF(E143="○",IF(COUNTA(E$13:E143)=1,"",",")&amp;D143,"")</f>
        <v/>
      </c>
      <c r="AK143" s="4"/>
      <c r="AL143" s="4"/>
      <c r="AM143" s="4"/>
      <c r="AN143" s="4"/>
      <c r="AO143" s="4"/>
      <c r="AP143" s="4"/>
      <c r="AQ143" s="4"/>
      <c r="AR143" s="4"/>
      <c r="AS143" s="76" t="str">
        <f>"COMMENT ON COLUMN "&amp;エンティティ一覧!$O$2&amp;"."&amp;D$8&amp;"."&amp;D143&amp;" IS '"&amp;C143&amp;"';"</f>
        <v>COMMENT ON COLUMN milscm_2023_010.azn_202310_backup_merge_dpc_hn.ass0071_ijo_kanja IS '移乗（患者の状態）';</v>
      </c>
      <c r="AT143" s="4"/>
      <c r="AU143" s="4"/>
      <c r="AV143" s="4"/>
      <c r="AW143" s="4"/>
      <c r="AX143" s="4"/>
      <c r="AY143" s="4"/>
      <c r="AZ143" s="4"/>
    </row>
    <row r="144" spans="1:52" s="25" customFormat="1" ht="31.5">
      <c r="A144" s="4"/>
      <c r="B144" s="21">
        <f t="shared" si="2"/>
        <v>132</v>
      </c>
      <c r="C144" s="6" t="s">
        <v>414</v>
      </c>
      <c r="D144" s="6" t="s">
        <v>527</v>
      </c>
      <c r="E144" s="8"/>
      <c r="F144" s="7" t="s">
        <v>316</v>
      </c>
      <c r="G144" s="7" t="str">
        <f t="shared" si="3"/>
        <v>text</v>
      </c>
      <c r="H144" s="26"/>
      <c r="I144" s="10"/>
      <c r="J144" s="11" t="s">
        <v>552</v>
      </c>
      <c r="L144" s="4"/>
      <c r="M144" s="4"/>
      <c r="N144" s="76"/>
      <c r="O144" s="76"/>
      <c r="P144" s="76" t="str">
        <f t="shared" si="12"/>
        <v>,ass0071_koku_seiketsu_kanja</v>
      </c>
      <c r="Q144" s="76" t="str">
        <f t="shared" si="13"/>
        <v>TEXT</v>
      </c>
      <c r="R144" s="76" t="str">
        <f t="shared" si="14"/>
        <v/>
      </c>
      <c r="S144" s="76" t="str">
        <f t="shared" si="15"/>
        <v/>
      </c>
      <c r="T144" s="76" t="str">
        <f t="shared" si="16"/>
        <v>-- 口腔清潔（患者の状態）</v>
      </c>
      <c r="U144" s="4"/>
      <c r="AA144" s="4"/>
      <c r="AB144" s="4"/>
      <c r="AC144" s="4"/>
      <c r="AD144" s="4"/>
      <c r="AE144" s="4"/>
      <c r="AF144" s="4"/>
      <c r="AG144" s="4"/>
      <c r="AH144" s="4"/>
      <c r="AI144" s="4"/>
      <c r="AJ144" s="76" t="str">
        <f>IF(E144="○",IF(COUNTA(E$13:E144)=1,"",",")&amp;D144,"")</f>
        <v/>
      </c>
      <c r="AK144" s="4"/>
      <c r="AL144" s="4"/>
      <c r="AM144" s="4"/>
      <c r="AN144" s="4"/>
      <c r="AO144" s="4"/>
      <c r="AP144" s="4"/>
      <c r="AQ144" s="4"/>
      <c r="AR144" s="4"/>
      <c r="AS144" s="76" t="str">
        <f>"COMMENT ON COLUMN "&amp;エンティティ一覧!$O$2&amp;"."&amp;D$8&amp;"."&amp;D144&amp;" IS '"&amp;C144&amp;"';"</f>
        <v>COMMENT ON COLUMN milscm_2023_010.azn_202310_backup_merge_dpc_hn.ass0071_koku_seiketsu_kanja IS '口腔清潔（患者の状態）';</v>
      </c>
      <c r="AT144" s="4"/>
      <c r="AU144" s="4"/>
      <c r="AV144" s="4"/>
      <c r="AW144" s="4"/>
      <c r="AX144" s="4"/>
      <c r="AY144" s="4"/>
      <c r="AZ144" s="4"/>
    </row>
    <row r="145" spans="1:52" s="25" customFormat="1" ht="31.5">
      <c r="A145" s="4"/>
      <c r="B145" s="21">
        <f t="shared" si="2"/>
        <v>133</v>
      </c>
      <c r="C145" s="13" t="s">
        <v>416</v>
      </c>
      <c r="D145" s="13" t="s">
        <v>528</v>
      </c>
      <c r="E145" s="7"/>
      <c r="F145" s="7" t="s">
        <v>316</v>
      </c>
      <c r="G145" s="7" t="str">
        <f t="shared" si="3"/>
        <v>text</v>
      </c>
      <c r="H145" s="58"/>
      <c r="I145" s="23"/>
      <c r="J145" s="24" t="s">
        <v>551</v>
      </c>
      <c r="L145" s="4"/>
      <c r="M145" s="4"/>
      <c r="N145" s="76"/>
      <c r="O145" s="76"/>
      <c r="P145" s="76" t="str">
        <f t="shared" si="12"/>
        <v>,ass0071_shokuji_sesshu_kanja</v>
      </c>
      <c r="Q145" s="76" t="str">
        <f t="shared" si="13"/>
        <v>TEXT</v>
      </c>
      <c r="R145" s="76" t="str">
        <f t="shared" si="14"/>
        <v/>
      </c>
      <c r="S145" s="76" t="str">
        <f t="shared" si="15"/>
        <v/>
      </c>
      <c r="T145" s="76" t="str">
        <f t="shared" si="16"/>
        <v>-- 食事摂取（患者の状態）</v>
      </c>
      <c r="U145" s="4"/>
      <c r="AA145" s="4"/>
      <c r="AB145" s="4"/>
      <c r="AC145" s="4"/>
      <c r="AD145" s="4"/>
      <c r="AE145" s="4"/>
      <c r="AF145" s="4"/>
      <c r="AG145" s="4"/>
      <c r="AH145" s="4"/>
      <c r="AI145" s="4"/>
      <c r="AJ145" s="76" t="str">
        <f>IF(E145="○",IF(COUNTA(E$13:E145)=1,"",",")&amp;D145,"")</f>
        <v/>
      </c>
      <c r="AK145" s="4"/>
      <c r="AL145" s="4"/>
      <c r="AM145" s="4"/>
      <c r="AN145" s="4"/>
      <c r="AO145" s="4"/>
      <c r="AP145" s="4"/>
      <c r="AQ145" s="4"/>
      <c r="AR145" s="4"/>
      <c r="AS145" s="76" t="str">
        <f>"COMMENT ON COLUMN "&amp;エンティティ一覧!$O$2&amp;"."&amp;D$8&amp;"."&amp;D145&amp;" IS '"&amp;C145&amp;"';"</f>
        <v>COMMENT ON COLUMN milscm_2023_010.azn_202310_backup_merge_dpc_hn.ass0071_shokuji_sesshu_kanja IS '食事摂取（患者の状態）';</v>
      </c>
      <c r="AT145" s="4"/>
      <c r="AU145" s="4"/>
      <c r="AV145" s="4"/>
      <c r="AW145" s="4"/>
      <c r="AX145" s="4"/>
      <c r="AY145" s="4"/>
      <c r="AZ145" s="4"/>
    </row>
    <row r="146" spans="1:52" s="25" customFormat="1" ht="31.5">
      <c r="A146" s="4"/>
      <c r="B146" s="21">
        <f t="shared" si="2"/>
        <v>134</v>
      </c>
      <c r="C146" s="6" t="s">
        <v>418</v>
      </c>
      <c r="D146" s="6" t="s">
        <v>529</v>
      </c>
      <c r="E146" s="8"/>
      <c r="F146" s="7" t="s">
        <v>316</v>
      </c>
      <c r="G146" s="7" t="str">
        <f t="shared" si="3"/>
        <v>text</v>
      </c>
      <c r="H146" s="26"/>
      <c r="I146" s="10"/>
      <c r="J146" s="11" t="s">
        <v>551</v>
      </c>
      <c r="L146" s="4"/>
      <c r="M146" s="4"/>
      <c r="N146" s="76"/>
      <c r="O146" s="76"/>
      <c r="P146" s="76" t="str">
        <f t="shared" si="12"/>
        <v>,ass0071_ifuku_chakudatsu_kanja</v>
      </c>
      <c r="Q146" s="76" t="str">
        <f t="shared" si="13"/>
        <v>TEXT</v>
      </c>
      <c r="R146" s="76" t="str">
        <f t="shared" si="14"/>
        <v/>
      </c>
      <c r="S146" s="76" t="str">
        <f t="shared" si="15"/>
        <v/>
      </c>
      <c r="T146" s="76" t="str">
        <f t="shared" si="16"/>
        <v>-- 衣服の着脱（患者の状態）</v>
      </c>
      <c r="U146" s="4"/>
      <c r="AA146" s="4"/>
      <c r="AB146" s="4"/>
      <c r="AC146" s="4"/>
      <c r="AD146" s="4"/>
      <c r="AE146" s="4"/>
      <c r="AF146" s="4"/>
      <c r="AG146" s="4"/>
      <c r="AH146" s="4"/>
      <c r="AI146" s="4"/>
      <c r="AJ146" s="76" t="str">
        <f>IF(E146="○",IF(COUNTA(E$13:E146)=1,"",",")&amp;D146,"")</f>
        <v/>
      </c>
      <c r="AK146" s="4"/>
      <c r="AL146" s="4"/>
      <c r="AM146" s="4"/>
      <c r="AN146" s="4"/>
      <c r="AO146" s="4"/>
      <c r="AP146" s="4"/>
      <c r="AQ146" s="4"/>
      <c r="AR146" s="4"/>
      <c r="AS146" s="76" t="str">
        <f>"COMMENT ON COLUMN "&amp;エンティティ一覧!$O$2&amp;"."&amp;D$8&amp;"."&amp;D146&amp;" IS '"&amp;C146&amp;"';"</f>
        <v>COMMENT ON COLUMN milscm_2023_010.azn_202310_backup_merge_dpc_hn.ass0071_ifuku_chakudatsu_kanja IS '衣服の着脱（患者の状態）';</v>
      </c>
      <c r="AT146" s="4"/>
      <c r="AU146" s="4"/>
      <c r="AV146" s="4"/>
      <c r="AW146" s="4"/>
      <c r="AX146" s="4"/>
      <c r="AY146" s="4"/>
      <c r="AZ146" s="4"/>
    </row>
    <row r="147" spans="1:52" s="25" customFormat="1">
      <c r="A147" s="4"/>
      <c r="B147" s="21">
        <f t="shared" si="2"/>
        <v>135</v>
      </c>
      <c r="C147" s="13" t="s">
        <v>407</v>
      </c>
      <c r="D147" s="13" t="s">
        <v>530</v>
      </c>
      <c r="E147" s="7"/>
      <c r="F147" s="7" t="s">
        <v>316</v>
      </c>
      <c r="G147" s="7" t="str">
        <f t="shared" si="3"/>
        <v>text</v>
      </c>
      <c r="H147" s="58"/>
      <c r="I147" s="23"/>
      <c r="J147" s="24" t="s">
        <v>549</v>
      </c>
      <c r="L147" s="4"/>
      <c r="M147" s="4"/>
      <c r="N147" s="76"/>
      <c r="O147" s="76"/>
      <c r="P147" s="76" t="str">
        <f t="shared" si="12"/>
        <v>,ass0071_shinryo_shiji</v>
      </c>
      <c r="Q147" s="76" t="str">
        <f t="shared" si="13"/>
        <v>TEXT</v>
      </c>
      <c r="R147" s="76" t="str">
        <f t="shared" si="14"/>
        <v/>
      </c>
      <c r="S147" s="76" t="str">
        <f t="shared" si="15"/>
        <v/>
      </c>
      <c r="T147" s="76" t="str">
        <f t="shared" si="16"/>
        <v>-- 診療・療養上の指示が通じる</v>
      </c>
      <c r="U147" s="4"/>
      <c r="AA147" s="4"/>
      <c r="AB147" s="4"/>
      <c r="AC147" s="4"/>
      <c r="AD147" s="4"/>
      <c r="AE147" s="4"/>
      <c r="AF147" s="4"/>
      <c r="AG147" s="4"/>
      <c r="AH147" s="4"/>
      <c r="AI147" s="4"/>
      <c r="AJ147" s="76" t="str">
        <f>IF(E147="○",IF(COUNTA(E$13:E147)=1,"",",")&amp;D147,"")</f>
        <v/>
      </c>
      <c r="AK147" s="4"/>
      <c r="AL147" s="4"/>
      <c r="AM147" s="4"/>
      <c r="AN147" s="4"/>
      <c r="AO147" s="4"/>
      <c r="AP147" s="4"/>
      <c r="AQ147" s="4"/>
      <c r="AR147" s="4"/>
      <c r="AS147" s="76" t="str">
        <f>"COMMENT ON COLUMN "&amp;エンティティ一覧!$O$2&amp;"."&amp;D$8&amp;"."&amp;D147&amp;" IS '"&amp;C147&amp;"';"</f>
        <v>COMMENT ON COLUMN milscm_2023_010.azn_202310_backup_merge_dpc_hn.ass0071_shinryo_shiji IS '診療・療養上の指示が通じる';</v>
      </c>
      <c r="AT147" s="4"/>
      <c r="AU147" s="4"/>
      <c r="AV147" s="4"/>
      <c r="AW147" s="4"/>
      <c r="AX147" s="4"/>
      <c r="AY147" s="4"/>
      <c r="AZ147" s="4"/>
    </row>
    <row r="148" spans="1:52" s="25" customFormat="1">
      <c r="A148" s="4"/>
      <c r="B148" s="21">
        <f t="shared" si="2"/>
        <v>136</v>
      </c>
      <c r="C148" s="6" t="s">
        <v>409</v>
      </c>
      <c r="D148" s="6" t="s">
        <v>531</v>
      </c>
      <c r="E148" s="8"/>
      <c r="F148" s="7" t="s">
        <v>316</v>
      </c>
      <c r="G148" s="7" t="str">
        <f t="shared" si="3"/>
        <v>text</v>
      </c>
      <c r="H148" s="26"/>
      <c r="I148" s="10"/>
      <c r="J148" s="11" t="s">
        <v>550</v>
      </c>
      <c r="L148" s="4"/>
      <c r="M148" s="4"/>
      <c r="N148" s="76"/>
      <c r="O148" s="76"/>
      <c r="P148" s="76" t="str">
        <f t="shared" si="12"/>
        <v>,ass0071_kiken_kodo</v>
      </c>
      <c r="Q148" s="76" t="str">
        <f t="shared" si="13"/>
        <v>TEXT</v>
      </c>
      <c r="R148" s="76" t="str">
        <f t="shared" si="14"/>
        <v/>
      </c>
      <c r="S148" s="76" t="str">
        <f t="shared" si="15"/>
        <v/>
      </c>
      <c r="T148" s="76" t="str">
        <f t="shared" si="16"/>
        <v>-- 危険行動</v>
      </c>
      <c r="U148" s="4"/>
      <c r="AA148" s="4"/>
      <c r="AB148" s="4"/>
      <c r="AC148" s="4"/>
      <c r="AD148" s="4"/>
      <c r="AE148" s="4"/>
      <c r="AF148" s="4"/>
      <c r="AG148" s="4"/>
      <c r="AH148" s="4"/>
      <c r="AI148" s="4"/>
      <c r="AJ148" s="76" t="str">
        <f>IF(E148="○",IF(COUNTA(E$13:E148)=1,"",",")&amp;D148,"")</f>
        <v/>
      </c>
      <c r="AK148" s="4"/>
      <c r="AL148" s="4"/>
      <c r="AM148" s="4"/>
      <c r="AN148" s="4"/>
      <c r="AO148" s="4"/>
      <c r="AP148" s="4"/>
      <c r="AQ148" s="4"/>
      <c r="AR148" s="4"/>
      <c r="AS148" s="76" t="str">
        <f>"COMMENT ON COLUMN "&amp;エンティティ一覧!$O$2&amp;"."&amp;D$8&amp;"."&amp;D148&amp;" IS '"&amp;C148&amp;"';"</f>
        <v>COMMENT ON COLUMN milscm_2023_010.azn_202310_backup_merge_dpc_hn.ass0071_kiken_kodo IS '危険行動';</v>
      </c>
      <c r="AT148" s="4"/>
      <c r="AU148" s="4"/>
      <c r="AV148" s="4"/>
      <c r="AW148" s="4"/>
      <c r="AX148" s="4"/>
      <c r="AY148" s="4"/>
      <c r="AZ148" s="4"/>
    </row>
    <row r="149" spans="1:52" s="25" customFormat="1">
      <c r="A149" s="4"/>
      <c r="B149" s="21">
        <f t="shared" si="2"/>
        <v>137</v>
      </c>
      <c r="C149" s="13" t="s">
        <v>422</v>
      </c>
      <c r="D149" s="13" t="s">
        <v>532</v>
      </c>
      <c r="E149" s="7"/>
      <c r="F149" s="7" t="s">
        <v>316</v>
      </c>
      <c r="G149" s="7" t="str">
        <f t="shared" si="3"/>
        <v>text</v>
      </c>
      <c r="H149" s="58"/>
      <c r="I149" s="23"/>
      <c r="J149" s="24" t="s">
        <v>553</v>
      </c>
      <c r="L149" s="4"/>
      <c r="M149" s="4"/>
      <c r="N149" s="76"/>
      <c r="O149" s="76"/>
      <c r="P149" s="76" t="str">
        <f t="shared" si="12"/>
        <v>,ass0071_ijo_kaijo</v>
      </c>
      <c r="Q149" s="76" t="str">
        <f t="shared" si="13"/>
        <v>TEXT</v>
      </c>
      <c r="R149" s="76" t="str">
        <f t="shared" si="14"/>
        <v/>
      </c>
      <c r="S149" s="76" t="str">
        <f t="shared" si="15"/>
        <v/>
      </c>
      <c r="T149" s="76" t="str">
        <f t="shared" si="16"/>
        <v>-- 移乗（介助の状態）</v>
      </c>
      <c r="U149" s="4"/>
      <c r="AA149" s="4"/>
      <c r="AB149" s="4"/>
      <c r="AC149" s="4"/>
      <c r="AD149" s="4"/>
      <c r="AE149" s="4"/>
      <c r="AF149" s="4"/>
      <c r="AG149" s="4"/>
      <c r="AH149" s="4"/>
      <c r="AI149" s="4"/>
      <c r="AJ149" s="76" t="str">
        <f>IF(E149="○",IF(COUNTA(E$13:E149)=1,"",",")&amp;D149,"")</f>
        <v/>
      </c>
      <c r="AK149" s="4"/>
      <c r="AL149" s="4"/>
      <c r="AM149" s="4"/>
      <c r="AN149" s="4"/>
      <c r="AO149" s="4"/>
      <c r="AP149" s="4"/>
      <c r="AQ149" s="4"/>
      <c r="AR149" s="4"/>
      <c r="AS149" s="76" t="str">
        <f>"COMMENT ON COLUMN "&amp;エンティティ一覧!$O$2&amp;"."&amp;D$8&amp;"."&amp;D149&amp;" IS '"&amp;C149&amp;"';"</f>
        <v>COMMENT ON COLUMN milscm_2023_010.azn_202310_backup_merge_dpc_hn.ass0071_ijo_kaijo IS '移乗（介助の状態）';</v>
      </c>
      <c r="AT149" s="4"/>
      <c r="AU149" s="4"/>
      <c r="AV149" s="4"/>
      <c r="AW149" s="4"/>
      <c r="AX149" s="4"/>
      <c r="AY149" s="4"/>
      <c r="AZ149" s="4"/>
    </row>
    <row r="150" spans="1:52" s="25" customFormat="1" ht="31.5">
      <c r="A150" s="4"/>
      <c r="B150" s="21">
        <f t="shared" si="2"/>
        <v>138</v>
      </c>
      <c r="C150" s="13" t="s">
        <v>424</v>
      </c>
      <c r="D150" s="13" t="s">
        <v>533</v>
      </c>
      <c r="E150" s="7"/>
      <c r="F150" s="7" t="s">
        <v>316</v>
      </c>
      <c r="G150" s="7" t="str">
        <f t="shared" si="3"/>
        <v>text</v>
      </c>
      <c r="H150" s="58"/>
      <c r="I150" s="23"/>
      <c r="J150" s="24" t="s">
        <v>553</v>
      </c>
      <c r="L150" s="4"/>
      <c r="M150" s="4"/>
      <c r="N150" s="76"/>
      <c r="O150" s="76"/>
      <c r="P150" s="76" t="str">
        <f t="shared" si="12"/>
        <v>,ass0071_koku_seiketsu_kaijo</v>
      </c>
      <c r="Q150" s="76" t="str">
        <f t="shared" si="13"/>
        <v>TEXT</v>
      </c>
      <c r="R150" s="76" t="str">
        <f t="shared" si="14"/>
        <v/>
      </c>
      <c r="S150" s="76" t="str">
        <f t="shared" si="15"/>
        <v/>
      </c>
      <c r="T150" s="76" t="str">
        <f t="shared" si="16"/>
        <v>-- 口腔清潔（介助の状態）</v>
      </c>
      <c r="U150" s="4"/>
      <c r="AA150" s="4"/>
      <c r="AB150" s="4"/>
      <c r="AC150" s="4"/>
      <c r="AD150" s="4"/>
      <c r="AE150" s="4"/>
      <c r="AF150" s="4"/>
      <c r="AG150" s="4"/>
      <c r="AH150" s="4"/>
      <c r="AI150" s="4"/>
      <c r="AJ150" s="76" t="str">
        <f>IF(E150="○",IF(COUNTA(E$13:E150)=1,"",",")&amp;D150,"")</f>
        <v/>
      </c>
      <c r="AK150" s="4"/>
      <c r="AL150" s="4"/>
      <c r="AM150" s="4"/>
      <c r="AN150" s="4"/>
      <c r="AO150" s="4"/>
      <c r="AP150" s="4"/>
      <c r="AQ150" s="4"/>
      <c r="AR150" s="4"/>
      <c r="AS150" s="76" t="str">
        <f>"COMMENT ON COLUMN "&amp;エンティティ一覧!$O$2&amp;"."&amp;D$8&amp;"."&amp;D150&amp;" IS '"&amp;C150&amp;"';"</f>
        <v>COMMENT ON COLUMN milscm_2023_010.azn_202310_backup_merge_dpc_hn.ass0071_koku_seiketsu_kaijo IS '口腔清潔（介助の状態）';</v>
      </c>
      <c r="AT150" s="4"/>
      <c r="AU150" s="4"/>
      <c r="AV150" s="4"/>
      <c r="AW150" s="4"/>
      <c r="AX150" s="4"/>
      <c r="AY150" s="4"/>
      <c r="AZ150" s="4"/>
    </row>
    <row r="151" spans="1:52" s="25" customFormat="1" ht="31.5">
      <c r="A151" s="4"/>
      <c r="B151" s="21">
        <f t="shared" si="2"/>
        <v>139</v>
      </c>
      <c r="C151" s="13" t="s">
        <v>426</v>
      </c>
      <c r="D151" s="13" t="s">
        <v>534</v>
      </c>
      <c r="E151" s="7"/>
      <c r="F151" s="7" t="s">
        <v>316</v>
      </c>
      <c r="G151" s="7" t="str">
        <f t="shared" si="3"/>
        <v>text</v>
      </c>
      <c r="H151" s="58"/>
      <c r="I151" s="23"/>
      <c r="J151" s="24" t="s">
        <v>553</v>
      </c>
      <c r="L151" s="4"/>
      <c r="M151" s="4"/>
      <c r="N151" s="76"/>
      <c r="O151" s="76"/>
      <c r="P151" s="76" t="str">
        <f t="shared" si="12"/>
        <v>,ass0071_shokuji_sesshu_kaijo</v>
      </c>
      <c r="Q151" s="76" t="str">
        <f t="shared" si="13"/>
        <v>TEXT</v>
      </c>
      <c r="R151" s="76" t="str">
        <f t="shared" si="14"/>
        <v/>
      </c>
      <c r="S151" s="76" t="str">
        <f t="shared" si="15"/>
        <v/>
      </c>
      <c r="T151" s="76" t="str">
        <f t="shared" si="16"/>
        <v>-- 食事摂取（介助の状態）</v>
      </c>
      <c r="U151" s="4"/>
      <c r="AA151" s="4"/>
      <c r="AB151" s="4"/>
      <c r="AC151" s="4"/>
      <c r="AD151" s="4"/>
      <c r="AE151" s="4"/>
      <c r="AF151" s="4"/>
      <c r="AG151" s="4"/>
      <c r="AH151" s="4"/>
      <c r="AI151" s="4"/>
      <c r="AJ151" s="76" t="str">
        <f>IF(E151="○",IF(COUNTA(E$13:E151)=1,"",",")&amp;D151,"")</f>
        <v/>
      </c>
      <c r="AK151" s="4"/>
      <c r="AL151" s="4"/>
      <c r="AM151" s="4"/>
      <c r="AN151" s="4"/>
      <c r="AO151" s="4"/>
      <c r="AP151" s="4"/>
      <c r="AQ151" s="4"/>
      <c r="AR151" s="4"/>
      <c r="AS151" s="76" t="str">
        <f>"COMMENT ON COLUMN "&amp;エンティティ一覧!$O$2&amp;"."&amp;D$8&amp;"."&amp;D151&amp;" IS '"&amp;C151&amp;"';"</f>
        <v>COMMENT ON COLUMN milscm_2023_010.azn_202310_backup_merge_dpc_hn.ass0071_shokuji_sesshu_kaijo IS '食事摂取（介助の状態）';</v>
      </c>
      <c r="AT151" s="4"/>
      <c r="AU151" s="4"/>
      <c r="AV151" s="4"/>
      <c r="AW151" s="4"/>
      <c r="AX151" s="4"/>
      <c r="AY151" s="4"/>
      <c r="AZ151" s="4"/>
    </row>
    <row r="152" spans="1:52" s="25" customFormat="1" ht="31.5">
      <c r="A152" s="4"/>
      <c r="B152" s="21">
        <f t="shared" si="2"/>
        <v>140</v>
      </c>
      <c r="C152" s="13" t="s">
        <v>428</v>
      </c>
      <c r="D152" s="13" t="s">
        <v>535</v>
      </c>
      <c r="E152" s="7"/>
      <c r="F152" s="7" t="s">
        <v>316</v>
      </c>
      <c r="G152" s="7" t="str">
        <f t="shared" si="3"/>
        <v>text</v>
      </c>
      <c r="H152" s="58"/>
      <c r="I152" s="23"/>
      <c r="J152" s="24" t="s">
        <v>553</v>
      </c>
      <c r="L152" s="4"/>
      <c r="M152" s="4"/>
      <c r="N152" s="76"/>
      <c r="O152" s="76"/>
      <c r="P152" s="76" t="str">
        <f t="shared" si="12"/>
        <v>,ass0071_ifuku_chakudatsu_kaijo</v>
      </c>
      <c r="Q152" s="76" t="str">
        <f t="shared" si="13"/>
        <v>TEXT</v>
      </c>
      <c r="R152" s="76" t="str">
        <f t="shared" si="14"/>
        <v/>
      </c>
      <c r="S152" s="76" t="str">
        <f t="shared" si="15"/>
        <v/>
      </c>
      <c r="T152" s="76" t="str">
        <f t="shared" si="16"/>
        <v>-- 衣服の着脱（介助の状態）</v>
      </c>
      <c r="U152" s="4"/>
      <c r="AA152" s="4"/>
      <c r="AB152" s="4"/>
      <c r="AC152" s="4"/>
      <c r="AD152" s="4"/>
      <c r="AE152" s="4"/>
      <c r="AF152" s="4"/>
      <c r="AG152" s="4"/>
      <c r="AH152" s="4"/>
      <c r="AI152" s="4"/>
      <c r="AJ152" s="76" t="str">
        <f>IF(E152="○",IF(COUNTA(E$13:E152)=1,"",",")&amp;D152,"")</f>
        <v/>
      </c>
      <c r="AK152" s="4"/>
      <c r="AL152" s="4"/>
      <c r="AM152" s="4"/>
      <c r="AN152" s="4"/>
      <c r="AO152" s="4"/>
      <c r="AP152" s="4"/>
      <c r="AQ152" s="4"/>
      <c r="AR152" s="4"/>
      <c r="AS152" s="76" t="str">
        <f>"COMMENT ON COLUMN "&amp;エンティティ一覧!$O$2&amp;"."&amp;D$8&amp;"."&amp;D152&amp;" IS '"&amp;C152&amp;"';"</f>
        <v>COMMENT ON COLUMN milscm_2023_010.azn_202310_backup_merge_dpc_hn.ass0071_ifuku_chakudatsu_kaijo IS '衣服の着脱（介助の状態）';</v>
      </c>
      <c r="AT152" s="4"/>
      <c r="AU152" s="4"/>
      <c r="AV152" s="4"/>
      <c r="AW152" s="4"/>
      <c r="AX152" s="4"/>
      <c r="AY152" s="4"/>
      <c r="AZ152" s="4"/>
    </row>
    <row r="153" spans="1:52" s="25" customFormat="1" ht="132" thickBot="1">
      <c r="A153" s="4"/>
      <c r="B153" s="27">
        <f>ROW()-12</f>
        <v>141</v>
      </c>
      <c r="C153" s="57" t="s">
        <v>536</v>
      </c>
      <c r="D153" s="57" t="s">
        <v>537</v>
      </c>
      <c r="E153" s="56"/>
      <c r="F153" s="56" t="s">
        <v>316</v>
      </c>
      <c r="G153" s="56" t="str">
        <f t="shared" si="3"/>
        <v>text</v>
      </c>
      <c r="H153" s="59"/>
      <c r="I153" s="60"/>
      <c r="J153" s="61" t="s">
        <v>556</v>
      </c>
      <c r="L153" s="4"/>
      <c r="M153" s="4"/>
      <c r="N153" s="76"/>
      <c r="O153" s="76"/>
      <c r="P153" s="76" t="str">
        <f t="shared" si="12"/>
        <v>,tar0010_kango_hantei</v>
      </c>
      <c r="Q153" s="76" t="str">
        <f t="shared" si="13"/>
        <v>TEXT</v>
      </c>
      <c r="R153" s="76" t="str">
        <f t="shared" si="14"/>
        <v/>
      </c>
      <c r="S153" s="76" t="str">
        <f t="shared" si="15"/>
        <v/>
      </c>
      <c r="T153" s="76" t="str">
        <f t="shared" si="16"/>
        <v>-- 看護必要度判定対象</v>
      </c>
      <c r="U153" s="4"/>
      <c r="AA153" s="4"/>
      <c r="AB153" s="4"/>
      <c r="AC153" s="4"/>
      <c r="AD153" s="4"/>
      <c r="AE153" s="4"/>
      <c r="AF153" s="4"/>
      <c r="AG153" s="4"/>
      <c r="AH153" s="4"/>
      <c r="AI153" s="4"/>
      <c r="AJ153" s="76" t="str">
        <f>IF(E153="○",IF(COUNTA(E$13:E153)=1,"",",")&amp;D153,"")</f>
        <v/>
      </c>
      <c r="AK153" s="4"/>
      <c r="AL153" s="4"/>
      <c r="AM153" s="4"/>
      <c r="AN153" s="4"/>
      <c r="AO153" s="4"/>
      <c r="AP153" s="4"/>
      <c r="AQ153" s="4"/>
      <c r="AR153" s="4"/>
      <c r="AS153" s="76" t="str">
        <f>"COMMENT ON COLUMN "&amp;エンティティ一覧!$O$2&amp;"."&amp;D$8&amp;"."&amp;D153&amp;" IS '"&amp;C153&amp;"';"</f>
        <v>COMMENT ON COLUMN milscm_2023_010.azn_202310_backup_merge_dpc_hn.tar0010_kango_hantei IS '看護必要度判定対象';</v>
      </c>
      <c r="AT153" s="4"/>
      <c r="AU153" s="4"/>
      <c r="AV153" s="4"/>
      <c r="AW153" s="4"/>
      <c r="AX153" s="4"/>
      <c r="AY153" s="4"/>
      <c r="AZ153" s="4"/>
    </row>
    <row r="154" spans="1:52">
      <c r="N154" s="76" t="s">
        <v>142</v>
      </c>
      <c r="O154" s="76"/>
      <c r="P154" s="76"/>
      <c r="Q154" s="76"/>
      <c r="R154" s="76"/>
      <c r="S154" s="76"/>
      <c r="T154" s="76"/>
      <c r="V154" s="25"/>
      <c r="W154" s="25"/>
      <c r="X154" s="25"/>
      <c r="Y154" s="25"/>
      <c r="Z154" s="25"/>
      <c r="AJ154" s="76" t="s">
        <v>142</v>
      </c>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5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ENT_01_C1-05</v>
      </c>
      <c r="E6" s="272"/>
      <c r="F6" s="272"/>
      <c r="G6" s="272"/>
      <c r="H6" s="272"/>
      <c r="I6" s="272"/>
      <c r="J6" s="273"/>
    </row>
    <row r="7" spans="1:45">
      <c r="B7" s="261" t="s">
        <v>115</v>
      </c>
      <c r="C7" s="262"/>
      <c r="D7" s="263" t="s">
        <v>180</v>
      </c>
      <c r="E7" s="264"/>
      <c r="F7" s="264"/>
      <c r="G7" s="264"/>
      <c r="H7" s="264"/>
      <c r="I7" s="264"/>
      <c r="J7" s="265"/>
    </row>
    <row r="8" spans="1:45">
      <c r="B8" s="261" t="s">
        <v>116</v>
      </c>
      <c r="C8" s="262"/>
      <c r="D8" s="263" t="str">
        <f>エンティティ一覧!AE2&amp;"_"&amp;D5&amp;"_merge_dpc_ff1"</f>
        <v>azn_202310_backup_merge_dpc_ff1</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DPC調査データ_様式1テーブルから組入れ条件の第一条件で絞り込んだ結果を格納するテーブル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milscm_2023_010.azn_202310_backup_merge_dpc_ff1;</v>
      </c>
      <c r="O10" s="76"/>
      <c r="P10" s="76"/>
      <c r="Q10" s="76"/>
      <c r="R10" s="76"/>
      <c r="S10" s="76"/>
      <c r="T10" s="76"/>
      <c r="AJ10" s="76" t="str">
        <f>"ALTER TABLE ONLY "&amp;エンティティ一覧!$O$2&amp;"."&amp;D$8</f>
        <v>ALTER TABLE ONLY milscm_2023_010.azn_202310_backup_merge_dpc_ff1</v>
      </c>
      <c r="AS10" s="76" t="str">
        <f>"ALTER TABLE "&amp;エンティティ一覧!$O$2&amp;"."&amp;D$8&amp;" OWNER TO pgmisgrp1;"</f>
        <v>ALTER TABLE milscm_2023_010.azn_202310_backup_merge_dpc_ff1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milscm_2023_010.azn_202310_backup_merge_dpc_ff1</v>
      </c>
      <c r="O11" s="76"/>
      <c r="P11" s="76"/>
      <c r="Q11" s="76"/>
      <c r="R11" s="76"/>
      <c r="S11" s="76"/>
      <c r="T11" s="76"/>
      <c r="AJ11" s="76" t="str">
        <f>"ADD CONSTRAINT "&amp;D$8&amp;"_pkey PRIMARY KEY"</f>
        <v>ADD CONSTRAINT azn_202310_backup_merge_dpc_ff1_pkey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milscm_2023_010.azn_202310_backup_merge_dpc_ff1 IS 'バックアップ_DPC調査データ_様式1';</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804</v>
      </c>
      <c r="M13" s="4"/>
      <c r="N13" s="76"/>
      <c r="O13" s="76"/>
      <c r="P13" s="76" t="str">
        <f>IF(B13&lt;&gt;1,","&amp;D13,D13)</f>
        <v>torikomi_ym</v>
      </c>
      <c r="Q13" s="76" t="str">
        <f t="shared" ref="Q13:Q47" si="0">UPPER(G13)</f>
        <v>TEXT</v>
      </c>
      <c r="R13" s="76" t="str">
        <f t="shared" ref="R13:R47"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milscm_2023_010.azn_202310_backup_merge_dpc_ff1.torikomi_ym IS '取込年月';</v>
      </c>
    </row>
    <row r="14" spans="1:45" s="25" customFormat="1">
      <c r="A14" s="4"/>
      <c r="B14" s="21">
        <f t="shared" ref="B14:B154" si="2">ROW()-12</f>
        <v>2</v>
      </c>
      <c r="C14" s="6" t="s">
        <v>201</v>
      </c>
      <c r="D14" s="6" t="s">
        <v>202</v>
      </c>
      <c r="E14" s="8"/>
      <c r="F14" s="7" t="s">
        <v>203</v>
      </c>
      <c r="G14" s="7" t="str">
        <f t="shared" ref="G14:G155" si="3">IF(F14="フラグ","boolean",IF(F14="文字列","text",IF(F14="整数","integer",IF(F14="実数","numeric",""))))</f>
        <v>integer</v>
      </c>
      <c r="H14" s="26"/>
      <c r="I14" s="10"/>
      <c r="J14" s="11" t="s">
        <v>256</v>
      </c>
      <c r="M14" s="4"/>
      <c r="N14" s="76"/>
      <c r="O14" s="76"/>
      <c r="P14" s="76" t="str">
        <f t="shared" ref="P14:P47"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milscm_2023_010.azn_202310_backup_merge_dpc_ff1.mil_karute_id IS '千年カルテID';</v>
      </c>
    </row>
    <row r="15" spans="1:45" s="25" customFormat="1" ht="37.5">
      <c r="A15" s="4"/>
      <c r="B15" s="21">
        <f t="shared" si="2"/>
        <v>3</v>
      </c>
      <c r="C15" s="13" t="s">
        <v>137</v>
      </c>
      <c r="D15" s="13" t="s">
        <v>128</v>
      </c>
      <c r="E15" s="7" t="s">
        <v>127</v>
      </c>
      <c r="F15" s="7" t="s">
        <v>316</v>
      </c>
      <c r="G15" s="7" t="str">
        <f t="shared" si="3"/>
        <v>text</v>
      </c>
      <c r="H15" s="58"/>
      <c r="I15" s="23" t="s">
        <v>127</v>
      </c>
      <c r="J15" s="24" t="s">
        <v>805</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milscm_2023_010.azn_202310_backup_merge_dpc_ff1.facility_id IS '施設ID';</v>
      </c>
    </row>
    <row r="16" spans="1:45" s="25" customFormat="1" ht="93.75">
      <c r="B16" s="21">
        <f t="shared" si="2"/>
        <v>4</v>
      </c>
      <c r="C16" s="6" t="s">
        <v>317</v>
      </c>
      <c r="D16" s="6" t="s">
        <v>205</v>
      </c>
      <c r="E16" s="8" t="s">
        <v>127</v>
      </c>
      <c r="F16" s="7" t="s">
        <v>316</v>
      </c>
      <c r="G16" s="7" t="str">
        <f t="shared" ref="G16:G17" si="5">IF(F16="フラグ","boolean",IF(F16="文字列","text",IF(F16="整数","integer",IF(F16="実数","numeric",""))))</f>
        <v>text</v>
      </c>
      <c r="H16" s="26"/>
      <c r="I16" s="10" t="s">
        <v>127</v>
      </c>
      <c r="J16" s="53" t="s">
        <v>896</v>
      </c>
      <c r="M16" s="4"/>
      <c r="N16" s="76"/>
      <c r="O16" s="76"/>
      <c r="P16" s="76" t="str">
        <f t="shared" si="4"/>
        <v>,shinryo_ym</v>
      </c>
      <c r="Q16" s="76" t="str">
        <f t="shared" si="0"/>
        <v>TEXT</v>
      </c>
      <c r="R16" s="76" t="str">
        <f t="shared" si="1"/>
        <v/>
      </c>
      <c r="S16" s="76" t="str">
        <f t="shared" ref="S16:S47" si="6">IF(I16="○","NOT NULL","")</f>
        <v>NOT NULL</v>
      </c>
      <c r="T16" s="76" t="str">
        <f t="shared" ref="T16:T47" si="7">"--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milscm_2023_010.azn_202310_backup_merge_dpc_ff1.shinryo_ym IS '診療年月';</v>
      </c>
    </row>
    <row r="17" spans="1:45" s="25" customFormat="1">
      <c r="B17" s="21">
        <f t="shared" si="2"/>
        <v>5</v>
      </c>
      <c r="C17" s="6" t="s">
        <v>206</v>
      </c>
      <c r="D17" s="6" t="s">
        <v>207</v>
      </c>
      <c r="E17" s="8"/>
      <c r="F17" s="7" t="s">
        <v>316</v>
      </c>
      <c r="G17" s="7" t="str">
        <f t="shared" si="5"/>
        <v>text</v>
      </c>
      <c r="H17" s="58" t="s">
        <v>258</v>
      </c>
      <c r="I17" s="23" t="s">
        <v>127</v>
      </c>
      <c r="J17" s="24" t="s">
        <v>806</v>
      </c>
      <c r="N17" s="76"/>
      <c r="O17" s="76"/>
      <c r="P17" s="76" t="str">
        <f t="shared" si="4"/>
        <v>,data_type</v>
      </c>
      <c r="Q17" s="76" t="str">
        <f t="shared" si="0"/>
        <v>TEXT</v>
      </c>
      <c r="R17" s="76" t="str">
        <f t="shared" si="1"/>
        <v>default 'DPC'</v>
      </c>
      <c r="S17" s="76" t="str">
        <f t="shared" si="6"/>
        <v>NOT NULL</v>
      </c>
      <c r="T17" s="76" t="str">
        <f t="shared" si="7"/>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milscm_2023_010.azn_202310_backup_merge_dpc_ff1.data_type IS 'データ種別';</v>
      </c>
    </row>
    <row r="18" spans="1:45" s="25" customFormat="1">
      <c r="B18" s="21">
        <f t="shared" si="2"/>
        <v>6</v>
      </c>
      <c r="C18" s="6" t="s">
        <v>319</v>
      </c>
      <c r="D18" s="6" t="s">
        <v>209</v>
      </c>
      <c r="E18" s="8" t="s">
        <v>127</v>
      </c>
      <c r="F18" s="7" t="s">
        <v>316</v>
      </c>
      <c r="G18" s="7" t="str">
        <f t="shared" si="3"/>
        <v>text</v>
      </c>
      <c r="H18" s="26"/>
      <c r="I18" s="10" t="s">
        <v>127</v>
      </c>
      <c r="J18" s="11"/>
      <c r="N18" s="76"/>
      <c r="O18" s="76"/>
      <c r="P18" s="76" t="str">
        <f t="shared" si="4"/>
        <v>,shikibetsu_no</v>
      </c>
      <c r="Q18" s="76" t="str">
        <f t="shared" si="0"/>
        <v>TEXT</v>
      </c>
      <c r="R18" s="76" t="str">
        <f t="shared" si="1"/>
        <v/>
      </c>
      <c r="S18" s="76" t="str">
        <f t="shared" si="6"/>
        <v>NOT NULL</v>
      </c>
      <c r="T18" s="76" t="str">
        <f t="shared" si="7"/>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milscm_2023_010.azn_202310_backup_merge_dpc_ff1.shikibetsu_no IS 'データ識別番号';</v>
      </c>
    </row>
    <row r="19" spans="1:45" s="25" customFormat="1">
      <c r="B19" s="21">
        <f t="shared" si="2"/>
        <v>7</v>
      </c>
      <c r="C19" s="13" t="s">
        <v>560</v>
      </c>
      <c r="D19" s="13" t="s">
        <v>156</v>
      </c>
      <c r="E19" s="7" t="s">
        <v>127</v>
      </c>
      <c r="F19" s="7" t="s">
        <v>316</v>
      </c>
      <c r="G19" s="7" t="str">
        <f t="shared" si="3"/>
        <v>text</v>
      </c>
      <c r="H19" s="58"/>
      <c r="I19" s="23" t="s">
        <v>127</v>
      </c>
      <c r="J19" s="24" t="s">
        <v>144</v>
      </c>
      <c r="N19" s="76"/>
      <c r="O19" s="76"/>
      <c r="P19" s="76" t="str">
        <f t="shared" si="4"/>
        <v>,nyuin_ymd</v>
      </c>
      <c r="Q19" s="76" t="str">
        <f t="shared" si="0"/>
        <v>TEXT</v>
      </c>
      <c r="R19" s="76" t="str">
        <f t="shared" si="1"/>
        <v/>
      </c>
      <c r="S19" s="76" t="str">
        <f t="shared" si="6"/>
        <v>NOT NULL</v>
      </c>
      <c r="T19" s="76" t="str">
        <f t="shared" si="7"/>
        <v>-- 入院年月日</v>
      </c>
      <c r="U19" s="4"/>
      <c r="AA19" s="4"/>
      <c r="AB19" s="4"/>
      <c r="AC19" s="4"/>
      <c r="AD19" s="4"/>
      <c r="AE19" s="4"/>
      <c r="AF19" s="4"/>
      <c r="AG19" s="4"/>
      <c r="AH19" s="4"/>
      <c r="AI19" s="4"/>
      <c r="AJ19" s="76" t="str">
        <f>IF(E19="○",IF(COUNTA(E$13:E19)=1,"",",")&amp;D19,"")</f>
        <v>,nyuin_ymd</v>
      </c>
      <c r="AK19" s="4"/>
      <c r="AL19" s="4"/>
      <c r="AM19" s="4"/>
      <c r="AN19" s="4"/>
      <c r="AO19" s="4"/>
      <c r="AP19" s="4"/>
      <c r="AQ19" s="4"/>
      <c r="AR19" s="4"/>
      <c r="AS19" s="76" t="str">
        <f>"COMMENT ON COLUMN "&amp;エンティティ一覧!$O$2&amp;"."&amp;D$8&amp;"."&amp;D19&amp;" IS '"&amp;C19&amp;"';"</f>
        <v>COMMENT ON COLUMN milscm_2023_010.azn_202310_backup_merge_dpc_ff1.nyuin_ymd IS '入院年月日';</v>
      </c>
    </row>
    <row r="20" spans="1:45" s="25" customFormat="1">
      <c r="B20" s="21">
        <f t="shared" si="2"/>
        <v>8</v>
      </c>
      <c r="C20" s="6" t="s">
        <v>561</v>
      </c>
      <c r="D20" s="6" t="s">
        <v>562</v>
      </c>
      <c r="E20" s="8" t="s">
        <v>127</v>
      </c>
      <c r="F20" s="7" t="s">
        <v>316</v>
      </c>
      <c r="G20" s="7" t="str">
        <f t="shared" si="3"/>
        <v>text</v>
      </c>
      <c r="H20" s="26"/>
      <c r="I20" s="10" t="s">
        <v>127</v>
      </c>
      <c r="J20" s="11"/>
      <c r="N20" s="76"/>
      <c r="O20" s="76"/>
      <c r="P20" s="76" t="str">
        <f t="shared" si="4"/>
        <v>,times_no</v>
      </c>
      <c r="Q20" s="76" t="str">
        <f t="shared" si="0"/>
        <v>TEXT</v>
      </c>
      <c r="R20" s="76" t="str">
        <f t="shared" si="1"/>
        <v/>
      </c>
      <c r="S20" s="76" t="str">
        <f t="shared" si="6"/>
        <v>NOT NULL</v>
      </c>
      <c r="T20" s="76" t="str">
        <f t="shared" si="7"/>
        <v>-- 回数管理番号</v>
      </c>
      <c r="U20" s="4"/>
      <c r="AA20" s="4"/>
      <c r="AB20" s="4"/>
      <c r="AC20" s="4"/>
      <c r="AD20" s="4"/>
      <c r="AE20" s="4"/>
      <c r="AF20" s="4"/>
      <c r="AG20" s="4"/>
      <c r="AH20" s="4"/>
      <c r="AI20" s="4"/>
      <c r="AJ20" s="76" t="str">
        <f>IF(E20="○",IF(COUNTA(E$13:E20)=1,"",",")&amp;D20,"")</f>
        <v>,times_no</v>
      </c>
      <c r="AK20" s="4"/>
      <c r="AL20" s="4"/>
      <c r="AM20" s="4"/>
      <c r="AN20" s="4"/>
      <c r="AO20" s="4"/>
      <c r="AP20" s="4"/>
      <c r="AQ20" s="4"/>
      <c r="AR20" s="4"/>
      <c r="AS20" s="76" t="str">
        <f>"COMMENT ON COLUMN "&amp;エンティティ一覧!$O$2&amp;"."&amp;D$8&amp;"."&amp;D20&amp;" IS '"&amp;C20&amp;"';"</f>
        <v>COMMENT ON COLUMN milscm_2023_010.azn_202310_backup_merge_dpc_ff1.times_no IS '回数管理番号';</v>
      </c>
    </row>
    <row r="21" spans="1:45" s="25" customFormat="1">
      <c r="B21" s="21">
        <f t="shared" si="2"/>
        <v>9</v>
      </c>
      <c r="C21" s="13" t="s">
        <v>563</v>
      </c>
      <c r="D21" s="13" t="s">
        <v>564</v>
      </c>
      <c r="E21" s="7" t="s">
        <v>127</v>
      </c>
      <c r="F21" s="7" t="s">
        <v>316</v>
      </c>
      <c r="G21" s="7" t="str">
        <f t="shared" si="3"/>
        <v>text</v>
      </c>
      <c r="H21" s="58"/>
      <c r="I21" s="23" t="s">
        <v>127</v>
      </c>
      <c r="J21" s="24"/>
      <c r="N21" s="76"/>
      <c r="O21" s="76"/>
      <c r="P21" s="76" t="str">
        <f t="shared" si="4"/>
        <v>,sokatsu_shinryo_no</v>
      </c>
      <c r="Q21" s="76" t="str">
        <f t="shared" si="0"/>
        <v>TEXT</v>
      </c>
      <c r="R21" s="76" t="str">
        <f t="shared" si="1"/>
        <v/>
      </c>
      <c r="S21" s="76" t="str">
        <f t="shared" si="6"/>
        <v>NOT NULL</v>
      </c>
      <c r="T21" s="76" t="str">
        <f t="shared" si="7"/>
        <v>-- 統括診療情報番号</v>
      </c>
      <c r="U21" s="4"/>
      <c r="AA21" s="4"/>
      <c r="AB21" s="4"/>
      <c r="AC21" s="4"/>
      <c r="AD21" s="4"/>
      <c r="AE21" s="4"/>
      <c r="AF21" s="4"/>
      <c r="AG21" s="4"/>
      <c r="AH21" s="4"/>
      <c r="AI21" s="4"/>
      <c r="AJ21" s="76" t="str">
        <f>IF(E21="○",IF(COUNTA(E$13:E21)=1,"",",")&amp;D21,"")</f>
        <v>,sokatsu_shinryo_no</v>
      </c>
      <c r="AK21" s="4"/>
      <c r="AL21" s="4"/>
      <c r="AM21" s="4"/>
      <c r="AN21" s="4"/>
      <c r="AO21" s="4"/>
      <c r="AP21" s="4"/>
      <c r="AQ21" s="4"/>
      <c r="AR21" s="4"/>
      <c r="AS21" s="76" t="str">
        <f>"COMMENT ON COLUMN "&amp;エンティティ一覧!$O$2&amp;"."&amp;D$8&amp;"."&amp;D21&amp;" IS '"&amp;C21&amp;"';"</f>
        <v>COMMENT ON COLUMN milscm_2023_010.azn_202310_backup_merge_dpc_ff1.sokatsu_shinryo_no IS '統括診療情報番号';</v>
      </c>
    </row>
    <row r="22" spans="1:45" s="25" customFormat="1">
      <c r="B22" s="21">
        <f t="shared" si="2"/>
        <v>10</v>
      </c>
      <c r="C22" s="6" t="s">
        <v>357</v>
      </c>
      <c r="D22" s="6" t="s">
        <v>358</v>
      </c>
      <c r="E22" s="8" t="s">
        <v>127</v>
      </c>
      <c r="F22" s="7" t="s">
        <v>316</v>
      </c>
      <c r="G22" s="7" t="str">
        <f t="shared" si="3"/>
        <v>text</v>
      </c>
      <c r="H22" s="26" t="s">
        <v>807</v>
      </c>
      <c r="I22" s="10" t="s">
        <v>127</v>
      </c>
      <c r="J22" s="11" t="s">
        <v>808</v>
      </c>
      <c r="N22" s="76"/>
      <c r="O22" s="76"/>
      <c r="P22" s="76" t="str">
        <f t="shared" si="4"/>
        <v>,code</v>
      </c>
      <c r="Q22" s="76" t="str">
        <f t="shared" si="0"/>
        <v>TEXT</v>
      </c>
      <c r="R22" s="76" t="str">
        <f t="shared" si="1"/>
        <v>default 'A000010'</v>
      </c>
      <c r="S22" s="76" t="str">
        <f t="shared" si="6"/>
        <v>NOT NULL</v>
      </c>
      <c r="T22" s="76" t="str">
        <f t="shared" si="7"/>
        <v>-- コード</v>
      </c>
      <c r="U22" s="4"/>
      <c r="AA22" s="4"/>
      <c r="AB22" s="4"/>
      <c r="AC22" s="4"/>
      <c r="AD22" s="4"/>
      <c r="AE22" s="4"/>
      <c r="AF22" s="4"/>
      <c r="AG22" s="4"/>
      <c r="AH22" s="4"/>
      <c r="AI22" s="4"/>
      <c r="AJ22" s="76" t="str">
        <f>IF(E22="○",IF(COUNTA(E$13:E22)=1,"",",")&amp;D22,"")</f>
        <v>,code</v>
      </c>
      <c r="AK22" s="4"/>
      <c r="AL22" s="4"/>
      <c r="AM22" s="4"/>
      <c r="AN22" s="4"/>
      <c r="AO22" s="4"/>
      <c r="AP22" s="4"/>
      <c r="AQ22" s="4"/>
      <c r="AR22" s="4"/>
      <c r="AS22" s="76" t="str">
        <f>"COMMENT ON COLUMN "&amp;エンティティ一覧!$O$2&amp;"."&amp;D$8&amp;"."&amp;D22&amp;" IS '"&amp;C22&amp;"';"</f>
        <v>COMMENT ON COLUMN milscm_2023_010.azn_202310_backup_merge_dpc_ff1.code IS 'コード';</v>
      </c>
    </row>
    <row r="23" spans="1:45" s="25" customFormat="1">
      <c r="A23" s="4"/>
      <c r="B23" s="21">
        <f t="shared" si="2"/>
        <v>11</v>
      </c>
      <c r="C23" s="13" t="s">
        <v>359</v>
      </c>
      <c r="D23" s="13" t="s">
        <v>360</v>
      </c>
      <c r="E23" s="7" t="s">
        <v>127</v>
      </c>
      <c r="F23" s="7" t="s">
        <v>316</v>
      </c>
      <c r="G23" s="7" t="str">
        <f t="shared" si="3"/>
        <v>text</v>
      </c>
      <c r="H23" s="58">
        <v>20140401</v>
      </c>
      <c r="I23" s="23" t="s">
        <v>127</v>
      </c>
      <c r="J23" s="24" t="s">
        <v>809</v>
      </c>
      <c r="N23" s="76"/>
      <c r="O23" s="76"/>
      <c r="P23" s="76" t="str">
        <f t="shared" si="4"/>
        <v>,version</v>
      </c>
      <c r="Q23" s="76" t="str">
        <f t="shared" si="0"/>
        <v>TEXT</v>
      </c>
      <c r="R23" s="76" t="str">
        <f t="shared" si="1"/>
        <v>default '20140401'</v>
      </c>
      <c r="S23" s="76" t="str">
        <f t="shared" si="6"/>
        <v>NOT NULL</v>
      </c>
      <c r="T23" s="76" t="str">
        <f t="shared" si="7"/>
        <v>-- バージョン</v>
      </c>
      <c r="U23" s="4"/>
      <c r="AA23" s="4"/>
      <c r="AB23" s="4"/>
      <c r="AC23" s="4"/>
      <c r="AD23" s="4"/>
      <c r="AE23" s="4"/>
      <c r="AF23" s="4"/>
      <c r="AG23" s="4"/>
      <c r="AH23" s="4"/>
      <c r="AI23" s="4"/>
      <c r="AJ23" s="76" t="str">
        <f>IF(E23="○",IF(COUNTA(E$13:E23)=1,"",",")&amp;D23,"")</f>
        <v>,version</v>
      </c>
      <c r="AK23" s="4"/>
      <c r="AL23" s="4"/>
      <c r="AM23" s="4"/>
      <c r="AN23" s="4"/>
      <c r="AO23" s="4"/>
      <c r="AP23" s="4"/>
      <c r="AQ23" s="4"/>
      <c r="AR23" s="4"/>
      <c r="AS23" s="76" t="str">
        <f>"COMMENT ON COLUMN "&amp;エンティティ一覧!$O$2&amp;"."&amp;D$8&amp;"."&amp;D23&amp;" IS '"&amp;C23&amp;"';"</f>
        <v>COMMENT ON COLUMN milscm_2023_010.azn_202310_backup_merge_dpc_ff1.version IS 'バージョン';</v>
      </c>
    </row>
    <row r="24" spans="1:45" s="25" customFormat="1">
      <c r="A24" s="4"/>
      <c r="B24" s="21">
        <f t="shared" si="2"/>
        <v>12</v>
      </c>
      <c r="C24" s="6" t="s">
        <v>361</v>
      </c>
      <c r="D24" s="6" t="s">
        <v>362</v>
      </c>
      <c r="E24" s="8" t="s">
        <v>127</v>
      </c>
      <c r="F24" s="7" t="s">
        <v>316</v>
      </c>
      <c r="G24" s="7" t="str">
        <f t="shared" si="3"/>
        <v>text</v>
      </c>
      <c r="H24" s="26"/>
      <c r="I24" s="10" t="s">
        <v>127</v>
      </c>
      <c r="J24" s="11"/>
      <c r="N24" s="76"/>
      <c r="O24" s="76"/>
      <c r="P24" s="76" t="str">
        <f t="shared" si="4"/>
        <v>,number</v>
      </c>
      <c r="Q24" s="76" t="str">
        <f t="shared" si="0"/>
        <v>TEXT</v>
      </c>
      <c r="R24" s="76" t="str">
        <f t="shared" si="1"/>
        <v/>
      </c>
      <c r="S24" s="76" t="str">
        <f t="shared" si="6"/>
        <v>NOT NULL</v>
      </c>
      <c r="T24" s="76" t="str">
        <f t="shared" si="7"/>
        <v>-- 連番</v>
      </c>
      <c r="U24" s="4"/>
      <c r="AA24" s="4"/>
      <c r="AB24" s="4"/>
      <c r="AC24" s="4"/>
      <c r="AD24" s="4"/>
      <c r="AE24" s="4"/>
      <c r="AF24" s="4"/>
      <c r="AG24" s="4"/>
      <c r="AH24" s="4"/>
      <c r="AI24" s="4"/>
      <c r="AJ24" s="76" t="str">
        <f>IF(E24="○",IF(COUNTA(E$13:E24)=1,"",",")&amp;D24,"")</f>
        <v>,number</v>
      </c>
      <c r="AK24" s="4"/>
      <c r="AL24" s="4"/>
      <c r="AM24" s="4"/>
      <c r="AN24" s="4"/>
      <c r="AO24" s="4"/>
      <c r="AP24" s="4"/>
      <c r="AQ24" s="4"/>
      <c r="AR24" s="4"/>
      <c r="AS24" s="76" t="str">
        <f>"COMMENT ON COLUMN "&amp;エンティティ一覧!$O$2&amp;"."&amp;D$8&amp;"."&amp;D24&amp;" IS '"&amp;C24&amp;"';"</f>
        <v>COMMENT ON COLUMN milscm_2023_010.azn_202310_backup_merge_dpc_ff1.number IS '連番';</v>
      </c>
    </row>
    <row r="25" spans="1:45" s="25" customFormat="1">
      <c r="A25" s="4"/>
      <c r="B25" s="21">
        <f t="shared" si="2"/>
        <v>13</v>
      </c>
      <c r="C25" s="13" t="s">
        <v>565</v>
      </c>
      <c r="D25" s="13" t="s">
        <v>566</v>
      </c>
      <c r="E25" s="7"/>
      <c r="F25" s="7" t="s">
        <v>316</v>
      </c>
      <c r="G25" s="7" t="str">
        <f t="shared" si="3"/>
        <v>text</v>
      </c>
      <c r="H25" s="58"/>
      <c r="I25" s="23"/>
      <c r="J25" s="24" t="s">
        <v>144</v>
      </c>
      <c r="N25" s="76"/>
      <c r="O25" s="76"/>
      <c r="P25" s="76" t="str">
        <f t="shared" si="4"/>
        <v>,a000010_birthday</v>
      </c>
      <c r="Q25" s="76" t="str">
        <f t="shared" si="0"/>
        <v>TEXT</v>
      </c>
      <c r="R25" s="76" t="str">
        <f t="shared" si="1"/>
        <v/>
      </c>
      <c r="S25" s="76" t="str">
        <f t="shared" si="6"/>
        <v/>
      </c>
      <c r="T25" s="76" t="str">
        <f t="shared" si="7"/>
        <v>-- 生年月日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milscm_2023_010.azn_202310_backup_merge_dpc_ff1.a000010_birthday IS '生年月日';</v>
      </c>
    </row>
    <row r="26" spans="1:45" s="25" customFormat="1">
      <c r="A26" s="4"/>
      <c r="B26" s="21">
        <f t="shared" si="2"/>
        <v>14</v>
      </c>
      <c r="C26" s="6" t="s">
        <v>567</v>
      </c>
      <c r="D26" s="6" t="s">
        <v>568</v>
      </c>
      <c r="E26" s="8"/>
      <c r="F26" s="7" t="s">
        <v>316</v>
      </c>
      <c r="G26" s="7" t="str">
        <f t="shared" si="3"/>
        <v>text</v>
      </c>
      <c r="H26" s="26"/>
      <c r="I26" s="10"/>
      <c r="J26" s="11" t="s">
        <v>810</v>
      </c>
      <c r="N26" s="76"/>
      <c r="O26" s="76"/>
      <c r="P26" s="76" t="str">
        <f t="shared" si="4"/>
        <v>,a000010_sex</v>
      </c>
      <c r="Q26" s="76" t="str">
        <f t="shared" si="0"/>
        <v>TEXT</v>
      </c>
      <c r="R26" s="76" t="str">
        <f t="shared" si="1"/>
        <v/>
      </c>
      <c r="S26" s="76" t="str">
        <f t="shared" si="6"/>
        <v/>
      </c>
      <c r="T26" s="76" t="str">
        <f t="shared" si="7"/>
        <v>-- 性別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milscm_2023_010.azn_202310_backup_merge_dpc_ff1.a000010_sex IS '性別';</v>
      </c>
    </row>
    <row r="27" spans="1:45" s="25" customFormat="1">
      <c r="A27" s="4"/>
      <c r="B27" s="21">
        <f t="shared" si="2"/>
        <v>15</v>
      </c>
      <c r="C27" s="13" t="s">
        <v>569</v>
      </c>
      <c r="D27" s="13" t="s">
        <v>570</v>
      </c>
      <c r="E27" s="7"/>
      <c r="F27" s="7" t="s">
        <v>316</v>
      </c>
      <c r="G27" s="7" t="str">
        <f t="shared" si="3"/>
        <v>text</v>
      </c>
      <c r="H27" s="26"/>
      <c r="I27" s="10"/>
      <c r="J27" s="11"/>
      <c r="N27" s="76"/>
      <c r="O27" s="76"/>
      <c r="P27" s="76" t="str">
        <f t="shared" si="4"/>
        <v>,a000010_postal_code</v>
      </c>
      <c r="Q27" s="76" t="str">
        <f t="shared" si="0"/>
        <v>TEXT</v>
      </c>
      <c r="R27" s="76" t="str">
        <f t="shared" si="1"/>
        <v/>
      </c>
      <c r="S27" s="76" t="str">
        <f t="shared" si="6"/>
        <v/>
      </c>
      <c r="T27" s="76" t="str">
        <f t="shared" si="7"/>
        <v>-- 患者住所地域の郵便番号</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milscm_2023_010.azn_202310_backup_merge_dpc_ff1.a000010_postal_code IS '患者住所地域の郵便番号';</v>
      </c>
    </row>
    <row r="28" spans="1:45" s="25" customFormat="1">
      <c r="A28" s="4"/>
      <c r="B28" s="21">
        <f t="shared" si="2"/>
        <v>16</v>
      </c>
      <c r="C28" s="6" t="s">
        <v>143</v>
      </c>
      <c r="D28" s="6" t="s">
        <v>571</v>
      </c>
      <c r="E28" s="8"/>
      <c r="F28" s="7" t="s">
        <v>316</v>
      </c>
      <c r="G28" s="7" t="str">
        <f t="shared" si="3"/>
        <v>text</v>
      </c>
      <c r="H28" s="58"/>
      <c r="I28" s="23"/>
      <c r="J28" s="24" t="s">
        <v>144</v>
      </c>
      <c r="N28" s="76"/>
      <c r="O28" s="76"/>
      <c r="P28" s="76" t="str">
        <f t="shared" si="4"/>
        <v>,a000020_nyuin_ymd</v>
      </c>
      <c r="Q28" s="76" t="str">
        <f t="shared" si="0"/>
        <v>TEXT</v>
      </c>
      <c r="R28" s="76" t="str">
        <f t="shared" si="1"/>
        <v/>
      </c>
      <c r="S28" s="76" t="str">
        <f t="shared" si="6"/>
        <v/>
      </c>
      <c r="T28" s="76" t="str">
        <f t="shared" si="7"/>
        <v>-- 入院年月日</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milscm_2023_010.azn_202310_backup_merge_dpc_ff1.a000020_nyuin_ymd IS '入院年月日';</v>
      </c>
    </row>
    <row r="29" spans="1:45" s="25" customFormat="1">
      <c r="A29" s="4"/>
      <c r="B29" s="21">
        <f t="shared" si="2"/>
        <v>17</v>
      </c>
      <c r="C29" s="6" t="s">
        <v>572</v>
      </c>
      <c r="D29" s="6" t="s">
        <v>573</v>
      </c>
      <c r="E29" s="8"/>
      <c r="F29" s="7" t="s">
        <v>316</v>
      </c>
      <c r="G29" s="7" t="str">
        <f t="shared" si="3"/>
        <v>text</v>
      </c>
      <c r="H29" s="26"/>
      <c r="I29" s="10"/>
      <c r="J29" s="11"/>
      <c r="N29" s="76"/>
      <c r="O29" s="76"/>
      <c r="P29" s="76" t="str">
        <f t="shared" si="4"/>
        <v>,a000020_nyuin_route</v>
      </c>
      <c r="Q29" s="76" t="str">
        <f t="shared" si="0"/>
        <v>TEXT</v>
      </c>
      <c r="R29" s="76" t="str">
        <f t="shared" si="1"/>
        <v/>
      </c>
      <c r="S29" s="76" t="str">
        <f t="shared" si="6"/>
        <v/>
      </c>
      <c r="T29" s="76" t="str">
        <f t="shared" si="7"/>
        <v>-- 入院経路</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milscm_2023_010.azn_202310_backup_merge_dpc_ff1.a000020_nyuin_route IS '入院経路';</v>
      </c>
    </row>
    <row r="30" spans="1:45" s="25" customFormat="1">
      <c r="A30" s="4"/>
      <c r="B30" s="21">
        <f t="shared" si="2"/>
        <v>18</v>
      </c>
      <c r="C30" s="13" t="s">
        <v>574</v>
      </c>
      <c r="D30" s="13" t="s">
        <v>575</v>
      </c>
      <c r="E30" s="7"/>
      <c r="F30" s="7" t="s">
        <v>316</v>
      </c>
      <c r="G30" s="7" t="str">
        <f t="shared" si="3"/>
        <v>text</v>
      </c>
      <c r="H30" s="58"/>
      <c r="I30" s="23"/>
      <c r="J30" s="24" t="s">
        <v>811</v>
      </c>
      <c r="N30" s="76"/>
      <c r="O30" s="76"/>
      <c r="P30" s="76" t="str">
        <f t="shared" si="4"/>
        <v>,a000020_shokai_flag</v>
      </c>
      <c r="Q30" s="76" t="str">
        <f t="shared" si="0"/>
        <v>TEXT</v>
      </c>
      <c r="R30" s="76" t="str">
        <f t="shared" si="1"/>
        <v/>
      </c>
      <c r="S30" s="76" t="str">
        <f t="shared" si="6"/>
        <v/>
      </c>
      <c r="T30" s="76" t="str">
        <f t="shared" si="7"/>
        <v>-- 他院よりの紹介の有無</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milscm_2023_010.azn_202310_backup_merge_dpc_ff1.a000020_shokai_flag IS '他院よりの紹介の有無';</v>
      </c>
    </row>
    <row r="31" spans="1:45" s="25" customFormat="1" ht="31.5">
      <c r="A31" s="4"/>
      <c r="B31" s="21">
        <f t="shared" si="2"/>
        <v>19</v>
      </c>
      <c r="C31" s="6" t="s">
        <v>576</v>
      </c>
      <c r="D31" s="6" t="s">
        <v>577</v>
      </c>
      <c r="E31" s="8"/>
      <c r="F31" s="7" t="s">
        <v>316</v>
      </c>
      <c r="G31" s="7" t="str">
        <f t="shared" si="3"/>
        <v>text</v>
      </c>
      <c r="H31" s="26"/>
      <c r="I31" s="10"/>
      <c r="J31" s="11" t="s">
        <v>811</v>
      </c>
      <c r="N31" s="76"/>
      <c r="O31" s="76"/>
      <c r="P31" s="76" t="str">
        <f t="shared" si="4"/>
        <v>,a000020_gairai_nyuin_flag</v>
      </c>
      <c r="Q31" s="76" t="str">
        <f t="shared" si="0"/>
        <v>TEXT</v>
      </c>
      <c r="R31" s="76" t="str">
        <f t="shared" si="1"/>
        <v/>
      </c>
      <c r="S31" s="76" t="str">
        <f t="shared" si="6"/>
        <v/>
      </c>
      <c r="T31" s="76" t="str">
        <f t="shared" si="7"/>
        <v>-- 自院の外来からの入院</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milscm_2023_010.azn_202310_backup_merge_dpc_ff1.a000020_gairai_nyuin_flag IS '自院の外来からの入院';</v>
      </c>
    </row>
    <row r="32" spans="1:45" s="25" customFormat="1">
      <c r="A32" s="4"/>
      <c r="B32" s="21">
        <f t="shared" si="2"/>
        <v>20</v>
      </c>
      <c r="C32" s="13" t="s">
        <v>578</v>
      </c>
      <c r="D32" s="13" t="s">
        <v>579</v>
      </c>
      <c r="E32" s="7"/>
      <c r="F32" s="7" t="s">
        <v>316</v>
      </c>
      <c r="G32" s="7" t="str">
        <f t="shared" si="3"/>
        <v>text</v>
      </c>
      <c r="H32" s="58"/>
      <c r="I32" s="23"/>
      <c r="J32" s="24"/>
      <c r="N32" s="76"/>
      <c r="O32" s="76"/>
      <c r="P32" s="76" t="str">
        <f t="shared" si="4"/>
        <v>,a000020_yotei_nyuin</v>
      </c>
      <c r="Q32" s="76" t="str">
        <f t="shared" si="0"/>
        <v>TEXT</v>
      </c>
      <c r="R32" s="76" t="str">
        <f t="shared" si="1"/>
        <v/>
      </c>
      <c r="S32" s="76" t="str">
        <f t="shared" si="6"/>
        <v/>
      </c>
      <c r="T32" s="76" t="str">
        <f t="shared" si="7"/>
        <v>-- 予定・救急医療入院</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milscm_2023_010.azn_202310_backup_merge_dpc_ff1.a000020_yotei_nyuin IS '予定・救急医療入院';</v>
      </c>
    </row>
    <row r="33" spans="1:52" s="25" customFormat="1">
      <c r="A33" s="4"/>
      <c r="B33" s="21">
        <f t="shared" si="2"/>
        <v>21</v>
      </c>
      <c r="C33" s="6" t="s">
        <v>580</v>
      </c>
      <c r="D33" s="6" t="s">
        <v>581</v>
      </c>
      <c r="E33" s="8"/>
      <c r="F33" s="7" t="s">
        <v>316</v>
      </c>
      <c r="G33" s="7" t="str">
        <f t="shared" si="3"/>
        <v>text</v>
      </c>
      <c r="H33" s="26"/>
      <c r="I33" s="10"/>
      <c r="J33" s="11" t="s">
        <v>811</v>
      </c>
      <c r="N33" s="76"/>
      <c r="O33" s="76"/>
      <c r="P33" s="76" t="str">
        <f t="shared" si="4"/>
        <v>,a000020_hanso_flag</v>
      </c>
      <c r="Q33" s="76" t="str">
        <f t="shared" si="0"/>
        <v>TEXT</v>
      </c>
      <c r="R33" s="76" t="str">
        <f t="shared" si="1"/>
        <v/>
      </c>
      <c r="S33" s="76" t="str">
        <f t="shared" si="6"/>
        <v/>
      </c>
      <c r="T33" s="76" t="str">
        <f t="shared" si="7"/>
        <v>-- 救急車による搬送の有無</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milscm_2023_010.azn_202310_backup_merge_dpc_ff1.a000020_hanso_flag IS '救急車による搬送の有無';</v>
      </c>
    </row>
    <row r="34" spans="1:52" s="25" customFormat="1" ht="31.5">
      <c r="A34" s="4"/>
      <c r="B34" s="21">
        <f t="shared" si="2"/>
        <v>22</v>
      </c>
      <c r="C34" s="13" t="s">
        <v>582</v>
      </c>
      <c r="D34" s="13" t="s">
        <v>583</v>
      </c>
      <c r="E34" s="7"/>
      <c r="F34" s="7" t="s">
        <v>316</v>
      </c>
      <c r="G34" s="7" t="str">
        <f t="shared" si="3"/>
        <v>text</v>
      </c>
      <c r="H34" s="58"/>
      <c r="I34" s="23"/>
      <c r="J34" s="24" t="s">
        <v>811</v>
      </c>
      <c r="N34" s="76"/>
      <c r="O34" s="76"/>
      <c r="P34" s="76" t="str">
        <f t="shared" si="4"/>
        <v>,a000020_nyuin_homecare_flag</v>
      </c>
      <c r="Q34" s="76" t="str">
        <f t="shared" si="0"/>
        <v>TEXT</v>
      </c>
      <c r="R34" s="76" t="str">
        <f t="shared" si="1"/>
        <v/>
      </c>
      <c r="S34" s="76" t="str">
        <f t="shared" si="6"/>
        <v/>
      </c>
      <c r="T34" s="76" t="str">
        <f t="shared" si="7"/>
        <v>-- 入院前の在宅医療の有無</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milscm_2023_010.azn_202310_backup_merge_dpc_ff1.a000020_nyuin_homecare_flag IS '入院前の在宅医療の有無';</v>
      </c>
    </row>
    <row r="35" spans="1:52" s="25" customFormat="1" ht="206.25">
      <c r="A35" s="4"/>
      <c r="B35" s="21">
        <f t="shared" si="2"/>
        <v>23</v>
      </c>
      <c r="C35" s="6" t="s">
        <v>584</v>
      </c>
      <c r="D35" s="6" t="s">
        <v>585</v>
      </c>
      <c r="E35" s="8"/>
      <c r="F35" s="7" t="s">
        <v>316</v>
      </c>
      <c r="G35" s="7" t="str">
        <f t="shared" si="3"/>
        <v>text</v>
      </c>
      <c r="H35" s="26"/>
      <c r="I35" s="10"/>
      <c r="J35" s="11" t="s">
        <v>812</v>
      </c>
      <c r="N35" s="76"/>
      <c r="O35" s="76"/>
      <c r="P35" s="76" t="str">
        <f t="shared" si="4"/>
        <v>,a000020_jisho_flag</v>
      </c>
      <c r="Q35" s="76" t="str">
        <f t="shared" si="0"/>
        <v>TEXT</v>
      </c>
      <c r="R35" s="76" t="str">
        <f t="shared" si="1"/>
        <v/>
      </c>
      <c r="S35" s="76" t="str">
        <f t="shared" si="6"/>
        <v/>
      </c>
      <c r="T35" s="76" t="str">
        <f t="shared" si="7"/>
        <v>-- 自傷行為・自殺企図の有無</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milscm_2023_010.azn_202310_backup_merge_dpc_ff1.a000020_jisho_flag IS '自傷行為・自殺企図の有無';</v>
      </c>
    </row>
    <row r="36" spans="1:52" s="25" customFormat="1" ht="56.25">
      <c r="A36" s="4"/>
      <c r="B36" s="21">
        <f t="shared" si="2"/>
        <v>24</v>
      </c>
      <c r="C36" s="13" t="s">
        <v>586</v>
      </c>
      <c r="D36" s="13" t="s">
        <v>587</v>
      </c>
      <c r="E36" s="7"/>
      <c r="F36" s="7" t="s">
        <v>316</v>
      </c>
      <c r="G36" s="7" t="str">
        <f t="shared" si="3"/>
        <v>text</v>
      </c>
      <c r="H36" s="26"/>
      <c r="I36" s="10"/>
      <c r="J36" s="11" t="s">
        <v>813</v>
      </c>
      <c r="N36" s="76"/>
      <c r="O36" s="76"/>
      <c r="P36" s="76" t="str">
        <f t="shared" si="4"/>
        <v>,a000020_kako_jisho_flag</v>
      </c>
      <c r="Q36" s="76" t="str">
        <f t="shared" si="0"/>
        <v>TEXT</v>
      </c>
      <c r="R36" s="76" t="str">
        <f t="shared" si="1"/>
        <v/>
      </c>
      <c r="S36" s="76" t="str">
        <f t="shared" si="6"/>
        <v/>
      </c>
      <c r="T36" s="76" t="str">
        <f t="shared" si="7"/>
        <v>-- 過去の自傷行為・自殺企図の有無</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milscm_2023_010.azn_202310_backup_merge_dpc_ff1.a000020_kako_jisho_flag IS '過去の自傷行為・自殺企図の有無';</v>
      </c>
    </row>
    <row r="37" spans="1:52" s="25" customFormat="1">
      <c r="A37" s="4"/>
      <c r="B37" s="21">
        <f t="shared" si="2"/>
        <v>25</v>
      </c>
      <c r="C37" s="6" t="s">
        <v>210</v>
      </c>
      <c r="D37" s="6" t="s">
        <v>588</v>
      </c>
      <c r="E37" s="8"/>
      <c r="F37" s="7" t="s">
        <v>316</v>
      </c>
      <c r="G37" s="7" t="str">
        <f t="shared" si="3"/>
        <v>text</v>
      </c>
      <c r="H37" s="58"/>
      <c r="I37" s="23"/>
      <c r="J37" s="24" t="s">
        <v>144</v>
      </c>
      <c r="N37" s="76"/>
      <c r="O37" s="76"/>
      <c r="P37" s="76" t="str">
        <f t="shared" si="4"/>
        <v>,a000030_taiin_ymd</v>
      </c>
      <c r="Q37" s="76" t="str">
        <f t="shared" si="0"/>
        <v>TEXT</v>
      </c>
      <c r="R37" s="76" t="str">
        <f t="shared" si="1"/>
        <v/>
      </c>
      <c r="S37" s="76" t="str">
        <f t="shared" si="6"/>
        <v/>
      </c>
      <c r="T37" s="76" t="str">
        <f t="shared" si="7"/>
        <v>-- 退院年月日</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milscm_2023_010.azn_202310_backup_merge_dpc_ff1.a000030_taiin_ymd IS '退院年月日';</v>
      </c>
    </row>
    <row r="38" spans="1:52" s="25" customFormat="1">
      <c r="A38" s="4"/>
      <c r="B38" s="21">
        <f t="shared" si="2"/>
        <v>26</v>
      </c>
      <c r="C38" s="6" t="s">
        <v>589</v>
      </c>
      <c r="D38" s="6" t="s">
        <v>590</v>
      </c>
      <c r="E38" s="8"/>
      <c r="F38" s="7" t="s">
        <v>316</v>
      </c>
      <c r="G38" s="7" t="str">
        <f t="shared" si="3"/>
        <v>text</v>
      </c>
      <c r="H38" s="26"/>
      <c r="I38" s="10"/>
      <c r="J38" s="11"/>
      <c r="N38" s="76"/>
      <c r="O38" s="76"/>
      <c r="P38" s="76" t="str">
        <f t="shared" si="4"/>
        <v>,a000030_taiin_saki</v>
      </c>
      <c r="Q38" s="76" t="str">
        <f t="shared" si="0"/>
        <v>TEXT</v>
      </c>
      <c r="R38" s="76" t="str">
        <f t="shared" si="1"/>
        <v/>
      </c>
      <c r="S38" s="76" t="str">
        <f t="shared" si="6"/>
        <v/>
      </c>
      <c r="T38" s="76" t="str">
        <f t="shared" si="7"/>
        <v>-- 退院先</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milscm_2023_010.azn_202310_backup_merge_dpc_ff1.a000030_taiin_saki IS '退院先';</v>
      </c>
    </row>
    <row r="39" spans="1:52" s="25" customFormat="1">
      <c r="A39" s="4"/>
      <c r="B39" s="21">
        <f t="shared" si="2"/>
        <v>27</v>
      </c>
      <c r="C39" s="13" t="s">
        <v>591</v>
      </c>
      <c r="D39" s="13" t="s">
        <v>592</v>
      </c>
      <c r="E39" s="7"/>
      <c r="F39" s="7" t="s">
        <v>316</v>
      </c>
      <c r="G39" s="7" t="str">
        <f t="shared" si="3"/>
        <v>text</v>
      </c>
      <c r="H39" s="58"/>
      <c r="I39" s="23"/>
      <c r="J39" s="24"/>
      <c r="N39" s="76"/>
      <c r="O39" s="76"/>
      <c r="P39" s="76" t="str">
        <f t="shared" si="4"/>
        <v>,a000030_taiin_tenki</v>
      </c>
      <c r="Q39" s="76" t="str">
        <f t="shared" si="0"/>
        <v>TEXT</v>
      </c>
      <c r="R39" s="76" t="str">
        <f t="shared" si="1"/>
        <v/>
      </c>
      <c r="S39" s="76" t="str">
        <f t="shared" si="6"/>
        <v/>
      </c>
      <c r="T39" s="76" t="str">
        <f t="shared" si="7"/>
        <v>-- 退院時転帰</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milscm_2023_010.azn_202310_backup_merge_dpc_ff1.a000030_taiin_tenki IS '退院時転帰';</v>
      </c>
    </row>
    <row r="40" spans="1:52" s="25" customFormat="1" ht="75">
      <c r="A40" s="4"/>
      <c r="B40" s="21">
        <f t="shared" si="2"/>
        <v>28</v>
      </c>
      <c r="C40" s="6" t="s">
        <v>593</v>
      </c>
      <c r="D40" s="6" t="s">
        <v>594</v>
      </c>
      <c r="E40" s="8"/>
      <c r="F40" s="7" t="s">
        <v>316</v>
      </c>
      <c r="G40" s="7" t="str">
        <f t="shared" si="3"/>
        <v>text</v>
      </c>
      <c r="H40" s="26"/>
      <c r="I40" s="10"/>
      <c r="J40" s="11" t="s">
        <v>814</v>
      </c>
      <c r="N40" s="76"/>
      <c r="O40" s="76"/>
      <c r="P40" s="76" t="str">
        <f t="shared" si="4"/>
        <v>,a000030_death24_flag</v>
      </c>
      <c r="Q40" s="76" t="str">
        <f t="shared" si="0"/>
        <v>TEXT</v>
      </c>
      <c r="R40" s="76" t="str">
        <f t="shared" si="1"/>
        <v/>
      </c>
      <c r="S40" s="76" t="str">
        <f t="shared" si="6"/>
        <v/>
      </c>
      <c r="T40" s="76" t="str">
        <f t="shared" si="7"/>
        <v>-- 24時間以内の死亡の有無</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milscm_2023_010.azn_202310_backup_merge_dpc_ff1.a000030_death24_flag IS '24時間以内の死亡の有無';</v>
      </c>
    </row>
    <row r="41" spans="1:52" s="25" customFormat="1" ht="31.5">
      <c r="A41" s="4"/>
      <c r="B41" s="21">
        <f t="shared" si="2"/>
        <v>29</v>
      </c>
      <c r="C41" s="13" t="s">
        <v>595</v>
      </c>
      <c r="D41" s="13" t="s">
        <v>596</v>
      </c>
      <c r="E41" s="7"/>
      <c r="F41" s="7" t="s">
        <v>316</v>
      </c>
      <c r="G41" s="7" t="str">
        <f t="shared" si="3"/>
        <v>text</v>
      </c>
      <c r="H41" s="58"/>
      <c r="I41" s="23"/>
      <c r="J41" s="24" t="s">
        <v>815</v>
      </c>
      <c r="N41" s="76"/>
      <c r="O41" s="76"/>
      <c r="P41" s="76" t="str">
        <f t="shared" si="4"/>
        <v>,a000030_taiin_homecare_flag</v>
      </c>
      <c r="Q41" s="76" t="str">
        <f t="shared" si="0"/>
        <v>TEXT</v>
      </c>
      <c r="R41" s="76" t="str">
        <f t="shared" si="1"/>
        <v/>
      </c>
      <c r="S41" s="76" t="str">
        <f t="shared" si="6"/>
        <v/>
      </c>
      <c r="T41" s="76" t="str">
        <f t="shared" si="7"/>
        <v>-- 退院後の在宅医療の有無</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milscm_2023_010.azn_202310_backup_merge_dpc_ff1.a000030_taiin_homecare_flag IS '退院後の在宅医療の有無';</v>
      </c>
    </row>
    <row r="42" spans="1:52" s="25" customFormat="1">
      <c r="A42" s="4"/>
      <c r="B42" s="21">
        <f t="shared" si="2"/>
        <v>30</v>
      </c>
      <c r="C42" s="6" t="s">
        <v>597</v>
      </c>
      <c r="D42" s="6" t="s">
        <v>598</v>
      </c>
      <c r="E42" s="8"/>
      <c r="F42" s="7" t="s">
        <v>316</v>
      </c>
      <c r="G42" s="7" t="str">
        <f t="shared" si="3"/>
        <v>text</v>
      </c>
      <c r="H42" s="26"/>
      <c r="I42" s="10"/>
      <c r="J42" s="11" t="s">
        <v>144</v>
      </c>
      <c r="N42" s="76"/>
      <c r="O42" s="76"/>
      <c r="P42" s="76" t="str">
        <f t="shared" si="4"/>
        <v>,a000031_ff1_start_ymd</v>
      </c>
      <c r="Q42" s="76" t="str">
        <f t="shared" si="0"/>
        <v>TEXT</v>
      </c>
      <c r="R42" s="76" t="str">
        <f t="shared" si="1"/>
        <v/>
      </c>
      <c r="S42" s="76" t="str">
        <f t="shared" si="6"/>
        <v/>
      </c>
      <c r="T42" s="76" t="str">
        <f t="shared" si="7"/>
        <v>-- 様式1開始日</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milscm_2023_010.azn_202310_backup_merge_dpc_ff1.a000031_ff1_start_ymd IS '様式1開始日';</v>
      </c>
    </row>
    <row r="43" spans="1:52" s="25" customFormat="1">
      <c r="A43" s="4"/>
      <c r="B43" s="21">
        <f t="shared" si="2"/>
        <v>31</v>
      </c>
      <c r="C43" s="13" t="s">
        <v>599</v>
      </c>
      <c r="D43" s="13" t="s">
        <v>600</v>
      </c>
      <c r="E43" s="7"/>
      <c r="F43" s="7" t="s">
        <v>316</v>
      </c>
      <c r="G43" s="7" t="str">
        <f t="shared" si="3"/>
        <v>text</v>
      </c>
      <c r="H43" s="58"/>
      <c r="I43" s="23"/>
      <c r="J43" s="24" t="s">
        <v>144</v>
      </c>
      <c r="N43" s="76"/>
      <c r="O43" s="76"/>
      <c r="P43" s="76" t="str">
        <f t="shared" si="4"/>
        <v>,a000031_ff1_end_ymd</v>
      </c>
      <c r="Q43" s="76" t="str">
        <f t="shared" si="0"/>
        <v>TEXT</v>
      </c>
      <c r="R43" s="76" t="str">
        <f t="shared" si="1"/>
        <v/>
      </c>
      <c r="S43" s="76" t="str">
        <f t="shared" si="6"/>
        <v/>
      </c>
      <c r="T43" s="76" t="str">
        <f t="shared" si="7"/>
        <v>-- 様式1終了日</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milscm_2023_010.azn_202310_backup_merge_dpc_ff1.a000031_ff1_end_ymd IS '様式1終了日';</v>
      </c>
    </row>
    <row r="44" spans="1:52" s="25" customFormat="1" ht="31.5">
      <c r="A44" s="4"/>
      <c r="B44" s="21">
        <f t="shared" si="2"/>
        <v>32</v>
      </c>
      <c r="C44" s="6" t="s">
        <v>601</v>
      </c>
      <c r="D44" s="6" t="s">
        <v>602</v>
      </c>
      <c r="E44" s="8"/>
      <c r="F44" s="7" t="s">
        <v>316</v>
      </c>
      <c r="G44" s="7" t="str">
        <f t="shared" si="3"/>
        <v>text</v>
      </c>
      <c r="H44" s="26"/>
      <c r="I44" s="10"/>
      <c r="J44" s="11"/>
      <c r="N44" s="76"/>
      <c r="O44" s="76"/>
      <c r="P44" s="76" t="str">
        <f t="shared" si="4"/>
        <v>,a000040_department_code</v>
      </c>
      <c r="Q44" s="76" t="str">
        <f t="shared" si="0"/>
        <v>TEXT</v>
      </c>
      <c r="R44" s="76" t="str">
        <f t="shared" si="1"/>
        <v/>
      </c>
      <c r="S44" s="76" t="str">
        <f t="shared" si="6"/>
        <v/>
      </c>
      <c r="T44" s="76" t="str">
        <f t="shared" si="7"/>
        <v>-- 診療科コード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milscm_2023_010.azn_202310_backup_merge_dpc_ff1.a000040_department_code IS '診療科コード';</v>
      </c>
    </row>
    <row r="45" spans="1:52" s="25" customFormat="1">
      <c r="A45" s="4"/>
      <c r="B45" s="21">
        <f t="shared" si="2"/>
        <v>33</v>
      </c>
      <c r="C45" s="13" t="s">
        <v>603</v>
      </c>
      <c r="D45" s="13" t="s">
        <v>604</v>
      </c>
      <c r="E45" s="7"/>
      <c r="F45" s="7" t="s">
        <v>316</v>
      </c>
      <c r="G45" s="7" t="str">
        <f t="shared" si="3"/>
        <v>text</v>
      </c>
      <c r="H45" s="58"/>
      <c r="I45" s="23"/>
      <c r="J45" s="24" t="s">
        <v>811</v>
      </c>
      <c r="N45" s="76"/>
      <c r="O45" s="76"/>
      <c r="P45" s="76" t="str">
        <f t="shared" si="4"/>
        <v>,a000040_tenka_flag</v>
      </c>
      <c r="Q45" s="76" t="str">
        <f t="shared" si="0"/>
        <v>TEXT</v>
      </c>
      <c r="R45" s="76" t="str">
        <f t="shared" si="1"/>
        <v/>
      </c>
      <c r="S45" s="76" t="str">
        <f t="shared" si="6"/>
        <v/>
      </c>
      <c r="T45" s="76" t="str">
        <f t="shared" si="7"/>
        <v>-- 転科の有無</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milscm_2023_010.azn_202310_backup_merge_dpc_ff1.a000040_tenka_flag IS '転科の有無';</v>
      </c>
    </row>
    <row r="46" spans="1:52" s="25" customFormat="1" ht="31.5">
      <c r="A46" s="4"/>
      <c r="B46" s="21">
        <f t="shared" si="2"/>
        <v>34</v>
      </c>
      <c r="C46" s="6" t="s">
        <v>605</v>
      </c>
      <c r="D46" s="6" t="s">
        <v>606</v>
      </c>
      <c r="E46" s="8"/>
      <c r="F46" s="7" t="s">
        <v>316</v>
      </c>
      <c r="G46" s="7" t="str">
        <f t="shared" si="3"/>
        <v>text</v>
      </c>
      <c r="H46" s="58"/>
      <c r="I46" s="23"/>
      <c r="J46" s="24"/>
      <c r="N46" s="76"/>
      <c r="O46" s="76"/>
      <c r="P46" s="76" t="str">
        <f t="shared" si="4"/>
        <v>,a000050_ippan_ward_flag</v>
      </c>
      <c r="Q46" s="76" t="str">
        <f t="shared" si="0"/>
        <v>TEXT</v>
      </c>
      <c r="R46" s="76" t="str">
        <f t="shared" si="1"/>
        <v/>
      </c>
      <c r="S46" s="76" t="str">
        <f t="shared" si="6"/>
        <v/>
      </c>
      <c r="T46" s="76" t="str">
        <f t="shared" si="7"/>
        <v>-- 調査対象となる一般病棟への入院の有無</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milscm_2023_010.azn_202310_backup_merge_dpc_ff1.a000050_ippan_ward_flag IS '調査対象となる一般病棟への入院の有無';</v>
      </c>
    </row>
    <row r="47" spans="1:52" s="25" customFormat="1" ht="31.5">
      <c r="A47" s="4"/>
      <c r="B47" s="21">
        <f t="shared" si="2"/>
        <v>35</v>
      </c>
      <c r="C47" s="13" t="s">
        <v>607</v>
      </c>
      <c r="D47" s="13" t="s">
        <v>608</v>
      </c>
      <c r="E47" s="7"/>
      <c r="F47" s="7" t="s">
        <v>316</v>
      </c>
      <c r="G47" s="7" t="str">
        <f t="shared" si="3"/>
        <v>text</v>
      </c>
      <c r="H47" s="26"/>
      <c r="I47" s="10"/>
      <c r="J47" s="11"/>
      <c r="N47" s="76"/>
      <c r="O47" s="76"/>
      <c r="P47" s="76" t="str">
        <f t="shared" si="4"/>
        <v>,a000050_seishin_ward_flag</v>
      </c>
      <c r="Q47" s="76" t="str">
        <f t="shared" si="0"/>
        <v>TEXT</v>
      </c>
      <c r="R47" s="76" t="str">
        <f t="shared" si="1"/>
        <v/>
      </c>
      <c r="S47" s="76" t="str">
        <f t="shared" si="6"/>
        <v/>
      </c>
      <c r="T47" s="76" t="str">
        <f t="shared" si="7"/>
        <v>-- 調査対象となる精神病棟への入院の有無</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milscm_2023_010.azn_202310_backup_merge_dpc_ff1.a000050_seishin_ward_flag IS '調査対象となる精神病棟への入院の有無';</v>
      </c>
      <c r="AT47" s="4"/>
      <c r="AU47" s="4"/>
    </row>
    <row r="48" spans="1:52" s="25" customFormat="1" ht="31.5">
      <c r="A48" s="4"/>
      <c r="B48" s="21">
        <f t="shared" si="2"/>
        <v>36</v>
      </c>
      <c r="C48" s="13" t="s">
        <v>609</v>
      </c>
      <c r="D48" s="13" t="s">
        <v>610</v>
      </c>
      <c r="E48" s="7"/>
      <c r="F48" s="7" t="s">
        <v>316</v>
      </c>
      <c r="G48" s="7" t="str">
        <f t="shared" si="3"/>
        <v>text</v>
      </c>
      <c r="H48" s="26"/>
      <c r="I48" s="10"/>
      <c r="J48" s="11"/>
      <c r="L48" s="4"/>
      <c r="N48" s="76"/>
      <c r="O48" s="76"/>
      <c r="P48" s="76" t="str">
        <f t="shared" ref="P48:P111" si="8">IF(B48&lt;&gt;1,","&amp;D48,D48)</f>
        <v>,a000050_other_ward_flag</v>
      </c>
      <c r="Q48" s="76" t="str">
        <f t="shared" ref="Q48:Q111" si="9">UPPER(G48)</f>
        <v>TEXT</v>
      </c>
      <c r="R48" s="76" t="str">
        <f t="shared" ref="R48:R111" si="10">IF(H48&lt;&gt;"","default "&amp;IF(G48="text","'"&amp;H48&amp;"'",H48),"")</f>
        <v/>
      </c>
      <c r="S48" s="76" t="str">
        <f t="shared" ref="S48:S111" si="11">IF(I48="○","NOT NULL","")</f>
        <v/>
      </c>
      <c r="T48" s="76" t="str">
        <f t="shared" ref="T48:T111" si="12">"-- "&amp;C48</f>
        <v>-- 調査対象となるその他の病棟への入院の有無</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milscm_2023_010.azn_202310_backup_merge_dpc_ff1.a000050_other_ward_flag IS '調査対象となるその他の病棟への入院の有無';</v>
      </c>
      <c r="AT48" s="4"/>
      <c r="AU48" s="4"/>
      <c r="AV48" s="4"/>
      <c r="AW48" s="4"/>
      <c r="AX48" s="4"/>
      <c r="AY48" s="4"/>
      <c r="AZ48" s="4"/>
    </row>
    <row r="49" spans="1:52" s="25" customFormat="1" ht="56.25">
      <c r="A49" s="4"/>
      <c r="B49" s="21">
        <f t="shared" si="2"/>
        <v>37</v>
      </c>
      <c r="C49" s="13" t="s">
        <v>611</v>
      </c>
      <c r="D49" s="13" t="s">
        <v>612</v>
      </c>
      <c r="E49" s="7"/>
      <c r="F49" s="7" t="s">
        <v>316</v>
      </c>
      <c r="G49" s="7" t="str">
        <f t="shared" si="3"/>
        <v>text</v>
      </c>
      <c r="H49" s="58"/>
      <c r="I49" s="23"/>
      <c r="J49" s="24" t="s">
        <v>816</v>
      </c>
      <c r="L49" s="4"/>
      <c r="N49" s="76"/>
      <c r="O49" s="76"/>
      <c r="P49" s="76" t="str">
        <f t="shared" si="8"/>
        <v>,a000060_shinryo_purpose</v>
      </c>
      <c r="Q49" s="76" t="str">
        <f t="shared" si="9"/>
        <v>TEXT</v>
      </c>
      <c r="R49" s="76" t="str">
        <f t="shared" si="10"/>
        <v/>
      </c>
      <c r="S49" s="76" t="str">
        <f t="shared" si="11"/>
        <v/>
      </c>
      <c r="T49" s="76" t="str">
        <f t="shared" si="12"/>
        <v>-- 入院中の主な診療目的</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milscm_2023_010.azn_202310_backup_merge_dpc_ff1.a000060_shinryo_purpose IS '入院中の主な診療目的';</v>
      </c>
      <c r="AT49" s="4"/>
      <c r="AU49" s="4"/>
      <c r="AV49" s="4"/>
      <c r="AW49" s="4"/>
      <c r="AX49" s="4"/>
      <c r="AY49" s="4"/>
      <c r="AZ49" s="4"/>
    </row>
    <row r="50" spans="1:52" s="25" customFormat="1">
      <c r="A50" s="4"/>
      <c r="B50" s="21">
        <f t="shared" si="2"/>
        <v>38</v>
      </c>
      <c r="C50" s="6" t="s">
        <v>613</v>
      </c>
      <c r="D50" s="6" t="s">
        <v>614</v>
      </c>
      <c r="E50" s="8"/>
      <c r="F50" s="7" t="s">
        <v>316</v>
      </c>
      <c r="G50" s="7" t="str">
        <f t="shared" si="3"/>
        <v>text</v>
      </c>
      <c r="H50" s="26"/>
      <c r="I50" s="10"/>
      <c r="J50" s="11" t="s">
        <v>811</v>
      </c>
      <c r="L50" s="4"/>
      <c r="N50" s="76"/>
      <c r="O50" s="76"/>
      <c r="P50" s="76" t="str">
        <f t="shared" si="8"/>
        <v>,a000060_trial_flag</v>
      </c>
      <c r="Q50" s="76" t="str">
        <f t="shared" si="9"/>
        <v>TEXT</v>
      </c>
      <c r="R50" s="76" t="str">
        <f t="shared" si="10"/>
        <v/>
      </c>
      <c r="S50" s="76" t="str">
        <f t="shared" si="11"/>
        <v/>
      </c>
      <c r="T50" s="76" t="str">
        <f t="shared" si="12"/>
        <v>-- 治験実施の有無</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milscm_2023_010.azn_202310_backup_merge_dpc_ff1.a000060_trial_flag IS '治験実施の有無';</v>
      </c>
      <c r="AT50" s="4"/>
      <c r="AU50" s="4"/>
      <c r="AV50" s="4"/>
      <c r="AW50" s="4"/>
      <c r="AX50" s="4"/>
      <c r="AY50" s="4"/>
      <c r="AZ50" s="4"/>
    </row>
    <row r="51" spans="1:52" s="25" customFormat="1">
      <c r="A51" s="4"/>
      <c r="B51" s="21">
        <f t="shared" si="2"/>
        <v>39</v>
      </c>
      <c r="C51" s="13" t="s">
        <v>615</v>
      </c>
      <c r="D51" s="13" t="s">
        <v>616</v>
      </c>
      <c r="E51" s="7"/>
      <c r="F51" s="7" t="s">
        <v>316</v>
      </c>
      <c r="G51" s="7" t="str">
        <f t="shared" si="3"/>
        <v>text</v>
      </c>
      <c r="H51" s="58"/>
      <c r="I51" s="23"/>
      <c r="J51" s="24" t="s">
        <v>144</v>
      </c>
      <c r="L51" s="4"/>
      <c r="N51" s="76"/>
      <c r="O51" s="76"/>
      <c r="P51" s="76" t="str">
        <f t="shared" si="8"/>
        <v>,a000070_zentaiin_ymd</v>
      </c>
      <c r="Q51" s="76" t="str">
        <f t="shared" si="9"/>
        <v>TEXT</v>
      </c>
      <c r="R51" s="76" t="str">
        <f t="shared" si="10"/>
        <v/>
      </c>
      <c r="S51" s="76" t="str">
        <f t="shared" si="11"/>
        <v/>
      </c>
      <c r="T51" s="76" t="str">
        <f t="shared" si="12"/>
        <v>-- 前回退院年月日</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milscm_2023_010.azn_202310_backup_merge_dpc_ff1.a000070_zentaiin_ymd IS '前回退院年月日';</v>
      </c>
      <c r="AT51" s="4"/>
      <c r="AU51" s="4"/>
      <c r="AV51" s="4"/>
      <c r="AW51" s="4"/>
      <c r="AX51" s="4"/>
      <c r="AY51" s="4"/>
      <c r="AZ51" s="4"/>
    </row>
    <row r="52" spans="1:52" s="25" customFormat="1" ht="31.5">
      <c r="A52" s="4"/>
      <c r="B52" s="21">
        <f t="shared" si="2"/>
        <v>40</v>
      </c>
      <c r="C52" s="6" t="s">
        <v>617</v>
      </c>
      <c r="D52" s="6" t="s">
        <v>618</v>
      </c>
      <c r="E52" s="8"/>
      <c r="F52" s="7" t="s">
        <v>316</v>
      </c>
      <c r="G52" s="7" t="str">
        <f t="shared" si="3"/>
        <v>text</v>
      </c>
      <c r="H52" s="26"/>
      <c r="I52" s="10"/>
      <c r="J52" s="11" t="s">
        <v>144</v>
      </c>
      <c r="L52" s="4"/>
      <c r="N52" s="76"/>
      <c r="O52" s="76"/>
      <c r="P52" s="76" t="str">
        <f t="shared" si="8"/>
        <v>,a000070_same_jiin_nyuin_flag</v>
      </c>
      <c r="Q52" s="76" t="str">
        <f t="shared" si="9"/>
        <v>TEXT</v>
      </c>
      <c r="R52" s="76" t="str">
        <f t="shared" si="10"/>
        <v/>
      </c>
      <c r="S52" s="76" t="str">
        <f t="shared" si="11"/>
        <v/>
      </c>
      <c r="T52" s="76" t="str">
        <f t="shared" si="12"/>
        <v>-- 前回同一傷病で自院入院の有無</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milscm_2023_010.azn_202310_backup_merge_dpc_ff1.a000070_same_jiin_nyuin_flag IS '前回同一傷病で自院入院の有無';</v>
      </c>
      <c r="AT52" s="4"/>
      <c r="AU52" s="4"/>
      <c r="AV52" s="4"/>
      <c r="AW52" s="4"/>
      <c r="AX52" s="4"/>
      <c r="AY52" s="4"/>
      <c r="AZ52" s="4"/>
    </row>
    <row r="53" spans="1:52" s="25" customFormat="1">
      <c r="A53" s="4"/>
      <c r="B53" s="21">
        <f t="shared" si="2"/>
        <v>41</v>
      </c>
      <c r="C53" s="13" t="s">
        <v>619</v>
      </c>
      <c r="D53" s="13" t="s">
        <v>620</v>
      </c>
      <c r="E53" s="7"/>
      <c r="F53" s="7" t="s">
        <v>316</v>
      </c>
      <c r="G53" s="7" t="str">
        <f t="shared" si="3"/>
        <v>text</v>
      </c>
      <c r="H53" s="58"/>
      <c r="I53" s="23"/>
      <c r="J53" s="24" t="s">
        <v>817</v>
      </c>
      <c r="L53" s="4"/>
      <c r="N53" s="76"/>
      <c r="O53" s="76"/>
      <c r="P53" s="76" t="str">
        <f t="shared" si="8"/>
        <v>,a000080_sai_nyuin_type</v>
      </c>
      <c r="Q53" s="76" t="str">
        <f t="shared" si="9"/>
        <v>TEXT</v>
      </c>
      <c r="R53" s="76" t="str">
        <f t="shared" si="10"/>
        <v/>
      </c>
      <c r="S53" s="76" t="str">
        <f t="shared" si="11"/>
        <v/>
      </c>
      <c r="T53" s="76" t="str">
        <f t="shared" si="12"/>
        <v>-- 再入院種別</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milscm_2023_010.azn_202310_backup_merge_dpc_ff1.a000080_sai_nyuin_type IS '再入院種別';</v>
      </c>
      <c r="AT53" s="4"/>
      <c r="AU53" s="4"/>
      <c r="AV53" s="4"/>
      <c r="AW53" s="4"/>
      <c r="AX53" s="4"/>
      <c r="AY53" s="4"/>
      <c r="AZ53" s="4"/>
    </row>
    <row r="54" spans="1:52" s="25" customFormat="1">
      <c r="A54" s="4"/>
      <c r="B54" s="21">
        <f t="shared" si="2"/>
        <v>42</v>
      </c>
      <c r="C54" s="6" t="s">
        <v>621</v>
      </c>
      <c r="D54" s="6" t="s">
        <v>622</v>
      </c>
      <c r="E54" s="8"/>
      <c r="F54" s="7" t="s">
        <v>316</v>
      </c>
      <c r="G54" s="7" t="str">
        <f t="shared" si="3"/>
        <v>text</v>
      </c>
      <c r="H54" s="26"/>
      <c r="I54" s="10"/>
      <c r="J54" s="11"/>
      <c r="L54" s="4"/>
      <c r="M54" s="4"/>
      <c r="N54" s="76"/>
      <c r="O54" s="76"/>
      <c r="P54" s="76" t="str">
        <f t="shared" si="8"/>
        <v>,a000080_riyu_type</v>
      </c>
      <c r="Q54" s="76" t="str">
        <f t="shared" si="9"/>
        <v>TEXT</v>
      </c>
      <c r="R54" s="76" t="str">
        <f t="shared" si="10"/>
        <v/>
      </c>
      <c r="S54" s="76" t="str">
        <f t="shared" si="11"/>
        <v/>
      </c>
      <c r="T54" s="76" t="str">
        <f t="shared" si="12"/>
        <v>-- 理由の種別</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milscm_2023_010.azn_202310_backup_merge_dpc_ff1.a000080_riyu_type IS '理由の種別';</v>
      </c>
      <c r="AT54" s="4"/>
      <c r="AU54" s="4"/>
      <c r="AV54" s="4"/>
      <c r="AW54" s="4"/>
      <c r="AX54" s="4"/>
      <c r="AY54" s="4"/>
      <c r="AZ54" s="4"/>
    </row>
    <row r="55" spans="1:52" s="25" customFormat="1">
      <c r="A55" s="4"/>
      <c r="B55" s="21">
        <f t="shared" si="2"/>
        <v>43</v>
      </c>
      <c r="C55" s="6" t="s">
        <v>623</v>
      </c>
      <c r="D55" s="6" t="s">
        <v>624</v>
      </c>
      <c r="E55" s="8"/>
      <c r="F55" s="7" t="s">
        <v>316</v>
      </c>
      <c r="G55" s="7" t="str">
        <f t="shared" si="3"/>
        <v>text</v>
      </c>
      <c r="H55" s="58"/>
      <c r="I55" s="23"/>
      <c r="J55" s="24" t="s">
        <v>818</v>
      </c>
      <c r="L55" s="4"/>
      <c r="M55" s="4"/>
      <c r="N55" s="76"/>
      <c r="O55" s="76"/>
      <c r="P55" s="76" t="str">
        <f t="shared" si="8"/>
        <v>,a000080_free_entry</v>
      </c>
      <c r="Q55" s="76" t="str">
        <f t="shared" si="9"/>
        <v>TEXT</v>
      </c>
      <c r="R55" s="76" t="str">
        <f t="shared" si="10"/>
        <v/>
      </c>
      <c r="S55" s="76" t="str">
        <f t="shared" si="11"/>
        <v/>
      </c>
      <c r="T55" s="76" t="str">
        <f t="shared" si="12"/>
        <v>-- 自由記載欄</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milscm_2023_010.azn_202310_backup_merge_dpc_ff1.a000080_free_entry IS '自由記載欄';</v>
      </c>
      <c r="AT55" s="4"/>
      <c r="AU55" s="4"/>
      <c r="AV55" s="4"/>
      <c r="AW55" s="4"/>
      <c r="AX55" s="4"/>
      <c r="AY55" s="4"/>
      <c r="AZ55" s="4"/>
    </row>
    <row r="56" spans="1:52" s="25" customFormat="1">
      <c r="A56" s="4"/>
      <c r="B56" s="21">
        <f t="shared" si="2"/>
        <v>44</v>
      </c>
      <c r="C56" s="13" t="s">
        <v>625</v>
      </c>
      <c r="D56" s="13" t="s">
        <v>626</v>
      </c>
      <c r="E56" s="7"/>
      <c r="F56" s="7" t="s">
        <v>316</v>
      </c>
      <c r="G56" s="7" t="str">
        <f t="shared" si="3"/>
        <v>text</v>
      </c>
      <c r="H56" s="26"/>
      <c r="I56" s="10"/>
      <c r="J56" s="11" t="s">
        <v>819</v>
      </c>
      <c r="L56" s="4"/>
      <c r="M56" s="4"/>
      <c r="N56" s="76"/>
      <c r="O56" s="76"/>
      <c r="P56" s="76" t="str">
        <f t="shared" si="8"/>
        <v>,a000090_sai_tento_type</v>
      </c>
      <c r="Q56" s="76" t="str">
        <f t="shared" si="9"/>
        <v>TEXT</v>
      </c>
      <c r="R56" s="76" t="str">
        <f t="shared" si="10"/>
        <v/>
      </c>
      <c r="S56" s="76" t="str">
        <f t="shared" si="11"/>
        <v/>
      </c>
      <c r="T56" s="76" t="str">
        <f t="shared" si="12"/>
        <v>-- 再転棟種別</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milscm_2023_010.azn_202310_backup_merge_dpc_ff1.a000090_sai_tento_type IS '再転棟種別';</v>
      </c>
      <c r="AT56" s="4"/>
      <c r="AU56" s="4"/>
      <c r="AV56" s="4"/>
      <c r="AW56" s="4"/>
      <c r="AX56" s="4"/>
      <c r="AY56" s="4"/>
      <c r="AZ56" s="4"/>
    </row>
    <row r="57" spans="1:52" s="25" customFormat="1">
      <c r="A57" s="4"/>
      <c r="B57" s="21">
        <f t="shared" si="2"/>
        <v>45</v>
      </c>
      <c r="C57" s="6" t="s">
        <v>621</v>
      </c>
      <c r="D57" s="6" t="s">
        <v>627</v>
      </c>
      <c r="E57" s="8"/>
      <c r="F57" s="7" t="s">
        <v>316</v>
      </c>
      <c r="G57" s="7" t="str">
        <f t="shared" si="3"/>
        <v>text</v>
      </c>
      <c r="H57" s="58"/>
      <c r="I57" s="23"/>
      <c r="J57" s="24"/>
      <c r="L57" s="4"/>
      <c r="M57" s="4"/>
      <c r="N57" s="76"/>
      <c r="O57" s="76"/>
      <c r="P57" s="76" t="str">
        <f t="shared" si="8"/>
        <v>,a000090_riyu_type</v>
      </c>
      <c r="Q57" s="76" t="str">
        <f t="shared" si="9"/>
        <v>TEXT</v>
      </c>
      <c r="R57" s="76" t="str">
        <f t="shared" si="10"/>
        <v/>
      </c>
      <c r="S57" s="76" t="str">
        <f t="shared" si="11"/>
        <v/>
      </c>
      <c r="T57" s="76" t="str">
        <f t="shared" si="12"/>
        <v>-- 理由の種別</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milscm_2023_010.azn_202310_backup_merge_dpc_ff1.a000090_riyu_type IS '理由の種別';</v>
      </c>
      <c r="AT57" s="4"/>
      <c r="AU57" s="4"/>
      <c r="AV57" s="4"/>
      <c r="AW57" s="4"/>
      <c r="AX57" s="4"/>
      <c r="AY57" s="4"/>
      <c r="AZ57" s="4"/>
    </row>
    <row r="58" spans="1:52" s="25" customFormat="1">
      <c r="A58" s="4"/>
      <c r="B58" s="21">
        <f t="shared" si="2"/>
        <v>46</v>
      </c>
      <c r="C58" s="13" t="s">
        <v>623</v>
      </c>
      <c r="D58" s="13" t="s">
        <v>628</v>
      </c>
      <c r="E58" s="7"/>
      <c r="F58" s="7" t="s">
        <v>316</v>
      </c>
      <c r="G58" s="7" t="str">
        <f t="shared" si="3"/>
        <v>text</v>
      </c>
      <c r="H58" s="58"/>
      <c r="I58" s="23"/>
      <c r="J58" s="24" t="s">
        <v>818</v>
      </c>
      <c r="L58" s="4"/>
      <c r="M58" s="4"/>
      <c r="N58" s="76"/>
      <c r="O58" s="76"/>
      <c r="P58" s="76" t="str">
        <f t="shared" si="8"/>
        <v>,a000090_free_entry</v>
      </c>
      <c r="Q58" s="76" t="str">
        <f t="shared" si="9"/>
        <v>TEXT</v>
      </c>
      <c r="R58" s="76" t="str">
        <f t="shared" si="10"/>
        <v/>
      </c>
      <c r="S58" s="76" t="str">
        <f t="shared" si="11"/>
        <v/>
      </c>
      <c r="T58" s="76" t="str">
        <f t="shared" si="12"/>
        <v>-- 自由記載欄</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milscm_2023_010.azn_202310_backup_merge_dpc_ff1.a000090_free_entry IS '自由記載欄';</v>
      </c>
      <c r="AT58" s="4"/>
      <c r="AU58" s="4"/>
      <c r="AV58" s="4"/>
      <c r="AW58" s="4"/>
      <c r="AX58" s="4"/>
      <c r="AY58" s="4"/>
      <c r="AZ58" s="4"/>
    </row>
    <row r="59" spans="1:52" s="25" customFormat="1">
      <c r="A59" s="4"/>
      <c r="B59" s="21">
        <f t="shared" si="2"/>
        <v>47</v>
      </c>
      <c r="C59" s="6" t="s">
        <v>629</v>
      </c>
      <c r="D59" s="6" t="s">
        <v>630</v>
      </c>
      <c r="E59" s="8"/>
      <c r="F59" s="7" t="s">
        <v>316</v>
      </c>
      <c r="G59" s="7" t="str">
        <f t="shared" si="3"/>
        <v>text</v>
      </c>
      <c r="H59" s="26"/>
      <c r="I59" s="10"/>
      <c r="J59" s="11" t="s">
        <v>820</v>
      </c>
      <c r="L59" s="4"/>
      <c r="M59" s="4"/>
      <c r="N59" s="76"/>
      <c r="O59" s="76"/>
      <c r="P59" s="76" t="str">
        <f t="shared" si="8"/>
        <v>,a001010_height</v>
      </c>
      <c r="Q59" s="76" t="str">
        <f t="shared" si="9"/>
        <v>TEXT</v>
      </c>
      <c r="R59" s="76" t="str">
        <f t="shared" si="10"/>
        <v/>
      </c>
      <c r="S59" s="76" t="str">
        <f t="shared" si="11"/>
        <v/>
      </c>
      <c r="T59" s="76" t="str">
        <f t="shared" si="12"/>
        <v>-- 身長</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milscm_2023_010.azn_202310_backup_merge_dpc_ff1.a001010_height IS '身長';</v>
      </c>
      <c r="AT59" s="4"/>
      <c r="AU59" s="4"/>
      <c r="AV59" s="4"/>
      <c r="AW59" s="4"/>
      <c r="AX59" s="4"/>
      <c r="AY59" s="4"/>
      <c r="AZ59" s="4"/>
    </row>
    <row r="60" spans="1:52" s="25" customFormat="1" ht="37.5">
      <c r="A60" s="4"/>
      <c r="B60" s="21">
        <f t="shared" si="2"/>
        <v>48</v>
      </c>
      <c r="C60" s="13" t="s">
        <v>631</v>
      </c>
      <c r="D60" s="13" t="s">
        <v>632</v>
      </c>
      <c r="E60" s="7"/>
      <c r="F60" s="7" t="s">
        <v>316</v>
      </c>
      <c r="G60" s="7" t="str">
        <f t="shared" si="3"/>
        <v>text</v>
      </c>
      <c r="H60" s="26"/>
      <c r="I60" s="10"/>
      <c r="J60" s="11" t="s">
        <v>821</v>
      </c>
      <c r="L60" s="4"/>
      <c r="M60" s="4"/>
      <c r="N60" s="76"/>
      <c r="O60" s="76"/>
      <c r="P60" s="76" t="str">
        <f t="shared" si="8"/>
        <v>,a001010_weight</v>
      </c>
      <c r="Q60" s="76" t="str">
        <f t="shared" si="9"/>
        <v>TEXT</v>
      </c>
      <c r="R60" s="76" t="str">
        <f t="shared" si="10"/>
        <v/>
      </c>
      <c r="S60" s="76" t="str">
        <f t="shared" si="11"/>
        <v/>
      </c>
      <c r="T60" s="76" t="str">
        <f t="shared" si="12"/>
        <v>-- 体重</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milscm_2023_010.azn_202310_backup_merge_dpc_ff1.a001010_weight IS '体重';</v>
      </c>
      <c r="AT60" s="4"/>
      <c r="AU60" s="4"/>
      <c r="AV60" s="4"/>
      <c r="AW60" s="4"/>
      <c r="AX60" s="4"/>
      <c r="AY60" s="4"/>
      <c r="AZ60" s="4"/>
    </row>
    <row r="61" spans="1:52" s="25" customFormat="1">
      <c r="A61" s="4"/>
      <c r="B61" s="21">
        <f t="shared" si="2"/>
        <v>49</v>
      </c>
      <c r="C61" s="6" t="s">
        <v>633</v>
      </c>
      <c r="D61" s="6" t="s">
        <v>634</v>
      </c>
      <c r="E61" s="8"/>
      <c r="F61" s="7" t="s">
        <v>316</v>
      </c>
      <c r="G61" s="7" t="str">
        <f t="shared" si="3"/>
        <v>text</v>
      </c>
      <c r="H61" s="58"/>
      <c r="I61" s="23"/>
      <c r="J61" s="24" t="s">
        <v>822</v>
      </c>
      <c r="L61" s="4"/>
      <c r="M61" s="4"/>
      <c r="N61" s="76"/>
      <c r="O61" s="76"/>
      <c r="P61" s="76" t="str">
        <f t="shared" si="8"/>
        <v>,a001020_smoking</v>
      </c>
      <c r="Q61" s="76" t="str">
        <f t="shared" si="9"/>
        <v>TEXT</v>
      </c>
      <c r="R61" s="76" t="str">
        <f t="shared" si="10"/>
        <v/>
      </c>
      <c r="S61" s="76" t="str">
        <f t="shared" si="11"/>
        <v/>
      </c>
      <c r="T61" s="76" t="str">
        <f t="shared" si="12"/>
        <v>-- 喫煙指数</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milscm_2023_010.azn_202310_backup_merge_dpc_ff1.a001020_smoking IS '喫煙指数';</v>
      </c>
      <c r="AT61" s="4"/>
      <c r="AU61" s="4"/>
      <c r="AV61" s="4"/>
      <c r="AW61" s="4"/>
      <c r="AX61" s="4"/>
      <c r="AY61" s="4"/>
      <c r="AZ61" s="4"/>
    </row>
    <row r="62" spans="1:52" s="25" customFormat="1">
      <c r="A62" s="4"/>
      <c r="B62" s="21">
        <f t="shared" si="2"/>
        <v>50</v>
      </c>
      <c r="C62" s="13" t="s">
        <v>635</v>
      </c>
      <c r="D62" s="13" t="s">
        <v>636</v>
      </c>
      <c r="E62" s="7"/>
      <c r="F62" s="7" t="s">
        <v>316</v>
      </c>
      <c r="G62" s="7" t="str">
        <f t="shared" si="3"/>
        <v>text</v>
      </c>
      <c r="H62" s="26"/>
      <c r="I62" s="10"/>
      <c r="J62" s="11" t="s">
        <v>823</v>
      </c>
      <c r="L62" s="4"/>
      <c r="M62" s="4"/>
      <c r="N62" s="76"/>
      <c r="O62" s="76"/>
      <c r="P62" s="76" t="str">
        <f t="shared" si="8"/>
        <v>,a002010_ninshin_flag</v>
      </c>
      <c r="Q62" s="76" t="str">
        <f t="shared" si="9"/>
        <v>TEXT</v>
      </c>
      <c r="R62" s="76" t="str">
        <f t="shared" si="10"/>
        <v/>
      </c>
      <c r="S62" s="76" t="str">
        <f t="shared" si="11"/>
        <v/>
      </c>
      <c r="T62" s="76" t="str">
        <f t="shared" si="12"/>
        <v>-- 現在の妊娠の有無</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milscm_2023_010.azn_202310_backup_merge_dpc_ff1.a002010_ninshin_flag IS '現在の妊娠の有無';</v>
      </c>
      <c r="AT62" s="4"/>
      <c r="AU62" s="4"/>
      <c r="AV62" s="4"/>
      <c r="AW62" s="4"/>
      <c r="AX62" s="4"/>
      <c r="AY62" s="4"/>
      <c r="AZ62" s="4"/>
    </row>
    <row r="63" spans="1:52" s="25" customFormat="1">
      <c r="A63" s="4"/>
      <c r="B63" s="21">
        <f t="shared" si="2"/>
        <v>51</v>
      </c>
      <c r="C63" s="6" t="s">
        <v>637</v>
      </c>
      <c r="D63" s="6" t="s">
        <v>638</v>
      </c>
      <c r="E63" s="8"/>
      <c r="F63" s="7" t="s">
        <v>316</v>
      </c>
      <c r="G63" s="7" t="str">
        <f t="shared" si="3"/>
        <v>text</v>
      </c>
      <c r="H63" s="58"/>
      <c r="I63" s="23"/>
      <c r="J63" s="24" t="s">
        <v>824</v>
      </c>
      <c r="L63" s="4"/>
      <c r="M63" s="4"/>
      <c r="N63" s="76"/>
      <c r="O63" s="76"/>
      <c r="P63" s="76" t="str">
        <f t="shared" si="8"/>
        <v>,a002010_nyuin_ninshin</v>
      </c>
      <c r="Q63" s="76" t="str">
        <f t="shared" si="9"/>
        <v>TEXT</v>
      </c>
      <c r="R63" s="76" t="str">
        <f t="shared" si="10"/>
        <v/>
      </c>
      <c r="S63" s="76" t="str">
        <f t="shared" si="11"/>
        <v/>
      </c>
      <c r="T63" s="76" t="str">
        <f t="shared" si="12"/>
        <v>-- 入院時の妊娠週数</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milscm_2023_010.azn_202310_backup_merge_dpc_ff1.a002010_nyuin_ninshin IS '入院時の妊娠週数';</v>
      </c>
      <c r="AT63" s="4"/>
      <c r="AU63" s="4"/>
      <c r="AV63" s="4"/>
      <c r="AW63" s="4"/>
      <c r="AX63" s="4"/>
      <c r="AY63" s="4"/>
      <c r="AZ63" s="4"/>
    </row>
    <row r="64" spans="1:52" s="25" customFormat="1">
      <c r="A64" s="4"/>
      <c r="B64" s="21">
        <f t="shared" si="2"/>
        <v>52</v>
      </c>
      <c r="C64" s="13" t="s">
        <v>639</v>
      </c>
      <c r="D64" s="13" t="s">
        <v>640</v>
      </c>
      <c r="E64" s="7"/>
      <c r="F64" s="7" t="s">
        <v>316</v>
      </c>
      <c r="G64" s="7" t="str">
        <f t="shared" si="3"/>
        <v>text</v>
      </c>
      <c r="H64" s="26"/>
      <c r="I64" s="10"/>
      <c r="J64" s="11" t="s">
        <v>825</v>
      </c>
      <c r="L64" s="4"/>
      <c r="M64" s="4"/>
      <c r="N64" s="76"/>
      <c r="O64" s="76"/>
      <c r="P64" s="76" t="str">
        <f t="shared" si="8"/>
        <v>,a003010_birth_weight</v>
      </c>
      <c r="Q64" s="76" t="str">
        <f t="shared" si="9"/>
        <v>TEXT</v>
      </c>
      <c r="R64" s="76" t="str">
        <f t="shared" si="10"/>
        <v/>
      </c>
      <c r="S64" s="76" t="str">
        <f t="shared" si="11"/>
        <v/>
      </c>
      <c r="T64" s="76" t="str">
        <f t="shared" si="12"/>
        <v>-- 出生時体重</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milscm_2023_010.azn_202310_backup_merge_dpc_ff1.a003010_birth_weight IS '出生時体重';</v>
      </c>
      <c r="AT64" s="4"/>
      <c r="AU64" s="4"/>
      <c r="AV64" s="4"/>
      <c r="AW64" s="4"/>
      <c r="AX64" s="4"/>
      <c r="AY64" s="4"/>
      <c r="AZ64" s="4"/>
    </row>
    <row r="65" spans="1:52" s="25" customFormat="1">
      <c r="A65" s="4"/>
      <c r="B65" s="21">
        <f t="shared" si="2"/>
        <v>53</v>
      </c>
      <c r="C65" s="13" t="s">
        <v>641</v>
      </c>
      <c r="D65" s="13" t="s">
        <v>642</v>
      </c>
      <c r="E65" s="7"/>
      <c r="F65" s="7" t="s">
        <v>316</v>
      </c>
      <c r="G65" s="7" t="str">
        <f t="shared" si="3"/>
        <v>text</v>
      </c>
      <c r="H65" s="58"/>
      <c r="I65" s="23"/>
      <c r="J65" s="24" t="s">
        <v>824</v>
      </c>
      <c r="L65" s="4"/>
      <c r="M65" s="4"/>
      <c r="N65" s="76"/>
      <c r="O65" s="76"/>
      <c r="P65" s="76" t="str">
        <f t="shared" si="8"/>
        <v>,a003010_birth_ninshin</v>
      </c>
      <c r="Q65" s="76" t="str">
        <f t="shared" si="9"/>
        <v>TEXT</v>
      </c>
      <c r="R65" s="76" t="str">
        <f t="shared" si="10"/>
        <v/>
      </c>
      <c r="S65" s="76" t="str">
        <f t="shared" si="11"/>
        <v/>
      </c>
      <c r="T65" s="76" t="str">
        <f t="shared" si="12"/>
        <v>-- 出生時妊娠週数</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milscm_2023_010.azn_202310_backup_merge_dpc_ff1.a003010_birth_ninshin IS '出生時妊娠週数';</v>
      </c>
      <c r="AT65" s="4"/>
      <c r="AU65" s="4"/>
      <c r="AV65" s="4"/>
      <c r="AW65" s="4"/>
      <c r="AX65" s="4"/>
      <c r="AY65" s="4"/>
      <c r="AZ65" s="4"/>
    </row>
    <row r="66" spans="1:52" s="25" customFormat="1" ht="31.5">
      <c r="A66" s="4"/>
      <c r="B66" s="21">
        <f t="shared" si="2"/>
        <v>54</v>
      </c>
      <c r="C66" s="13" t="s">
        <v>643</v>
      </c>
      <c r="D66" s="13" t="s">
        <v>644</v>
      </c>
      <c r="E66" s="7"/>
      <c r="F66" s="7" t="s">
        <v>316</v>
      </c>
      <c r="G66" s="7" t="str">
        <f t="shared" si="3"/>
        <v>text</v>
      </c>
      <c r="H66" s="26"/>
      <c r="I66" s="10"/>
      <c r="J66" s="11" t="s">
        <v>826</v>
      </c>
      <c r="L66" s="4"/>
      <c r="M66" s="4"/>
      <c r="N66" s="76"/>
      <c r="O66" s="76"/>
      <c r="P66" s="76" t="str">
        <f t="shared" si="8"/>
        <v>,a004010_aged_jiritsu_kijun</v>
      </c>
      <c r="Q66" s="76" t="str">
        <f t="shared" si="9"/>
        <v>TEXT</v>
      </c>
      <c r="R66" s="76" t="str">
        <f t="shared" si="10"/>
        <v/>
      </c>
      <c r="S66" s="76" t="str">
        <f t="shared" si="11"/>
        <v/>
      </c>
      <c r="T66" s="76" t="str">
        <f t="shared" si="12"/>
        <v>-- 認知症高齢者の日常生活自立度判定基準</v>
      </c>
      <c r="U66" s="4"/>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milscm_2023_010.azn_202310_backup_merge_dpc_ff1.a004010_aged_jiritsu_kijun IS '認知症高齢者の日常生活自立度判定基準';</v>
      </c>
      <c r="AT66" s="4"/>
      <c r="AU66" s="4"/>
      <c r="AV66" s="4"/>
      <c r="AW66" s="4"/>
      <c r="AX66" s="4"/>
      <c r="AY66" s="4"/>
      <c r="AZ66" s="4"/>
    </row>
    <row r="67" spans="1:52" s="25" customFormat="1" ht="56.25">
      <c r="A67" s="4"/>
      <c r="B67" s="21">
        <f t="shared" si="2"/>
        <v>55</v>
      </c>
      <c r="C67" s="6" t="s">
        <v>645</v>
      </c>
      <c r="D67" s="6" t="s">
        <v>646</v>
      </c>
      <c r="E67" s="8"/>
      <c r="F67" s="7" t="s">
        <v>316</v>
      </c>
      <c r="G67" s="7" t="str">
        <f t="shared" si="3"/>
        <v>text</v>
      </c>
      <c r="H67" s="58"/>
      <c r="I67" s="23"/>
      <c r="J67" s="24" t="s">
        <v>827</v>
      </c>
      <c r="L67" s="4"/>
      <c r="M67" s="4"/>
      <c r="N67" s="76"/>
      <c r="O67" s="76"/>
      <c r="P67" s="76" t="str">
        <f t="shared" si="8"/>
        <v>,a004020_care</v>
      </c>
      <c r="Q67" s="76" t="str">
        <f t="shared" si="9"/>
        <v>TEXT</v>
      </c>
      <c r="R67" s="76" t="str">
        <f t="shared" si="10"/>
        <v/>
      </c>
      <c r="S67" s="76" t="str">
        <f t="shared" si="11"/>
        <v/>
      </c>
      <c r="T67" s="76" t="str">
        <f t="shared" si="12"/>
        <v>-- 要介護度</v>
      </c>
      <c r="U67" s="4"/>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milscm_2023_010.azn_202310_backup_merge_dpc_ff1.a004020_care IS '要介護度';</v>
      </c>
      <c r="AT67" s="4"/>
      <c r="AU67" s="4"/>
      <c r="AV67" s="4"/>
      <c r="AW67" s="4"/>
      <c r="AX67" s="4"/>
      <c r="AY67" s="4"/>
      <c r="AZ67" s="4"/>
    </row>
    <row r="68" spans="1:52" s="25" customFormat="1" ht="31.5">
      <c r="A68" s="4"/>
      <c r="B68" s="21">
        <f t="shared" si="2"/>
        <v>56</v>
      </c>
      <c r="C68" s="13" t="s">
        <v>245</v>
      </c>
      <c r="D68" s="13" t="s">
        <v>647</v>
      </c>
      <c r="E68" s="7"/>
      <c r="F68" s="7" t="s">
        <v>316</v>
      </c>
      <c r="G68" s="7" t="str">
        <f t="shared" si="3"/>
        <v>text</v>
      </c>
      <c r="H68" s="26"/>
      <c r="I68" s="10"/>
      <c r="J68" s="11" t="s">
        <v>144</v>
      </c>
      <c r="L68" s="4"/>
      <c r="M68" s="4"/>
      <c r="N68" s="76"/>
      <c r="O68" s="76"/>
      <c r="P68" s="76" t="str">
        <f t="shared" si="8"/>
        <v>,a004030_santei_start_ymd</v>
      </c>
      <c r="Q68" s="76" t="str">
        <f t="shared" si="9"/>
        <v>TEXT</v>
      </c>
      <c r="R68" s="76" t="str">
        <f t="shared" si="10"/>
        <v/>
      </c>
      <c r="S68" s="76" t="str">
        <f t="shared" si="11"/>
        <v/>
      </c>
      <c r="T68" s="76" t="str">
        <f t="shared" si="12"/>
        <v>-- 算定開始日</v>
      </c>
      <c r="U68" s="4"/>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milscm_2023_010.azn_202310_backup_merge_dpc_ff1.a004030_santei_start_ymd IS '算定開始日';</v>
      </c>
      <c r="AT68" s="4"/>
      <c r="AU68" s="4"/>
      <c r="AV68" s="4"/>
      <c r="AW68" s="4"/>
      <c r="AX68" s="4"/>
      <c r="AY68" s="4"/>
      <c r="AZ68" s="4"/>
    </row>
    <row r="69" spans="1:52" s="25" customFormat="1">
      <c r="A69" s="4"/>
      <c r="B69" s="21">
        <f t="shared" si="2"/>
        <v>57</v>
      </c>
      <c r="C69" s="6" t="s">
        <v>247</v>
      </c>
      <c r="D69" s="6" t="s">
        <v>648</v>
      </c>
      <c r="E69" s="8"/>
      <c r="F69" s="7" t="s">
        <v>316</v>
      </c>
      <c r="G69" s="7" t="str">
        <f t="shared" si="3"/>
        <v>text</v>
      </c>
      <c r="H69" s="58"/>
      <c r="I69" s="23"/>
      <c r="J69" s="24" t="s">
        <v>144</v>
      </c>
      <c r="L69" s="4"/>
      <c r="M69" s="4"/>
      <c r="N69" s="76"/>
      <c r="O69" s="76"/>
      <c r="P69" s="76" t="str">
        <f t="shared" si="8"/>
        <v>,a004030_santei_end_ymd</v>
      </c>
      <c r="Q69" s="76" t="str">
        <f t="shared" si="9"/>
        <v>TEXT</v>
      </c>
      <c r="R69" s="76" t="str">
        <f t="shared" si="10"/>
        <v/>
      </c>
      <c r="S69" s="76" t="str">
        <f t="shared" si="11"/>
        <v/>
      </c>
      <c r="T69" s="76" t="str">
        <f t="shared" si="12"/>
        <v>-- 算定終了日</v>
      </c>
      <c r="U69" s="4"/>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milscm_2023_010.azn_202310_backup_merge_dpc_ff1.a004030_santei_end_ymd IS '算定終了日';</v>
      </c>
      <c r="AT69" s="4"/>
      <c r="AU69" s="4"/>
      <c r="AV69" s="4"/>
      <c r="AW69" s="4"/>
      <c r="AX69" s="4"/>
      <c r="AY69" s="4"/>
      <c r="AZ69" s="4"/>
    </row>
    <row r="70" spans="1:52" s="25" customFormat="1" ht="31.5">
      <c r="A70" s="4"/>
      <c r="B70" s="21">
        <f t="shared" si="2"/>
        <v>58</v>
      </c>
      <c r="C70" s="13" t="s">
        <v>649</v>
      </c>
      <c r="D70" s="13" t="s">
        <v>650</v>
      </c>
      <c r="E70" s="7"/>
      <c r="F70" s="7" t="s">
        <v>316</v>
      </c>
      <c r="G70" s="7" t="str">
        <f t="shared" si="3"/>
        <v>text</v>
      </c>
      <c r="H70" s="58"/>
      <c r="I70" s="23"/>
      <c r="J70" s="24" t="s">
        <v>828</v>
      </c>
      <c r="L70" s="4"/>
      <c r="M70" s="4"/>
      <c r="N70" s="76"/>
      <c r="O70" s="76"/>
      <c r="P70" s="76" t="str">
        <f t="shared" si="8"/>
        <v>,a004030_teieiyo_start_flag</v>
      </c>
      <c r="Q70" s="76" t="str">
        <f t="shared" si="9"/>
        <v>TEXT</v>
      </c>
      <c r="R70" s="76" t="str">
        <f t="shared" si="10"/>
        <v/>
      </c>
      <c r="S70" s="76" t="str">
        <f t="shared" si="11"/>
        <v/>
      </c>
      <c r="T70" s="76" t="str">
        <f t="shared" si="12"/>
        <v>-- 低栄養の有無（算定開始時）</v>
      </c>
      <c r="U70" s="4"/>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milscm_2023_010.azn_202310_backup_merge_dpc_ff1.a004030_teieiyo_start_flag IS '低栄養の有無（算定開始時）';</v>
      </c>
      <c r="AT70" s="4"/>
      <c r="AU70" s="4"/>
      <c r="AV70" s="4"/>
      <c r="AW70" s="4"/>
      <c r="AX70" s="4"/>
      <c r="AY70" s="4"/>
      <c r="AZ70" s="4"/>
    </row>
    <row r="71" spans="1:52" s="25" customFormat="1" ht="31.5">
      <c r="A71" s="4"/>
      <c r="B71" s="21">
        <f t="shared" si="2"/>
        <v>59</v>
      </c>
      <c r="C71" s="6" t="s">
        <v>651</v>
      </c>
      <c r="D71" s="6" t="s">
        <v>652</v>
      </c>
      <c r="E71" s="8"/>
      <c r="F71" s="7" t="s">
        <v>316</v>
      </c>
      <c r="G71" s="7" t="str">
        <f t="shared" si="3"/>
        <v>text</v>
      </c>
      <c r="H71" s="26"/>
      <c r="I71" s="10"/>
      <c r="J71" s="11" t="s">
        <v>828</v>
      </c>
      <c r="L71" s="4"/>
      <c r="M71" s="4"/>
      <c r="N71" s="76"/>
      <c r="O71" s="76"/>
      <c r="P71" s="76" t="str">
        <f t="shared" si="8"/>
        <v>,a004030_sesshoku_shogai_start_flag</v>
      </c>
      <c r="Q71" s="76" t="str">
        <f t="shared" si="9"/>
        <v>TEXT</v>
      </c>
      <c r="R71" s="76" t="str">
        <f t="shared" si="10"/>
        <v/>
      </c>
      <c r="S71" s="76" t="str">
        <f t="shared" si="11"/>
        <v/>
      </c>
      <c r="T71" s="76" t="str">
        <f t="shared" si="12"/>
        <v>-- 摂食・嚥下機能障害の有無（算定開始時）</v>
      </c>
      <c r="U71" s="4"/>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milscm_2023_010.azn_202310_backup_merge_dpc_ff1.a004030_sesshoku_shogai_start_flag IS '摂食・嚥下機能障害の有無（算定開始時）';</v>
      </c>
      <c r="AT71" s="4"/>
      <c r="AU71" s="4"/>
      <c r="AV71" s="4"/>
      <c r="AW71" s="4"/>
      <c r="AX71" s="4"/>
      <c r="AY71" s="4"/>
      <c r="AZ71" s="4"/>
    </row>
    <row r="72" spans="1:52" s="25" customFormat="1">
      <c r="A72" s="4"/>
      <c r="B72" s="21">
        <f t="shared" si="2"/>
        <v>60</v>
      </c>
      <c r="C72" s="6" t="s">
        <v>653</v>
      </c>
      <c r="D72" s="6" t="s">
        <v>654</v>
      </c>
      <c r="E72" s="8"/>
      <c r="F72" s="7" t="s">
        <v>316</v>
      </c>
      <c r="G72" s="7" t="str">
        <f t="shared" si="3"/>
        <v>text</v>
      </c>
      <c r="H72" s="26"/>
      <c r="I72" s="10"/>
      <c r="J72" s="11" t="s">
        <v>828</v>
      </c>
      <c r="L72" s="4"/>
      <c r="M72" s="4"/>
      <c r="N72" s="76"/>
      <c r="O72" s="76"/>
      <c r="P72" s="76" t="str">
        <f t="shared" si="8"/>
        <v>,a004030_teieiyo_end_flag</v>
      </c>
      <c r="Q72" s="76" t="str">
        <f t="shared" si="9"/>
        <v>TEXT</v>
      </c>
      <c r="R72" s="76" t="str">
        <f t="shared" si="10"/>
        <v/>
      </c>
      <c r="S72" s="76" t="str">
        <f t="shared" si="11"/>
        <v/>
      </c>
      <c r="T72" s="76" t="str">
        <f t="shared" si="12"/>
        <v>-- 低栄養の有無（算定終了時）</v>
      </c>
      <c r="U72" s="4"/>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milscm_2023_010.azn_202310_backup_merge_dpc_ff1.a004030_teieiyo_end_flag IS '低栄養の有無（算定終了時）';</v>
      </c>
      <c r="AT72" s="4"/>
      <c r="AU72" s="4"/>
      <c r="AV72" s="4"/>
      <c r="AW72" s="4"/>
      <c r="AX72" s="4"/>
      <c r="AY72" s="4"/>
      <c r="AZ72" s="4"/>
    </row>
    <row r="73" spans="1:52" s="25" customFormat="1" ht="31.5">
      <c r="A73" s="4"/>
      <c r="B73" s="21">
        <f t="shared" si="2"/>
        <v>61</v>
      </c>
      <c r="C73" s="13" t="s">
        <v>655</v>
      </c>
      <c r="D73" s="13" t="s">
        <v>656</v>
      </c>
      <c r="E73" s="7"/>
      <c r="F73" s="7" t="s">
        <v>316</v>
      </c>
      <c r="G73" s="7" t="str">
        <f t="shared" si="3"/>
        <v>text</v>
      </c>
      <c r="H73" s="58"/>
      <c r="I73" s="23"/>
      <c r="J73" s="24" t="s">
        <v>828</v>
      </c>
      <c r="L73" s="4"/>
      <c r="M73" s="4"/>
      <c r="N73" s="76"/>
      <c r="O73" s="76"/>
      <c r="P73" s="76" t="str">
        <f t="shared" si="8"/>
        <v>,a004030_sesshoku_shogai_end_flag</v>
      </c>
      <c r="Q73" s="76" t="str">
        <f t="shared" si="9"/>
        <v>TEXT</v>
      </c>
      <c r="R73" s="76" t="str">
        <f t="shared" si="10"/>
        <v/>
      </c>
      <c r="S73" s="76" t="str">
        <f t="shared" si="11"/>
        <v/>
      </c>
      <c r="T73" s="76" t="str">
        <f t="shared" si="12"/>
        <v>-- 摂食・嚥下機能障害の有無（算定終了時）</v>
      </c>
      <c r="U73" s="4"/>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milscm_2023_010.azn_202310_backup_merge_dpc_ff1.a004030_sesshoku_shogai_end_flag IS '摂食・嚥下機能障害の有無（算定終了時）';</v>
      </c>
      <c r="AT73" s="4"/>
      <c r="AU73" s="4"/>
      <c r="AV73" s="4"/>
      <c r="AW73" s="4"/>
      <c r="AX73" s="4"/>
      <c r="AY73" s="4"/>
      <c r="AZ73" s="4"/>
    </row>
    <row r="74" spans="1:52" s="25" customFormat="1" ht="56.25">
      <c r="A74" s="4"/>
      <c r="B74" s="21">
        <f t="shared" si="2"/>
        <v>62</v>
      </c>
      <c r="C74" s="6" t="s">
        <v>657</v>
      </c>
      <c r="D74" s="6" t="s">
        <v>658</v>
      </c>
      <c r="E74" s="8"/>
      <c r="F74" s="7" t="s">
        <v>316</v>
      </c>
      <c r="G74" s="7" t="str">
        <f t="shared" si="3"/>
        <v>text</v>
      </c>
      <c r="H74" s="26"/>
      <c r="I74" s="10"/>
      <c r="J74" s="11" t="s">
        <v>829</v>
      </c>
      <c r="L74" s="4"/>
      <c r="M74" s="4"/>
      <c r="N74" s="76"/>
      <c r="O74" s="76"/>
      <c r="P74" s="76" t="str">
        <f t="shared" si="8"/>
        <v>,a004030_keikan_eiyou_start</v>
      </c>
      <c r="Q74" s="76" t="str">
        <f t="shared" si="9"/>
        <v>TEXT</v>
      </c>
      <c r="R74" s="76" t="str">
        <f t="shared" si="10"/>
        <v/>
      </c>
      <c r="S74" s="76" t="str">
        <f t="shared" si="11"/>
        <v/>
      </c>
      <c r="T74" s="76" t="str">
        <f t="shared" si="12"/>
        <v>-- 経管・経静脈栄養の状況（様式1 開始日時点）</v>
      </c>
      <c r="U74" s="4"/>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milscm_2023_010.azn_202310_backup_merge_dpc_ff1.a004030_keikan_eiyou_start IS '経管・経静脈栄養の状況（様式1 開始日時点）';</v>
      </c>
      <c r="AT74" s="4"/>
      <c r="AU74" s="4"/>
      <c r="AV74" s="4"/>
      <c r="AW74" s="4"/>
      <c r="AX74" s="4"/>
      <c r="AY74" s="4"/>
      <c r="AZ74" s="4"/>
    </row>
    <row r="75" spans="1:52" s="25" customFormat="1" ht="56.25">
      <c r="A75" s="4"/>
      <c r="B75" s="21">
        <f t="shared" si="2"/>
        <v>63</v>
      </c>
      <c r="C75" s="13" t="s">
        <v>659</v>
      </c>
      <c r="D75" s="13" t="s">
        <v>660</v>
      </c>
      <c r="E75" s="7"/>
      <c r="F75" s="7" t="s">
        <v>316</v>
      </c>
      <c r="G75" s="7" t="str">
        <f t="shared" si="3"/>
        <v>text</v>
      </c>
      <c r="H75" s="58"/>
      <c r="I75" s="23"/>
      <c r="J75" s="24" t="s">
        <v>829</v>
      </c>
      <c r="L75" s="4"/>
      <c r="M75" s="4"/>
      <c r="N75" s="76"/>
      <c r="O75" s="76"/>
      <c r="P75" s="76" t="str">
        <f t="shared" si="8"/>
        <v>,a004030_keikan_eiyou_end</v>
      </c>
      <c r="Q75" s="76" t="str">
        <f t="shared" si="9"/>
        <v>TEXT</v>
      </c>
      <c r="R75" s="76" t="str">
        <f t="shared" si="10"/>
        <v/>
      </c>
      <c r="S75" s="76" t="str">
        <f t="shared" si="11"/>
        <v/>
      </c>
      <c r="T75" s="76" t="str">
        <f t="shared" si="12"/>
        <v>-- 経管・経静脈栄養の状況（様式1 終了日時点）</v>
      </c>
      <c r="U75" s="4"/>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milscm_2023_010.azn_202310_backup_merge_dpc_ff1.a004030_keikan_eiyou_end IS '経管・経静脈栄養の状況（様式1 終了日時点）';</v>
      </c>
      <c r="AT75" s="4"/>
      <c r="AU75" s="4"/>
      <c r="AV75" s="4"/>
      <c r="AW75" s="4"/>
      <c r="AX75" s="4"/>
      <c r="AY75" s="4"/>
      <c r="AZ75" s="4"/>
    </row>
    <row r="76" spans="1:52" s="25" customFormat="1">
      <c r="A76" s="4"/>
      <c r="B76" s="21">
        <f t="shared" si="2"/>
        <v>64</v>
      </c>
      <c r="C76" s="6" t="s">
        <v>661</v>
      </c>
      <c r="D76" s="6" t="s">
        <v>662</v>
      </c>
      <c r="E76" s="8"/>
      <c r="F76" s="7" t="s">
        <v>316</v>
      </c>
      <c r="G76" s="7" t="str">
        <f t="shared" si="3"/>
        <v>text</v>
      </c>
      <c r="H76" s="26"/>
      <c r="I76" s="10"/>
      <c r="J76" s="11" t="s">
        <v>830</v>
      </c>
      <c r="L76" s="4"/>
      <c r="M76" s="4"/>
      <c r="N76" s="76"/>
      <c r="O76" s="76"/>
      <c r="P76" s="76" t="str">
        <f t="shared" si="8"/>
        <v>,a006010_icd10_code</v>
      </c>
      <c r="Q76" s="76" t="str">
        <f t="shared" si="9"/>
        <v>TEXT</v>
      </c>
      <c r="R76" s="76" t="str">
        <f t="shared" si="10"/>
        <v/>
      </c>
      <c r="S76" s="76" t="str">
        <f t="shared" si="11"/>
        <v/>
      </c>
      <c r="T76" s="76" t="str">
        <f t="shared" si="12"/>
        <v>-- ICD10コード</v>
      </c>
      <c r="U76" s="4"/>
      <c r="AA76" s="4"/>
      <c r="AB76" s="4"/>
      <c r="AC76" s="4"/>
      <c r="AD76" s="4"/>
      <c r="AE76" s="4"/>
      <c r="AF76" s="4"/>
      <c r="AG76" s="4"/>
      <c r="AH76" s="4"/>
      <c r="AI76" s="4"/>
      <c r="AJ76" s="76" t="str">
        <f>IF(E76="○",IF(COUNTA(E$13:E76)=1,"",",")&amp;D76,"")</f>
        <v/>
      </c>
      <c r="AK76" s="4"/>
      <c r="AL76" s="4"/>
      <c r="AM76" s="4"/>
      <c r="AN76" s="4"/>
      <c r="AO76" s="4"/>
      <c r="AP76" s="4"/>
      <c r="AQ76" s="4"/>
      <c r="AR76" s="4"/>
      <c r="AS76" s="76" t="str">
        <f>"COMMENT ON COLUMN "&amp;エンティティ一覧!$O$2&amp;"."&amp;D$8&amp;"."&amp;D76&amp;" IS '"&amp;C76&amp;"';"</f>
        <v>COMMENT ON COLUMN milscm_2023_010.azn_202310_backup_merge_dpc_ff1.a006010_icd10_code IS 'ICD10コード';</v>
      </c>
      <c r="AT76" s="4"/>
      <c r="AU76" s="4"/>
      <c r="AV76" s="4"/>
      <c r="AW76" s="4"/>
      <c r="AX76" s="4"/>
      <c r="AY76" s="4"/>
      <c r="AZ76" s="4"/>
    </row>
    <row r="77" spans="1:52" s="25" customFormat="1">
      <c r="A77" s="4"/>
      <c r="B77" s="21">
        <f t="shared" si="2"/>
        <v>65</v>
      </c>
      <c r="C77" s="13" t="s">
        <v>663</v>
      </c>
      <c r="D77" s="13" t="s">
        <v>664</v>
      </c>
      <c r="E77" s="7"/>
      <c r="F77" s="7" t="s">
        <v>316</v>
      </c>
      <c r="G77" s="7" t="str">
        <f t="shared" si="3"/>
        <v>text</v>
      </c>
      <c r="H77" s="58"/>
      <c r="I77" s="23"/>
      <c r="J77" s="24"/>
      <c r="L77" s="4"/>
      <c r="M77" s="4"/>
      <c r="N77" s="76"/>
      <c r="O77" s="76"/>
      <c r="P77" s="76" t="str">
        <f t="shared" si="8"/>
        <v>,a006010_shobyo_code</v>
      </c>
      <c r="Q77" s="76" t="str">
        <f t="shared" si="9"/>
        <v>TEXT</v>
      </c>
      <c r="R77" s="76" t="str">
        <f t="shared" si="10"/>
        <v/>
      </c>
      <c r="S77" s="76" t="str">
        <f t="shared" si="11"/>
        <v/>
      </c>
      <c r="T77" s="76" t="str">
        <f t="shared" si="12"/>
        <v>-- 傷病名コード</v>
      </c>
      <c r="U77" s="4"/>
      <c r="AA77" s="4"/>
      <c r="AB77" s="4"/>
      <c r="AC77" s="4"/>
      <c r="AD77" s="4"/>
      <c r="AE77" s="4"/>
      <c r="AF77" s="4"/>
      <c r="AG77" s="4"/>
      <c r="AH77" s="4"/>
      <c r="AI77" s="4"/>
      <c r="AJ77" s="76" t="str">
        <f>IF(E77="○",IF(COUNTA(E$13:E77)=1,"",",")&amp;D77,"")</f>
        <v/>
      </c>
      <c r="AK77" s="4"/>
      <c r="AL77" s="4"/>
      <c r="AM77" s="4"/>
      <c r="AN77" s="4"/>
      <c r="AO77" s="4"/>
      <c r="AP77" s="4"/>
      <c r="AQ77" s="4"/>
      <c r="AR77" s="4"/>
      <c r="AS77" s="76" t="str">
        <f>"COMMENT ON COLUMN "&amp;エンティティ一覧!$O$2&amp;"."&amp;D$8&amp;"."&amp;D77&amp;" IS '"&amp;C77&amp;"';"</f>
        <v>COMMENT ON COLUMN milscm_2023_010.azn_202310_backup_merge_dpc_ff1.a006010_shobyo_code IS '傷病名コード';</v>
      </c>
      <c r="AT77" s="4"/>
      <c r="AU77" s="4"/>
      <c r="AV77" s="4"/>
      <c r="AW77" s="4"/>
      <c r="AX77" s="4"/>
      <c r="AY77" s="4"/>
      <c r="AZ77" s="4"/>
    </row>
    <row r="78" spans="1:52" s="25" customFormat="1">
      <c r="A78" s="4"/>
      <c r="B78" s="21">
        <f t="shared" si="2"/>
        <v>66</v>
      </c>
      <c r="C78" s="6" t="s">
        <v>665</v>
      </c>
      <c r="D78" s="6" t="s">
        <v>666</v>
      </c>
      <c r="E78" s="8"/>
      <c r="F78" s="7" t="s">
        <v>316</v>
      </c>
      <c r="G78" s="7" t="str">
        <f t="shared" si="3"/>
        <v>text</v>
      </c>
      <c r="H78" s="26"/>
      <c r="I78" s="10"/>
      <c r="J78" s="11"/>
      <c r="L78" s="4"/>
      <c r="M78" s="4"/>
      <c r="N78" s="76"/>
      <c r="O78" s="76"/>
      <c r="P78" s="76" t="str">
        <f t="shared" si="8"/>
        <v>,a006010_shushoku_code1</v>
      </c>
      <c r="Q78" s="76" t="str">
        <f t="shared" si="9"/>
        <v>TEXT</v>
      </c>
      <c r="R78" s="76" t="str">
        <f t="shared" si="10"/>
        <v/>
      </c>
      <c r="S78" s="76" t="str">
        <f t="shared" si="11"/>
        <v/>
      </c>
      <c r="T78" s="76" t="str">
        <f t="shared" si="12"/>
        <v>-- 修飾語コード1</v>
      </c>
      <c r="U78" s="4"/>
      <c r="AA78" s="4"/>
      <c r="AB78" s="4"/>
      <c r="AC78" s="4"/>
      <c r="AD78" s="4"/>
      <c r="AE78" s="4"/>
      <c r="AF78" s="4"/>
      <c r="AG78" s="4"/>
      <c r="AH78" s="4"/>
      <c r="AI78" s="4"/>
      <c r="AJ78" s="76" t="str">
        <f>IF(E78="○",IF(COUNTA(E$13:E78)=1,"",",")&amp;D78,"")</f>
        <v/>
      </c>
      <c r="AK78" s="4"/>
      <c r="AL78" s="4"/>
      <c r="AM78" s="4"/>
      <c r="AN78" s="4"/>
      <c r="AO78" s="4"/>
      <c r="AP78" s="4"/>
      <c r="AQ78" s="4"/>
      <c r="AR78" s="4"/>
      <c r="AS78" s="76" t="str">
        <f>"COMMENT ON COLUMN "&amp;エンティティ一覧!$O$2&amp;"."&amp;D$8&amp;"."&amp;D78&amp;" IS '"&amp;C78&amp;"';"</f>
        <v>COMMENT ON COLUMN milscm_2023_010.azn_202310_backup_merge_dpc_ff1.a006010_shushoku_code1 IS '修飾語コード1';</v>
      </c>
      <c r="AT78" s="4"/>
      <c r="AU78" s="4"/>
      <c r="AV78" s="4"/>
      <c r="AW78" s="4"/>
      <c r="AX78" s="4"/>
      <c r="AY78" s="4"/>
      <c r="AZ78" s="4"/>
    </row>
    <row r="79" spans="1:52" s="25" customFormat="1">
      <c r="A79" s="4"/>
      <c r="B79" s="21">
        <f t="shared" si="2"/>
        <v>67</v>
      </c>
      <c r="C79" s="13" t="s">
        <v>667</v>
      </c>
      <c r="D79" s="13" t="s">
        <v>668</v>
      </c>
      <c r="E79" s="7"/>
      <c r="F79" s="7" t="s">
        <v>316</v>
      </c>
      <c r="G79" s="7" t="str">
        <f t="shared" si="3"/>
        <v>text</v>
      </c>
      <c r="H79" s="58"/>
      <c r="I79" s="23"/>
      <c r="J79" s="24"/>
      <c r="L79" s="4"/>
      <c r="M79" s="4"/>
      <c r="N79" s="76"/>
      <c r="O79" s="76"/>
      <c r="P79" s="76" t="str">
        <f t="shared" si="8"/>
        <v>,a006010_shushoku_code2</v>
      </c>
      <c r="Q79" s="76" t="str">
        <f t="shared" si="9"/>
        <v>TEXT</v>
      </c>
      <c r="R79" s="76" t="str">
        <f t="shared" si="10"/>
        <v/>
      </c>
      <c r="S79" s="76" t="str">
        <f t="shared" si="11"/>
        <v/>
      </c>
      <c r="T79" s="76" t="str">
        <f t="shared" si="12"/>
        <v>-- 修飾語コード2</v>
      </c>
      <c r="U79" s="4"/>
      <c r="AA79" s="4"/>
      <c r="AB79" s="4"/>
      <c r="AC79" s="4"/>
      <c r="AD79" s="4"/>
      <c r="AE79" s="4"/>
      <c r="AF79" s="4"/>
      <c r="AG79" s="4"/>
      <c r="AH79" s="4"/>
      <c r="AI79" s="4"/>
      <c r="AJ79" s="76" t="str">
        <f>IF(E79="○",IF(COUNTA(E$13:E79)=1,"",",")&amp;D79,"")</f>
        <v/>
      </c>
      <c r="AK79" s="4"/>
      <c r="AL79" s="4"/>
      <c r="AM79" s="4"/>
      <c r="AN79" s="4"/>
      <c r="AO79" s="4"/>
      <c r="AP79" s="4"/>
      <c r="AQ79" s="4"/>
      <c r="AR79" s="4"/>
      <c r="AS79" s="76" t="str">
        <f>"COMMENT ON COLUMN "&amp;エンティティ一覧!$O$2&amp;"."&amp;D$8&amp;"."&amp;D79&amp;" IS '"&amp;C79&amp;"';"</f>
        <v>COMMENT ON COLUMN milscm_2023_010.azn_202310_backup_merge_dpc_ff1.a006010_shushoku_code2 IS '修飾語コード2';</v>
      </c>
      <c r="AT79" s="4"/>
      <c r="AU79" s="4"/>
      <c r="AV79" s="4"/>
      <c r="AW79" s="4"/>
      <c r="AX79" s="4"/>
      <c r="AY79" s="4"/>
      <c r="AZ79" s="4"/>
    </row>
    <row r="80" spans="1:52" s="25" customFormat="1">
      <c r="A80" s="4"/>
      <c r="B80" s="21">
        <f t="shared" si="2"/>
        <v>68</v>
      </c>
      <c r="C80" s="6" t="s">
        <v>669</v>
      </c>
      <c r="D80" s="6" t="s">
        <v>670</v>
      </c>
      <c r="E80" s="8"/>
      <c r="F80" s="7" t="s">
        <v>316</v>
      </c>
      <c r="G80" s="7" t="str">
        <f t="shared" si="3"/>
        <v>text</v>
      </c>
      <c r="H80" s="26"/>
      <c r="I80" s="10"/>
      <c r="J80" s="11"/>
      <c r="L80" s="4"/>
      <c r="M80" s="4"/>
      <c r="N80" s="76"/>
      <c r="O80" s="76"/>
      <c r="P80" s="76" t="str">
        <f t="shared" si="8"/>
        <v>,a006010_shushoku_code3</v>
      </c>
      <c r="Q80" s="76" t="str">
        <f t="shared" si="9"/>
        <v>TEXT</v>
      </c>
      <c r="R80" s="76" t="str">
        <f t="shared" si="10"/>
        <v/>
      </c>
      <c r="S80" s="76" t="str">
        <f t="shared" si="11"/>
        <v/>
      </c>
      <c r="T80" s="76" t="str">
        <f t="shared" si="12"/>
        <v>-- 修飾語コード3</v>
      </c>
      <c r="U80" s="4"/>
      <c r="AA80" s="4"/>
      <c r="AB80" s="4"/>
      <c r="AC80" s="4"/>
      <c r="AD80" s="4"/>
      <c r="AE80" s="4"/>
      <c r="AF80" s="4"/>
      <c r="AG80" s="4"/>
      <c r="AH80" s="4"/>
      <c r="AI80" s="4"/>
      <c r="AJ80" s="76" t="str">
        <f>IF(E80="○",IF(COUNTA(E$13:E80)=1,"",",")&amp;D80,"")</f>
        <v/>
      </c>
      <c r="AK80" s="4"/>
      <c r="AL80" s="4"/>
      <c r="AM80" s="4"/>
      <c r="AN80" s="4"/>
      <c r="AO80" s="4"/>
      <c r="AP80" s="4"/>
      <c r="AQ80" s="4"/>
      <c r="AR80" s="4"/>
      <c r="AS80" s="76" t="str">
        <f>"COMMENT ON COLUMN "&amp;エンティティ一覧!$O$2&amp;"."&amp;D$8&amp;"."&amp;D80&amp;" IS '"&amp;C80&amp;"';"</f>
        <v>COMMENT ON COLUMN milscm_2023_010.azn_202310_backup_merge_dpc_ff1.a006010_shushoku_code3 IS '修飾語コード3';</v>
      </c>
      <c r="AT80" s="4"/>
      <c r="AU80" s="4"/>
      <c r="AV80" s="4"/>
      <c r="AW80" s="4"/>
      <c r="AX80" s="4"/>
      <c r="AY80" s="4"/>
      <c r="AZ80" s="4"/>
    </row>
    <row r="81" spans="1:52" s="25" customFormat="1">
      <c r="A81" s="4"/>
      <c r="B81" s="21">
        <f t="shared" si="2"/>
        <v>69</v>
      </c>
      <c r="C81" s="13" t="s">
        <v>671</v>
      </c>
      <c r="D81" s="13" t="s">
        <v>672</v>
      </c>
      <c r="E81" s="7"/>
      <c r="F81" s="7" t="s">
        <v>316</v>
      </c>
      <c r="G81" s="7" t="str">
        <f t="shared" si="3"/>
        <v>text</v>
      </c>
      <c r="H81" s="58"/>
      <c r="I81" s="23"/>
      <c r="J81" s="24"/>
      <c r="L81" s="4"/>
      <c r="M81" s="4"/>
      <c r="N81" s="76"/>
      <c r="O81" s="76"/>
      <c r="P81" s="76" t="str">
        <f t="shared" si="8"/>
        <v>,a006010_shushoku_code4</v>
      </c>
      <c r="Q81" s="76" t="str">
        <f t="shared" si="9"/>
        <v>TEXT</v>
      </c>
      <c r="R81" s="76" t="str">
        <f t="shared" si="10"/>
        <v/>
      </c>
      <c r="S81" s="76" t="str">
        <f t="shared" si="11"/>
        <v/>
      </c>
      <c r="T81" s="76" t="str">
        <f t="shared" si="12"/>
        <v>-- 修飾語コード4</v>
      </c>
      <c r="U81" s="4"/>
      <c r="AA81" s="4"/>
      <c r="AB81" s="4"/>
      <c r="AC81" s="4"/>
      <c r="AD81" s="4"/>
      <c r="AE81" s="4"/>
      <c r="AF81" s="4"/>
      <c r="AG81" s="4"/>
      <c r="AH81" s="4"/>
      <c r="AI81" s="4"/>
      <c r="AJ81" s="76" t="str">
        <f>IF(E81="○",IF(COUNTA(E$13:E81)=1,"",",")&amp;D81,"")</f>
        <v/>
      </c>
      <c r="AK81" s="4"/>
      <c r="AL81" s="4"/>
      <c r="AM81" s="4"/>
      <c r="AN81" s="4"/>
      <c r="AO81" s="4"/>
      <c r="AP81" s="4"/>
      <c r="AQ81" s="4"/>
      <c r="AR81" s="4"/>
      <c r="AS81" s="76" t="str">
        <f>"COMMENT ON COLUMN "&amp;エンティティ一覧!$O$2&amp;"."&amp;D$8&amp;"."&amp;D81&amp;" IS '"&amp;C81&amp;"';"</f>
        <v>COMMENT ON COLUMN milscm_2023_010.azn_202310_backup_merge_dpc_ff1.a006010_shushoku_code4 IS '修飾語コード4';</v>
      </c>
      <c r="AT81" s="4"/>
      <c r="AU81" s="4"/>
      <c r="AV81" s="4"/>
      <c r="AW81" s="4"/>
      <c r="AX81" s="4"/>
      <c r="AY81" s="4"/>
      <c r="AZ81" s="4"/>
    </row>
    <row r="82" spans="1:52" s="25" customFormat="1" ht="31.5">
      <c r="A82" s="4"/>
      <c r="B82" s="21">
        <f t="shared" si="2"/>
        <v>70</v>
      </c>
      <c r="C82" s="13" t="s">
        <v>673</v>
      </c>
      <c r="D82" s="13" t="s">
        <v>674</v>
      </c>
      <c r="E82" s="7"/>
      <c r="F82" s="7" t="s">
        <v>316</v>
      </c>
      <c r="G82" s="7" t="str">
        <f t="shared" si="3"/>
        <v>text</v>
      </c>
      <c r="H82" s="58"/>
      <c r="I82" s="23"/>
      <c r="J82" s="24" t="s">
        <v>831</v>
      </c>
      <c r="L82" s="4"/>
      <c r="M82" s="4"/>
      <c r="N82" s="76"/>
      <c r="O82" s="76"/>
      <c r="P82" s="76" t="str">
        <f t="shared" si="8"/>
        <v>,a006010_main_shobyo_name</v>
      </c>
      <c r="Q82" s="76" t="str">
        <f t="shared" si="9"/>
        <v>TEXT</v>
      </c>
      <c r="R82" s="76" t="str">
        <f t="shared" si="10"/>
        <v/>
      </c>
      <c r="S82" s="76" t="str">
        <f t="shared" si="11"/>
        <v/>
      </c>
      <c r="T82" s="76" t="str">
        <f t="shared" si="12"/>
        <v>-- 主傷病名</v>
      </c>
      <c r="U82" s="4"/>
      <c r="AA82" s="4"/>
      <c r="AB82" s="4"/>
      <c r="AC82" s="4"/>
      <c r="AD82" s="4"/>
      <c r="AE82" s="4"/>
      <c r="AF82" s="4"/>
      <c r="AG82" s="4"/>
      <c r="AH82" s="4"/>
      <c r="AI82" s="4"/>
      <c r="AJ82" s="76" t="str">
        <f>IF(E82="○",IF(COUNTA(E$13:E82)=1,"",",")&amp;D82,"")</f>
        <v/>
      </c>
      <c r="AK82" s="4"/>
      <c r="AL82" s="4"/>
      <c r="AM82" s="4"/>
      <c r="AN82" s="4"/>
      <c r="AO82" s="4"/>
      <c r="AP82" s="4"/>
      <c r="AQ82" s="4"/>
      <c r="AR82" s="4"/>
      <c r="AS82" s="76" t="str">
        <f>"COMMENT ON COLUMN "&amp;エンティティ一覧!$O$2&amp;"."&amp;D$8&amp;"."&amp;D82&amp;" IS '"&amp;C82&amp;"';"</f>
        <v>COMMENT ON COLUMN milscm_2023_010.azn_202310_backup_merge_dpc_ff1.a006010_main_shobyo_name IS '主傷病名';</v>
      </c>
      <c r="AT82" s="4"/>
      <c r="AU82" s="4"/>
      <c r="AV82" s="4"/>
      <c r="AW82" s="4"/>
      <c r="AX82" s="4"/>
      <c r="AY82" s="4"/>
      <c r="AZ82" s="4"/>
    </row>
    <row r="83" spans="1:52" s="25" customFormat="1">
      <c r="A83" s="4"/>
      <c r="B83" s="21">
        <f t="shared" si="2"/>
        <v>71</v>
      </c>
      <c r="C83" s="13" t="s">
        <v>661</v>
      </c>
      <c r="D83" s="13" t="s">
        <v>675</v>
      </c>
      <c r="E83" s="7"/>
      <c r="F83" s="7" t="s">
        <v>316</v>
      </c>
      <c r="G83" s="7" t="str">
        <f t="shared" si="3"/>
        <v>text</v>
      </c>
      <c r="H83" s="26"/>
      <c r="I83" s="10"/>
      <c r="J83" s="11" t="s">
        <v>832</v>
      </c>
      <c r="L83" s="4"/>
      <c r="M83" s="4"/>
      <c r="N83" s="76"/>
      <c r="O83" s="76"/>
      <c r="P83" s="76" t="str">
        <f t="shared" si="8"/>
        <v>,a006020_icd10_code</v>
      </c>
      <c r="Q83" s="76" t="str">
        <f t="shared" si="9"/>
        <v>TEXT</v>
      </c>
      <c r="R83" s="76" t="str">
        <f t="shared" si="10"/>
        <v/>
      </c>
      <c r="S83" s="76" t="str">
        <f t="shared" si="11"/>
        <v/>
      </c>
      <c r="T83" s="76" t="str">
        <f t="shared" si="12"/>
        <v>-- ICD10コード</v>
      </c>
      <c r="U83" s="4"/>
      <c r="AA83" s="4"/>
      <c r="AB83" s="4"/>
      <c r="AC83" s="4"/>
      <c r="AD83" s="4"/>
      <c r="AE83" s="4"/>
      <c r="AF83" s="4"/>
      <c r="AG83" s="4"/>
      <c r="AH83" s="4"/>
      <c r="AI83" s="4"/>
      <c r="AJ83" s="76" t="str">
        <f>IF(E83="○",IF(COUNTA(E$13:E83)=1,"",",")&amp;D83,"")</f>
        <v/>
      </c>
      <c r="AK83" s="4"/>
      <c r="AL83" s="4"/>
      <c r="AM83" s="4"/>
      <c r="AN83" s="4"/>
      <c r="AO83" s="4"/>
      <c r="AP83" s="4"/>
      <c r="AQ83" s="4"/>
      <c r="AR83" s="4"/>
      <c r="AS83" s="76" t="str">
        <f>"COMMENT ON COLUMN "&amp;エンティティ一覧!$O$2&amp;"."&amp;D$8&amp;"."&amp;D83&amp;" IS '"&amp;C83&amp;"';"</f>
        <v>COMMENT ON COLUMN milscm_2023_010.azn_202310_backup_merge_dpc_ff1.a006020_icd10_code IS 'ICD10コード';</v>
      </c>
      <c r="AT83" s="4"/>
      <c r="AU83" s="4"/>
      <c r="AV83" s="4"/>
      <c r="AW83" s="4"/>
      <c r="AX83" s="4"/>
      <c r="AY83" s="4"/>
      <c r="AZ83" s="4"/>
    </row>
    <row r="84" spans="1:52" s="25" customFormat="1">
      <c r="A84" s="4"/>
      <c r="B84" s="21">
        <f t="shared" si="2"/>
        <v>72</v>
      </c>
      <c r="C84" s="6" t="s">
        <v>663</v>
      </c>
      <c r="D84" s="6" t="s">
        <v>676</v>
      </c>
      <c r="E84" s="8"/>
      <c r="F84" s="7" t="s">
        <v>316</v>
      </c>
      <c r="G84" s="7" t="str">
        <f t="shared" si="3"/>
        <v>text</v>
      </c>
      <c r="H84" s="26"/>
      <c r="I84" s="10"/>
      <c r="J84" s="11"/>
      <c r="L84" s="4"/>
      <c r="M84" s="4"/>
      <c r="N84" s="76"/>
      <c r="O84" s="76"/>
      <c r="P84" s="76" t="str">
        <f t="shared" si="8"/>
        <v>,a006020_shobyo_code</v>
      </c>
      <c r="Q84" s="76" t="str">
        <f t="shared" si="9"/>
        <v>TEXT</v>
      </c>
      <c r="R84" s="76" t="str">
        <f t="shared" si="10"/>
        <v/>
      </c>
      <c r="S84" s="76" t="str">
        <f t="shared" si="11"/>
        <v/>
      </c>
      <c r="T84" s="76" t="str">
        <f t="shared" si="12"/>
        <v>-- 傷病名コード</v>
      </c>
      <c r="U84" s="4"/>
      <c r="AA84" s="4"/>
      <c r="AB84" s="4"/>
      <c r="AC84" s="4"/>
      <c r="AD84" s="4"/>
      <c r="AE84" s="4"/>
      <c r="AF84" s="4"/>
      <c r="AG84" s="4"/>
      <c r="AH84" s="4"/>
      <c r="AI84" s="4"/>
      <c r="AJ84" s="76" t="str">
        <f>IF(E84="○",IF(COUNTA(E$13:E84)=1,"",",")&amp;D84,"")</f>
        <v/>
      </c>
      <c r="AK84" s="4"/>
      <c r="AL84" s="4"/>
      <c r="AM84" s="4"/>
      <c r="AN84" s="4"/>
      <c r="AO84" s="4"/>
      <c r="AP84" s="4"/>
      <c r="AQ84" s="4"/>
      <c r="AR84" s="4"/>
      <c r="AS84" s="76" t="str">
        <f>"COMMENT ON COLUMN "&amp;エンティティ一覧!$O$2&amp;"."&amp;D$8&amp;"."&amp;D84&amp;" IS '"&amp;C84&amp;"';"</f>
        <v>COMMENT ON COLUMN milscm_2023_010.azn_202310_backup_merge_dpc_ff1.a006020_shobyo_code IS '傷病名コード';</v>
      </c>
      <c r="AT84" s="4"/>
      <c r="AU84" s="4"/>
      <c r="AV84" s="4"/>
      <c r="AW84" s="4"/>
      <c r="AX84" s="4"/>
      <c r="AY84" s="4"/>
      <c r="AZ84" s="4"/>
    </row>
    <row r="85" spans="1:52" s="25" customFormat="1">
      <c r="A85" s="4"/>
      <c r="B85" s="21">
        <f t="shared" si="2"/>
        <v>73</v>
      </c>
      <c r="C85" s="13" t="s">
        <v>665</v>
      </c>
      <c r="D85" s="13" t="s">
        <v>677</v>
      </c>
      <c r="E85" s="7"/>
      <c r="F85" s="7" t="s">
        <v>316</v>
      </c>
      <c r="G85" s="7" t="str">
        <f t="shared" si="3"/>
        <v>text</v>
      </c>
      <c r="H85" s="58"/>
      <c r="I85" s="23"/>
      <c r="J85" s="24"/>
      <c r="L85" s="4"/>
      <c r="M85" s="4"/>
      <c r="N85" s="76"/>
      <c r="O85" s="76"/>
      <c r="P85" s="76" t="str">
        <f t="shared" si="8"/>
        <v>,a006020_shushoku_code1</v>
      </c>
      <c r="Q85" s="76" t="str">
        <f t="shared" si="9"/>
        <v>TEXT</v>
      </c>
      <c r="R85" s="76" t="str">
        <f t="shared" si="10"/>
        <v/>
      </c>
      <c r="S85" s="76" t="str">
        <f t="shared" si="11"/>
        <v/>
      </c>
      <c r="T85" s="76" t="str">
        <f t="shared" si="12"/>
        <v>-- 修飾語コード1</v>
      </c>
      <c r="U85" s="4"/>
      <c r="AA85" s="4"/>
      <c r="AB85" s="4"/>
      <c r="AC85" s="4"/>
      <c r="AD85" s="4"/>
      <c r="AE85" s="4"/>
      <c r="AF85" s="4"/>
      <c r="AG85" s="4"/>
      <c r="AH85" s="4"/>
      <c r="AI85" s="4"/>
      <c r="AJ85" s="76" t="str">
        <f>IF(E85="○",IF(COUNTA(E$13:E85)=1,"",",")&amp;D85,"")</f>
        <v/>
      </c>
      <c r="AK85" s="4"/>
      <c r="AL85" s="4"/>
      <c r="AM85" s="4"/>
      <c r="AN85" s="4"/>
      <c r="AO85" s="4"/>
      <c r="AP85" s="4"/>
      <c r="AQ85" s="4"/>
      <c r="AR85" s="4"/>
      <c r="AS85" s="76" t="str">
        <f>"COMMENT ON COLUMN "&amp;エンティティ一覧!$O$2&amp;"."&amp;D$8&amp;"."&amp;D85&amp;" IS '"&amp;C85&amp;"';"</f>
        <v>COMMENT ON COLUMN milscm_2023_010.azn_202310_backup_merge_dpc_ff1.a006020_shushoku_code1 IS '修飾語コード1';</v>
      </c>
      <c r="AT85" s="4"/>
      <c r="AU85" s="4"/>
      <c r="AV85" s="4"/>
      <c r="AW85" s="4"/>
      <c r="AX85" s="4"/>
      <c r="AY85" s="4"/>
      <c r="AZ85" s="4"/>
    </row>
    <row r="86" spans="1:52" s="25" customFormat="1">
      <c r="A86" s="4"/>
      <c r="B86" s="21">
        <f t="shared" si="2"/>
        <v>74</v>
      </c>
      <c r="C86" s="6" t="s">
        <v>667</v>
      </c>
      <c r="D86" s="6" t="s">
        <v>678</v>
      </c>
      <c r="E86" s="8"/>
      <c r="F86" s="7" t="s">
        <v>316</v>
      </c>
      <c r="G86" s="7" t="str">
        <f t="shared" si="3"/>
        <v>text</v>
      </c>
      <c r="H86" s="26"/>
      <c r="I86" s="10"/>
      <c r="J86" s="11"/>
      <c r="L86" s="4"/>
      <c r="M86" s="4"/>
      <c r="N86" s="76"/>
      <c r="O86" s="76"/>
      <c r="P86" s="76" t="str">
        <f t="shared" si="8"/>
        <v>,a006020_shushoku_code2</v>
      </c>
      <c r="Q86" s="76" t="str">
        <f t="shared" si="9"/>
        <v>TEXT</v>
      </c>
      <c r="R86" s="76" t="str">
        <f t="shared" si="10"/>
        <v/>
      </c>
      <c r="S86" s="76" t="str">
        <f t="shared" si="11"/>
        <v/>
      </c>
      <c r="T86" s="76" t="str">
        <f t="shared" si="12"/>
        <v>-- 修飾語コード2</v>
      </c>
      <c r="U86" s="4"/>
      <c r="AA86" s="4"/>
      <c r="AB86" s="4"/>
      <c r="AC86" s="4"/>
      <c r="AD86" s="4"/>
      <c r="AE86" s="4"/>
      <c r="AF86" s="4"/>
      <c r="AG86" s="4"/>
      <c r="AH86" s="4"/>
      <c r="AI86" s="4"/>
      <c r="AJ86" s="76" t="str">
        <f>IF(E86="○",IF(COUNTA(E$13:E86)=1,"",",")&amp;D86,"")</f>
        <v/>
      </c>
      <c r="AK86" s="4"/>
      <c r="AL86" s="4"/>
      <c r="AM86" s="4"/>
      <c r="AN86" s="4"/>
      <c r="AO86" s="4"/>
      <c r="AP86" s="4"/>
      <c r="AQ86" s="4"/>
      <c r="AR86" s="4"/>
      <c r="AS86" s="76" t="str">
        <f>"COMMENT ON COLUMN "&amp;エンティティ一覧!$O$2&amp;"."&amp;D$8&amp;"."&amp;D86&amp;" IS '"&amp;C86&amp;"';"</f>
        <v>COMMENT ON COLUMN milscm_2023_010.azn_202310_backup_merge_dpc_ff1.a006020_shushoku_code2 IS '修飾語コード2';</v>
      </c>
      <c r="AT86" s="4"/>
      <c r="AU86" s="4"/>
      <c r="AV86" s="4"/>
      <c r="AW86" s="4"/>
      <c r="AX86" s="4"/>
      <c r="AY86" s="4"/>
      <c r="AZ86" s="4"/>
    </row>
    <row r="87" spans="1:52" s="25" customFormat="1">
      <c r="A87" s="4"/>
      <c r="B87" s="21">
        <f t="shared" si="2"/>
        <v>75</v>
      </c>
      <c r="C87" s="13" t="s">
        <v>669</v>
      </c>
      <c r="D87" s="13" t="s">
        <v>679</v>
      </c>
      <c r="E87" s="7"/>
      <c r="F87" s="7" t="s">
        <v>316</v>
      </c>
      <c r="G87" s="7" t="str">
        <f t="shared" si="3"/>
        <v>text</v>
      </c>
      <c r="H87" s="58"/>
      <c r="I87" s="23"/>
      <c r="J87" s="24"/>
      <c r="L87" s="4"/>
      <c r="M87" s="4"/>
      <c r="N87" s="76"/>
      <c r="O87" s="76"/>
      <c r="P87" s="76" t="str">
        <f t="shared" si="8"/>
        <v>,a006020_shushoku_code3</v>
      </c>
      <c r="Q87" s="76" t="str">
        <f t="shared" si="9"/>
        <v>TEXT</v>
      </c>
      <c r="R87" s="76" t="str">
        <f t="shared" si="10"/>
        <v/>
      </c>
      <c r="S87" s="76" t="str">
        <f t="shared" si="11"/>
        <v/>
      </c>
      <c r="T87" s="76" t="str">
        <f t="shared" si="12"/>
        <v>-- 修飾語コード3</v>
      </c>
      <c r="U87" s="4"/>
      <c r="AA87" s="4"/>
      <c r="AB87" s="4"/>
      <c r="AC87" s="4"/>
      <c r="AD87" s="4"/>
      <c r="AE87" s="4"/>
      <c r="AF87" s="4"/>
      <c r="AG87" s="4"/>
      <c r="AH87" s="4"/>
      <c r="AI87" s="4"/>
      <c r="AJ87" s="76" t="str">
        <f>IF(E87="○",IF(COUNTA(E$13:E87)=1,"",",")&amp;D87,"")</f>
        <v/>
      </c>
      <c r="AK87" s="4"/>
      <c r="AL87" s="4"/>
      <c r="AM87" s="4"/>
      <c r="AN87" s="4"/>
      <c r="AO87" s="4"/>
      <c r="AP87" s="4"/>
      <c r="AQ87" s="4"/>
      <c r="AR87" s="4"/>
      <c r="AS87" s="76" t="str">
        <f>"COMMENT ON COLUMN "&amp;エンティティ一覧!$O$2&amp;"."&amp;D$8&amp;"."&amp;D87&amp;" IS '"&amp;C87&amp;"';"</f>
        <v>COMMENT ON COLUMN milscm_2023_010.azn_202310_backup_merge_dpc_ff1.a006020_shushoku_code3 IS '修飾語コード3';</v>
      </c>
      <c r="AT87" s="4"/>
      <c r="AU87" s="4"/>
      <c r="AV87" s="4"/>
      <c r="AW87" s="4"/>
      <c r="AX87" s="4"/>
      <c r="AY87" s="4"/>
      <c r="AZ87" s="4"/>
    </row>
    <row r="88" spans="1:52" s="25" customFormat="1">
      <c r="A88" s="4"/>
      <c r="B88" s="21">
        <f t="shared" si="2"/>
        <v>76</v>
      </c>
      <c r="C88" s="6" t="s">
        <v>671</v>
      </c>
      <c r="D88" s="6" t="s">
        <v>680</v>
      </c>
      <c r="E88" s="8"/>
      <c r="F88" s="7" t="s">
        <v>316</v>
      </c>
      <c r="G88" s="7" t="str">
        <f t="shared" si="3"/>
        <v>text</v>
      </c>
      <c r="H88" s="26"/>
      <c r="I88" s="10"/>
      <c r="J88" s="11"/>
      <c r="L88" s="4"/>
      <c r="M88" s="4"/>
      <c r="N88" s="76"/>
      <c r="O88" s="76"/>
      <c r="P88" s="76" t="str">
        <f t="shared" si="8"/>
        <v>,a006020_shushoku_code4</v>
      </c>
      <c r="Q88" s="76" t="str">
        <f t="shared" si="9"/>
        <v>TEXT</v>
      </c>
      <c r="R88" s="76" t="str">
        <f t="shared" si="10"/>
        <v/>
      </c>
      <c r="S88" s="76" t="str">
        <f t="shared" si="11"/>
        <v/>
      </c>
      <c r="T88" s="76" t="str">
        <f t="shared" si="12"/>
        <v>-- 修飾語コード4</v>
      </c>
      <c r="U88" s="4"/>
      <c r="AA88" s="4"/>
      <c r="AB88" s="4"/>
      <c r="AC88" s="4"/>
      <c r="AD88" s="4"/>
      <c r="AE88" s="4"/>
      <c r="AF88" s="4"/>
      <c r="AG88" s="4"/>
      <c r="AH88" s="4"/>
      <c r="AI88" s="4"/>
      <c r="AJ88" s="76" t="str">
        <f>IF(E88="○",IF(COUNTA(E$13:E88)=1,"",",")&amp;D88,"")</f>
        <v/>
      </c>
      <c r="AK88" s="4"/>
      <c r="AL88" s="4"/>
      <c r="AM88" s="4"/>
      <c r="AN88" s="4"/>
      <c r="AO88" s="4"/>
      <c r="AP88" s="4"/>
      <c r="AQ88" s="4"/>
      <c r="AR88" s="4"/>
      <c r="AS88" s="76" t="str">
        <f>"COMMENT ON COLUMN "&amp;エンティティ一覧!$O$2&amp;"."&amp;D$8&amp;"."&amp;D88&amp;" IS '"&amp;C88&amp;"';"</f>
        <v>COMMENT ON COLUMN milscm_2023_010.azn_202310_backup_merge_dpc_ff1.a006020_shushoku_code4 IS '修飾語コード4';</v>
      </c>
      <c r="AT88" s="4"/>
      <c r="AU88" s="4"/>
      <c r="AV88" s="4"/>
      <c r="AW88" s="4"/>
      <c r="AX88" s="4"/>
      <c r="AY88" s="4"/>
      <c r="AZ88" s="4"/>
    </row>
    <row r="89" spans="1:52" s="25" customFormat="1" ht="31.5">
      <c r="A89" s="4"/>
      <c r="B89" s="21">
        <f t="shared" si="2"/>
        <v>77</v>
      </c>
      <c r="C89" s="6" t="s">
        <v>681</v>
      </c>
      <c r="D89" s="6" t="s">
        <v>682</v>
      </c>
      <c r="E89" s="8"/>
      <c r="F89" s="7" t="s">
        <v>316</v>
      </c>
      <c r="G89" s="7" t="str">
        <f t="shared" si="3"/>
        <v>text</v>
      </c>
      <c r="H89" s="58"/>
      <c r="I89" s="23"/>
      <c r="J89" s="24" t="s">
        <v>681</v>
      </c>
      <c r="L89" s="4"/>
      <c r="M89" s="4"/>
      <c r="N89" s="76"/>
      <c r="O89" s="76"/>
      <c r="P89" s="76" t="str">
        <f t="shared" si="8"/>
        <v>,a006020_nyuin_shobyo_name</v>
      </c>
      <c r="Q89" s="76" t="str">
        <f t="shared" si="9"/>
        <v>TEXT</v>
      </c>
      <c r="R89" s="76" t="str">
        <f t="shared" si="10"/>
        <v/>
      </c>
      <c r="S89" s="76" t="str">
        <f t="shared" si="11"/>
        <v/>
      </c>
      <c r="T89" s="76" t="str">
        <f t="shared" si="12"/>
        <v>-- 入院の契機となった傷病名</v>
      </c>
      <c r="U89" s="4"/>
      <c r="AA89" s="4"/>
      <c r="AB89" s="4"/>
      <c r="AC89" s="4"/>
      <c r="AD89" s="4"/>
      <c r="AE89" s="4"/>
      <c r="AF89" s="4"/>
      <c r="AG89" s="4"/>
      <c r="AH89" s="4"/>
      <c r="AI89" s="4"/>
      <c r="AJ89" s="76" t="str">
        <f>IF(E89="○",IF(COUNTA(E$13:E89)=1,"",",")&amp;D89,"")</f>
        <v/>
      </c>
      <c r="AK89" s="4"/>
      <c r="AL89" s="4"/>
      <c r="AM89" s="4"/>
      <c r="AN89" s="4"/>
      <c r="AO89" s="4"/>
      <c r="AP89" s="4"/>
      <c r="AQ89" s="4"/>
      <c r="AR89" s="4"/>
      <c r="AS89" s="76" t="str">
        <f>"COMMENT ON COLUMN "&amp;エンティティ一覧!$O$2&amp;"."&amp;D$8&amp;"."&amp;D89&amp;" IS '"&amp;C89&amp;"';"</f>
        <v>COMMENT ON COLUMN milscm_2023_010.azn_202310_backup_merge_dpc_ff1.a006020_nyuin_shobyo_name IS '入院の契機となった傷病名';</v>
      </c>
      <c r="AT89" s="4"/>
      <c r="AU89" s="4"/>
      <c r="AV89" s="4"/>
      <c r="AW89" s="4"/>
      <c r="AX89" s="4"/>
      <c r="AY89" s="4"/>
      <c r="AZ89" s="4"/>
    </row>
    <row r="90" spans="1:52" s="25" customFormat="1" ht="37.5">
      <c r="A90" s="4"/>
      <c r="B90" s="21">
        <f t="shared" si="2"/>
        <v>78</v>
      </c>
      <c r="C90" s="13" t="s">
        <v>661</v>
      </c>
      <c r="D90" s="13" t="s">
        <v>683</v>
      </c>
      <c r="E90" s="7"/>
      <c r="F90" s="7" t="s">
        <v>316</v>
      </c>
      <c r="G90" s="7" t="str">
        <f t="shared" si="3"/>
        <v>text</v>
      </c>
      <c r="H90" s="26"/>
      <c r="I90" s="10"/>
      <c r="J90" s="11" t="s">
        <v>833</v>
      </c>
      <c r="L90" s="4"/>
      <c r="M90" s="4"/>
      <c r="N90" s="76"/>
      <c r="O90" s="76"/>
      <c r="P90" s="76" t="str">
        <f t="shared" si="8"/>
        <v>,a006030_icd10_code</v>
      </c>
      <c r="Q90" s="76" t="str">
        <f t="shared" si="9"/>
        <v>TEXT</v>
      </c>
      <c r="R90" s="76" t="str">
        <f t="shared" si="10"/>
        <v/>
      </c>
      <c r="S90" s="76" t="str">
        <f t="shared" si="11"/>
        <v/>
      </c>
      <c r="T90" s="76" t="str">
        <f t="shared" si="12"/>
        <v>-- ICD10コード</v>
      </c>
      <c r="U90" s="4"/>
      <c r="AA90" s="4"/>
      <c r="AB90" s="4"/>
      <c r="AC90" s="4"/>
      <c r="AD90" s="4"/>
      <c r="AE90" s="4"/>
      <c r="AF90" s="4"/>
      <c r="AG90" s="4"/>
      <c r="AH90" s="4"/>
      <c r="AI90" s="4"/>
      <c r="AJ90" s="76" t="str">
        <f>IF(E90="○",IF(COUNTA(E$13:E90)=1,"",",")&amp;D90,"")</f>
        <v/>
      </c>
      <c r="AK90" s="4"/>
      <c r="AL90" s="4"/>
      <c r="AM90" s="4"/>
      <c r="AN90" s="4"/>
      <c r="AO90" s="4"/>
      <c r="AP90" s="4"/>
      <c r="AQ90" s="4"/>
      <c r="AR90" s="4"/>
      <c r="AS90" s="76" t="str">
        <f>"COMMENT ON COLUMN "&amp;エンティティ一覧!$O$2&amp;"."&amp;D$8&amp;"."&amp;D90&amp;" IS '"&amp;C90&amp;"';"</f>
        <v>COMMENT ON COLUMN milscm_2023_010.azn_202310_backup_merge_dpc_ff1.a006030_icd10_code IS 'ICD10コード';</v>
      </c>
      <c r="AT90" s="4"/>
      <c r="AU90" s="4"/>
      <c r="AV90" s="4"/>
      <c r="AW90" s="4"/>
      <c r="AX90" s="4"/>
      <c r="AY90" s="4"/>
      <c r="AZ90" s="4"/>
    </row>
    <row r="91" spans="1:52" s="25" customFormat="1" ht="31.5">
      <c r="A91" s="4"/>
      <c r="B91" s="21">
        <f t="shared" si="2"/>
        <v>79</v>
      </c>
      <c r="C91" s="6" t="s">
        <v>684</v>
      </c>
      <c r="D91" s="6" t="s">
        <v>685</v>
      </c>
      <c r="E91" s="8"/>
      <c r="F91" s="7" t="s">
        <v>316</v>
      </c>
      <c r="G91" s="7" t="str">
        <f t="shared" si="3"/>
        <v>text</v>
      </c>
      <c r="H91" s="58"/>
      <c r="I91" s="23"/>
      <c r="J91" s="24"/>
      <c r="L91" s="4"/>
      <c r="M91" s="4"/>
      <c r="N91" s="76"/>
      <c r="O91" s="76"/>
      <c r="P91" s="76" t="str">
        <f t="shared" si="8"/>
        <v>,a006030_byomei_fuka_code</v>
      </c>
      <c r="Q91" s="76" t="str">
        <f t="shared" si="9"/>
        <v>TEXT</v>
      </c>
      <c r="R91" s="76" t="str">
        <f t="shared" si="10"/>
        <v/>
      </c>
      <c r="S91" s="76" t="str">
        <f t="shared" si="11"/>
        <v/>
      </c>
      <c r="T91" s="76" t="str">
        <f t="shared" si="12"/>
        <v>-- 病名付加コード</v>
      </c>
      <c r="U91" s="4"/>
      <c r="AA91" s="4"/>
      <c r="AB91" s="4"/>
      <c r="AC91" s="4"/>
      <c r="AD91" s="4"/>
      <c r="AE91" s="4"/>
      <c r="AF91" s="4"/>
      <c r="AG91" s="4"/>
      <c r="AH91" s="4"/>
      <c r="AI91" s="4"/>
      <c r="AJ91" s="76" t="str">
        <f>IF(E91="○",IF(COUNTA(E$13:E91)=1,"",",")&amp;D91,"")</f>
        <v/>
      </c>
      <c r="AK91" s="4"/>
      <c r="AL91" s="4"/>
      <c r="AM91" s="4"/>
      <c r="AN91" s="4"/>
      <c r="AO91" s="4"/>
      <c r="AP91" s="4"/>
      <c r="AQ91" s="4"/>
      <c r="AR91" s="4"/>
      <c r="AS91" s="76" t="str">
        <f>"COMMENT ON COLUMN "&amp;エンティティ一覧!$O$2&amp;"."&amp;D$8&amp;"."&amp;D91&amp;" IS '"&amp;C91&amp;"';"</f>
        <v>COMMENT ON COLUMN milscm_2023_010.azn_202310_backup_merge_dpc_ff1.a006030_byomei_fuka_code IS '病名付加コード';</v>
      </c>
      <c r="AT91" s="4"/>
      <c r="AU91" s="4"/>
      <c r="AV91" s="4"/>
      <c r="AW91" s="4"/>
      <c r="AX91" s="4"/>
      <c r="AY91" s="4"/>
      <c r="AZ91" s="4"/>
    </row>
    <row r="92" spans="1:52" s="25" customFormat="1">
      <c r="A92" s="4"/>
      <c r="B92" s="21">
        <f t="shared" si="2"/>
        <v>80</v>
      </c>
      <c r="C92" s="13" t="s">
        <v>663</v>
      </c>
      <c r="D92" s="13" t="s">
        <v>686</v>
      </c>
      <c r="E92" s="7"/>
      <c r="F92" s="7" t="s">
        <v>316</v>
      </c>
      <c r="G92" s="7" t="str">
        <f t="shared" si="3"/>
        <v>text</v>
      </c>
      <c r="H92" s="26"/>
      <c r="I92" s="10"/>
      <c r="J92" s="11"/>
      <c r="L92" s="4"/>
      <c r="M92" s="4"/>
      <c r="N92" s="76"/>
      <c r="O92" s="76"/>
      <c r="P92" s="76" t="str">
        <f t="shared" si="8"/>
        <v>,a006030_shobyo_code</v>
      </c>
      <c r="Q92" s="76" t="str">
        <f t="shared" si="9"/>
        <v>TEXT</v>
      </c>
      <c r="R92" s="76" t="str">
        <f t="shared" si="10"/>
        <v/>
      </c>
      <c r="S92" s="76" t="str">
        <f t="shared" si="11"/>
        <v/>
      </c>
      <c r="T92" s="76" t="str">
        <f t="shared" si="12"/>
        <v>-- 傷病名コード</v>
      </c>
      <c r="U92" s="4"/>
      <c r="AA92" s="4"/>
      <c r="AB92" s="4"/>
      <c r="AC92" s="4"/>
      <c r="AD92" s="4"/>
      <c r="AE92" s="4"/>
      <c r="AF92" s="4"/>
      <c r="AG92" s="4"/>
      <c r="AH92" s="4"/>
      <c r="AI92" s="4"/>
      <c r="AJ92" s="76" t="str">
        <f>IF(E92="○",IF(COUNTA(E$13:E92)=1,"",",")&amp;D92,"")</f>
        <v/>
      </c>
      <c r="AK92" s="4"/>
      <c r="AL92" s="4"/>
      <c r="AM92" s="4"/>
      <c r="AN92" s="4"/>
      <c r="AO92" s="4"/>
      <c r="AP92" s="4"/>
      <c r="AQ92" s="4"/>
      <c r="AR92" s="4"/>
      <c r="AS92" s="76" t="str">
        <f>"COMMENT ON COLUMN "&amp;エンティティ一覧!$O$2&amp;"."&amp;D$8&amp;"."&amp;D92&amp;" IS '"&amp;C92&amp;"';"</f>
        <v>COMMENT ON COLUMN milscm_2023_010.azn_202310_backup_merge_dpc_ff1.a006030_shobyo_code IS '傷病名コード';</v>
      </c>
      <c r="AT92" s="4"/>
      <c r="AU92" s="4"/>
      <c r="AV92" s="4"/>
      <c r="AW92" s="4"/>
      <c r="AX92" s="4"/>
      <c r="AY92" s="4"/>
      <c r="AZ92" s="4"/>
    </row>
    <row r="93" spans="1:52" s="25" customFormat="1">
      <c r="A93" s="4"/>
      <c r="B93" s="21">
        <f t="shared" si="2"/>
        <v>81</v>
      </c>
      <c r="C93" s="6" t="s">
        <v>665</v>
      </c>
      <c r="D93" s="6" t="s">
        <v>687</v>
      </c>
      <c r="E93" s="8"/>
      <c r="F93" s="7" t="s">
        <v>316</v>
      </c>
      <c r="G93" s="7" t="str">
        <f t="shared" si="3"/>
        <v>text</v>
      </c>
      <c r="H93" s="58"/>
      <c r="I93" s="23"/>
      <c r="J93" s="24"/>
      <c r="L93" s="4"/>
      <c r="M93" s="4"/>
      <c r="N93" s="76"/>
      <c r="O93" s="76"/>
      <c r="P93" s="76" t="str">
        <f t="shared" si="8"/>
        <v>,a006030_shushoku_code1</v>
      </c>
      <c r="Q93" s="76" t="str">
        <f t="shared" si="9"/>
        <v>TEXT</v>
      </c>
      <c r="R93" s="76" t="str">
        <f t="shared" si="10"/>
        <v/>
      </c>
      <c r="S93" s="76" t="str">
        <f t="shared" si="11"/>
        <v/>
      </c>
      <c r="T93" s="76" t="str">
        <f t="shared" si="12"/>
        <v>-- 修飾語コード1</v>
      </c>
      <c r="U93" s="4"/>
      <c r="AA93" s="4"/>
      <c r="AB93" s="4"/>
      <c r="AC93" s="4"/>
      <c r="AD93" s="4"/>
      <c r="AE93" s="4"/>
      <c r="AF93" s="4"/>
      <c r="AG93" s="4"/>
      <c r="AH93" s="4"/>
      <c r="AI93" s="4"/>
      <c r="AJ93" s="76" t="str">
        <f>IF(E93="○",IF(COUNTA(E$13:E93)=1,"",",")&amp;D93,"")</f>
        <v/>
      </c>
      <c r="AK93" s="4"/>
      <c r="AL93" s="4"/>
      <c r="AM93" s="4"/>
      <c r="AN93" s="4"/>
      <c r="AO93" s="4"/>
      <c r="AP93" s="4"/>
      <c r="AQ93" s="4"/>
      <c r="AR93" s="4"/>
      <c r="AS93" s="76" t="str">
        <f>"COMMENT ON COLUMN "&amp;エンティティ一覧!$O$2&amp;"."&amp;D$8&amp;"."&amp;D93&amp;" IS '"&amp;C93&amp;"';"</f>
        <v>COMMENT ON COLUMN milscm_2023_010.azn_202310_backup_merge_dpc_ff1.a006030_shushoku_code1 IS '修飾語コード1';</v>
      </c>
      <c r="AT93" s="4"/>
      <c r="AU93" s="4"/>
      <c r="AV93" s="4"/>
      <c r="AW93" s="4"/>
      <c r="AX93" s="4"/>
      <c r="AY93" s="4"/>
      <c r="AZ93" s="4"/>
    </row>
    <row r="94" spans="1:52" s="25" customFormat="1">
      <c r="A94" s="4"/>
      <c r="B94" s="21">
        <f t="shared" si="2"/>
        <v>82</v>
      </c>
      <c r="C94" s="13" t="s">
        <v>667</v>
      </c>
      <c r="D94" s="13" t="s">
        <v>688</v>
      </c>
      <c r="E94" s="7"/>
      <c r="F94" s="7" t="s">
        <v>316</v>
      </c>
      <c r="G94" s="7" t="str">
        <f t="shared" si="3"/>
        <v>text</v>
      </c>
      <c r="H94" s="58"/>
      <c r="I94" s="23"/>
      <c r="J94" s="24"/>
      <c r="L94" s="4"/>
      <c r="M94" s="4"/>
      <c r="N94" s="76"/>
      <c r="O94" s="76"/>
      <c r="P94" s="76" t="str">
        <f t="shared" si="8"/>
        <v>,a006030_shushoku_code2</v>
      </c>
      <c r="Q94" s="76" t="str">
        <f t="shared" si="9"/>
        <v>TEXT</v>
      </c>
      <c r="R94" s="76" t="str">
        <f t="shared" si="10"/>
        <v/>
      </c>
      <c r="S94" s="76" t="str">
        <f t="shared" si="11"/>
        <v/>
      </c>
      <c r="T94" s="76" t="str">
        <f t="shared" si="12"/>
        <v>-- 修飾語コード2</v>
      </c>
      <c r="U94" s="4"/>
      <c r="AA94" s="4"/>
      <c r="AB94" s="4"/>
      <c r="AC94" s="4"/>
      <c r="AD94" s="4"/>
      <c r="AE94" s="4"/>
      <c r="AF94" s="4"/>
      <c r="AG94" s="4"/>
      <c r="AH94" s="4"/>
      <c r="AI94" s="4"/>
      <c r="AJ94" s="76" t="str">
        <f>IF(E94="○",IF(COUNTA(E$13:E94)=1,"",",")&amp;D94,"")</f>
        <v/>
      </c>
      <c r="AK94" s="4"/>
      <c r="AL94" s="4"/>
      <c r="AM94" s="4"/>
      <c r="AN94" s="4"/>
      <c r="AO94" s="4"/>
      <c r="AP94" s="4"/>
      <c r="AQ94" s="4"/>
      <c r="AR94" s="4"/>
      <c r="AS94" s="76" t="str">
        <f>"COMMENT ON COLUMN "&amp;エンティティ一覧!$O$2&amp;"."&amp;D$8&amp;"."&amp;D94&amp;" IS '"&amp;C94&amp;"';"</f>
        <v>COMMENT ON COLUMN milscm_2023_010.azn_202310_backup_merge_dpc_ff1.a006030_shushoku_code2 IS '修飾語コード2';</v>
      </c>
      <c r="AT94" s="4"/>
      <c r="AU94" s="4"/>
      <c r="AV94" s="4"/>
      <c r="AW94" s="4"/>
      <c r="AX94" s="4"/>
      <c r="AY94" s="4"/>
      <c r="AZ94" s="4"/>
    </row>
    <row r="95" spans="1:52" s="25" customFormat="1">
      <c r="A95" s="4"/>
      <c r="B95" s="21">
        <f t="shared" si="2"/>
        <v>83</v>
      </c>
      <c r="C95" s="6" t="s">
        <v>669</v>
      </c>
      <c r="D95" s="6" t="s">
        <v>689</v>
      </c>
      <c r="E95" s="8"/>
      <c r="F95" s="7" t="s">
        <v>316</v>
      </c>
      <c r="G95" s="7" t="str">
        <f t="shared" si="3"/>
        <v>text</v>
      </c>
      <c r="H95" s="26"/>
      <c r="I95" s="10"/>
      <c r="J95" s="11"/>
      <c r="L95" s="4"/>
      <c r="M95" s="4"/>
      <c r="N95" s="76"/>
      <c r="O95" s="76"/>
      <c r="P95" s="76" t="str">
        <f t="shared" si="8"/>
        <v>,a006030_shushoku_code3</v>
      </c>
      <c r="Q95" s="76" t="str">
        <f t="shared" si="9"/>
        <v>TEXT</v>
      </c>
      <c r="R95" s="76" t="str">
        <f t="shared" si="10"/>
        <v/>
      </c>
      <c r="S95" s="76" t="str">
        <f t="shared" si="11"/>
        <v/>
      </c>
      <c r="T95" s="76" t="str">
        <f t="shared" si="12"/>
        <v>-- 修飾語コード3</v>
      </c>
      <c r="U95" s="4"/>
      <c r="AA95" s="4"/>
      <c r="AB95" s="4"/>
      <c r="AC95" s="4"/>
      <c r="AD95" s="4"/>
      <c r="AE95" s="4"/>
      <c r="AF95" s="4"/>
      <c r="AG95" s="4"/>
      <c r="AH95" s="4"/>
      <c r="AI95" s="4"/>
      <c r="AJ95" s="76" t="str">
        <f>IF(E95="○",IF(COUNTA(E$13:E95)=1,"",",")&amp;D95,"")</f>
        <v/>
      </c>
      <c r="AK95" s="4"/>
      <c r="AL95" s="4"/>
      <c r="AM95" s="4"/>
      <c r="AN95" s="4"/>
      <c r="AO95" s="4"/>
      <c r="AP95" s="4"/>
      <c r="AQ95" s="4"/>
      <c r="AR95" s="4"/>
      <c r="AS95" s="76" t="str">
        <f>"COMMENT ON COLUMN "&amp;エンティティ一覧!$O$2&amp;"."&amp;D$8&amp;"."&amp;D95&amp;" IS '"&amp;C95&amp;"';"</f>
        <v>COMMENT ON COLUMN milscm_2023_010.azn_202310_backup_merge_dpc_ff1.a006030_shushoku_code3 IS '修飾語コード3';</v>
      </c>
      <c r="AT95" s="4"/>
      <c r="AU95" s="4"/>
      <c r="AV95" s="4"/>
      <c r="AW95" s="4"/>
      <c r="AX95" s="4"/>
      <c r="AY95" s="4"/>
      <c r="AZ95" s="4"/>
    </row>
    <row r="96" spans="1:52" s="25" customFormat="1">
      <c r="A96" s="4"/>
      <c r="B96" s="21">
        <f t="shared" si="2"/>
        <v>84</v>
      </c>
      <c r="C96" s="13" t="s">
        <v>671</v>
      </c>
      <c r="D96" s="13" t="s">
        <v>690</v>
      </c>
      <c r="E96" s="7"/>
      <c r="F96" s="7" t="s">
        <v>316</v>
      </c>
      <c r="G96" s="7" t="str">
        <f t="shared" si="3"/>
        <v>text</v>
      </c>
      <c r="H96" s="26"/>
      <c r="I96" s="10"/>
      <c r="J96" s="11"/>
      <c r="L96" s="4"/>
      <c r="M96" s="4"/>
      <c r="N96" s="76"/>
      <c r="O96" s="76"/>
      <c r="P96" s="76" t="str">
        <f t="shared" si="8"/>
        <v>,a006030_shushoku_code4</v>
      </c>
      <c r="Q96" s="76" t="str">
        <f t="shared" si="9"/>
        <v>TEXT</v>
      </c>
      <c r="R96" s="76" t="str">
        <f t="shared" si="10"/>
        <v/>
      </c>
      <c r="S96" s="76" t="str">
        <f t="shared" si="11"/>
        <v/>
      </c>
      <c r="T96" s="76" t="str">
        <f t="shared" si="12"/>
        <v>-- 修飾語コード4</v>
      </c>
      <c r="U96" s="4"/>
      <c r="AA96" s="4"/>
      <c r="AB96" s="4"/>
      <c r="AC96" s="4"/>
      <c r="AD96" s="4"/>
      <c r="AE96" s="4"/>
      <c r="AF96" s="4"/>
      <c r="AG96" s="4"/>
      <c r="AH96" s="4"/>
      <c r="AI96" s="4"/>
      <c r="AJ96" s="76" t="str">
        <f>IF(E96="○",IF(COUNTA(E$13:E96)=1,"",",")&amp;D96,"")</f>
        <v/>
      </c>
      <c r="AK96" s="4"/>
      <c r="AL96" s="4"/>
      <c r="AM96" s="4"/>
      <c r="AN96" s="4"/>
      <c r="AO96" s="4"/>
      <c r="AP96" s="4"/>
      <c r="AQ96" s="4"/>
      <c r="AR96" s="4"/>
      <c r="AS96" s="76" t="str">
        <f>"COMMENT ON COLUMN "&amp;エンティティ一覧!$O$2&amp;"."&amp;D$8&amp;"."&amp;D96&amp;" IS '"&amp;C96&amp;"';"</f>
        <v>COMMENT ON COLUMN milscm_2023_010.azn_202310_backup_merge_dpc_ff1.a006030_shushoku_code4 IS '修飾語コード4';</v>
      </c>
      <c r="AT96" s="4"/>
      <c r="AU96" s="4"/>
      <c r="AV96" s="4"/>
      <c r="AW96" s="4"/>
      <c r="AX96" s="4"/>
      <c r="AY96" s="4"/>
      <c r="AZ96" s="4"/>
    </row>
    <row r="97" spans="1:52" s="25" customFormat="1" ht="37.5">
      <c r="A97" s="4"/>
      <c r="B97" s="21">
        <f t="shared" si="2"/>
        <v>85</v>
      </c>
      <c r="C97" s="6" t="s">
        <v>691</v>
      </c>
      <c r="D97" s="6" t="s">
        <v>692</v>
      </c>
      <c r="E97" s="8"/>
      <c r="F97" s="7" t="s">
        <v>316</v>
      </c>
      <c r="G97" s="7" t="str">
        <f t="shared" si="3"/>
        <v>text</v>
      </c>
      <c r="H97" s="58"/>
      <c r="I97" s="23"/>
      <c r="J97" s="24" t="s">
        <v>834</v>
      </c>
      <c r="L97" s="4"/>
      <c r="M97" s="4"/>
      <c r="N97" s="76"/>
      <c r="O97" s="76"/>
      <c r="P97" s="76" t="str">
        <f t="shared" si="8"/>
        <v>,a006030_iryo1_shobyo_name</v>
      </c>
      <c r="Q97" s="76" t="str">
        <f t="shared" si="9"/>
        <v>TEXT</v>
      </c>
      <c r="R97" s="76" t="str">
        <f t="shared" si="10"/>
        <v/>
      </c>
      <c r="S97" s="76" t="str">
        <f t="shared" si="11"/>
        <v/>
      </c>
      <c r="T97" s="76" t="str">
        <f t="shared" si="12"/>
        <v>-- 医療資源を最も投入した傷病名</v>
      </c>
      <c r="U97" s="4"/>
      <c r="AA97" s="4"/>
      <c r="AB97" s="4"/>
      <c r="AC97" s="4"/>
      <c r="AD97" s="4"/>
      <c r="AE97" s="4"/>
      <c r="AF97" s="4"/>
      <c r="AG97" s="4"/>
      <c r="AH97" s="4"/>
      <c r="AI97" s="4"/>
      <c r="AJ97" s="76" t="str">
        <f>IF(E97="○",IF(COUNTA(E$13:E97)=1,"",",")&amp;D97,"")</f>
        <v/>
      </c>
      <c r="AK97" s="4"/>
      <c r="AL97" s="4"/>
      <c r="AM97" s="4"/>
      <c r="AN97" s="4"/>
      <c r="AO97" s="4"/>
      <c r="AP97" s="4"/>
      <c r="AQ97" s="4"/>
      <c r="AR97" s="4"/>
      <c r="AS97" s="76" t="str">
        <f>"COMMENT ON COLUMN "&amp;エンティティ一覧!$O$2&amp;"."&amp;D$8&amp;"."&amp;D97&amp;" IS '"&amp;C97&amp;"';"</f>
        <v>COMMENT ON COLUMN milscm_2023_010.azn_202310_backup_merge_dpc_ff1.a006030_iryo1_shobyo_name IS '医療資源を最も投入した傷病名';</v>
      </c>
      <c r="AT97" s="4"/>
      <c r="AU97" s="4"/>
      <c r="AV97" s="4"/>
      <c r="AW97" s="4"/>
      <c r="AX97" s="4"/>
      <c r="AY97" s="4"/>
      <c r="AZ97" s="4"/>
    </row>
    <row r="98" spans="1:52" s="25" customFormat="1" ht="37.5">
      <c r="A98" s="4"/>
      <c r="B98" s="21">
        <f t="shared" si="2"/>
        <v>86</v>
      </c>
      <c r="C98" s="13" t="s">
        <v>661</v>
      </c>
      <c r="D98" s="13" t="s">
        <v>693</v>
      </c>
      <c r="E98" s="7"/>
      <c r="F98" s="7" t="s">
        <v>316</v>
      </c>
      <c r="G98" s="7" t="str">
        <f t="shared" si="3"/>
        <v>text</v>
      </c>
      <c r="H98" s="26"/>
      <c r="I98" s="10"/>
      <c r="J98" s="11" t="s">
        <v>835</v>
      </c>
      <c r="L98" s="4"/>
      <c r="M98" s="4"/>
      <c r="N98" s="76"/>
      <c r="O98" s="76"/>
      <c r="P98" s="76" t="str">
        <f t="shared" si="8"/>
        <v>,a006031_icd10_code</v>
      </c>
      <c r="Q98" s="76" t="str">
        <f t="shared" si="9"/>
        <v>TEXT</v>
      </c>
      <c r="R98" s="76" t="str">
        <f t="shared" si="10"/>
        <v/>
      </c>
      <c r="S98" s="76" t="str">
        <f t="shared" si="11"/>
        <v/>
      </c>
      <c r="T98" s="76" t="str">
        <f t="shared" si="12"/>
        <v>-- ICD10コード</v>
      </c>
      <c r="U98" s="4"/>
      <c r="AA98" s="4"/>
      <c r="AB98" s="4"/>
      <c r="AC98" s="4"/>
      <c r="AD98" s="4"/>
      <c r="AE98" s="4"/>
      <c r="AF98" s="4"/>
      <c r="AG98" s="4"/>
      <c r="AH98" s="4"/>
      <c r="AI98" s="4"/>
      <c r="AJ98" s="76" t="str">
        <f>IF(E98="○",IF(COUNTA(E$13:E98)=1,"",",")&amp;D98,"")</f>
        <v/>
      </c>
      <c r="AK98" s="4"/>
      <c r="AL98" s="4"/>
      <c r="AM98" s="4"/>
      <c r="AN98" s="4"/>
      <c r="AO98" s="4"/>
      <c r="AP98" s="4"/>
      <c r="AQ98" s="4"/>
      <c r="AR98" s="4"/>
      <c r="AS98" s="76" t="str">
        <f>"COMMENT ON COLUMN "&amp;エンティティ一覧!$O$2&amp;"."&amp;D$8&amp;"."&amp;D98&amp;" IS '"&amp;C98&amp;"';"</f>
        <v>COMMENT ON COLUMN milscm_2023_010.azn_202310_backup_merge_dpc_ff1.a006031_icd10_code IS 'ICD10コード';</v>
      </c>
      <c r="AT98" s="4"/>
      <c r="AU98" s="4"/>
      <c r="AV98" s="4"/>
      <c r="AW98" s="4"/>
      <c r="AX98" s="4"/>
      <c r="AY98" s="4"/>
      <c r="AZ98" s="4"/>
    </row>
    <row r="99" spans="1:52" s="25" customFormat="1">
      <c r="A99" s="4"/>
      <c r="B99" s="21">
        <f t="shared" si="2"/>
        <v>87</v>
      </c>
      <c r="C99" s="13" t="s">
        <v>663</v>
      </c>
      <c r="D99" s="13" t="s">
        <v>694</v>
      </c>
      <c r="E99" s="7"/>
      <c r="F99" s="7" t="s">
        <v>316</v>
      </c>
      <c r="G99" s="7" t="str">
        <f t="shared" si="3"/>
        <v>text</v>
      </c>
      <c r="H99" s="58"/>
      <c r="I99" s="23"/>
      <c r="J99" s="24"/>
      <c r="L99" s="4"/>
      <c r="M99" s="4"/>
      <c r="N99" s="76"/>
      <c r="O99" s="76"/>
      <c r="P99" s="76" t="str">
        <f t="shared" si="8"/>
        <v>,a006031_shobyo_code</v>
      </c>
      <c r="Q99" s="76" t="str">
        <f t="shared" si="9"/>
        <v>TEXT</v>
      </c>
      <c r="R99" s="76" t="str">
        <f t="shared" si="10"/>
        <v/>
      </c>
      <c r="S99" s="76" t="str">
        <f t="shared" si="11"/>
        <v/>
      </c>
      <c r="T99" s="76" t="str">
        <f t="shared" si="12"/>
        <v>-- 傷病名コード</v>
      </c>
      <c r="U99" s="4"/>
      <c r="AA99" s="4"/>
      <c r="AB99" s="4"/>
      <c r="AC99" s="4"/>
      <c r="AD99" s="4"/>
      <c r="AE99" s="4"/>
      <c r="AF99" s="4"/>
      <c r="AG99" s="4"/>
      <c r="AH99" s="4"/>
      <c r="AI99" s="4"/>
      <c r="AJ99" s="76" t="str">
        <f>IF(E99="○",IF(COUNTA(E$13:E99)=1,"",",")&amp;D99,"")</f>
        <v/>
      </c>
      <c r="AK99" s="4"/>
      <c r="AL99" s="4"/>
      <c r="AM99" s="4"/>
      <c r="AN99" s="4"/>
      <c r="AO99" s="4"/>
      <c r="AP99" s="4"/>
      <c r="AQ99" s="4"/>
      <c r="AR99" s="4"/>
      <c r="AS99" s="76" t="str">
        <f>"COMMENT ON COLUMN "&amp;エンティティ一覧!$O$2&amp;"."&amp;D$8&amp;"."&amp;D99&amp;" IS '"&amp;C99&amp;"';"</f>
        <v>COMMENT ON COLUMN milscm_2023_010.azn_202310_backup_merge_dpc_ff1.a006031_shobyo_code IS '傷病名コード';</v>
      </c>
      <c r="AT99" s="4"/>
      <c r="AU99" s="4"/>
      <c r="AV99" s="4"/>
      <c r="AW99" s="4"/>
      <c r="AX99" s="4"/>
      <c r="AY99" s="4"/>
      <c r="AZ99" s="4"/>
    </row>
    <row r="100" spans="1:52" s="25" customFormat="1">
      <c r="A100" s="4"/>
      <c r="B100" s="21">
        <f t="shared" si="2"/>
        <v>88</v>
      </c>
      <c r="C100" s="13" t="s">
        <v>665</v>
      </c>
      <c r="D100" s="13" t="s">
        <v>695</v>
      </c>
      <c r="E100" s="7"/>
      <c r="F100" s="7" t="s">
        <v>316</v>
      </c>
      <c r="G100" s="7" t="str">
        <f t="shared" si="3"/>
        <v>text</v>
      </c>
      <c r="H100" s="26"/>
      <c r="I100" s="10"/>
      <c r="J100" s="11"/>
      <c r="L100" s="4"/>
      <c r="M100" s="4"/>
      <c r="N100" s="76"/>
      <c r="O100" s="76"/>
      <c r="P100" s="76" t="str">
        <f t="shared" si="8"/>
        <v>,a006031_shushoku_code1</v>
      </c>
      <c r="Q100" s="76" t="str">
        <f t="shared" si="9"/>
        <v>TEXT</v>
      </c>
      <c r="R100" s="76" t="str">
        <f t="shared" si="10"/>
        <v/>
      </c>
      <c r="S100" s="76" t="str">
        <f t="shared" si="11"/>
        <v/>
      </c>
      <c r="T100" s="76" t="str">
        <f t="shared" si="12"/>
        <v>-- 修飾語コード1</v>
      </c>
      <c r="U100" s="4"/>
      <c r="AA100" s="4"/>
      <c r="AB100" s="4"/>
      <c r="AC100" s="4"/>
      <c r="AD100" s="4"/>
      <c r="AE100" s="4"/>
      <c r="AF100" s="4"/>
      <c r="AG100" s="4"/>
      <c r="AH100" s="4"/>
      <c r="AI100" s="4"/>
      <c r="AJ100" s="76" t="str">
        <f>IF(E100="○",IF(COUNTA(E$13:E100)=1,"",",")&amp;D100,"")</f>
        <v/>
      </c>
      <c r="AK100" s="4"/>
      <c r="AL100" s="4"/>
      <c r="AM100" s="4"/>
      <c r="AN100" s="4"/>
      <c r="AO100" s="4"/>
      <c r="AP100" s="4"/>
      <c r="AQ100" s="4"/>
      <c r="AR100" s="4"/>
      <c r="AS100" s="76" t="str">
        <f>"COMMENT ON COLUMN "&amp;エンティティ一覧!$O$2&amp;"."&amp;D$8&amp;"."&amp;D100&amp;" IS '"&amp;C100&amp;"';"</f>
        <v>COMMENT ON COLUMN milscm_2023_010.azn_202310_backup_merge_dpc_ff1.a006031_shushoku_code1 IS '修飾語コード1';</v>
      </c>
      <c r="AT100" s="4"/>
      <c r="AU100" s="4"/>
      <c r="AV100" s="4"/>
      <c r="AW100" s="4"/>
      <c r="AX100" s="4"/>
      <c r="AY100" s="4"/>
      <c r="AZ100" s="4"/>
    </row>
    <row r="101" spans="1:52" s="25" customFormat="1">
      <c r="A101" s="4"/>
      <c r="B101" s="21">
        <f t="shared" si="2"/>
        <v>89</v>
      </c>
      <c r="C101" s="6" t="s">
        <v>667</v>
      </c>
      <c r="D101" s="6" t="s">
        <v>696</v>
      </c>
      <c r="E101" s="8"/>
      <c r="F101" s="7" t="s">
        <v>316</v>
      </c>
      <c r="G101" s="7" t="str">
        <f t="shared" si="3"/>
        <v>text</v>
      </c>
      <c r="H101" s="58"/>
      <c r="I101" s="23"/>
      <c r="J101" s="24"/>
      <c r="L101" s="4"/>
      <c r="M101" s="4"/>
      <c r="N101" s="76"/>
      <c r="O101" s="76"/>
      <c r="P101" s="76" t="str">
        <f t="shared" si="8"/>
        <v>,a006031_shushoku_code2</v>
      </c>
      <c r="Q101" s="76" t="str">
        <f t="shared" si="9"/>
        <v>TEXT</v>
      </c>
      <c r="R101" s="76" t="str">
        <f t="shared" si="10"/>
        <v/>
      </c>
      <c r="S101" s="76" t="str">
        <f t="shared" si="11"/>
        <v/>
      </c>
      <c r="T101" s="76" t="str">
        <f t="shared" si="12"/>
        <v>-- 修飾語コード2</v>
      </c>
      <c r="U101" s="4"/>
      <c r="AA101" s="4"/>
      <c r="AB101" s="4"/>
      <c r="AC101" s="4"/>
      <c r="AD101" s="4"/>
      <c r="AE101" s="4"/>
      <c r="AF101" s="4"/>
      <c r="AG101" s="4"/>
      <c r="AH101" s="4"/>
      <c r="AI101" s="4"/>
      <c r="AJ101" s="76" t="str">
        <f>IF(E101="○",IF(COUNTA(E$13:E101)=1,"",",")&amp;D101,"")</f>
        <v/>
      </c>
      <c r="AK101" s="4"/>
      <c r="AL101" s="4"/>
      <c r="AM101" s="4"/>
      <c r="AN101" s="4"/>
      <c r="AO101" s="4"/>
      <c r="AP101" s="4"/>
      <c r="AQ101" s="4"/>
      <c r="AR101" s="4"/>
      <c r="AS101" s="76" t="str">
        <f>"COMMENT ON COLUMN "&amp;エンティティ一覧!$O$2&amp;"."&amp;D$8&amp;"."&amp;D101&amp;" IS '"&amp;C101&amp;"';"</f>
        <v>COMMENT ON COLUMN milscm_2023_010.azn_202310_backup_merge_dpc_ff1.a006031_shushoku_code2 IS '修飾語コード2';</v>
      </c>
      <c r="AT101" s="4"/>
      <c r="AU101" s="4"/>
      <c r="AV101" s="4"/>
      <c r="AW101" s="4"/>
      <c r="AX101" s="4"/>
      <c r="AY101" s="4"/>
      <c r="AZ101" s="4"/>
    </row>
    <row r="102" spans="1:52" s="25" customFormat="1">
      <c r="A102" s="4"/>
      <c r="B102" s="21">
        <f t="shared" si="2"/>
        <v>90</v>
      </c>
      <c r="C102" s="13" t="s">
        <v>669</v>
      </c>
      <c r="D102" s="13" t="s">
        <v>697</v>
      </c>
      <c r="E102" s="7"/>
      <c r="F102" s="7" t="s">
        <v>316</v>
      </c>
      <c r="G102" s="7" t="str">
        <f t="shared" si="3"/>
        <v>text</v>
      </c>
      <c r="H102" s="26"/>
      <c r="I102" s="10"/>
      <c r="J102" s="11"/>
      <c r="L102" s="4"/>
      <c r="M102" s="4"/>
      <c r="N102" s="76"/>
      <c r="O102" s="76"/>
      <c r="P102" s="76" t="str">
        <f t="shared" si="8"/>
        <v>,a006031_shushoku_code3</v>
      </c>
      <c r="Q102" s="76" t="str">
        <f t="shared" si="9"/>
        <v>TEXT</v>
      </c>
      <c r="R102" s="76" t="str">
        <f t="shared" si="10"/>
        <v/>
      </c>
      <c r="S102" s="76" t="str">
        <f t="shared" si="11"/>
        <v/>
      </c>
      <c r="T102" s="76" t="str">
        <f t="shared" si="12"/>
        <v>-- 修飾語コード3</v>
      </c>
      <c r="U102" s="4"/>
      <c r="AA102" s="4"/>
      <c r="AB102" s="4"/>
      <c r="AC102" s="4"/>
      <c r="AD102" s="4"/>
      <c r="AE102" s="4"/>
      <c r="AF102" s="4"/>
      <c r="AG102" s="4"/>
      <c r="AH102" s="4"/>
      <c r="AI102" s="4"/>
      <c r="AJ102" s="76" t="str">
        <f>IF(E102="○",IF(COUNTA(E$13:E102)=1,"",",")&amp;D102,"")</f>
        <v/>
      </c>
      <c r="AK102" s="4"/>
      <c r="AL102" s="4"/>
      <c r="AM102" s="4"/>
      <c r="AN102" s="4"/>
      <c r="AO102" s="4"/>
      <c r="AP102" s="4"/>
      <c r="AQ102" s="4"/>
      <c r="AR102" s="4"/>
      <c r="AS102" s="76" t="str">
        <f>"COMMENT ON COLUMN "&amp;エンティティ一覧!$O$2&amp;"."&amp;D$8&amp;"."&amp;D102&amp;" IS '"&amp;C102&amp;"';"</f>
        <v>COMMENT ON COLUMN milscm_2023_010.azn_202310_backup_merge_dpc_ff1.a006031_shushoku_code3 IS '修飾語コード3';</v>
      </c>
      <c r="AT102" s="4"/>
      <c r="AU102" s="4"/>
      <c r="AV102" s="4"/>
      <c r="AW102" s="4"/>
      <c r="AX102" s="4"/>
      <c r="AY102" s="4"/>
      <c r="AZ102" s="4"/>
    </row>
    <row r="103" spans="1:52" s="25" customFormat="1">
      <c r="A103" s="4"/>
      <c r="B103" s="21">
        <f t="shared" si="2"/>
        <v>91</v>
      </c>
      <c r="C103" s="6" t="s">
        <v>671</v>
      </c>
      <c r="D103" s="6" t="s">
        <v>698</v>
      </c>
      <c r="E103" s="8"/>
      <c r="F103" s="7" t="s">
        <v>316</v>
      </c>
      <c r="G103" s="7" t="str">
        <f t="shared" si="3"/>
        <v>text</v>
      </c>
      <c r="H103" s="58"/>
      <c r="I103" s="23"/>
      <c r="J103" s="24"/>
      <c r="L103" s="4"/>
      <c r="M103" s="4"/>
      <c r="N103" s="76"/>
      <c r="O103" s="76"/>
      <c r="P103" s="76" t="str">
        <f t="shared" si="8"/>
        <v>,a006031_shushoku_code4</v>
      </c>
      <c r="Q103" s="76" t="str">
        <f t="shared" si="9"/>
        <v>TEXT</v>
      </c>
      <c r="R103" s="76" t="str">
        <f t="shared" si="10"/>
        <v/>
      </c>
      <c r="S103" s="76" t="str">
        <f t="shared" si="11"/>
        <v/>
      </c>
      <c r="T103" s="76" t="str">
        <f t="shared" si="12"/>
        <v>-- 修飾語コード4</v>
      </c>
      <c r="U103" s="4"/>
      <c r="AA103" s="4"/>
      <c r="AB103" s="4"/>
      <c r="AC103" s="4"/>
      <c r="AD103" s="4"/>
      <c r="AE103" s="4"/>
      <c r="AF103" s="4"/>
      <c r="AG103" s="4"/>
      <c r="AH103" s="4"/>
      <c r="AI103" s="4"/>
      <c r="AJ103" s="76" t="str">
        <f>IF(E103="○",IF(COUNTA(E$13:E103)=1,"",",")&amp;D103,"")</f>
        <v/>
      </c>
      <c r="AK103" s="4"/>
      <c r="AL103" s="4"/>
      <c r="AM103" s="4"/>
      <c r="AN103" s="4"/>
      <c r="AO103" s="4"/>
      <c r="AP103" s="4"/>
      <c r="AQ103" s="4"/>
      <c r="AR103" s="4"/>
      <c r="AS103" s="76" t="str">
        <f>"COMMENT ON COLUMN "&amp;エンティティ一覧!$O$2&amp;"."&amp;D$8&amp;"."&amp;D103&amp;" IS '"&amp;C103&amp;"';"</f>
        <v>COMMENT ON COLUMN milscm_2023_010.azn_202310_backup_merge_dpc_ff1.a006031_shushoku_code4 IS '修飾語コード4';</v>
      </c>
      <c r="AT103" s="4"/>
      <c r="AU103" s="4"/>
      <c r="AV103" s="4"/>
      <c r="AW103" s="4"/>
      <c r="AX103" s="4"/>
      <c r="AY103" s="4"/>
      <c r="AZ103" s="4"/>
    </row>
    <row r="104" spans="1:52" s="25" customFormat="1" ht="31.5">
      <c r="A104" s="4"/>
      <c r="B104" s="21">
        <f t="shared" si="2"/>
        <v>92</v>
      </c>
      <c r="C104" s="13" t="s">
        <v>699</v>
      </c>
      <c r="D104" s="13" t="s">
        <v>700</v>
      </c>
      <c r="E104" s="7"/>
      <c r="F104" s="7" t="s">
        <v>316</v>
      </c>
      <c r="G104" s="7" t="str">
        <f t="shared" si="3"/>
        <v>text</v>
      </c>
      <c r="H104" s="26"/>
      <c r="I104" s="10"/>
      <c r="J104" s="11" t="s">
        <v>836</v>
      </c>
      <c r="L104" s="4"/>
      <c r="M104" s="4"/>
      <c r="N104" s="76"/>
      <c r="O104" s="76"/>
      <c r="P104" s="76" t="str">
        <f t="shared" si="8"/>
        <v>,a006031_iryo2_shobyo_name</v>
      </c>
      <c r="Q104" s="76" t="str">
        <f t="shared" si="9"/>
        <v>TEXT</v>
      </c>
      <c r="R104" s="76" t="str">
        <f t="shared" si="10"/>
        <v/>
      </c>
      <c r="S104" s="76" t="str">
        <f t="shared" si="11"/>
        <v/>
      </c>
      <c r="T104" s="76" t="str">
        <f t="shared" si="12"/>
        <v>-- 医療資源を2番目に投入した傷病名</v>
      </c>
      <c r="U104" s="4"/>
      <c r="AA104" s="4"/>
      <c r="AB104" s="4"/>
      <c r="AC104" s="4"/>
      <c r="AD104" s="4"/>
      <c r="AE104" s="4"/>
      <c r="AF104" s="4"/>
      <c r="AG104" s="4"/>
      <c r="AH104" s="4"/>
      <c r="AI104" s="4"/>
      <c r="AJ104" s="76" t="str">
        <f>IF(E104="○",IF(COUNTA(E$13:E104)=1,"",",")&amp;D104,"")</f>
        <v/>
      </c>
      <c r="AK104" s="4"/>
      <c r="AL104" s="4"/>
      <c r="AM104" s="4"/>
      <c r="AN104" s="4"/>
      <c r="AO104" s="4"/>
      <c r="AP104" s="4"/>
      <c r="AQ104" s="4"/>
      <c r="AR104" s="4"/>
      <c r="AS104" s="76" t="str">
        <f>"COMMENT ON COLUMN "&amp;エンティティ一覧!$O$2&amp;"."&amp;D$8&amp;"."&amp;D104&amp;" IS '"&amp;C104&amp;"';"</f>
        <v>COMMENT ON COLUMN milscm_2023_010.azn_202310_backup_merge_dpc_ff1.a006031_iryo2_shobyo_name IS '医療資源を2番目に投入した傷病名';</v>
      </c>
      <c r="AT104" s="4"/>
      <c r="AU104" s="4"/>
      <c r="AV104" s="4"/>
      <c r="AW104" s="4"/>
      <c r="AX104" s="4"/>
      <c r="AY104" s="4"/>
      <c r="AZ104" s="4"/>
    </row>
    <row r="105" spans="1:52" s="25" customFormat="1" ht="31.5">
      <c r="A105" s="4"/>
      <c r="B105" s="21">
        <f t="shared" si="2"/>
        <v>93</v>
      </c>
      <c r="C105" s="6" t="s">
        <v>701</v>
      </c>
      <c r="D105" s="6" t="s">
        <v>702</v>
      </c>
      <c r="E105" s="8"/>
      <c r="F105" s="7" t="s">
        <v>316</v>
      </c>
      <c r="G105" s="7" t="str">
        <f t="shared" si="3"/>
        <v>text</v>
      </c>
      <c r="H105" s="58"/>
      <c r="I105" s="23"/>
      <c r="J105" s="24"/>
      <c r="L105" s="4"/>
      <c r="M105" s="4"/>
      <c r="N105" s="76"/>
      <c r="O105" s="76"/>
      <c r="P105" s="76" t="str">
        <f t="shared" si="8"/>
        <v>,a006060_nanbyo_kokuji_no1</v>
      </c>
      <c r="Q105" s="76" t="str">
        <f t="shared" si="9"/>
        <v>TEXT</v>
      </c>
      <c r="R105" s="76" t="str">
        <f t="shared" si="10"/>
        <v/>
      </c>
      <c r="S105" s="76" t="str">
        <f t="shared" si="11"/>
        <v/>
      </c>
      <c r="T105" s="76" t="str">
        <f t="shared" si="12"/>
        <v>-- 難病の告示番号1</v>
      </c>
      <c r="U105" s="4"/>
      <c r="AA105" s="4"/>
      <c r="AB105" s="4"/>
      <c r="AC105" s="4"/>
      <c r="AD105" s="4"/>
      <c r="AE105" s="4"/>
      <c r="AF105" s="4"/>
      <c r="AG105" s="4"/>
      <c r="AH105" s="4"/>
      <c r="AI105" s="4"/>
      <c r="AJ105" s="76" t="str">
        <f>IF(E105="○",IF(COUNTA(E$13:E105)=1,"",",")&amp;D105,"")</f>
        <v/>
      </c>
      <c r="AK105" s="4"/>
      <c r="AL105" s="4"/>
      <c r="AM105" s="4"/>
      <c r="AN105" s="4"/>
      <c r="AO105" s="4"/>
      <c r="AP105" s="4"/>
      <c r="AQ105" s="4"/>
      <c r="AR105" s="4"/>
      <c r="AS105" s="76" t="str">
        <f>"COMMENT ON COLUMN "&amp;エンティティ一覧!$O$2&amp;"."&amp;D$8&amp;"."&amp;D105&amp;" IS '"&amp;C105&amp;"';"</f>
        <v>COMMENT ON COLUMN milscm_2023_010.azn_202310_backup_merge_dpc_ff1.a006060_nanbyo_kokuji_no1 IS '難病の告示番号1';</v>
      </c>
      <c r="AT105" s="4"/>
      <c r="AU105" s="4"/>
      <c r="AV105" s="4"/>
      <c r="AW105" s="4"/>
      <c r="AX105" s="4"/>
      <c r="AY105" s="4"/>
      <c r="AZ105" s="4"/>
    </row>
    <row r="106" spans="1:52" s="25" customFormat="1" ht="31.5">
      <c r="A106" s="4"/>
      <c r="B106" s="21">
        <f t="shared" si="2"/>
        <v>94</v>
      </c>
      <c r="C106" s="6" t="s">
        <v>703</v>
      </c>
      <c r="D106" s="6" t="s">
        <v>704</v>
      </c>
      <c r="E106" s="8"/>
      <c r="F106" s="7" t="s">
        <v>316</v>
      </c>
      <c r="G106" s="7" t="str">
        <f t="shared" si="3"/>
        <v>text</v>
      </c>
      <c r="H106" s="58"/>
      <c r="I106" s="23"/>
      <c r="J106" s="24" t="s">
        <v>837</v>
      </c>
      <c r="L106" s="4"/>
      <c r="M106" s="4"/>
      <c r="N106" s="76"/>
      <c r="O106" s="76"/>
      <c r="P106" s="76" t="str">
        <f t="shared" si="8"/>
        <v>,a006060_iryohi_josei_flag1</v>
      </c>
      <c r="Q106" s="76" t="str">
        <f t="shared" si="9"/>
        <v>TEXT</v>
      </c>
      <c r="R106" s="76" t="str">
        <f t="shared" si="10"/>
        <v/>
      </c>
      <c r="S106" s="76" t="str">
        <f t="shared" si="11"/>
        <v/>
      </c>
      <c r="T106" s="76" t="str">
        <f t="shared" si="12"/>
        <v>-- 医療費助成の有無1</v>
      </c>
      <c r="U106" s="4"/>
      <c r="AA106" s="4"/>
      <c r="AB106" s="4"/>
      <c r="AC106" s="4"/>
      <c r="AD106" s="4"/>
      <c r="AE106" s="4"/>
      <c r="AF106" s="4"/>
      <c r="AG106" s="4"/>
      <c r="AH106" s="4"/>
      <c r="AI106" s="4"/>
      <c r="AJ106" s="76" t="str">
        <f>IF(E106="○",IF(COUNTA(E$13:E106)=1,"",",")&amp;D106,"")</f>
        <v/>
      </c>
      <c r="AK106" s="4"/>
      <c r="AL106" s="4"/>
      <c r="AM106" s="4"/>
      <c r="AN106" s="4"/>
      <c r="AO106" s="4"/>
      <c r="AP106" s="4"/>
      <c r="AQ106" s="4"/>
      <c r="AR106" s="4"/>
      <c r="AS106" s="76" t="str">
        <f>"COMMENT ON COLUMN "&amp;エンティティ一覧!$O$2&amp;"."&amp;D$8&amp;"."&amp;D106&amp;" IS '"&amp;C106&amp;"';"</f>
        <v>COMMENT ON COLUMN milscm_2023_010.azn_202310_backup_merge_dpc_ff1.a006060_iryohi_josei_flag1 IS '医療費助成の有無1';</v>
      </c>
      <c r="AT106" s="4"/>
      <c r="AU106" s="4"/>
      <c r="AV106" s="4"/>
      <c r="AW106" s="4"/>
      <c r="AX106" s="4"/>
      <c r="AY106" s="4"/>
      <c r="AZ106" s="4"/>
    </row>
    <row r="107" spans="1:52" s="25" customFormat="1" ht="31.5">
      <c r="A107" s="4"/>
      <c r="B107" s="21">
        <f t="shared" si="2"/>
        <v>95</v>
      </c>
      <c r="C107" s="13" t="s">
        <v>705</v>
      </c>
      <c r="D107" s="13" t="s">
        <v>706</v>
      </c>
      <c r="E107" s="7"/>
      <c r="F107" s="7" t="s">
        <v>316</v>
      </c>
      <c r="G107" s="7" t="str">
        <f t="shared" si="3"/>
        <v>text</v>
      </c>
      <c r="H107" s="26"/>
      <c r="I107" s="10"/>
      <c r="J107" s="11"/>
      <c r="L107" s="4"/>
      <c r="M107" s="4"/>
      <c r="N107" s="76"/>
      <c r="O107" s="76"/>
      <c r="P107" s="76" t="str">
        <f t="shared" si="8"/>
        <v>,a006060_nanbyo_kokuji_no2</v>
      </c>
      <c r="Q107" s="76" t="str">
        <f t="shared" si="9"/>
        <v>TEXT</v>
      </c>
      <c r="R107" s="76" t="str">
        <f t="shared" si="10"/>
        <v/>
      </c>
      <c r="S107" s="76" t="str">
        <f t="shared" si="11"/>
        <v/>
      </c>
      <c r="T107" s="76" t="str">
        <f t="shared" si="12"/>
        <v>-- 難病の告示番号2</v>
      </c>
      <c r="U107" s="4"/>
      <c r="AA107" s="4"/>
      <c r="AB107" s="4"/>
      <c r="AC107" s="4"/>
      <c r="AD107" s="4"/>
      <c r="AE107" s="4"/>
      <c r="AF107" s="4"/>
      <c r="AG107" s="4"/>
      <c r="AH107" s="4"/>
      <c r="AI107" s="4"/>
      <c r="AJ107" s="76" t="str">
        <f>IF(E107="○",IF(COUNTA(E$13:E107)=1,"",",")&amp;D107,"")</f>
        <v/>
      </c>
      <c r="AK107" s="4"/>
      <c r="AL107" s="4"/>
      <c r="AM107" s="4"/>
      <c r="AN107" s="4"/>
      <c r="AO107" s="4"/>
      <c r="AP107" s="4"/>
      <c r="AQ107" s="4"/>
      <c r="AR107" s="4"/>
      <c r="AS107" s="76" t="str">
        <f>"COMMENT ON COLUMN "&amp;エンティティ一覧!$O$2&amp;"."&amp;D$8&amp;"."&amp;D107&amp;" IS '"&amp;C107&amp;"';"</f>
        <v>COMMENT ON COLUMN milscm_2023_010.azn_202310_backup_merge_dpc_ff1.a006060_nanbyo_kokuji_no2 IS '難病の告示番号2';</v>
      </c>
      <c r="AT107" s="4"/>
      <c r="AU107" s="4"/>
      <c r="AV107" s="4"/>
      <c r="AW107" s="4"/>
      <c r="AX107" s="4"/>
      <c r="AY107" s="4"/>
      <c r="AZ107" s="4"/>
    </row>
    <row r="108" spans="1:52" s="25" customFormat="1" ht="31.5">
      <c r="A108" s="4"/>
      <c r="B108" s="21">
        <f t="shared" si="2"/>
        <v>96</v>
      </c>
      <c r="C108" s="6" t="s">
        <v>707</v>
      </c>
      <c r="D108" s="6" t="s">
        <v>708</v>
      </c>
      <c r="E108" s="8"/>
      <c r="F108" s="7" t="s">
        <v>316</v>
      </c>
      <c r="G108" s="7" t="str">
        <f t="shared" si="3"/>
        <v>text</v>
      </c>
      <c r="H108" s="26"/>
      <c r="I108" s="10"/>
      <c r="J108" s="11" t="s">
        <v>837</v>
      </c>
      <c r="L108" s="4"/>
      <c r="M108" s="4"/>
      <c r="N108" s="76"/>
      <c r="O108" s="76"/>
      <c r="P108" s="76" t="str">
        <f t="shared" si="8"/>
        <v>,a006060_iryohi_josei_flag2</v>
      </c>
      <c r="Q108" s="76" t="str">
        <f t="shared" si="9"/>
        <v>TEXT</v>
      </c>
      <c r="R108" s="76" t="str">
        <f t="shared" si="10"/>
        <v/>
      </c>
      <c r="S108" s="76" t="str">
        <f t="shared" si="11"/>
        <v/>
      </c>
      <c r="T108" s="76" t="str">
        <f t="shared" si="12"/>
        <v>-- 医療費助成の有無2</v>
      </c>
      <c r="U108" s="4"/>
      <c r="AA108" s="4"/>
      <c r="AB108" s="4"/>
      <c r="AC108" s="4"/>
      <c r="AD108" s="4"/>
      <c r="AE108" s="4"/>
      <c r="AF108" s="4"/>
      <c r="AG108" s="4"/>
      <c r="AH108" s="4"/>
      <c r="AI108" s="4"/>
      <c r="AJ108" s="76" t="str">
        <f>IF(E108="○",IF(COUNTA(E$13:E108)=1,"",",")&amp;D108,"")</f>
        <v/>
      </c>
      <c r="AK108" s="4"/>
      <c r="AL108" s="4"/>
      <c r="AM108" s="4"/>
      <c r="AN108" s="4"/>
      <c r="AO108" s="4"/>
      <c r="AP108" s="4"/>
      <c r="AQ108" s="4"/>
      <c r="AR108" s="4"/>
      <c r="AS108" s="76" t="str">
        <f>"COMMENT ON COLUMN "&amp;エンティティ一覧!$O$2&amp;"."&amp;D$8&amp;"."&amp;D108&amp;" IS '"&amp;C108&amp;"';"</f>
        <v>COMMENT ON COLUMN milscm_2023_010.azn_202310_backup_merge_dpc_ff1.a006060_iryohi_josei_flag2 IS '医療費助成の有無2';</v>
      </c>
      <c r="AT108" s="4"/>
      <c r="AU108" s="4"/>
      <c r="AV108" s="4"/>
      <c r="AW108" s="4"/>
      <c r="AX108" s="4"/>
      <c r="AY108" s="4"/>
      <c r="AZ108" s="4"/>
    </row>
    <row r="109" spans="1:52" s="25" customFormat="1">
      <c r="A109" s="4"/>
      <c r="B109" s="21">
        <f t="shared" si="2"/>
        <v>97</v>
      </c>
      <c r="C109" s="13" t="s">
        <v>709</v>
      </c>
      <c r="D109" s="13" t="s">
        <v>710</v>
      </c>
      <c r="E109" s="7"/>
      <c r="F109" s="7" t="s">
        <v>316</v>
      </c>
      <c r="G109" s="7" t="str">
        <f t="shared" si="3"/>
        <v>text</v>
      </c>
      <c r="H109" s="58"/>
      <c r="I109" s="23"/>
      <c r="J109" s="24" t="s">
        <v>838</v>
      </c>
      <c r="L109" s="4"/>
      <c r="M109" s="4"/>
      <c r="N109" s="76"/>
      <c r="O109" s="76"/>
      <c r="P109" s="76" t="str">
        <f t="shared" si="8"/>
        <v>,adl0010_nyuin_adl</v>
      </c>
      <c r="Q109" s="76" t="str">
        <f t="shared" si="9"/>
        <v>TEXT</v>
      </c>
      <c r="R109" s="76" t="str">
        <f t="shared" si="10"/>
        <v/>
      </c>
      <c r="S109" s="76" t="str">
        <f t="shared" si="11"/>
        <v/>
      </c>
      <c r="T109" s="76" t="str">
        <f t="shared" si="12"/>
        <v>-- 入院時のADLスコア</v>
      </c>
      <c r="U109" s="4"/>
      <c r="AA109" s="4"/>
      <c r="AB109" s="4"/>
      <c r="AC109" s="4"/>
      <c r="AD109" s="4"/>
      <c r="AE109" s="4"/>
      <c r="AF109" s="4"/>
      <c r="AG109" s="4"/>
      <c r="AH109" s="4"/>
      <c r="AI109" s="4"/>
      <c r="AJ109" s="76" t="str">
        <f>IF(E109="○",IF(COUNTA(E$13:E109)=1,"",",")&amp;D109,"")</f>
        <v/>
      </c>
      <c r="AK109" s="4"/>
      <c r="AL109" s="4"/>
      <c r="AM109" s="4"/>
      <c r="AN109" s="4"/>
      <c r="AO109" s="4"/>
      <c r="AP109" s="4"/>
      <c r="AQ109" s="4"/>
      <c r="AR109" s="4"/>
      <c r="AS109" s="76" t="str">
        <f>"COMMENT ON COLUMN "&amp;エンティティ一覧!$O$2&amp;"."&amp;D$8&amp;"."&amp;D109&amp;" IS '"&amp;C109&amp;"';"</f>
        <v>COMMENT ON COLUMN milscm_2023_010.azn_202310_backup_merge_dpc_ff1.adl0010_nyuin_adl IS '入院時のADLスコア';</v>
      </c>
      <c r="AT109" s="4"/>
      <c r="AU109" s="4"/>
      <c r="AV109" s="4"/>
      <c r="AW109" s="4"/>
      <c r="AX109" s="4"/>
      <c r="AY109" s="4"/>
      <c r="AZ109" s="4"/>
    </row>
    <row r="110" spans="1:52" s="25" customFormat="1">
      <c r="A110" s="4"/>
      <c r="B110" s="21">
        <f t="shared" si="2"/>
        <v>98</v>
      </c>
      <c r="C110" s="6" t="s">
        <v>711</v>
      </c>
      <c r="D110" s="6" t="s">
        <v>712</v>
      </c>
      <c r="E110" s="8"/>
      <c r="F110" s="7" t="s">
        <v>316</v>
      </c>
      <c r="G110" s="7" t="str">
        <f t="shared" si="3"/>
        <v>text</v>
      </c>
      <c r="H110" s="26"/>
      <c r="I110" s="10"/>
      <c r="J110" s="11" t="s">
        <v>838</v>
      </c>
      <c r="L110" s="4"/>
      <c r="M110" s="4"/>
      <c r="N110" s="76"/>
      <c r="O110" s="76"/>
      <c r="P110" s="76" t="str">
        <f t="shared" si="8"/>
        <v>,adl0020_taiin_adl</v>
      </c>
      <c r="Q110" s="76" t="str">
        <f t="shared" si="9"/>
        <v>TEXT</v>
      </c>
      <c r="R110" s="76" t="str">
        <f t="shared" si="10"/>
        <v/>
      </c>
      <c r="S110" s="76" t="str">
        <f t="shared" si="11"/>
        <v/>
      </c>
      <c r="T110" s="76" t="str">
        <f t="shared" si="12"/>
        <v>-- 退院時のADLスコア</v>
      </c>
      <c r="U110" s="4"/>
      <c r="AA110" s="4"/>
      <c r="AB110" s="4"/>
      <c r="AC110" s="4"/>
      <c r="AD110" s="4"/>
      <c r="AE110" s="4"/>
      <c r="AF110" s="4"/>
      <c r="AG110" s="4"/>
      <c r="AH110" s="4"/>
      <c r="AI110" s="4"/>
      <c r="AJ110" s="76" t="str">
        <f>IF(E110="○",IF(COUNTA(E$13:E110)=1,"",",")&amp;D110,"")</f>
        <v/>
      </c>
      <c r="AK110" s="4"/>
      <c r="AL110" s="4"/>
      <c r="AM110" s="4"/>
      <c r="AN110" s="4"/>
      <c r="AO110" s="4"/>
      <c r="AP110" s="4"/>
      <c r="AQ110" s="4"/>
      <c r="AR110" s="4"/>
      <c r="AS110" s="76" t="str">
        <f>"COMMENT ON COLUMN "&amp;エンティティ一覧!$O$2&amp;"."&amp;D$8&amp;"."&amp;D110&amp;" IS '"&amp;C110&amp;"';"</f>
        <v>COMMENT ON COLUMN milscm_2023_010.azn_202310_backup_merge_dpc_ff1.adl0020_taiin_adl IS '退院時のADLスコア';</v>
      </c>
      <c r="AT110" s="4"/>
      <c r="AU110" s="4"/>
      <c r="AV110" s="4"/>
      <c r="AW110" s="4"/>
      <c r="AX110" s="4"/>
      <c r="AY110" s="4"/>
      <c r="AZ110" s="4"/>
    </row>
    <row r="111" spans="1:52" s="25" customFormat="1">
      <c r="A111" s="4"/>
      <c r="B111" s="21">
        <f t="shared" si="2"/>
        <v>99</v>
      </c>
      <c r="C111" s="13" t="s">
        <v>713</v>
      </c>
      <c r="D111" s="13" t="s">
        <v>714</v>
      </c>
      <c r="E111" s="7"/>
      <c r="F111" s="7" t="s">
        <v>316</v>
      </c>
      <c r="G111" s="7" t="str">
        <f t="shared" si="3"/>
        <v>text</v>
      </c>
      <c r="H111" s="58"/>
      <c r="I111" s="23"/>
      <c r="J111" s="24" t="s">
        <v>838</v>
      </c>
      <c r="L111" s="4"/>
      <c r="M111" s="4"/>
      <c r="N111" s="76"/>
      <c r="O111" s="76"/>
      <c r="P111" s="76" t="str">
        <f t="shared" si="8"/>
        <v>,adl0030_nyutou_adl</v>
      </c>
      <c r="Q111" s="76" t="str">
        <f t="shared" si="9"/>
        <v>TEXT</v>
      </c>
      <c r="R111" s="76" t="str">
        <f t="shared" si="10"/>
        <v/>
      </c>
      <c r="S111" s="76" t="str">
        <f t="shared" si="11"/>
        <v/>
      </c>
      <c r="T111" s="76" t="str">
        <f t="shared" si="12"/>
        <v>-- 入棟・入室時のADLスコア</v>
      </c>
      <c r="U111" s="4"/>
      <c r="AA111" s="4"/>
      <c r="AB111" s="4"/>
      <c r="AC111" s="4"/>
      <c r="AD111" s="4"/>
      <c r="AE111" s="4"/>
      <c r="AF111" s="4"/>
      <c r="AG111" s="4"/>
      <c r="AH111" s="4"/>
      <c r="AI111" s="4"/>
      <c r="AJ111" s="76" t="str">
        <f>IF(E111="○",IF(COUNTA(E$13:E111)=1,"",",")&amp;D111,"")</f>
        <v/>
      </c>
      <c r="AK111" s="4"/>
      <c r="AL111" s="4"/>
      <c r="AM111" s="4"/>
      <c r="AN111" s="4"/>
      <c r="AO111" s="4"/>
      <c r="AP111" s="4"/>
      <c r="AQ111" s="4"/>
      <c r="AR111" s="4"/>
      <c r="AS111" s="76" t="str">
        <f>"COMMENT ON COLUMN "&amp;エンティティ一覧!$O$2&amp;"."&amp;D$8&amp;"."&amp;D111&amp;" IS '"&amp;C111&amp;"';"</f>
        <v>COMMENT ON COLUMN milscm_2023_010.azn_202310_backup_merge_dpc_ff1.adl0030_nyutou_adl IS '入棟・入室時のADLスコア';</v>
      </c>
      <c r="AT111" s="4"/>
      <c r="AU111" s="4"/>
      <c r="AV111" s="4"/>
      <c r="AW111" s="4"/>
      <c r="AX111" s="4"/>
      <c r="AY111" s="4"/>
      <c r="AZ111" s="4"/>
    </row>
    <row r="112" spans="1:52" s="25" customFormat="1">
      <c r="A112" s="4"/>
      <c r="B112" s="21">
        <f t="shared" si="2"/>
        <v>100</v>
      </c>
      <c r="C112" s="6" t="s">
        <v>715</v>
      </c>
      <c r="D112" s="6" t="s">
        <v>716</v>
      </c>
      <c r="E112" s="8"/>
      <c r="F112" s="7" t="s">
        <v>316</v>
      </c>
      <c r="G112" s="7" t="str">
        <f t="shared" si="3"/>
        <v>text</v>
      </c>
      <c r="H112" s="26"/>
      <c r="I112" s="10"/>
      <c r="J112" s="11" t="s">
        <v>838</v>
      </c>
      <c r="L112" s="4"/>
      <c r="M112" s="4"/>
      <c r="N112" s="76"/>
      <c r="O112" s="76"/>
      <c r="P112" s="76" t="str">
        <f t="shared" ref="P112:P155" si="13">IF(B112&lt;&gt;1,","&amp;D112,D112)</f>
        <v>,adl0040_taitou_adl</v>
      </c>
      <c r="Q112" s="76" t="str">
        <f t="shared" ref="Q112:Q155" si="14">UPPER(G112)</f>
        <v>TEXT</v>
      </c>
      <c r="R112" s="76" t="str">
        <f t="shared" ref="R112:R155" si="15">IF(H112&lt;&gt;"","default "&amp;IF(G112="text","'"&amp;H112&amp;"'",H112),"")</f>
        <v/>
      </c>
      <c r="S112" s="76" t="str">
        <f t="shared" ref="S112:S155" si="16">IF(I112="○","NOT NULL","")</f>
        <v/>
      </c>
      <c r="T112" s="76" t="str">
        <f t="shared" ref="T112:T155" si="17">"-- "&amp;C112</f>
        <v>-- 退棟・退室時のADLスコア</v>
      </c>
      <c r="U112" s="4"/>
      <c r="AA112" s="4"/>
      <c r="AB112" s="4"/>
      <c r="AC112" s="4"/>
      <c r="AD112" s="4"/>
      <c r="AE112" s="4"/>
      <c r="AF112" s="4"/>
      <c r="AG112" s="4"/>
      <c r="AH112" s="4"/>
      <c r="AI112" s="4"/>
      <c r="AJ112" s="76" t="str">
        <f>IF(E112="○",IF(COUNTA(E$13:E112)=1,"",",")&amp;D112,"")</f>
        <v/>
      </c>
      <c r="AK112" s="4"/>
      <c r="AL112" s="4"/>
      <c r="AM112" s="4"/>
      <c r="AN112" s="4"/>
      <c r="AO112" s="4"/>
      <c r="AP112" s="4"/>
      <c r="AQ112" s="4"/>
      <c r="AR112" s="4"/>
      <c r="AS112" s="76" t="str">
        <f>"COMMENT ON COLUMN "&amp;エンティティ一覧!$O$2&amp;"."&amp;D$8&amp;"."&amp;D112&amp;" IS '"&amp;C112&amp;"';"</f>
        <v>COMMENT ON COLUMN milscm_2023_010.azn_202310_backup_merge_dpc_ff1.adl0040_taitou_adl IS '退棟・退室時のADLスコア';</v>
      </c>
      <c r="AT112" s="4"/>
      <c r="AU112" s="4"/>
      <c r="AV112" s="4"/>
      <c r="AW112" s="4"/>
      <c r="AX112" s="4"/>
      <c r="AY112" s="4"/>
      <c r="AZ112" s="4"/>
    </row>
    <row r="113" spans="1:52" s="25" customFormat="1">
      <c r="A113" s="4"/>
      <c r="B113" s="21">
        <f t="shared" si="2"/>
        <v>101</v>
      </c>
      <c r="C113" s="13" t="s">
        <v>717</v>
      </c>
      <c r="D113" s="13" t="s">
        <v>718</v>
      </c>
      <c r="E113" s="7"/>
      <c r="F113" s="7" t="s">
        <v>316</v>
      </c>
      <c r="G113" s="7" t="str">
        <f t="shared" si="3"/>
        <v>text</v>
      </c>
      <c r="H113" s="58"/>
      <c r="I113" s="23"/>
      <c r="J113" s="24" t="s">
        <v>839</v>
      </c>
      <c r="L113" s="4"/>
      <c r="M113" s="4"/>
      <c r="N113" s="76"/>
      <c r="O113" s="76"/>
      <c r="P113" s="76" t="str">
        <f t="shared" si="13"/>
        <v>,can0010_gan_shohatsu</v>
      </c>
      <c r="Q113" s="76" t="str">
        <f t="shared" si="14"/>
        <v>TEXT</v>
      </c>
      <c r="R113" s="76" t="str">
        <f t="shared" si="15"/>
        <v/>
      </c>
      <c r="S113" s="76" t="str">
        <f t="shared" si="16"/>
        <v/>
      </c>
      <c r="T113" s="76" t="str">
        <f t="shared" si="17"/>
        <v>-- がんの初発、再発</v>
      </c>
      <c r="U113" s="4"/>
      <c r="AA113" s="4"/>
      <c r="AB113" s="4"/>
      <c r="AC113" s="4"/>
      <c r="AD113" s="4"/>
      <c r="AE113" s="4"/>
      <c r="AF113" s="4"/>
      <c r="AG113" s="4"/>
      <c r="AH113" s="4"/>
      <c r="AI113" s="4"/>
      <c r="AJ113" s="76" t="str">
        <f>IF(E113="○",IF(COUNTA(E$13:E113)=1,"",",")&amp;D113,"")</f>
        <v/>
      </c>
      <c r="AK113" s="4"/>
      <c r="AL113" s="4"/>
      <c r="AM113" s="4"/>
      <c r="AN113" s="4"/>
      <c r="AO113" s="4"/>
      <c r="AP113" s="4"/>
      <c r="AQ113" s="4"/>
      <c r="AR113" s="4"/>
      <c r="AS113" s="76" t="str">
        <f>"COMMENT ON COLUMN "&amp;エンティティ一覧!$O$2&amp;"."&amp;D$8&amp;"."&amp;D113&amp;" IS '"&amp;C113&amp;"';"</f>
        <v>COMMENT ON COLUMN milscm_2023_010.azn_202310_backup_merge_dpc_ff1.can0010_gan_shohatsu IS 'がんの初発、再発';</v>
      </c>
      <c r="AT113" s="4"/>
      <c r="AU113" s="4"/>
      <c r="AV113" s="4"/>
      <c r="AW113" s="4"/>
      <c r="AX113" s="4"/>
      <c r="AY113" s="4"/>
      <c r="AZ113" s="4"/>
    </row>
    <row r="114" spans="1:52" s="25" customFormat="1">
      <c r="A114" s="4"/>
      <c r="B114" s="21">
        <f t="shared" si="2"/>
        <v>102</v>
      </c>
      <c r="C114" s="6" t="s">
        <v>719</v>
      </c>
      <c r="D114" s="6" t="s">
        <v>720</v>
      </c>
      <c r="E114" s="8"/>
      <c r="F114" s="7" t="s">
        <v>316</v>
      </c>
      <c r="G114" s="7" t="str">
        <f t="shared" si="3"/>
        <v>text</v>
      </c>
      <c r="H114" s="26"/>
      <c r="I114" s="10"/>
      <c r="J114" s="11"/>
      <c r="L114" s="4"/>
      <c r="M114" s="4"/>
      <c r="N114" s="76"/>
      <c r="O114" s="76"/>
      <c r="P114" s="76" t="str">
        <f t="shared" si="13"/>
        <v>,can0020_uicc_t</v>
      </c>
      <c r="Q114" s="76" t="str">
        <f t="shared" si="14"/>
        <v>TEXT</v>
      </c>
      <c r="R114" s="76" t="str">
        <f t="shared" si="15"/>
        <v/>
      </c>
      <c r="S114" s="76" t="str">
        <f t="shared" si="16"/>
        <v/>
      </c>
      <c r="T114" s="76" t="str">
        <f t="shared" si="17"/>
        <v>-- UICC病期分類（T）</v>
      </c>
      <c r="U114" s="4"/>
      <c r="AA114" s="4"/>
      <c r="AB114" s="4"/>
      <c r="AC114" s="4"/>
      <c r="AD114" s="4"/>
      <c r="AE114" s="4"/>
      <c r="AF114" s="4"/>
      <c r="AG114" s="4"/>
      <c r="AH114" s="4"/>
      <c r="AI114" s="4"/>
      <c r="AJ114" s="76" t="str">
        <f>IF(E114="○",IF(COUNTA(E$13:E114)=1,"",",")&amp;D114,"")</f>
        <v/>
      </c>
      <c r="AK114" s="4"/>
      <c r="AL114" s="4"/>
      <c r="AM114" s="4"/>
      <c r="AN114" s="4"/>
      <c r="AO114" s="4"/>
      <c r="AP114" s="4"/>
      <c r="AQ114" s="4"/>
      <c r="AR114" s="4"/>
      <c r="AS114" s="76" t="str">
        <f>"COMMENT ON COLUMN "&amp;エンティティ一覧!$O$2&amp;"."&amp;D$8&amp;"."&amp;D114&amp;" IS '"&amp;C114&amp;"';"</f>
        <v>COMMENT ON COLUMN milscm_2023_010.azn_202310_backup_merge_dpc_ff1.can0020_uicc_t IS 'UICC病期分類（T）';</v>
      </c>
      <c r="AT114" s="4"/>
      <c r="AU114" s="4"/>
      <c r="AV114" s="4"/>
      <c r="AW114" s="4"/>
      <c r="AX114" s="4"/>
      <c r="AY114" s="4"/>
      <c r="AZ114" s="4"/>
    </row>
    <row r="115" spans="1:52" s="25" customFormat="1">
      <c r="A115" s="4"/>
      <c r="B115" s="21">
        <f t="shared" si="2"/>
        <v>103</v>
      </c>
      <c r="C115" s="13" t="s">
        <v>721</v>
      </c>
      <c r="D115" s="13" t="s">
        <v>722</v>
      </c>
      <c r="E115" s="7"/>
      <c r="F115" s="7" t="s">
        <v>316</v>
      </c>
      <c r="G115" s="7" t="str">
        <f t="shared" si="3"/>
        <v>text</v>
      </c>
      <c r="H115" s="58"/>
      <c r="I115" s="23"/>
      <c r="J115" s="24"/>
      <c r="L115" s="4"/>
      <c r="M115" s="4"/>
      <c r="N115" s="76"/>
      <c r="O115" s="76"/>
      <c r="P115" s="76" t="str">
        <f t="shared" si="13"/>
        <v>,can0020_uicc_n</v>
      </c>
      <c r="Q115" s="76" t="str">
        <f t="shared" si="14"/>
        <v>TEXT</v>
      </c>
      <c r="R115" s="76" t="str">
        <f t="shared" si="15"/>
        <v/>
      </c>
      <c r="S115" s="76" t="str">
        <f t="shared" si="16"/>
        <v/>
      </c>
      <c r="T115" s="76" t="str">
        <f t="shared" si="17"/>
        <v>-- UICC病期分類（N）</v>
      </c>
      <c r="U115" s="4"/>
      <c r="AA115" s="4"/>
      <c r="AB115" s="4"/>
      <c r="AC115" s="4"/>
      <c r="AD115" s="4"/>
      <c r="AE115" s="4"/>
      <c r="AF115" s="4"/>
      <c r="AG115" s="4"/>
      <c r="AH115" s="4"/>
      <c r="AI115" s="4"/>
      <c r="AJ115" s="76" t="str">
        <f>IF(E115="○",IF(COUNTA(E$13:E115)=1,"",",")&amp;D115,"")</f>
        <v/>
      </c>
      <c r="AK115" s="4"/>
      <c r="AL115" s="4"/>
      <c r="AM115" s="4"/>
      <c r="AN115" s="4"/>
      <c r="AO115" s="4"/>
      <c r="AP115" s="4"/>
      <c r="AQ115" s="4"/>
      <c r="AR115" s="4"/>
      <c r="AS115" s="76" t="str">
        <f>"COMMENT ON COLUMN "&amp;エンティティ一覧!$O$2&amp;"."&amp;D$8&amp;"."&amp;D115&amp;" IS '"&amp;C115&amp;"';"</f>
        <v>COMMENT ON COLUMN milscm_2023_010.azn_202310_backup_merge_dpc_ff1.can0020_uicc_n IS 'UICC病期分類（N）';</v>
      </c>
      <c r="AT115" s="4"/>
      <c r="AU115" s="4"/>
      <c r="AV115" s="4"/>
      <c r="AW115" s="4"/>
      <c r="AX115" s="4"/>
      <c r="AY115" s="4"/>
      <c r="AZ115" s="4"/>
    </row>
    <row r="116" spans="1:52" s="25" customFormat="1">
      <c r="A116" s="4"/>
      <c r="B116" s="21">
        <f t="shared" si="2"/>
        <v>104</v>
      </c>
      <c r="C116" s="13" t="s">
        <v>723</v>
      </c>
      <c r="D116" s="13" t="s">
        <v>724</v>
      </c>
      <c r="E116" s="7"/>
      <c r="F116" s="7" t="s">
        <v>316</v>
      </c>
      <c r="G116" s="7" t="str">
        <f t="shared" si="3"/>
        <v>text</v>
      </c>
      <c r="H116" s="26"/>
      <c r="I116" s="10"/>
      <c r="J116" s="11"/>
      <c r="L116" s="4"/>
      <c r="M116" s="4"/>
      <c r="N116" s="76"/>
      <c r="O116" s="76"/>
      <c r="P116" s="76" t="str">
        <f t="shared" si="13"/>
        <v>,can0020_uicc_m</v>
      </c>
      <c r="Q116" s="76" t="str">
        <f t="shared" si="14"/>
        <v>TEXT</v>
      </c>
      <c r="R116" s="76" t="str">
        <f t="shared" si="15"/>
        <v/>
      </c>
      <c r="S116" s="76" t="str">
        <f t="shared" si="16"/>
        <v/>
      </c>
      <c r="T116" s="76" t="str">
        <f t="shared" si="17"/>
        <v>-- UICC病期分類（M）</v>
      </c>
      <c r="U116" s="4"/>
      <c r="AA116" s="4"/>
      <c r="AB116" s="4"/>
      <c r="AC116" s="4"/>
      <c r="AD116" s="4"/>
      <c r="AE116" s="4"/>
      <c r="AF116" s="4"/>
      <c r="AG116" s="4"/>
      <c r="AH116" s="4"/>
      <c r="AI116" s="4"/>
      <c r="AJ116" s="76" t="str">
        <f>IF(E116="○",IF(COUNTA(E$13:E116)=1,"",",")&amp;D116,"")</f>
        <v/>
      </c>
      <c r="AK116" s="4"/>
      <c r="AL116" s="4"/>
      <c r="AM116" s="4"/>
      <c r="AN116" s="4"/>
      <c r="AO116" s="4"/>
      <c r="AP116" s="4"/>
      <c r="AQ116" s="4"/>
      <c r="AR116" s="4"/>
      <c r="AS116" s="76" t="str">
        <f>"COMMENT ON COLUMN "&amp;エンティティ一覧!$O$2&amp;"."&amp;D$8&amp;"."&amp;D116&amp;" IS '"&amp;C116&amp;"';"</f>
        <v>COMMENT ON COLUMN milscm_2023_010.azn_202310_backup_merge_dpc_ff1.can0020_uicc_m IS 'UICC病期分類（M）';</v>
      </c>
      <c r="AT116" s="4"/>
      <c r="AU116" s="4"/>
      <c r="AV116" s="4"/>
      <c r="AW116" s="4"/>
      <c r="AX116" s="4"/>
      <c r="AY116" s="4"/>
      <c r="AZ116" s="4"/>
    </row>
    <row r="117" spans="1:52" s="25" customFormat="1">
      <c r="A117" s="4"/>
      <c r="B117" s="21">
        <f t="shared" si="2"/>
        <v>105</v>
      </c>
      <c r="C117" s="13" t="s">
        <v>725</v>
      </c>
      <c r="D117" s="13" t="s">
        <v>726</v>
      </c>
      <c r="E117" s="7"/>
      <c r="F117" s="7" t="s">
        <v>316</v>
      </c>
      <c r="G117" s="7" t="str">
        <f t="shared" si="3"/>
        <v>text</v>
      </c>
      <c r="H117" s="58"/>
      <c r="I117" s="23"/>
      <c r="J117" s="24" t="s">
        <v>840</v>
      </c>
      <c r="L117" s="4"/>
      <c r="M117" s="4"/>
      <c r="N117" s="76"/>
      <c r="O117" s="76"/>
      <c r="P117" s="76" t="str">
        <f t="shared" si="13"/>
        <v>,can0020_uicc_han</v>
      </c>
      <c r="Q117" s="76" t="str">
        <f t="shared" si="14"/>
        <v>TEXT</v>
      </c>
      <c r="R117" s="76" t="str">
        <f t="shared" si="15"/>
        <v/>
      </c>
      <c r="S117" s="76" t="str">
        <f t="shared" si="16"/>
        <v/>
      </c>
      <c r="T117" s="76" t="str">
        <f t="shared" si="17"/>
        <v>-- UICC病期分類（版）</v>
      </c>
      <c r="U117" s="4"/>
      <c r="AA117" s="4"/>
      <c r="AB117" s="4"/>
      <c r="AC117" s="4"/>
      <c r="AD117" s="4"/>
      <c r="AE117" s="4"/>
      <c r="AF117" s="4"/>
      <c r="AG117" s="4"/>
      <c r="AH117" s="4"/>
      <c r="AI117" s="4"/>
      <c r="AJ117" s="76" t="str">
        <f>IF(E117="○",IF(COUNTA(E$13:E117)=1,"",",")&amp;D117,"")</f>
        <v/>
      </c>
      <c r="AK117" s="4"/>
      <c r="AL117" s="4"/>
      <c r="AM117" s="4"/>
      <c r="AN117" s="4"/>
      <c r="AO117" s="4"/>
      <c r="AP117" s="4"/>
      <c r="AQ117" s="4"/>
      <c r="AR117" s="4"/>
      <c r="AS117" s="76" t="str">
        <f>"COMMENT ON COLUMN "&amp;エンティティ一覧!$O$2&amp;"."&amp;D$8&amp;"."&amp;D117&amp;" IS '"&amp;C117&amp;"';"</f>
        <v>COMMENT ON COLUMN milscm_2023_010.azn_202310_backup_merge_dpc_ff1.can0020_uicc_han IS 'UICC病期分類（版）';</v>
      </c>
      <c r="AT117" s="4"/>
      <c r="AU117" s="4"/>
      <c r="AV117" s="4"/>
      <c r="AW117" s="4"/>
      <c r="AX117" s="4"/>
      <c r="AY117" s="4"/>
      <c r="AZ117" s="4"/>
    </row>
    <row r="118" spans="1:52" s="25" customFormat="1" ht="31.5">
      <c r="A118" s="4"/>
      <c r="B118" s="21">
        <f t="shared" si="2"/>
        <v>106</v>
      </c>
      <c r="C118" s="6" t="s">
        <v>727</v>
      </c>
      <c r="D118" s="6" t="s">
        <v>728</v>
      </c>
      <c r="E118" s="8"/>
      <c r="F118" s="7" t="s">
        <v>316</v>
      </c>
      <c r="G118" s="7" t="str">
        <f t="shared" si="3"/>
        <v>text</v>
      </c>
      <c r="H118" s="58"/>
      <c r="I118" s="23"/>
      <c r="J118" s="24"/>
      <c r="L118" s="4"/>
      <c r="M118" s="4"/>
      <c r="N118" s="76"/>
      <c r="O118" s="76"/>
      <c r="P118" s="76" t="str">
        <f t="shared" si="13"/>
        <v>,can0030_gan_stage</v>
      </c>
      <c r="Q118" s="76" t="str">
        <f t="shared" si="14"/>
        <v>TEXT</v>
      </c>
      <c r="R118" s="76" t="str">
        <f t="shared" si="15"/>
        <v/>
      </c>
      <c r="S118" s="76" t="str">
        <f t="shared" si="16"/>
        <v/>
      </c>
      <c r="T118" s="76" t="str">
        <f t="shared" si="17"/>
        <v>-- 癌取扱い規約に基づくがんのStage分類</v>
      </c>
      <c r="U118" s="4"/>
      <c r="AA118" s="4"/>
      <c r="AB118" s="4"/>
      <c r="AC118" s="4"/>
      <c r="AD118" s="4"/>
      <c r="AE118" s="4"/>
      <c r="AF118" s="4"/>
      <c r="AG118" s="4"/>
      <c r="AH118" s="4"/>
      <c r="AI118" s="4"/>
      <c r="AJ118" s="76" t="str">
        <f>IF(E118="○",IF(COUNTA(E$13:E118)=1,"",",")&amp;D118,"")</f>
        <v/>
      </c>
      <c r="AK118" s="4"/>
      <c r="AL118" s="4"/>
      <c r="AM118" s="4"/>
      <c r="AN118" s="4"/>
      <c r="AO118" s="4"/>
      <c r="AP118" s="4"/>
      <c r="AQ118" s="4"/>
      <c r="AR118" s="4"/>
      <c r="AS118" s="76" t="str">
        <f>"COMMENT ON COLUMN "&amp;エンティティ一覧!$O$2&amp;"."&amp;D$8&amp;"."&amp;D118&amp;" IS '"&amp;C118&amp;"';"</f>
        <v>COMMENT ON COLUMN milscm_2023_010.azn_202310_backup_merge_dpc_ff1.can0030_gan_stage IS '癌取扱い規約に基づくがんのStage分類';</v>
      </c>
      <c r="AT118" s="4"/>
      <c r="AU118" s="4"/>
      <c r="AV118" s="4"/>
      <c r="AW118" s="4"/>
      <c r="AX118" s="4"/>
      <c r="AY118" s="4"/>
      <c r="AZ118" s="4"/>
    </row>
    <row r="119" spans="1:52" s="25" customFormat="1" ht="37.5">
      <c r="A119" s="4"/>
      <c r="B119" s="21">
        <f t="shared" si="2"/>
        <v>107</v>
      </c>
      <c r="C119" s="13" t="s">
        <v>729</v>
      </c>
      <c r="D119" s="13" t="s">
        <v>730</v>
      </c>
      <c r="E119" s="7"/>
      <c r="F119" s="7" t="s">
        <v>316</v>
      </c>
      <c r="G119" s="7" t="str">
        <f t="shared" si="3"/>
        <v>text</v>
      </c>
      <c r="H119" s="26"/>
      <c r="I119" s="10"/>
      <c r="J119" s="11" t="s">
        <v>841</v>
      </c>
      <c r="L119" s="4"/>
      <c r="M119" s="4"/>
      <c r="N119" s="76"/>
      <c r="O119" s="76"/>
      <c r="P119" s="76" t="str">
        <f t="shared" si="13"/>
        <v>,can0040_kagaku_ryoho_flag</v>
      </c>
      <c r="Q119" s="76" t="str">
        <f t="shared" si="14"/>
        <v>TEXT</v>
      </c>
      <c r="R119" s="76" t="str">
        <f t="shared" si="15"/>
        <v/>
      </c>
      <c r="S119" s="76" t="str">
        <f t="shared" si="16"/>
        <v/>
      </c>
      <c r="T119" s="76" t="str">
        <f t="shared" si="17"/>
        <v>-- 化学療法の有無</v>
      </c>
      <c r="U119" s="4"/>
      <c r="AA119" s="4"/>
      <c r="AB119" s="4"/>
      <c r="AC119" s="4"/>
      <c r="AD119" s="4"/>
      <c r="AE119" s="4"/>
      <c r="AF119" s="4"/>
      <c r="AG119" s="4"/>
      <c r="AH119" s="4"/>
      <c r="AI119" s="4"/>
      <c r="AJ119" s="76" t="str">
        <f>IF(E119="○",IF(COUNTA(E$13:E119)=1,"",",")&amp;D119,"")</f>
        <v/>
      </c>
      <c r="AK119" s="4"/>
      <c r="AL119" s="4"/>
      <c r="AM119" s="4"/>
      <c r="AN119" s="4"/>
      <c r="AO119" s="4"/>
      <c r="AP119" s="4"/>
      <c r="AQ119" s="4"/>
      <c r="AR119" s="4"/>
      <c r="AS119" s="76" t="str">
        <f>"COMMENT ON COLUMN "&amp;エンティティ一覧!$O$2&amp;"."&amp;D$8&amp;"."&amp;D119&amp;" IS '"&amp;C119&amp;"';"</f>
        <v>COMMENT ON COLUMN milscm_2023_010.azn_202310_backup_merge_dpc_ff1.can0040_kagaku_ryoho_flag IS '化学療法の有無';</v>
      </c>
      <c r="AT119" s="4"/>
      <c r="AU119" s="4"/>
      <c r="AV119" s="4"/>
      <c r="AW119" s="4"/>
      <c r="AX119" s="4"/>
      <c r="AY119" s="4"/>
      <c r="AZ119" s="4"/>
    </row>
    <row r="120" spans="1:52" s="25" customFormat="1" ht="75">
      <c r="A120" s="4"/>
      <c r="B120" s="21">
        <f t="shared" si="2"/>
        <v>108</v>
      </c>
      <c r="C120" s="6" t="s">
        <v>731</v>
      </c>
      <c r="D120" s="6" t="s">
        <v>732</v>
      </c>
      <c r="E120" s="8"/>
      <c r="F120" s="7" t="s">
        <v>316</v>
      </c>
      <c r="G120" s="7" t="str">
        <f t="shared" si="3"/>
        <v>text</v>
      </c>
      <c r="H120" s="26"/>
      <c r="I120" s="10"/>
      <c r="J120" s="11" t="s">
        <v>842</v>
      </c>
      <c r="L120" s="4"/>
      <c r="M120" s="4"/>
      <c r="N120" s="76"/>
      <c r="O120" s="76"/>
      <c r="P120" s="76" t="str">
        <f t="shared" si="13"/>
        <v>,jcs0010_nyuin_jcs</v>
      </c>
      <c r="Q120" s="76" t="str">
        <f t="shared" si="14"/>
        <v>TEXT</v>
      </c>
      <c r="R120" s="76" t="str">
        <f t="shared" si="15"/>
        <v/>
      </c>
      <c r="S120" s="76" t="str">
        <f t="shared" si="16"/>
        <v/>
      </c>
      <c r="T120" s="76" t="str">
        <f t="shared" si="17"/>
        <v>-- 入院時意識障害がある場合のJCS</v>
      </c>
      <c r="U120" s="4"/>
      <c r="AA120" s="4"/>
      <c r="AB120" s="4"/>
      <c r="AC120" s="4"/>
      <c r="AD120" s="4"/>
      <c r="AE120" s="4"/>
      <c r="AF120" s="4"/>
      <c r="AG120" s="4"/>
      <c r="AH120" s="4"/>
      <c r="AI120" s="4"/>
      <c r="AJ120" s="76" t="str">
        <f>IF(E120="○",IF(COUNTA(E$13:E120)=1,"",",")&amp;D120,"")</f>
        <v/>
      </c>
      <c r="AK120" s="4"/>
      <c r="AL120" s="4"/>
      <c r="AM120" s="4"/>
      <c r="AN120" s="4"/>
      <c r="AO120" s="4"/>
      <c r="AP120" s="4"/>
      <c r="AQ120" s="4"/>
      <c r="AR120" s="4"/>
      <c r="AS120" s="76" t="str">
        <f>"COMMENT ON COLUMN "&amp;エンティティ一覧!$O$2&amp;"."&amp;D$8&amp;"."&amp;D120&amp;" IS '"&amp;C120&amp;"';"</f>
        <v>COMMENT ON COLUMN milscm_2023_010.azn_202310_backup_merge_dpc_ff1.jcs0010_nyuin_jcs IS '入院時意識障害がある場合のJCS';</v>
      </c>
      <c r="AT120" s="4"/>
      <c r="AU120" s="4"/>
      <c r="AV120" s="4"/>
      <c r="AW120" s="4"/>
      <c r="AX120" s="4"/>
      <c r="AY120" s="4"/>
      <c r="AZ120" s="4"/>
    </row>
    <row r="121" spans="1:52" s="25" customFormat="1" ht="37.5">
      <c r="A121" s="4"/>
      <c r="B121" s="21">
        <f t="shared" si="2"/>
        <v>109</v>
      </c>
      <c r="C121" s="13" t="s">
        <v>733</v>
      </c>
      <c r="D121" s="13" t="s">
        <v>734</v>
      </c>
      <c r="E121" s="7"/>
      <c r="F121" s="7" t="s">
        <v>735</v>
      </c>
      <c r="G121" s="7" t="str">
        <f t="shared" si="3"/>
        <v>text</v>
      </c>
      <c r="H121" s="58"/>
      <c r="I121" s="23"/>
      <c r="J121" s="24" t="s">
        <v>843</v>
      </c>
      <c r="L121" s="4"/>
      <c r="M121" s="4"/>
      <c r="N121" s="76"/>
      <c r="O121" s="76"/>
      <c r="P121" s="76" t="str">
        <f t="shared" si="13"/>
        <v>,jcs0010_emergency_jcs</v>
      </c>
      <c r="Q121" s="76" t="str">
        <f t="shared" si="14"/>
        <v>TEXT</v>
      </c>
      <c r="R121" s="76" t="str">
        <f t="shared" si="15"/>
        <v/>
      </c>
      <c r="S121" s="76" t="str">
        <f t="shared" si="16"/>
        <v/>
      </c>
      <c r="T121" s="76" t="str">
        <f t="shared" si="17"/>
        <v>-- 救急受診時意識障害がある場合のJCS</v>
      </c>
      <c r="U121" s="4"/>
      <c r="AA121" s="4"/>
      <c r="AB121" s="4"/>
      <c r="AC121" s="4"/>
      <c r="AD121" s="4"/>
      <c r="AE121" s="4"/>
      <c r="AF121" s="4"/>
      <c r="AG121" s="4"/>
      <c r="AH121" s="4"/>
      <c r="AI121" s="4"/>
      <c r="AJ121" s="76" t="str">
        <f>IF(E121="○",IF(COUNTA(E$13:E121)=1,"",",")&amp;D121,"")</f>
        <v/>
      </c>
      <c r="AK121" s="4"/>
      <c r="AL121" s="4"/>
      <c r="AM121" s="4"/>
      <c r="AN121" s="4"/>
      <c r="AO121" s="4"/>
      <c r="AP121" s="4"/>
      <c r="AQ121" s="4"/>
      <c r="AR121" s="4"/>
      <c r="AS121" s="76" t="str">
        <f>"COMMENT ON COLUMN "&amp;エンティティ一覧!$O$2&amp;"."&amp;D$8&amp;"."&amp;D121&amp;" IS '"&amp;C121&amp;"';"</f>
        <v>COMMENT ON COLUMN milscm_2023_010.azn_202310_backup_merge_dpc_ff1.jcs0010_emergency_jcs IS '救急受診時意識障害がある場合のJCS';</v>
      </c>
      <c r="AT121" s="4"/>
      <c r="AU121" s="4"/>
      <c r="AV121" s="4"/>
      <c r="AW121" s="4"/>
      <c r="AX121" s="4"/>
      <c r="AY121" s="4"/>
      <c r="AZ121" s="4"/>
    </row>
    <row r="122" spans="1:52" s="25" customFormat="1" ht="37.5">
      <c r="A122" s="4"/>
      <c r="B122" s="21">
        <f t="shared" si="2"/>
        <v>110</v>
      </c>
      <c r="C122" s="6" t="s">
        <v>736</v>
      </c>
      <c r="D122" s="6" t="s">
        <v>737</v>
      </c>
      <c r="E122" s="8"/>
      <c r="F122" s="7" t="s">
        <v>735</v>
      </c>
      <c r="G122" s="7" t="str">
        <f t="shared" si="3"/>
        <v>text</v>
      </c>
      <c r="H122" s="26"/>
      <c r="I122" s="10"/>
      <c r="J122" s="11" t="s">
        <v>844</v>
      </c>
      <c r="L122" s="4"/>
      <c r="M122" s="4"/>
      <c r="N122" s="76"/>
      <c r="O122" s="76"/>
      <c r="P122" s="76" t="str">
        <f t="shared" si="13"/>
        <v>,jcs0010_nyusitsu_jcs</v>
      </c>
      <c r="Q122" s="76" t="str">
        <f t="shared" si="14"/>
        <v>TEXT</v>
      </c>
      <c r="R122" s="76" t="str">
        <f t="shared" si="15"/>
        <v/>
      </c>
      <c r="S122" s="76" t="str">
        <f t="shared" si="16"/>
        <v/>
      </c>
      <c r="T122" s="76" t="str">
        <f t="shared" si="17"/>
        <v>-- 治療室又は病棟入室時意識障害がある場合のJCS</v>
      </c>
      <c r="U122" s="4"/>
      <c r="AA122" s="4"/>
      <c r="AB122" s="4"/>
      <c r="AC122" s="4"/>
      <c r="AD122" s="4"/>
      <c r="AE122" s="4"/>
      <c r="AF122" s="4"/>
      <c r="AG122" s="4"/>
      <c r="AH122" s="4"/>
      <c r="AI122" s="4"/>
      <c r="AJ122" s="76" t="str">
        <f>IF(E122="○",IF(COUNTA(E$13:E122)=1,"",",")&amp;D122,"")</f>
        <v/>
      </c>
      <c r="AK122" s="4"/>
      <c r="AL122" s="4"/>
      <c r="AM122" s="4"/>
      <c r="AN122" s="4"/>
      <c r="AO122" s="4"/>
      <c r="AP122" s="4"/>
      <c r="AQ122" s="4"/>
      <c r="AR122" s="4"/>
      <c r="AS122" s="76" t="str">
        <f>"COMMENT ON COLUMN "&amp;エンティティ一覧!$O$2&amp;"."&amp;D$8&amp;"."&amp;D122&amp;" IS '"&amp;C122&amp;"';"</f>
        <v>COMMENT ON COLUMN milscm_2023_010.azn_202310_backup_merge_dpc_ff1.jcs0010_nyusitsu_jcs IS '治療室又は病棟入室時意識障害がある場合のJCS';</v>
      </c>
      <c r="AT122" s="4"/>
      <c r="AU122" s="4"/>
      <c r="AV122" s="4"/>
      <c r="AW122" s="4"/>
      <c r="AX122" s="4"/>
      <c r="AY122" s="4"/>
      <c r="AZ122" s="4"/>
    </row>
    <row r="123" spans="1:52" s="25" customFormat="1" ht="75">
      <c r="A123" s="4"/>
      <c r="B123" s="21">
        <f t="shared" si="2"/>
        <v>111</v>
      </c>
      <c r="C123" s="13" t="s">
        <v>738</v>
      </c>
      <c r="D123" s="13" t="s">
        <v>739</v>
      </c>
      <c r="E123" s="7"/>
      <c r="F123" s="7" t="s">
        <v>316</v>
      </c>
      <c r="G123" s="7" t="str">
        <f t="shared" si="3"/>
        <v>text</v>
      </c>
      <c r="H123" s="58"/>
      <c r="I123" s="23"/>
      <c r="J123" s="24" t="s">
        <v>842</v>
      </c>
      <c r="L123" s="4"/>
      <c r="M123" s="4"/>
      <c r="N123" s="76"/>
      <c r="O123" s="76"/>
      <c r="P123" s="76" t="str">
        <f t="shared" si="13"/>
        <v>,jcs0020_taiin_jcs</v>
      </c>
      <c r="Q123" s="76" t="str">
        <f t="shared" si="14"/>
        <v>TEXT</v>
      </c>
      <c r="R123" s="76" t="str">
        <f t="shared" si="15"/>
        <v/>
      </c>
      <c r="S123" s="76" t="str">
        <f t="shared" si="16"/>
        <v/>
      </c>
      <c r="T123" s="76" t="str">
        <f t="shared" si="17"/>
        <v>-- 退院時意識障害がある場合のJCS</v>
      </c>
      <c r="U123" s="4"/>
      <c r="AA123" s="4"/>
      <c r="AB123" s="4"/>
      <c r="AC123" s="4"/>
      <c r="AD123" s="4"/>
      <c r="AE123" s="4"/>
      <c r="AF123" s="4"/>
      <c r="AG123" s="4"/>
      <c r="AH123" s="4"/>
      <c r="AI123" s="4"/>
      <c r="AJ123" s="76" t="str">
        <f>IF(E123="○",IF(COUNTA(E$13:E123)=1,"",",")&amp;D123,"")</f>
        <v/>
      </c>
      <c r="AK123" s="4"/>
      <c r="AL123" s="4"/>
      <c r="AM123" s="4"/>
      <c r="AN123" s="4"/>
      <c r="AO123" s="4"/>
      <c r="AP123" s="4"/>
      <c r="AQ123" s="4"/>
      <c r="AR123" s="4"/>
      <c r="AS123" s="76" t="str">
        <f>"COMMENT ON COLUMN "&amp;エンティティ一覧!$O$2&amp;"."&amp;D$8&amp;"."&amp;D123&amp;" IS '"&amp;C123&amp;"';"</f>
        <v>COMMENT ON COLUMN milscm_2023_010.azn_202310_backup_merge_dpc_ff1.jcs0020_taiin_jcs IS '退院時意識障害がある場合のJCS';</v>
      </c>
      <c r="AT123" s="4"/>
      <c r="AU123" s="4"/>
      <c r="AV123" s="4"/>
      <c r="AW123" s="4"/>
      <c r="AX123" s="4"/>
      <c r="AY123" s="4"/>
      <c r="AZ123" s="4"/>
    </row>
    <row r="124" spans="1:52" s="25" customFormat="1" ht="31.5">
      <c r="A124" s="4"/>
      <c r="B124" s="21">
        <f t="shared" si="2"/>
        <v>112</v>
      </c>
      <c r="C124" s="6" t="s">
        <v>740</v>
      </c>
      <c r="D124" s="6" t="s">
        <v>741</v>
      </c>
      <c r="E124" s="8"/>
      <c r="F124" s="7" t="s">
        <v>316</v>
      </c>
      <c r="G124" s="7" t="str">
        <f t="shared" si="3"/>
        <v>text</v>
      </c>
      <c r="H124" s="26"/>
      <c r="I124" s="10"/>
      <c r="J124" s="11"/>
      <c r="L124" s="4"/>
      <c r="M124" s="4"/>
      <c r="N124" s="76"/>
      <c r="O124" s="76"/>
      <c r="P124" s="76" t="str">
        <f t="shared" si="13"/>
        <v>,m010010_before_rankin_scale</v>
      </c>
      <c r="Q124" s="76" t="str">
        <f t="shared" si="14"/>
        <v>TEXT</v>
      </c>
      <c r="R124" s="76" t="str">
        <f t="shared" si="15"/>
        <v/>
      </c>
      <c r="S124" s="76" t="str">
        <f t="shared" si="16"/>
        <v/>
      </c>
      <c r="T124" s="76" t="str">
        <f t="shared" si="17"/>
        <v>-- 発症前RankinScale</v>
      </c>
      <c r="U124" s="4"/>
      <c r="AA124" s="4"/>
      <c r="AB124" s="4"/>
      <c r="AC124" s="4"/>
      <c r="AD124" s="4"/>
      <c r="AE124" s="4"/>
      <c r="AF124" s="4"/>
      <c r="AG124" s="4"/>
      <c r="AH124" s="4"/>
      <c r="AI124" s="4"/>
      <c r="AJ124" s="76" t="str">
        <f>IF(E124="○",IF(COUNTA(E$13:E124)=1,"",",")&amp;D124,"")</f>
        <v/>
      </c>
      <c r="AK124" s="4"/>
      <c r="AL124" s="4"/>
      <c r="AM124" s="4"/>
      <c r="AN124" s="4"/>
      <c r="AO124" s="4"/>
      <c r="AP124" s="4"/>
      <c r="AQ124" s="4"/>
      <c r="AR124" s="4"/>
      <c r="AS124" s="76" t="str">
        <f>"COMMENT ON COLUMN "&amp;エンティティ一覧!$O$2&amp;"."&amp;D$8&amp;"."&amp;D124&amp;" IS '"&amp;C124&amp;"';"</f>
        <v>COMMENT ON COLUMN milscm_2023_010.azn_202310_backup_merge_dpc_ff1.m010010_before_rankin_scale IS '発症前RankinScale';</v>
      </c>
      <c r="AT124" s="4"/>
      <c r="AU124" s="4"/>
      <c r="AV124" s="4"/>
      <c r="AW124" s="4"/>
      <c r="AX124" s="4"/>
      <c r="AY124" s="4"/>
      <c r="AZ124" s="4"/>
    </row>
    <row r="125" spans="1:52" s="25" customFormat="1">
      <c r="A125" s="4"/>
      <c r="B125" s="21">
        <f t="shared" si="2"/>
        <v>113</v>
      </c>
      <c r="C125" s="13" t="s">
        <v>742</v>
      </c>
      <c r="D125" s="13" t="s">
        <v>743</v>
      </c>
      <c r="E125" s="7"/>
      <c r="F125" s="7" t="s">
        <v>316</v>
      </c>
      <c r="G125" s="7" t="str">
        <f t="shared" si="3"/>
        <v>text</v>
      </c>
      <c r="H125" s="58"/>
      <c r="I125" s="23"/>
      <c r="J125" s="24"/>
      <c r="L125" s="4"/>
      <c r="M125" s="4"/>
      <c r="N125" s="76"/>
      <c r="O125" s="76"/>
      <c r="P125" s="76" t="str">
        <f t="shared" si="13"/>
        <v>,m010010_stroke</v>
      </c>
      <c r="Q125" s="76" t="str">
        <f t="shared" si="14"/>
        <v>TEXT</v>
      </c>
      <c r="R125" s="76" t="str">
        <f t="shared" si="15"/>
        <v/>
      </c>
      <c r="S125" s="76" t="str">
        <f t="shared" si="16"/>
        <v/>
      </c>
      <c r="T125" s="76" t="str">
        <f t="shared" si="17"/>
        <v>-- 脳卒中の発症時期</v>
      </c>
      <c r="U125" s="4"/>
      <c r="AA125" s="4"/>
      <c r="AB125" s="4"/>
      <c r="AC125" s="4"/>
      <c r="AD125" s="4"/>
      <c r="AE125" s="4"/>
      <c r="AF125" s="4"/>
      <c r="AG125" s="4"/>
      <c r="AH125" s="4"/>
      <c r="AI125" s="4"/>
      <c r="AJ125" s="76" t="str">
        <f>IF(E125="○",IF(COUNTA(E$13:E125)=1,"",",")&amp;D125,"")</f>
        <v/>
      </c>
      <c r="AK125" s="4"/>
      <c r="AL125" s="4"/>
      <c r="AM125" s="4"/>
      <c r="AN125" s="4"/>
      <c r="AO125" s="4"/>
      <c r="AP125" s="4"/>
      <c r="AQ125" s="4"/>
      <c r="AR125" s="4"/>
      <c r="AS125" s="76" t="str">
        <f>"COMMENT ON COLUMN "&amp;エンティティ一覧!$O$2&amp;"."&amp;D$8&amp;"."&amp;D125&amp;" IS '"&amp;C125&amp;"';"</f>
        <v>COMMENT ON COLUMN milscm_2023_010.azn_202310_backup_merge_dpc_ff1.m010010_stroke IS '脳卒中の発症時期';</v>
      </c>
      <c r="AT125" s="4"/>
      <c r="AU125" s="4"/>
      <c r="AV125" s="4"/>
      <c r="AW125" s="4"/>
      <c r="AX125" s="4"/>
      <c r="AY125" s="4"/>
      <c r="AZ125" s="4"/>
    </row>
    <row r="126" spans="1:52" s="25" customFormat="1" ht="31.5">
      <c r="A126" s="4"/>
      <c r="B126" s="21">
        <f t="shared" si="2"/>
        <v>114</v>
      </c>
      <c r="C126" s="13" t="s">
        <v>744</v>
      </c>
      <c r="D126" s="13" t="s">
        <v>745</v>
      </c>
      <c r="E126" s="7"/>
      <c r="F126" s="7" t="s">
        <v>316</v>
      </c>
      <c r="G126" s="7" t="str">
        <f t="shared" si="3"/>
        <v>text</v>
      </c>
      <c r="H126" s="26"/>
      <c r="I126" s="10"/>
      <c r="J126" s="11"/>
      <c r="L126" s="4"/>
      <c r="M126" s="4"/>
      <c r="N126" s="76"/>
      <c r="O126" s="76"/>
      <c r="P126" s="76" t="str">
        <f t="shared" si="13"/>
        <v>,m010020_taiin_modified_rankin</v>
      </c>
      <c r="Q126" s="76" t="str">
        <f t="shared" si="14"/>
        <v>TEXT</v>
      </c>
      <c r="R126" s="76" t="str">
        <f t="shared" si="15"/>
        <v/>
      </c>
      <c r="S126" s="76" t="str">
        <f t="shared" si="16"/>
        <v/>
      </c>
      <c r="T126" s="76" t="str">
        <f t="shared" si="17"/>
        <v>-- 退院時modifiedRankin</v>
      </c>
      <c r="U126" s="4"/>
      <c r="AA126" s="4"/>
      <c r="AB126" s="4"/>
      <c r="AC126" s="4"/>
      <c r="AD126" s="4"/>
      <c r="AE126" s="4"/>
      <c r="AF126" s="4"/>
      <c r="AG126" s="4"/>
      <c r="AH126" s="4"/>
      <c r="AI126" s="4"/>
      <c r="AJ126" s="76" t="str">
        <f>IF(E126="○",IF(COUNTA(E$13:E126)=1,"",",")&amp;D126,"")</f>
        <v/>
      </c>
      <c r="AK126" s="4"/>
      <c r="AL126" s="4"/>
      <c r="AM126" s="4"/>
      <c r="AN126" s="4"/>
      <c r="AO126" s="4"/>
      <c r="AP126" s="4"/>
      <c r="AQ126" s="4"/>
      <c r="AR126" s="4"/>
      <c r="AS126" s="76" t="str">
        <f>"COMMENT ON COLUMN "&amp;エンティティ一覧!$O$2&amp;"."&amp;D$8&amp;"."&amp;D126&amp;" IS '"&amp;C126&amp;"';"</f>
        <v>COMMENT ON COLUMN milscm_2023_010.azn_202310_backup_merge_dpc_ff1.m010020_taiin_modified_rankin IS '退院時modifiedRankin';</v>
      </c>
      <c r="AT126" s="4"/>
      <c r="AU126" s="4"/>
      <c r="AV126" s="4"/>
      <c r="AW126" s="4"/>
      <c r="AX126" s="4"/>
      <c r="AY126" s="4"/>
      <c r="AZ126" s="4"/>
    </row>
    <row r="127" spans="1:52" s="25" customFormat="1" ht="31.5">
      <c r="A127" s="4"/>
      <c r="B127" s="21">
        <f t="shared" si="2"/>
        <v>115</v>
      </c>
      <c r="C127" s="6" t="s">
        <v>746</v>
      </c>
      <c r="D127" s="6" t="s">
        <v>747</v>
      </c>
      <c r="E127" s="8"/>
      <c r="F127" s="7" t="s">
        <v>316</v>
      </c>
      <c r="G127" s="7" t="str">
        <f t="shared" si="3"/>
        <v>text</v>
      </c>
      <c r="H127" s="58"/>
      <c r="I127" s="23"/>
      <c r="J127" s="24" t="s">
        <v>845</v>
      </c>
      <c r="L127" s="4"/>
      <c r="M127" s="4"/>
      <c r="N127" s="76"/>
      <c r="O127" s="76"/>
      <c r="P127" s="76" t="str">
        <f t="shared" si="13"/>
        <v>,m010030_temozolomide_flag</v>
      </c>
      <c r="Q127" s="76" t="str">
        <f t="shared" si="14"/>
        <v>TEXT</v>
      </c>
      <c r="R127" s="76" t="str">
        <f t="shared" si="15"/>
        <v/>
      </c>
      <c r="S127" s="76" t="str">
        <f t="shared" si="16"/>
        <v/>
      </c>
      <c r="T127" s="76" t="str">
        <f t="shared" si="17"/>
        <v>-- テモゾロミド（初回治療）の有無</v>
      </c>
      <c r="U127" s="4"/>
      <c r="AA127" s="4"/>
      <c r="AB127" s="4"/>
      <c r="AC127" s="4"/>
      <c r="AD127" s="4"/>
      <c r="AE127" s="4"/>
      <c r="AF127" s="4"/>
      <c r="AG127" s="4"/>
      <c r="AH127" s="4"/>
      <c r="AI127" s="4"/>
      <c r="AJ127" s="76" t="str">
        <f>IF(E127="○",IF(COUNTA(E$13:E127)=1,"",",")&amp;D127,"")</f>
        <v/>
      </c>
      <c r="AK127" s="4"/>
      <c r="AL127" s="4"/>
      <c r="AM127" s="4"/>
      <c r="AN127" s="4"/>
      <c r="AO127" s="4"/>
      <c r="AP127" s="4"/>
      <c r="AQ127" s="4"/>
      <c r="AR127" s="4"/>
      <c r="AS127" s="76" t="str">
        <f>"COMMENT ON COLUMN "&amp;エンティティ一覧!$O$2&amp;"."&amp;D$8&amp;"."&amp;D127&amp;" IS '"&amp;C127&amp;"';"</f>
        <v>COMMENT ON COLUMN milscm_2023_010.azn_202310_backup_merge_dpc_ff1.m010030_temozolomide_flag IS 'テモゾロミド（初回治療）の有無';</v>
      </c>
      <c r="AT127" s="4"/>
      <c r="AU127" s="4"/>
      <c r="AV127" s="4"/>
      <c r="AW127" s="4"/>
      <c r="AX127" s="4"/>
      <c r="AY127" s="4"/>
      <c r="AZ127" s="4"/>
    </row>
    <row r="128" spans="1:52" s="25" customFormat="1">
      <c r="A128" s="4"/>
      <c r="B128" s="21">
        <f t="shared" si="2"/>
        <v>116</v>
      </c>
      <c r="C128" s="13" t="s">
        <v>748</v>
      </c>
      <c r="D128" s="13" t="s">
        <v>749</v>
      </c>
      <c r="E128" s="7"/>
      <c r="F128" s="7" t="s">
        <v>316</v>
      </c>
      <c r="G128" s="7" t="str">
        <f t="shared" si="3"/>
        <v>text</v>
      </c>
      <c r="H128" s="26"/>
      <c r="I128" s="10"/>
      <c r="J128" s="11"/>
      <c r="L128" s="4"/>
      <c r="M128" s="4"/>
      <c r="N128" s="76"/>
      <c r="O128" s="76"/>
      <c r="P128" s="76" t="str">
        <f t="shared" si="13"/>
        <v>,m040010_hugh_jones</v>
      </c>
      <c r="Q128" s="76" t="str">
        <f t="shared" si="14"/>
        <v>TEXT</v>
      </c>
      <c r="R128" s="76" t="str">
        <f t="shared" si="15"/>
        <v/>
      </c>
      <c r="S128" s="76" t="str">
        <f t="shared" si="16"/>
        <v/>
      </c>
      <c r="T128" s="76" t="str">
        <f t="shared" si="17"/>
        <v>-- Hugh-Jones分類</v>
      </c>
      <c r="U128" s="4"/>
      <c r="AA128" s="4"/>
      <c r="AB128" s="4"/>
      <c r="AC128" s="4"/>
      <c r="AD128" s="4"/>
      <c r="AE128" s="4"/>
      <c r="AF128" s="4"/>
      <c r="AG128" s="4"/>
      <c r="AH128" s="4"/>
      <c r="AI128" s="4"/>
      <c r="AJ128" s="76" t="str">
        <f>IF(E128="○",IF(COUNTA(E$13:E128)=1,"",",")&amp;D128,"")</f>
        <v/>
      </c>
      <c r="AK128" s="4"/>
      <c r="AL128" s="4"/>
      <c r="AM128" s="4"/>
      <c r="AN128" s="4"/>
      <c r="AO128" s="4"/>
      <c r="AP128" s="4"/>
      <c r="AQ128" s="4"/>
      <c r="AR128" s="4"/>
      <c r="AS128" s="76" t="str">
        <f>"COMMENT ON COLUMN "&amp;エンティティ一覧!$O$2&amp;"."&amp;D$8&amp;"."&amp;D128&amp;" IS '"&amp;C128&amp;"';"</f>
        <v>COMMENT ON COLUMN milscm_2023_010.azn_202310_backup_merge_dpc_ff1.m040010_hugh_jones IS 'Hugh-Jones分類';</v>
      </c>
      <c r="AT128" s="4"/>
      <c r="AU128" s="4"/>
      <c r="AV128" s="4"/>
      <c r="AW128" s="4"/>
      <c r="AX128" s="4"/>
      <c r="AY128" s="4"/>
      <c r="AZ128" s="4"/>
    </row>
    <row r="129" spans="1:52" s="25" customFormat="1">
      <c r="A129" s="4"/>
      <c r="B129" s="21">
        <f t="shared" si="2"/>
        <v>117</v>
      </c>
      <c r="C129" s="13" t="s">
        <v>750</v>
      </c>
      <c r="D129" s="13" t="s">
        <v>751</v>
      </c>
      <c r="E129" s="7"/>
      <c r="F129" s="7" t="s">
        <v>316</v>
      </c>
      <c r="G129" s="7" t="str">
        <f t="shared" si="3"/>
        <v>text</v>
      </c>
      <c r="H129" s="58"/>
      <c r="I129" s="23"/>
      <c r="J129" s="24"/>
      <c r="L129" s="4"/>
      <c r="M129" s="4"/>
      <c r="N129" s="76"/>
      <c r="O129" s="76"/>
      <c r="P129" s="76" t="str">
        <f t="shared" si="13"/>
        <v>,m040020_haien_jushodo</v>
      </c>
      <c r="Q129" s="76" t="str">
        <f t="shared" si="14"/>
        <v>TEXT</v>
      </c>
      <c r="R129" s="76" t="str">
        <f t="shared" si="15"/>
        <v/>
      </c>
      <c r="S129" s="76" t="str">
        <f t="shared" si="16"/>
        <v/>
      </c>
      <c r="T129" s="76" t="str">
        <f t="shared" si="17"/>
        <v>-- 肺炎の重症度分類</v>
      </c>
      <c r="U129" s="4"/>
      <c r="AA129" s="4"/>
      <c r="AB129" s="4"/>
      <c r="AC129" s="4"/>
      <c r="AD129" s="4"/>
      <c r="AE129" s="4"/>
      <c r="AF129" s="4"/>
      <c r="AG129" s="4"/>
      <c r="AH129" s="4"/>
      <c r="AI129" s="4"/>
      <c r="AJ129" s="76" t="str">
        <f>IF(E129="○",IF(COUNTA(E$13:E129)=1,"",",")&amp;D129,"")</f>
        <v/>
      </c>
      <c r="AK129" s="4"/>
      <c r="AL129" s="4"/>
      <c r="AM129" s="4"/>
      <c r="AN129" s="4"/>
      <c r="AO129" s="4"/>
      <c r="AP129" s="4"/>
      <c r="AQ129" s="4"/>
      <c r="AR129" s="4"/>
      <c r="AS129" s="76" t="str">
        <f>"COMMENT ON COLUMN "&amp;エンティティ一覧!$O$2&amp;"."&amp;D$8&amp;"."&amp;D129&amp;" IS '"&amp;C129&amp;"';"</f>
        <v>COMMENT ON COLUMN milscm_2023_010.azn_202310_backup_merge_dpc_ff1.m040020_haien_jushodo IS '肺炎の重症度分類';</v>
      </c>
      <c r="AT129" s="4"/>
      <c r="AU129" s="4"/>
      <c r="AV129" s="4"/>
      <c r="AW129" s="4"/>
      <c r="AX129" s="4"/>
      <c r="AY129" s="4"/>
      <c r="AZ129" s="4"/>
    </row>
    <row r="130" spans="1:52" s="25" customFormat="1" ht="31.5">
      <c r="A130" s="4"/>
      <c r="B130" s="21">
        <f t="shared" si="2"/>
        <v>118</v>
      </c>
      <c r="C130" s="13" t="s">
        <v>752</v>
      </c>
      <c r="D130" s="13" t="s">
        <v>753</v>
      </c>
      <c r="E130" s="7"/>
      <c r="F130" s="7" t="s">
        <v>316</v>
      </c>
      <c r="G130" s="7" t="str">
        <f t="shared" si="3"/>
        <v>text</v>
      </c>
      <c r="H130" s="58"/>
      <c r="I130" s="23"/>
      <c r="J130" s="24" t="s">
        <v>845</v>
      </c>
      <c r="L130" s="4"/>
      <c r="M130" s="4"/>
      <c r="N130" s="76"/>
      <c r="O130" s="76"/>
      <c r="P130" s="76" t="str">
        <f t="shared" si="13"/>
        <v>,m040020_kanren_haien_flag</v>
      </c>
      <c r="Q130" s="76" t="str">
        <f t="shared" si="14"/>
        <v>TEXT</v>
      </c>
      <c r="R130" s="76" t="str">
        <f t="shared" si="15"/>
        <v/>
      </c>
      <c r="S130" s="76" t="str">
        <f t="shared" si="16"/>
        <v/>
      </c>
      <c r="T130" s="76" t="str">
        <f t="shared" si="17"/>
        <v>-- 医療介護関連肺炎に該当の有無</v>
      </c>
      <c r="U130" s="4"/>
      <c r="AA130" s="4"/>
      <c r="AB130" s="4"/>
      <c r="AC130" s="4"/>
      <c r="AD130" s="4"/>
      <c r="AE130" s="4"/>
      <c r="AF130" s="4"/>
      <c r="AG130" s="4"/>
      <c r="AH130" s="4"/>
      <c r="AI130" s="4"/>
      <c r="AJ130" s="76" t="str">
        <f>IF(E130="○",IF(COUNTA(E$13:E130)=1,"",",")&amp;D130,"")</f>
        <v/>
      </c>
      <c r="AK130" s="4"/>
      <c r="AL130" s="4"/>
      <c r="AM130" s="4"/>
      <c r="AN130" s="4"/>
      <c r="AO130" s="4"/>
      <c r="AP130" s="4"/>
      <c r="AQ130" s="4"/>
      <c r="AR130" s="4"/>
      <c r="AS130" s="76" t="str">
        <f>"COMMENT ON COLUMN "&amp;エンティティ一覧!$O$2&amp;"."&amp;D$8&amp;"."&amp;D130&amp;" IS '"&amp;C130&amp;"';"</f>
        <v>COMMENT ON COLUMN milscm_2023_010.azn_202310_backup_merge_dpc_ff1.m040020_kanren_haien_flag IS '医療介護関連肺炎に該当の有無';</v>
      </c>
      <c r="AT130" s="4"/>
      <c r="AU130" s="4"/>
      <c r="AV130" s="4"/>
      <c r="AW130" s="4"/>
      <c r="AX130" s="4"/>
      <c r="AY130" s="4"/>
      <c r="AZ130" s="4"/>
    </row>
    <row r="131" spans="1:52" s="25" customFormat="1">
      <c r="A131" s="4"/>
      <c r="B131" s="21">
        <f t="shared" si="2"/>
        <v>119</v>
      </c>
      <c r="C131" s="6" t="s">
        <v>754</v>
      </c>
      <c r="D131" s="6" t="s">
        <v>755</v>
      </c>
      <c r="E131" s="8"/>
      <c r="F131" s="7" t="s">
        <v>316</v>
      </c>
      <c r="G131" s="7" t="str">
        <f t="shared" si="3"/>
        <v>text</v>
      </c>
      <c r="H131" s="26"/>
      <c r="I131" s="10"/>
      <c r="J131" s="11" t="s">
        <v>846</v>
      </c>
      <c r="L131" s="4"/>
      <c r="M131" s="4"/>
      <c r="N131" s="76"/>
      <c r="O131" s="76"/>
      <c r="P131" s="76" t="str">
        <f t="shared" si="13"/>
        <v>,m040030_emergency_pf</v>
      </c>
      <c r="Q131" s="76" t="str">
        <f t="shared" si="14"/>
        <v>TEXT</v>
      </c>
      <c r="R131" s="76" t="str">
        <f t="shared" si="15"/>
        <v/>
      </c>
      <c r="S131" s="76" t="str">
        <f t="shared" si="16"/>
        <v/>
      </c>
      <c r="T131" s="76" t="str">
        <f t="shared" si="17"/>
        <v>-- 救急受診時のP/F比</v>
      </c>
      <c r="U131" s="4"/>
      <c r="AA131" s="4"/>
      <c r="AB131" s="4"/>
      <c r="AC131" s="4"/>
      <c r="AD131" s="4"/>
      <c r="AE131" s="4"/>
      <c r="AF131" s="4"/>
      <c r="AG131" s="4"/>
      <c r="AH131" s="4"/>
      <c r="AI131" s="4"/>
      <c r="AJ131" s="76" t="str">
        <f>IF(E131="○",IF(COUNTA(E$13:E131)=1,"",",")&amp;D131,"")</f>
        <v/>
      </c>
      <c r="AK131" s="4"/>
      <c r="AL131" s="4"/>
      <c r="AM131" s="4"/>
      <c r="AN131" s="4"/>
      <c r="AO131" s="4"/>
      <c r="AP131" s="4"/>
      <c r="AQ131" s="4"/>
      <c r="AR131" s="4"/>
      <c r="AS131" s="76" t="str">
        <f>"COMMENT ON COLUMN "&amp;エンティティ一覧!$O$2&amp;"."&amp;D$8&amp;"."&amp;D131&amp;" IS '"&amp;C131&amp;"';"</f>
        <v>COMMENT ON COLUMN milscm_2023_010.azn_202310_backup_merge_dpc_ff1.m040030_emergency_pf IS '救急受診時のP/F比';</v>
      </c>
      <c r="AT131" s="4"/>
      <c r="AU131" s="4"/>
      <c r="AV131" s="4"/>
      <c r="AW131" s="4"/>
      <c r="AX131" s="4"/>
      <c r="AY131" s="4"/>
      <c r="AZ131" s="4"/>
    </row>
    <row r="132" spans="1:52" s="25" customFormat="1" ht="31.5">
      <c r="A132" s="4"/>
      <c r="B132" s="21">
        <f t="shared" si="2"/>
        <v>120</v>
      </c>
      <c r="C132" s="13" t="s">
        <v>756</v>
      </c>
      <c r="D132" s="13" t="s">
        <v>757</v>
      </c>
      <c r="E132" s="7"/>
      <c r="F132" s="7" t="s">
        <v>316</v>
      </c>
      <c r="G132" s="7" t="str">
        <f t="shared" si="3"/>
        <v>text</v>
      </c>
      <c r="H132" s="26"/>
      <c r="I132" s="10"/>
      <c r="J132" s="11" t="s">
        <v>847</v>
      </c>
      <c r="L132" s="4"/>
      <c r="M132" s="4"/>
      <c r="N132" s="76"/>
      <c r="O132" s="76"/>
      <c r="P132" s="76" t="str">
        <f t="shared" si="13"/>
        <v>,m040030_emergency_kokyu</v>
      </c>
      <c r="Q132" s="76" t="str">
        <f t="shared" si="14"/>
        <v>TEXT</v>
      </c>
      <c r="R132" s="76" t="str">
        <f t="shared" si="15"/>
        <v/>
      </c>
      <c r="S132" s="76" t="str">
        <f t="shared" si="16"/>
        <v/>
      </c>
      <c r="T132" s="76" t="str">
        <f t="shared" si="17"/>
        <v>-- 救急受診時の呼吸補助</v>
      </c>
      <c r="U132" s="4"/>
      <c r="AA132" s="4"/>
      <c r="AB132" s="4"/>
      <c r="AC132" s="4"/>
      <c r="AD132" s="4"/>
      <c r="AE132" s="4"/>
      <c r="AF132" s="4"/>
      <c r="AG132" s="4"/>
      <c r="AH132" s="4"/>
      <c r="AI132" s="4"/>
      <c r="AJ132" s="76" t="str">
        <f>IF(E132="○",IF(COUNTA(E$13:E132)=1,"",",")&amp;D132,"")</f>
        <v/>
      </c>
      <c r="AK132" s="4"/>
      <c r="AL132" s="4"/>
      <c r="AM132" s="4"/>
      <c r="AN132" s="4"/>
      <c r="AO132" s="4"/>
      <c r="AP132" s="4"/>
      <c r="AQ132" s="4"/>
      <c r="AR132" s="4"/>
      <c r="AS132" s="76" t="str">
        <f>"COMMENT ON COLUMN "&amp;エンティティ一覧!$O$2&amp;"."&amp;D$8&amp;"."&amp;D132&amp;" IS '"&amp;C132&amp;"';"</f>
        <v>COMMENT ON COLUMN milscm_2023_010.azn_202310_backup_merge_dpc_ff1.m040030_emergency_kokyu IS '救急受診時の呼吸補助';</v>
      </c>
      <c r="AT132" s="4"/>
      <c r="AU132" s="4"/>
      <c r="AV132" s="4"/>
      <c r="AW132" s="4"/>
      <c r="AX132" s="4"/>
      <c r="AY132" s="4"/>
      <c r="AZ132" s="4"/>
    </row>
    <row r="133" spans="1:52" s="25" customFormat="1">
      <c r="A133" s="4"/>
      <c r="B133" s="21">
        <f t="shared" si="2"/>
        <v>121</v>
      </c>
      <c r="C133" s="6" t="s">
        <v>758</v>
      </c>
      <c r="D133" s="6" t="s">
        <v>759</v>
      </c>
      <c r="E133" s="8"/>
      <c r="F133" s="7" t="s">
        <v>316</v>
      </c>
      <c r="G133" s="7" t="str">
        <f t="shared" si="3"/>
        <v>text</v>
      </c>
      <c r="H133" s="58"/>
      <c r="I133" s="23"/>
      <c r="J133" s="24" t="s">
        <v>846</v>
      </c>
      <c r="L133" s="4"/>
      <c r="M133" s="4"/>
      <c r="N133" s="76"/>
      <c r="O133" s="76"/>
      <c r="P133" s="76" t="str">
        <f t="shared" si="13"/>
        <v>,m040030_nyusitsu_pf</v>
      </c>
      <c r="Q133" s="76" t="str">
        <f t="shared" si="14"/>
        <v>TEXT</v>
      </c>
      <c r="R133" s="76" t="str">
        <f t="shared" si="15"/>
        <v/>
      </c>
      <c r="S133" s="76" t="str">
        <f t="shared" si="16"/>
        <v/>
      </c>
      <c r="T133" s="76" t="str">
        <f t="shared" si="17"/>
        <v>-- 治療室又は病棟入室時のP/F比</v>
      </c>
      <c r="U133" s="4"/>
      <c r="AA133" s="4"/>
      <c r="AB133" s="4"/>
      <c r="AC133" s="4"/>
      <c r="AD133" s="4"/>
      <c r="AE133" s="4"/>
      <c r="AF133" s="4"/>
      <c r="AG133" s="4"/>
      <c r="AH133" s="4"/>
      <c r="AI133" s="4"/>
      <c r="AJ133" s="76" t="str">
        <f>IF(E133="○",IF(COUNTA(E$13:E133)=1,"",",")&amp;D133,"")</f>
        <v/>
      </c>
      <c r="AK133" s="4"/>
      <c r="AL133" s="4"/>
      <c r="AM133" s="4"/>
      <c r="AN133" s="4"/>
      <c r="AO133" s="4"/>
      <c r="AP133" s="4"/>
      <c r="AQ133" s="4"/>
      <c r="AR133" s="4"/>
      <c r="AS133" s="76" t="str">
        <f>"COMMENT ON COLUMN "&amp;エンティティ一覧!$O$2&amp;"."&amp;D$8&amp;"."&amp;D133&amp;" IS '"&amp;C133&amp;"';"</f>
        <v>COMMENT ON COLUMN milscm_2023_010.azn_202310_backup_merge_dpc_ff1.m040030_nyusitsu_pf IS '治療室又は病棟入室時のP/F比';</v>
      </c>
      <c r="AT133" s="4"/>
      <c r="AU133" s="4"/>
      <c r="AV133" s="4"/>
      <c r="AW133" s="4"/>
      <c r="AX133" s="4"/>
      <c r="AY133" s="4"/>
      <c r="AZ133" s="4"/>
    </row>
    <row r="134" spans="1:52" s="25" customFormat="1">
      <c r="A134" s="4"/>
      <c r="B134" s="21">
        <f t="shared" si="2"/>
        <v>122</v>
      </c>
      <c r="C134" s="13" t="s">
        <v>760</v>
      </c>
      <c r="D134" s="13" t="s">
        <v>761</v>
      </c>
      <c r="E134" s="7"/>
      <c r="F134" s="7" t="s">
        <v>316</v>
      </c>
      <c r="G134" s="7" t="str">
        <f t="shared" si="3"/>
        <v>text</v>
      </c>
      <c r="H134" s="26"/>
      <c r="I134" s="10"/>
      <c r="J134" s="11" t="s">
        <v>847</v>
      </c>
      <c r="L134" s="4"/>
      <c r="M134" s="4"/>
      <c r="N134" s="76"/>
      <c r="O134" s="76"/>
      <c r="P134" s="76" t="str">
        <f t="shared" si="13"/>
        <v>,m040030_nyusitsu_kokyu</v>
      </c>
      <c r="Q134" s="76" t="str">
        <f t="shared" si="14"/>
        <v>TEXT</v>
      </c>
      <c r="R134" s="76" t="str">
        <f t="shared" si="15"/>
        <v/>
      </c>
      <c r="S134" s="76" t="str">
        <f t="shared" si="16"/>
        <v/>
      </c>
      <c r="T134" s="76" t="str">
        <f t="shared" si="17"/>
        <v>-- 治療室又は病棟入室時の呼吸補助</v>
      </c>
      <c r="U134" s="4"/>
      <c r="AA134" s="4"/>
      <c r="AB134" s="4"/>
      <c r="AC134" s="4"/>
      <c r="AD134" s="4"/>
      <c r="AE134" s="4"/>
      <c r="AF134" s="4"/>
      <c r="AG134" s="4"/>
      <c r="AH134" s="4"/>
      <c r="AI134" s="4"/>
      <c r="AJ134" s="76" t="str">
        <f>IF(E134="○",IF(COUNTA(E$13:E134)=1,"",",")&amp;D134,"")</f>
        <v/>
      </c>
      <c r="AK134" s="4"/>
      <c r="AL134" s="4"/>
      <c r="AM134" s="4"/>
      <c r="AN134" s="4"/>
      <c r="AO134" s="4"/>
      <c r="AP134" s="4"/>
      <c r="AQ134" s="4"/>
      <c r="AR134" s="4"/>
      <c r="AS134" s="76" t="str">
        <f>"COMMENT ON COLUMN "&amp;エンティティ一覧!$O$2&amp;"."&amp;D$8&amp;"."&amp;D134&amp;" IS '"&amp;C134&amp;"';"</f>
        <v>COMMENT ON COLUMN milscm_2023_010.azn_202310_backup_merge_dpc_ff1.m040030_nyusitsu_kokyu IS '治療室又は病棟入室時の呼吸補助';</v>
      </c>
      <c r="AT134" s="4"/>
      <c r="AU134" s="4"/>
      <c r="AV134" s="4"/>
      <c r="AW134" s="4"/>
      <c r="AX134" s="4"/>
      <c r="AY134" s="4"/>
      <c r="AZ134" s="4"/>
    </row>
    <row r="135" spans="1:52" s="25" customFormat="1" ht="93.75">
      <c r="A135" s="4"/>
      <c r="B135" s="21">
        <f t="shared" si="2"/>
        <v>123</v>
      </c>
      <c r="C135" s="6" t="s">
        <v>762</v>
      </c>
      <c r="D135" s="6" t="s">
        <v>763</v>
      </c>
      <c r="E135" s="8"/>
      <c r="F135" s="7" t="s">
        <v>316</v>
      </c>
      <c r="G135" s="7" t="str">
        <f t="shared" si="3"/>
        <v>text</v>
      </c>
      <c r="H135" s="58"/>
      <c r="I135" s="23"/>
      <c r="J135" s="24" t="s">
        <v>848</v>
      </c>
      <c r="L135" s="4"/>
      <c r="M135" s="4"/>
      <c r="N135" s="76"/>
      <c r="O135" s="76"/>
      <c r="P135" s="76" t="str">
        <f t="shared" si="13"/>
        <v>,m050010_nyha</v>
      </c>
      <c r="Q135" s="76" t="str">
        <f t="shared" si="14"/>
        <v>TEXT</v>
      </c>
      <c r="R135" s="76" t="str">
        <f t="shared" si="15"/>
        <v/>
      </c>
      <c r="S135" s="76" t="str">
        <f t="shared" si="16"/>
        <v/>
      </c>
      <c r="T135" s="76" t="str">
        <f t="shared" si="17"/>
        <v>-- NYHA心機能分類</v>
      </c>
      <c r="U135" s="4"/>
      <c r="AA135" s="4"/>
      <c r="AB135" s="4"/>
      <c r="AC135" s="4"/>
      <c r="AD135" s="4"/>
      <c r="AE135" s="4"/>
      <c r="AF135" s="4"/>
      <c r="AG135" s="4"/>
      <c r="AH135" s="4"/>
      <c r="AI135" s="4"/>
      <c r="AJ135" s="76" t="str">
        <f>IF(E135="○",IF(COUNTA(E$13:E135)=1,"",",")&amp;D135,"")</f>
        <v/>
      </c>
      <c r="AK135" s="4"/>
      <c r="AL135" s="4"/>
      <c r="AM135" s="4"/>
      <c r="AN135" s="4"/>
      <c r="AO135" s="4"/>
      <c r="AP135" s="4"/>
      <c r="AQ135" s="4"/>
      <c r="AR135" s="4"/>
      <c r="AS135" s="76" t="str">
        <f>"COMMENT ON COLUMN "&amp;エンティティ一覧!$O$2&amp;"."&amp;D$8&amp;"."&amp;D135&amp;" IS '"&amp;C135&amp;"';"</f>
        <v>COMMENT ON COLUMN milscm_2023_010.azn_202310_backup_merge_dpc_ff1.m050010_nyha IS 'NYHA心機能分類';</v>
      </c>
      <c r="AT135" s="4"/>
      <c r="AU135" s="4"/>
      <c r="AV135" s="4"/>
      <c r="AW135" s="4"/>
      <c r="AX135" s="4"/>
      <c r="AY135" s="4"/>
      <c r="AZ135" s="4"/>
    </row>
    <row r="136" spans="1:52" s="25" customFormat="1" ht="93.75">
      <c r="A136" s="4"/>
      <c r="B136" s="21">
        <f t="shared" si="2"/>
        <v>124</v>
      </c>
      <c r="C136" s="13" t="s">
        <v>764</v>
      </c>
      <c r="D136" s="13" t="s">
        <v>765</v>
      </c>
      <c r="E136" s="7"/>
      <c r="F136" s="7" t="s">
        <v>316</v>
      </c>
      <c r="G136" s="7" t="str">
        <f t="shared" si="3"/>
        <v>text</v>
      </c>
      <c r="H136" s="26"/>
      <c r="I136" s="10"/>
      <c r="J136" s="11" t="s">
        <v>849</v>
      </c>
      <c r="L136" s="4"/>
      <c r="M136" s="4"/>
      <c r="N136" s="76"/>
      <c r="O136" s="76"/>
      <c r="P136" s="76" t="str">
        <f t="shared" si="13"/>
        <v>,m050010_emergency_nyha</v>
      </c>
      <c r="Q136" s="76" t="str">
        <f t="shared" si="14"/>
        <v>TEXT</v>
      </c>
      <c r="R136" s="76" t="str">
        <f t="shared" si="15"/>
        <v/>
      </c>
      <c r="S136" s="76" t="str">
        <f t="shared" si="16"/>
        <v/>
      </c>
      <c r="T136" s="76" t="str">
        <f t="shared" si="17"/>
        <v>-- 救急受診時のNYHA心機能分類</v>
      </c>
      <c r="U136" s="4"/>
      <c r="AA136" s="4"/>
      <c r="AB136" s="4"/>
      <c r="AC136" s="4"/>
      <c r="AD136" s="4"/>
      <c r="AE136" s="4"/>
      <c r="AF136" s="4"/>
      <c r="AG136" s="4"/>
      <c r="AH136" s="4"/>
      <c r="AI136" s="4"/>
      <c r="AJ136" s="76" t="str">
        <f>IF(E136="○",IF(COUNTA(E$13:E136)=1,"",",")&amp;D136,"")</f>
        <v/>
      </c>
      <c r="AK136" s="4"/>
      <c r="AL136" s="4"/>
      <c r="AM136" s="4"/>
      <c r="AN136" s="4"/>
      <c r="AO136" s="4"/>
      <c r="AP136" s="4"/>
      <c r="AQ136" s="4"/>
      <c r="AR136" s="4"/>
      <c r="AS136" s="76" t="str">
        <f>"COMMENT ON COLUMN "&amp;エンティティ一覧!$O$2&amp;"."&amp;D$8&amp;"."&amp;D136&amp;" IS '"&amp;C136&amp;"';"</f>
        <v>COMMENT ON COLUMN milscm_2023_010.azn_202310_backup_merge_dpc_ff1.m050010_emergency_nyha IS '救急受診時のNYHA心機能分類';</v>
      </c>
      <c r="AT136" s="4"/>
      <c r="AU136" s="4"/>
      <c r="AV136" s="4"/>
      <c r="AW136" s="4"/>
      <c r="AX136" s="4"/>
      <c r="AY136" s="4"/>
      <c r="AZ136" s="4"/>
    </row>
    <row r="137" spans="1:52" s="25" customFormat="1" ht="93.75">
      <c r="A137" s="4"/>
      <c r="B137" s="21">
        <f t="shared" si="2"/>
        <v>125</v>
      </c>
      <c r="C137" s="6" t="s">
        <v>766</v>
      </c>
      <c r="D137" s="6" t="s">
        <v>767</v>
      </c>
      <c r="E137" s="8"/>
      <c r="F137" s="7" t="s">
        <v>316</v>
      </c>
      <c r="G137" s="7" t="str">
        <f t="shared" si="3"/>
        <v>text</v>
      </c>
      <c r="H137" s="58"/>
      <c r="I137" s="23"/>
      <c r="J137" s="24" t="s">
        <v>850</v>
      </c>
      <c r="L137" s="4"/>
      <c r="M137" s="4"/>
      <c r="N137" s="76"/>
      <c r="O137" s="76"/>
      <c r="P137" s="76" t="str">
        <f t="shared" si="13"/>
        <v>,m050010_nyusitsu_nyha</v>
      </c>
      <c r="Q137" s="76" t="str">
        <f t="shared" si="14"/>
        <v>TEXT</v>
      </c>
      <c r="R137" s="76" t="str">
        <f t="shared" si="15"/>
        <v/>
      </c>
      <c r="S137" s="76" t="str">
        <f t="shared" si="16"/>
        <v/>
      </c>
      <c r="T137" s="76" t="str">
        <f t="shared" si="17"/>
        <v>-- 治療室又は病棟入室時のNYHA 心機能分類</v>
      </c>
      <c r="U137" s="4"/>
      <c r="AA137" s="4"/>
      <c r="AB137" s="4"/>
      <c r="AC137" s="4"/>
      <c r="AD137" s="4"/>
      <c r="AE137" s="4"/>
      <c r="AF137" s="4"/>
      <c r="AG137" s="4"/>
      <c r="AH137" s="4"/>
      <c r="AI137" s="4"/>
      <c r="AJ137" s="76" t="str">
        <f>IF(E137="○",IF(COUNTA(E$13:E137)=1,"",",")&amp;D137,"")</f>
        <v/>
      </c>
      <c r="AK137" s="4"/>
      <c r="AL137" s="4"/>
      <c r="AM137" s="4"/>
      <c r="AN137" s="4"/>
      <c r="AO137" s="4"/>
      <c r="AP137" s="4"/>
      <c r="AQ137" s="4"/>
      <c r="AR137" s="4"/>
      <c r="AS137" s="76" t="str">
        <f>"COMMENT ON COLUMN "&amp;エンティティ一覧!$O$2&amp;"."&amp;D$8&amp;"."&amp;D137&amp;" IS '"&amp;C137&amp;"';"</f>
        <v>COMMENT ON COLUMN milscm_2023_010.azn_202310_backup_merge_dpc_ff1.m050010_nyusitsu_nyha IS '治療室又は病棟入室時のNYHA 心機能分類';</v>
      </c>
      <c r="AT137" s="4"/>
      <c r="AU137" s="4"/>
      <c r="AV137" s="4"/>
      <c r="AW137" s="4"/>
      <c r="AX137" s="4"/>
      <c r="AY137" s="4"/>
      <c r="AZ137" s="4"/>
    </row>
    <row r="138" spans="1:52" s="25" customFormat="1">
      <c r="A138" s="4"/>
      <c r="B138" s="21">
        <f t="shared" si="2"/>
        <v>126</v>
      </c>
      <c r="C138" s="13" t="s">
        <v>768</v>
      </c>
      <c r="D138" s="13" t="s">
        <v>769</v>
      </c>
      <c r="E138" s="7"/>
      <c r="F138" s="7" t="s">
        <v>316</v>
      </c>
      <c r="G138" s="7" t="str">
        <f t="shared" si="3"/>
        <v>text</v>
      </c>
      <c r="H138" s="26"/>
      <c r="I138" s="10"/>
      <c r="J138" s="11"/>
      <c r="L138" s="4"/>
      <c r="M138" s="4"/>
      <c r="N138" s="76"/>
      <c r="O138" s="76"/>
      <c r="P138" s="76" t="str">
        <f t="shared" si="13"/>
        <v>,m050020_ccs</v>
      </c>
      <c r="Q138" s="76" t="str">
        <f t="shared" si="14"/>
        <v>TEXT</v>
      </c>
      <c r="R138" s="76" t="str">
        <f t="shared" si="15"/>
        <v/>
      </c>
      <c r="S138" s="76" t="str">
        <f t="shared" si="16"/>
        <v/>
      </c>
      <c r="T138" s="76" t="str">
        <f t="shared" si="17"/>
        <v>-- CCS分類</v>
      </c>
      <c r="U138" s="4"/>
      <c r="AA138" s="4"/>
      <c r="AB138" s="4"/>
      <c r="AC138" s="4"/>
      <c r="AD138" s="4"/>
      <c r="AE138" s="4"/>
      <c r="AF138" s="4"/>
      <c r="AG138" s="4"/>
      <c r="AH138" s="4"/>
      <c r="AI138" s="4"/>
      <c r="AJ138" s="76" t="str">
        <f>IF(E138="○",IF(COUNTA(E$13:E138)=1,"",",")&amp;D138,"")</f>
        <v/>
      </c>
      <c r="AK138" s="4"/>
      <c r="AL138" s="4"/>
      <c r="AM138" s="4"/>
      <c r="AN138" s="4"/>
      <c r="AO138" s="4"/>
      <c r="AP138" s="4"/>
      <c r="AQ138" s="4"/>
      <c r="AR138" s="4"/>
      <c r="AS138" s="76" t="str">
        <f>"COMMENT ON COLUMN "&amp;エンティティ一覧!$O$2&amp;"."&amp;D$8&amp;"."&amp;D138&amp;" IS '"&amp;C138&amp;"';"</f>
        <v>COMMENT ON COLUMN milscm_2023_010.azn_202310_backup_merge_dpc_ff1.m050020_ccs IS 'CCS分類';</v>
      </c>
      <c r="AT138" s="4"/>
      <c r="AU138" s="4"/>
      <c r="AV138" s="4"/>
      <c r="AW138" s="4"/>
      <c r="AX138" s="4"/>
      <c r="AY138" s="4"/>
      <c r="AZ138" s="4"/>
    </row>
    <row r="139" spans="1:52" s="25" customFormat="1">
      <c r="A139" s="4"/>
      <c r="B139" s="21">
        <f t="shared" si="2"/>
        <v>127</v>
      </c>
      <c r="C139" s="13" t="s">
        <v>770</v>
      </c>
      <c r="D139" s="13" t="s">
        <v>771</v>
      </c>
      <c r="E139" s="7"/>
      <c r="F139" s="7" t="s">
        <v>316</v>
      </c>
      <c r="G139" s="7" t="str">
        <f t="shared" si="3"/>
        <v>text</v>
      </c>
      <c r="H139" s="58"/>
      <c r="I139" s="23"/>
      <c r="J139" s="24"/>
      <c r="L139" s="4"/>
      <c r="M139" s="4"/>
      <c r="N139" s="76"/>
      <c r="O139" s="76"/>
      <c r="P139" s="76" t="str">
        <f t="shared" si="13"/>
        <v>,m050030_killip</v>
      </c>
      <c r="Q139" s="76" t="str">
        <f t="shared" si="14"/>
        <v>TEXT</v>
      </c>
      <c r="R139" s="76" t="str">
        <f t="shared" si="15"/>
        <v/>
      </c>
      <c r="S139" s="76" t="str">
        <f t="shared" si="16"/>
        <v/>
      </c>
      <c r="T139" s="76" t="str">
        <f t="shared" si="17"/>
        <v>-- Killip分類</v>
      </c>
      <c r="U139" s="4"/>
      <c r="AA139" s="4"/>
      <c r="AB139" s="4"/>
      <c r="AC139" s="4"/>
      <c r="AD139" s="4"/>
      <c r="AE139" s="4"/>
      <c r="AF139" s="4"/>
      <c r="AG139" s="4"/>
      <c r="AH139" s="4"/>
      <c r="AI139" s="4"/>
      <c r="AJ139" s="76" t="str">
        <f>IF(E139="○",IF(COUNTA(E$13:E139)=1,"",",")&amp;D139,"")</f>
        <v/>
      </c>
      <c r="AK139" s="4"/>
      <c r="AL139" s="4"/>
      <c r="AM139" s="4"/>
      <c r="AN139" s="4"/>
      <c r="AO139" s="4"/>
      <c r="AP139" s="4"/>
      <c r="AQ139" s="4"/>
      <c r="AR139" s="4"/>
      <c r="AS139" s="76" t="str">
        <f>"COMMENT ON COLUMN "&amp;エンティティ一覧!$O$2&amp;"."&amp;D$8&amp;"."&amp;D139&amp;" IS '"&amp;C139&amp;"';"</f>
        <v>COMMENT ON COLUMN milscm_2023_010.azn_202310_backup_merge_dpc_ff1.m050030_killip IS 'Killip分類';</v>
      </c>
      <c r="AT139" s="4"/>
      <c r="AU139" s="4"/>
      <c r="AV139" s="4"/>
      <c r="AW139" s="4"/>
      <c r="AX139" s="4"/>
      <c r="AY139" s="4"/>
      <c r="AZ139" s="4"/>
    </row>
    <row r="140" spans="1:52" s="25" customFormat="1" ht="37.5">
      <c r="A140" s="4"/>
      <c r="B140" s="21">
        <f t="shared" si="2"/>
        <v>128</v>
      </c>
      <c r="C140" s="6" t="s">
        <v>772</v>
      </c>
      <c r="D140" s="6" t="s">
        <v>773</v>
      </c>
      <c r="E140" s="8"/>
      <c r="F140" s="7" t="s">
        <v>316</v>
      </c>
      <c r="G140" s="7" t="str">
        <f t="shared" si="3"/>
        <v>text</v>
      </c>
      <c r="H140" s="26"/>
      <c r="I140" s="10"/>
      <c r="J140" s="11" t="s">
        <v>851</v>
      </c>
      <c r="L140" s="4"/>
      <c r="M140" s="4"/>
      <c r="N140" s="76"/>
      <c r="O140" s="76"/>
      <c r="P140" s="76" t="str">
        <f t="shared" si="13"/>
        <v>,m050040_ketsuatsu</v>
      </c>
      <c r="Q140" s="76" t="str">
        <f t="shared" si="14"/>
        <v>TEXT</v>
      </c>
      <c r="R140" s="76" t="str">
        <f t="shared" si="15"/>
        <v/>
      </c>
      <c r="S140" s="76" t="str">
        <f t="shared" si="16"/>
        <v/>
      </c>
      <c r="T140" s="76" t="str">
        <f t="shared" si="17"/>
        <v>-- 収縮期血圧</v>
      </c>
      <c r="U140" s="4"/>
      <c r="AA140" s="4"/>
      <c r="AB140" s="4"/>
      <c r="AC140" s="4"/>
      <c r="AD140" s="4"/>
      <c r="AE140" s="4"/>
      <c r="AF140" s="4"/>
      <c r="AG140" s="4"/>
      <c r="AH140" s="4"/>
      <c r="AI140" s="4"/>
      <c r="AJ140" s="76" t="str">
        <f>IF(E140="○",IF(COUNTA(E$13:E140)=1,"",",")&amp;D140,"")</f>
        <v/>
      </c>
      <c r="AK140" s="4"/>
      <c r="AL140" s="4"/>
      <c r="AM140" s="4"/>
      <c r="AN140" s="4"/>
      <c r="AO140" s="4"/>
      <c r="AP140" s="4"/>
      <c r="AQ140" s="4"/>
      <c r="AR140" s="4"/>
      <c r="AS140" s="76" t="str">
        <f>"COMMENT ON COLUMN "&amp;エンティティ一覧!$O$2&amp;"."&amp;D$8&amp;"."&amp;D140&amp;" IS '"&amp;C140&amp;"';"</f>
        <v>COMMENT ON COLUMN milscm_2023_010.azn_202310_backup_merge_dpc_ff1.m050040_ketsuatsu IS '収縮期血圧';</v>
      </c>
      <c r="AT140" s="4"/>
      <c r="AU140" s="4"/>
      <c r="AV140" s="4"/>
      <c r="AW140" s="4"/>
      <c r="AX140" s="4"/>
      <c r="AY140" s="4"/>
      <c r="AZ140" s="4"/>
    </row>
    <row r="141" spans="1:52" s="25" customFormat="1" ht="75">
      <c r="A141" s="4"/>
      <c r="B141" s="21">
        <f t="shared" si="2"/>
        <v>129</v>
      </c>
      <c r="C141" s="13" t="s">
        <v>774</v>
      </c>
      <c r="D141" s="13" t="s">
        <v>775</v>
      </c>
      <c r="E141" s="7"/>
      <c r="F141" s="7" t="s">
        <v>316</v>
      </c>
      <c r="G141" s="7" t="str">
        <f t="shared" si="3"/>
        <v>text</v>
      </c>
      <c r="H141" s="58"/>
      <c r="I141" s="23"/>
      <c r="J141" s="24" t="s">
        <v>852</v>
      </c>
      <c r="L141" s="4"/>
      <c r="M141" s="4"/>
      <c r="N141" s="76"/>
      <c r="O141" s="76"/>
      <c r="P141" s="76" t="str">
        <f t="shared" si="13"/>
        <v>,m050050_acuteMI</v>
      </c>
      <c r="Q141" s="76" t="str">
        <f t="shared" si="14"/>
        <v>TEXT</v>
      </c>
      <c r="R141" s="76" t="str">
        <f t="shared" si="15"/>
        <v/>
      </c>
      <c r="S141" s="76" t="str">
        <f t="shared" si="16"/>
        <v/>
      </c>
      <c r="T141" s="76" t="str">
        <f t="shared" si="17"/>
        <v>-- 急性心筋梗塞の発症時期</v>
      </c>
      <c r="U141" s="4"/>
      <c r="AA141" s="4"/>
      <c r="AB141" s="4"/>
      <c r="AC141" s="4"/>
      <c r="AD141" s="4"/>
      <c r="AE141" s="4"/>
      <c r="AF141" s="4"/>
      <c r="AG141" s="4"/>
      <c r="AH141" s="4"/>
      <c r="AI141" s="4"/>
      <c r="AJ141" s="76" t="str">
        <f>IF(E141="○",IF(COUNTA(E$13:E141)=1,"",",")&amp;D141,"")</f>
        <v/>
      </c>
      <c r="AK141" s="4"/>
      <c r="AL141" s="4"/>
      <c r="AM141" s="4"/>
      <c r="AN141" s="4"/>
      <c r="AO141" s="4"/>
      <c r="AP141" s="4"/>
      <c r="AQ141" s="4"/>
      <c r="AR141" s="4"/>
      <c r="AS141" s="76" t="str">
        <f>"COMMENT ON COLUMN "&amp;エンティティ一覧!$O$2&amp;"."&amp;D$8&amp;"."&amp;D141&amp;" IS '"&amp;C141&amp;"';"</f>
        <v>COMMENT ON COLUMN milscm_2023_010.azn_202310_backup_merge_dpc_ff1.m050050_acuteMI IS '急性心筋梗塞の発症時期';</v>
      </c>
      <c r="AT141" s="4"/>
      <c r="AU141" s="4"/>
      <c r="AV141" s="4"/>
      <c r="AW141" s="4"/>
      <c r="AX141" s="4"/>
      <c r="AY141" s="4"/>
      <c r="AZ141" s="4"/>
    </row>
    <row r="142" spans="1:52" s="25" customFormat="1" ht="75">
      <c r="A142" s="4"/>
      <c r="B142" s="21">
        <f t="shared" si="2"/>
        <v>130</v>
      </c>
      <c r="C142" s="13" t="s">
        <v>776</v>
      </c>
      <c r="D142" s="13" t="s">
        <v>777</v>
      </c>
      <c r="E142" s="7"/>
      <c r="F142" s="7" t="s">
        <v>316</v>
      </c>
      <c r="G142" s="7" t="str">
        <f t="shared" si="3"/>
        <v>text</v>
      </c>
      <c r="H142" s="58"/>
      <c r="I142" s="23"/>
      <c r="J142" s="24" t="s">
        <v>853</v>
      </c>
      <c r="L142" s="4"/>
      <c r="M142" s="4"/>
      <c r="N142" s="76"/>
      <c r="O142" s="76"/>
      <c r="P142" s="76" t="str">
        <f t="shared" si="13"/>
        <v>,m050060_nyuin_kusyutsuritsu</v>
      </c>
      <c r="Q142" s="76" t="str">
        <f t="shared" si="14"/>
        <v>TEXT</v>
      </c>
      <c r="R142" s="76" t="str">
        <f t="shared" si="15"/>
        <v/>
      </c>
      <c r="S142" s="76" t="str">
        <f t="shared" si="16"/>
        <v/>
      </c>
      <c r="T142" s="76" t="str">
        <f t="shared" si="17"/>
        <v>-- 入院時左室駆出率</v>
      </c>
      <c r="U142" s="4"/>
      <c r="AA142" s="4"/>
      <c r="AB142" s="4"/>
      <c r="AC142" s="4"/>
      <c r="AD142" s="4"/>
      <c r="AE142" s="4"/>
      <c r="AF142" s="4"/>
      <c r="AG142" s="4"/>
      <c r="AH142" s="4"/>
      <c r="AI142" s="4"/>
      <c r="AJ142" s="76" t="str">
        <f>IF(E142="○",IF(COUNTA(E$13:E142)=1,"",",")&amp;D142,"")</f>
        <v/>
      </c>
      <c r="AK142" s="4"/>
      <c r="AL142" s="4"/>
      <c r="AM142" s="4"/>
      <c r="AN142" s="4"/>
      <c r="AO142" s="4"/>
      <c r="AP142" s="4"/>
      <c r="AQ142" s="4"/>
      <c r="AR142" s="4"/>
      <c r="AS142" s="76" t="str">
        <f>"COMMENT ON COLUMN "&amp;エンティティ一覧!$O$2&amp;"."&amp;D$8&amp;"."&amp;D142&amp;" IS '"&amp;C142&amp;"';"</f>
        <v>COMMENT ON COLUMN milscm_2023_010.azn_202310_backup_merge_dpc_ff1.m050060_nyuin_kusyutsuritsu IS '入院時左室駆出率';</v>
      </c>
      <c r="AT142" s="4"/>
      <c r="AU142" s="4"/>
      <c r="AV142" s="4"/>
      <c r="AW142" s="4"/>
      <c r="AX142" s="4"/>
      <c r="AY142" s="4"/>
      <c r="AZ142" s="4"/>
    </row>
    <row r="143" spans="1:52" s="25" customFormat="1" ht="56.25">
      <c r="A143" s="4"/>
      <c r="B143" s="21">
        <f t="shared" si="2"/>
        <v>131</v>
      </c>
      <c r="C143" s="13" t="s">
        <v>778</v>
      </c>
      <c r="D143" s="13" t="s">
        <v>779</v>
      </c>
      <c r="E143" s="7"/>
      <c r="F143" s="7" t="s">
        <v>316</v>
      </c>
      <c r="G143" s="7" t="str">
        <f t="shared" si="3"/>
        <v>text</v>
      </c>
      <c r="H143" s="58"/>
      <c r="I143" s="23"/>
      <c r="J143" s="24" t="s">
        <v>854</v>
      </c>
      <c r="L143" s="4"/>
      <c r="M143" s="4"/>
      <c r="N143" s="76"/>
      <c r="O143" s="76"/>
      <c r="P143" s="76" t="str">
        <f t="shared" si="13"/>
        <v>,m050070_stanford_ab</v>
      </c>
      <c r="Q143" s="76" t="str">
        <f t="shared" si="14"/>
        <v>TEXT</v>
      </c>
      <c r="R143" s="76" t="str">
        <f t="shared" si="15"/>
        <v/>
      </c>
      <c r="S143" s="76" t="str">
        <f t="shared" si="16"/>
        <v/>
      </c>
      <c r="T143" s="76" t="str">
        <f t="shared" si="17"/>
        <v>-- Stanford A/B型</v>
      </c>
      <c r="U143" s="4"/>
      <c r="AA143" s="4"/>
      <c r="AB143" s="4"/>
      <c r="AC143" s="4"/>
      <c r="AD143" s="4"/>
      <c r="AE143" s="4"/>
      <c r="AF143" s="4"/>
      <c r="AG143" s="4"/>
      <c r="AH143" s="4"/>
      <c r="AI143" s="4"/>
      <c r="AJ143" s="76" t="str">
        <f>IF(E143="○",IF(COUNTA(E$13:E143)=1,"",",")&amp;D143,"")</f>
        <v/>
      </c>
      <c r="AK143" s="4"/>
      <c r="AL143" s="4"/>
      <c r="AM143" s="4"/>
      <c r="AN143" s="4"/>
      <c r="AO143" s="4"/>
      <c r="AP143" s="4"/>
      <c r="AQ143" s="4"/>
      <c r="AR143" s="4"/>
      <c r="AS143" s="76" t="str">
        <f>"COMMENT ON COLUMN "&amp;エンティティ一覧!$O$2&amp;"."&amp;D$8&amp;"."&amp;D143&amp;" IS '"&amp;C143&amp;"';"</f>
        <v>COMMENT ON COLUMN milscm_2023_010.azn_202310_backup_merge_dpc_ff1.m050070_stanford_ab IS 'Stanford A/B型';</v>
      </c>
      <c r="AT143" s="4"/>
      <c r="AU143" s="4"/>
      <c r="AV143" s="4"/>
      <c r="AW143" s="4"/>
      <c r="AX143" s="4"/>
      <c r="AY143" s="4"/>
      <c r="AZ143" s="4"/>
    </row>
    <row r="144" spans="1:52" s="25" customFormat="1" ht="37.5">
      <c r="A144" s="4"/>
      <c r="B144" s="21">
        <f t="shared" si="2"/>
        <v>132</v>
      </c>
      <c r="C144" s="6" t="s">
        <v>780</v>
      </c>
      <c r="D144" s="6" t="s">
        <v>781</v>
      </c>
      <c r="E144" s="8"/>
      <c r="F144" s="7" t="s">
        <v>316</v>
      </c>
      <c r="G144" s="7" t="str">
        <f t="shared" si="3"/>
        <v>text</v>
      </c>
      <c r="H144" s="26"/>
      <c r="I144" s="10"/>
      <c r="J144" s="11" t="s">
        <v>855</v>
      </c>
      <c r="L144" s="4"/>
      <c r="M144" s="4"/>
      <c r="N144" s="76"/>
      <c r="O144" s="76"/>
      <c r="P144" s="76" t="str">
        <f t="shared" si="13"/>
        <v>,m060010_kankohen_child_pugh</v>
      </c>
      <c r="Q144" s="76" t="str">
        <f t="shared" si="14"/>
        <v>TEXT</v>
      </c>
      <c r="R144" s="76" t="str">
        <f t="shared" si="15"/>
        <v/>
      </c>
      <c r="S144" s="76" t="str">
        <f t="shared" si="16"/>
        <v/>
      </c>
      <c r="T144" s="76" t="str">
        <f t="shared" si="17"/>
        <v>-- 肝硬変のChild-Pugh分類</v>
      </c>
      <c r="U144" s="4"/>
      <c r="AA144" s="4"/>
      <c r="AB144" s="4"/>
      <c r="AC144" s="4"/>
      <c r="AD144" s="4"/>
      <c r="AE144" s="4"/>
      <c r="AF144" s="4"/>
      <c r="AG144" s="4"/>
      <c r="AH144" s="4"/>
      <c r="AI144" s="4"/>
      <c r="AJ144" s="76" t="str">
        <f>IF(E144="○",IF(COUNTA(E$13:E144)=1,"",",")&amp;D144,"")</f>
        <v/>
      </c>
      <c r="AK144" s="4"/>
      <c r="AL144" s="4"/>
      <c r="AM144" s="4"/>
      <c r="AN144" s="4"/>
      <c r="AO144" s="4"/>
      <c r="AP144" s="4"/>
      <c r="AQ144" s="4"/>
      <c r="AR144" s="4"/>
      <c r="AS144" s="76" t="str">
        <f>"COMMENT ON COLUMN "&amp;エンティティ一覧!$O$2&amp;"."&amp;D$8&amp;"."&amp;D144&amp;" IS '"&amp;C144&amp;"';"</f>
        <v>COMMENT ON COLUMN milscm_2023_010.azn_202310_backup_merge_dpc_ff1.m060010_kankohen_child_pugh IS '肝硬変のChild-Pugh分類';</v>
      </c>
      <c r="AT144" s="4"/>
      <c r="AU144" s="4"/>
      <c r="AV144" s="4"/>
      <c r="AW144" s="4"/>
      <c r="AX144" s="4"/>
      <c r="AY144" s="4"/>
      <c r="AZ144" s="4"/>
    </row>
    <row r="145" spans="1:52" s="25" customFormat="1" ht="31.5">
      <c r="A145" s="4"/>
      <c r="B145" s="21">
        <f t="shared" si="2"/>
        <v>133</v>
      </c>
      <c r="C145" s="13" t="s">
        <v>782</v>
      </c>
      <c r="D145" s="13" t="s">
        <v>783</v>
      </c>
      <c r="E145" s="7"/>
      <c r="F145" s="7" t="s">
        <v>316</v>
      </c>
      <c r="G145" s="7" t="str">
        <f t="shared" si="3"/>
        <v>text</v>
      </c>
      <c r="H145" s="26"/>
      <c r="I145" s="10"/>
      <c r="J145" s="11"/>
      <c r="L145" s="4"/>
      <c r="M145" s="4"/>
      <c r="N145" s="76"/>
      <c r="O145" s="76"/>
      <c r="P145" s="76" t="str">
        <f t="shared" si="13"/>
        <v>,m060020_kyuseisuien_jushodo</v>
      </c>
      <c r="Q145" s="76" t="str">
        <f t="shared" si="14"/>
        <v>TEXT</v>
      </c>
      <c r="R145" s="76" t="str">
        <f t="shared" si="15"/>
        <v/>
      </c>
      <c r="S145" s="76" t="str">
        <f t="shared" si="16"/>
        <v/>
      </c>
      <c r="T145" s="76" t="str">
        <f t="shared" si="17"/>
        <v>-- 急性膵炎の重症度分類</v>
      </c>
      <c r="U145" s="4"/>
      <c r="AA145" s="4"/>
      <c r="AB145" s="4"/>
      <c r="AC145" s="4"/>
      <c r="AD145" s="4"/>
      <c r="AE145" s="4"/>
      <c r="AF145" s="4"/>
      <c r="AG145" s="4"/>
      <c r="AH145" s="4"/>
      <c r="AI145" s="4"/>
      <c r="AJ145" s="76" t="str">
        <f>IF(E145="○",IF(COUNTA(E$13:E145)=1,"",",")&amp;D145,"")</f>
        <v/>
      </c>
      <c r="AK145" s="4"/>
      <c r="AL145" s="4"/>
      <c r="AM145" s="4"/>
      <c r="AN145" s="4"/>
      <c r="AO145" s="4"/>
      <c r="AP145" s="4"/>
      <c r="AQ145" s="4"/>
      <c r="AR145" s="4"/>
      <c r="AS145" s="76" t="str">
        <f>"COMMENT ON COLUMN "&amp;エンティティ一覧!$O$2&amp;"."&amp;D$8&amp;"."&amp;D145&amp;" IS '"&amp;C145&amp;"';"</f>
        <v>COMMENT ON COLUMN milscm_2023_010.azn_202310_backup_merge_dpc_ff1.m060020_kyuseisuien_jushodo IS '急性膵炎の重症度分類';</v>
      </c>
      <c r="AT145" s="4"/>
      <c r="AU145" s="4"/>
      <c r="AV145" s="4"/>
      <c r="AW145" s="4"/>
      <c r="AX145" s="4"/>
      <c r="AY145" s="4"/>
      <c r="AZ145" s="4"/>
    </row>
    <row r="146" spans="1:52" s="25" customFormat="1" ht="31.5">
      <c r="A146" s="4"/>
      <c r="B146" s="21">
        <f t="shared" si="2"/>
        <v>134</v>
      </c>
      <c r="C146" s="6" t="s">
        <v>784</v>
      </c>
      <c r="D146" s="6" t="s">
        <v>785</v>
      </c>
      <c r="E146" s="8"/>
      <c r="F146" s="7" t="s">
        <v>316</v>
      </c>
      <c r="G146" s="7" t="str">
        <f t="shared" si="3"/>
        <v>text</v>
      </c>
      <c r="H146" s="58"/>
      <c r="I146" s="23"/>
      <c r="J146" s="24" t="s">
        <v>845</v>
      </c>
      <c r="L146" s="4"/>
      <c r="M146" s="4"/>
      <c r="N146" s="76"/>
      <c r="O146" s="76"/>
      <c r="P146" s="76" t="str">
        <f t="shared" si="13"/>
        <v>,m070010_riumachi_flag</v>
      </c>
      <c r="Q146" s="76" t="str">
        <f t="shared" si="14"/>
        <v>TEXT</v>
      </c>
      <c r="R146" s="76" t="str">
        <f t="shared" si="15"/>
        <v/>
      </c>
      <c r="S146" s="76" t="str">
        <f t="shared" si="16"/>
        <v/>
      </c>
      <c r="T146" s="76" t="str">
        <f t="shared" si="17"/>
        <v>-- 抗リウマチ分子標的薬の初回導入治療の有無</v>
      </c>
      <c r="U146" s="4"/>
      <c r="AA146" s="4"/>
      <c r="AB146" s="4"/>
      <c r="AC146" s="4"/>
      <c r="AD146" s="4"/>
      <c r="AE146" s="4"/>
      <c r="AF146" s="4"/>
      <c r="AG146" s="4"/>
      <c r="AH146" s="4"/>
      <c r="AI146" s="4"/>
      <c r="AJ146" s="76" t="str">
        <f>IF(E146="○",IF(COUNTA(E$13:E146)=1,"",",")&amp;D146,"")</f>
        <v/>
      </c>
      <c r="AK146" s="4"/>
      <c r="AL146" s="4"/>
      <c r="AM146" s="4"/>
      <c r="AN146" s="4"/>
      <c r="AO146" s="4"/>
      <c r="AP146" s="4"/>
      <c r="AQ146" s="4"/>
      <c r="AR146" s="4"/>
      <c r="AS146" s="76" t="str">
        <f>"COMMENT ON COLUMN "&amp;エンティティ一覧!$O$2&amp;"."&amp;D$8&amp;"."&amp;D146&amp;" IS '"&amp;C146&amp;"';"</f>
        <v>COMMENT ON COLUMN milscm_2023_010.azn_202310_backup_merge_dpc_ff1.m070010_riumachi_flag IS '抗リウマチ分子標的薬の初回導入治療の有無';</v>
      </c>
      <c r="AT146" s="4"/>
      <c r="AU146" s="4"/>
      <c r="AV146" s="4"/>
      <c r="AW146" s="4"/>
      <c r="AX146" s="4"/>
      <c r="AY146" s="4"/>
      <c r="AZ146" s="4"/>
    </row>
    <row r="147" spans="1:52" s="25" customFormat="1" ht="37.5">
      <c r="A147" s="4"/>
      <c r="B147" s="21">
        <f t="shared" si="2"/>
        <v>135</v>
      </c>
      <c r="C147" s="13" t="s">
        <v>786</v>
      </c>
      <c r="D147" s="13" t="s">
        <v>787</v>
      </c>
      <c r="E147" s="7"/>
      <c r="F147" s="7" t="s">
        <v>316</v>
      </c>
      <c r="G147" s="7" t="str">
        <f t="shared" si="3"/>
        <v>text</v>
      </c>
      <c r="H147" s="26"/>
      <c r="I147" s="10"/>
      <c r="J147" s="11" t="s">
        <v>856</v>
      </c>
      <c r="L147" s="4"/>
      <c r="M147" s="4"/>
      <c r="N147" s="76"/>
      <c r="O147" s="76"/>
      <c r="P147" s="76" t="str">
        <f t="shared" si="13"/>
        <v>,m120010_nyuin_bunben_flag</v>
      </c>
      <c r="Q147" s="76" t="str">
        <f t="shared" si="14"/>
        <v>TEXT</v>
      </c>
      <c r="R147" s="76" t="str">
        <f t="shared" si="15"/>
        <v/>
      </c>
      <c r="S147" s="76" t="str">
        <f t="shared" si="16"/>
        <v/>
      </c>
      <c r="T147" s="76" t="str">
        <f t="shared" si="17"/>
        <v>-- 入院周辺の分娩の有無</v>
      </c>
      <c r="U147" s="4"/>
      <c r="AA147" s="4"/>
      <c r="AB147" s="4"/>
      <c r="AC147" s="4"/>
      <c r="AD147" s="4"/>
      <c r="AE147" s="4"/>
      <c r="AF147" s="4"/>
      <c r="AG147" s="4"/>
      <c r="AH147" s="4"/>
      <c r="AI147" s="4"/>
      <c r="AJ147" s="76" t="str">
        <f>IF(E147="○",IF(COUNTA(E$13:E147)=1,"",",")&amp;D147,"")</f>
        <v/>
      </c>
      <c r="AK147" s="4"/>
      <c r="AL147" s="4"/>
      <c r="AM147" s="4"/>
      <c r="AN147" s="4"/>
      <c r="AO147" s="4"/>
      <c r="AP147" s="4"/>
      <c r="AQ147" s="4"/>
      <c r="AR147" s="4"/>
      <c r="AS147" s="76" t="str">
        <f>"COMMENT ON COLUMN "&amp;エンティティ一覧!$O$2&amp;"."&amp;D$8&amp;"."&amp;D147&amp;" IS '"&amp;C147&amp;"';"</f>
        <v>COMMENT ON COLUMN milscm_2023_010.azn_202310_backup_merge_dpc_ff1.m120010_nyuin_bunben_flag IS '入院周辺の分娩の有無';</v>
      </c>
      <c r="AT147" s="4"/>
      <c r="AU147" s="4"/>
      <c r="AV147" s="4"/>
      <c r="AW147" s="4"/>
      <c r="AX147" s="4"/>
      <c r="AY147" s="4"/>
      <c r="AZ147" s="4"/>
    </row>
    <row r="148" spans="1:52" s="25" customFormat="1" ht="31.5">
      <c r="A148" s="4"/>
      <c r="B148" s="21">
        <f t="shared" si="2"/>
        <v>136</v>
      </c>
      <c r="C148" s="6" t="s">
        <v>788</v>
      </c>
      <c r="D148" s="6" t="s">
        <v>789</v>
      </c>
      <c r="E148" s="8"/>
      <c r="F148" s="7" t="s">
        <v>316</v>
      </c>
      <c r="G148" s="7" t="str">
        <f t="shared" si="3"/>
        <v>text</v>
      </c>
      <c r="H148" s="58"/>
      <c r="I148" s="23"/>
      <c r="J148" s="24" t="s">
        <v>857</v>
      </c>
      <c r="L148" s="4"/>
      <c r="M148" s="4"/>
      <c r="N148" s="76"/>
      <c r="O148" s="76"/>
      <c r="P148" s="76" t="str">
        <f t="shared" si="13"/>
        <v>,m120010_bunben_shukketsuryo</v>
      </c>
      <c r="Q148" s="76" t="str">
        <f t="shared" si="14"/>
        <v>TEXT</v>
      </c>
      <c r="R148" s="76" t="str">
        <f t="shared" si="15"/>
        <v/>
      </c>
      <c r="S148" s="76" t="str">
        <f t="shared" si="16"/>
        <v/>
      </c>
      <c r="T148" s="76" t="str">
        <f t="shared" si="17"/>
        <v>-- 分娩時出血量</v>
      </c>
      <c r="U148" s="4"/>
      <c r="AA148" s="4"/>
      <c r="AB148" s="4"/>
      <c r="AC148" s="4"/>
      <c r="AD148" s="4"/>
      <c r="AE148" s="4"/>
      <c r="AF148" s="4"/>
      <c r="AG148" s="4"/>
      <c r="AH148" s="4"/>
      <c r="AI148" s="4"/>
      <c r="AJ148" s="76" t="str">
        <f>IF(E148="○",IF(COUNTA(E$13:E148)=1,"",",")&amp;D148,"")</f>
        <v/>
      </c>
      <c r="AK148" s="4"/>
      <c r="AL148" s="4"/>
      <c r="AM148" s="4"/>
      <c r="AN148" s="4"/>
      <c r="AO148" s="4"/>
      <c r="AP148" s="4"/>
      <c r="AQ148" s="4"/>
      <c r="AR148" s="4"/>
      <c r="AS148" s="76" t="str">
        <f>"COMMENT ON COLUMN "&amp;エンティティ一覧!$O$2&amp;"."&amp;D$8&amp;"."&amp;D148&amp;" IS '"&amp;C148&amp;"';"</f>
        <v>COMMENT ON COLUMN milscm_2023_010.azn_202310_backup_merge_dpc_ff1.m120010_bunben_shukketsuryo IS '分娩時出血量';</v>
      </c>
      <c r="AT148" s="4"/>
      <c r="AU148" s="4"/>
      <c r="AV148" s="4"/>
      <c r="AW148" s="4"/>
      <c r="AX148" s="4"/>
      <c r="AY148" s="4"/>
      <c r="AZ148" s="4"/>
    </row>
    <row r="149" spans="1:52" s="25" customFormat="1">
      <c r="A149" s="4"/>
      <c r="B149" s="21">
        <f t="shared" si="2"/>
        <v>137</v>
      </c>
      <c r="C149" s="13" t="s">
        <v>790</v>
      </c>
      <c r="D149" s="13" t="s">
        <v>791</v>
      </c>
      <c r="E149" s="7"/>
      <c r="F149" s="7" t="s">
        <v>316</v>
      </c>
      <c r="G149" s="7" t="str">
        <f t="shared" si="3"/>
        <v>text</v>
      </c>
      <c r="H149" s="26"/>
      <c r="I149" s="10"/>
      <c r="J149" s="11" t="s">
        <v>858</v>
      </c>
      <c r="L149" s="4"/>
      <c r="M149" s="4"/>
      <c r="N149" s="76"/>
      <c r="O149" s="76"/>
      <c r="P149" s="76" t="str">
        <f t="shared" si="13"/>
        <v>,m160010_burnindex</v>
      </c>
      <c r="Q149" s="76" t="str">
        <f t="shared" si="14"/>
        <v>TEXT</v>
      </c>
      <c r="R149" s="76" t="str">
        <f t="shared" si="15"/>
        <v/>
      </c>
      <c r="S149" s="76" t="str">
        <f t="shared" si="16"/>
        <v/>
      </c>
      <c r="T149" s="76" t="str">
        <f t="shared" si="17"/>
        <v>-- BurnIndex</v>
      </c>
      <c r="U149" s="4"/>
      <c r="AA149" s="4"/>
      <c r="AB149" s="4"/>
      <c r="AC149" s="4"/>
      <c r="AD149" s="4"/>
      <c r="AE149" s="4"/>
      <c r="AF149" s="4"/>
      <c r="AG149" s="4"/>
      <c r="AH149" s="4"/>
      <c r="AI149" s="4"/>
      <c r="AJ149" s="76" t="str">
        <f>IF(E149="○",IF(COUNTA(E$13:E149)=1,"",",")&amp;D149,"")</f>
        <v/>
      </c>
      <c r="AK149" s="4"/>
      <c r="AL149" s="4"/>
      <c r="AM149" s="4"/>
      <c r="AN149" s="4"/>
      <c r="AO149" s="4"/>
      <c r="AP149" s="4"/>
      <c r="AQ149" s="4"/>
      <c r="AR149" s="4"/>
      <c r="AS149" s="76" t="str">
        <f>"COMMENT ON COLUMN "&amp;エンティティ一覧!$O$2&amp;"."&amp;D$8&amp;"."&amp;D149&amp;" IS '"&amp;C149&amp;"';"</f>
        <v>COMMENT ON COLUMN milscm_2023_010.azn_202310_backup_merge_dpc_ff1.m160010_burnindex IS 'BurnIndex';</v>
      </c>
      <c r="AT149" s="4"/>
      <c r="AU149" s="4"/>
      <c r="AV149" s="4"/>
      <c r="AW149" s="4"/>
      <c r="AX149" s="4"/>
      <c r="AY149" s="4"/>
      <c r="AZ149" s="4"/>
    </row>
    <row r="150" spans="1:52" s="25" customFormat="1">
      <c r="A150" s="4"/>
      <c r="B150" s="21">
        <f t="shared" si="2"/>
        <v>138</v>
      </c>
      <c r="C150" s="6" t="s">
        <v>792</v>
      </c>
      <c r="D150" s="6" t="s">
        <v>793</v>
      </c>
      <c r="E150" s="8"/>
      <c r="F150" s="7" t="s">
        <v>316</v>
      </c>
      <c r="G150" s="7" t="str">
        <f t="shared" si="3"/>
        <v>text</v>
      </c>
      <c r="H150" s="58"/>
      <c r="I150" s="23"/>
      <c r="J150" s="24"/>
      <c r="L150" s="4"/>
      <c r="M150" s="4"/>
      <c r="N150" s="76"/>
      <c r="O150" s="76"/>
      <c r="P150" s="76" t="str">
        <f t="shared" si="13"/>
        <v>,m170010_nyuin_gaf</v>
      </c>
      <c r="Q150" s="76" t="str">
        <f t="shared" si="14"/>
        <v>TEXT</v>
      </c>
      <c r="R150" s="76" t="str">
        <f t="shared" si="15"/>
        <v/>
      </c>
      <c r="S150" s="76" t="str">
        <f t="shared" si="16"/>
        <v/>
      </c>
      <c r="T150" s="76" t="str">
        <f t="shared" si="17"/>
        <v>-- 入院時GAF尺度</v>
      </c>
      <c r="U150" s="4"/>
      <c r="AA150" s="4"/>
      <c r="AB150" s="4"/>
      <c r="AC150" s="4"/>
      <c r="AD150" s="4"/>
      <c r="AE150" s="4"/>
      <c r="AF150" s="4"/>
      <c r="AG150" s="4"/>
      <c r="AH150" s="4"/>
      <c r="AI150" s="4"/>
      <c r="AJ150" s="76" t="str">
        <f>IF(E150="○",IF(COUNTA(E$13:E150)=1,"",",")&amp;D150,"")</f>
        <v/>
      </c>
      <c r="AK150" s="4"/>
      <c r="AL150" s="4"/>
      <c r="AM150" s="4"/>
      <c r="AN150" s="4"/>
      <c r="AO150" s="4"/>
      <c r="AP150" s="4"/>
      <c r="AQ150" s="4"/>
      <c r="AR150" s="4"/>
      <c r="AS150" s="76" t="str">
        <f>"COMMENT ON COLUMN "&amp;エンティティ一覧!$O$2&amp;"."&amp;D$8&amp;"."&amp;D150&amp;" IS '"&amp;C150&amp;"';"</f>
        <v>COMMENT ON COLUMN milscm_2023_010.azn_202310_backup_merge_dpc_ff1.m170010_nyuin_gaf IS '入院時GAF尺度';</v>
      </c>
      <c r="AT150" s="4"/>
      <c r="AU150" s="4"/>
      <c r="AV150" s="4"/>
      <c r="AW150" s="4"/>
      <c r="AX150" s="4"/>
      <c r="AY150" s="4"/>
      <c r="AZ150" s="4"/>
    </row>
    <row r="151" spans="1:52" s="25" customFormat="1" ht="37.5">
      <c r="A151" s="4"/>
      <c r="B151" s="21">
        <f t="shared" si="2"/>
        <v>139</v>
      </c>
      <c r="C151" s="13" t="s">
        <v>794</v>
      </c>
      <c r="D151" s="13" t="s">
        <v>795</v>
      </c>
      <c r="E151" s="7"/>
      <c r="F151" s="7" t="s">
        <v>316</v>
      </c>
      <c r="G151" s="7" t="str">
        <f t="shared" si="3"/>
        <v>text</v>
      </c>
      <c r="H151" s="26"/>
      <c r="I151" s="10"/>
      <c r="J151" s="11" t="s">
        <v>859</v>
      </c>
      <c r="L151" s="4"/>
      <c r="M151" s="4"/>
      <c r="N151" s="76"/>
      <c r="O151" s="76"/>
      <c r="P151" s="76" t="str">
        <f t="shared" si="13"/>
        <v>,m170020_mental_nyuin_keitai</v>
      </c>
      <c r="Q151" s="76" t="str">
        <f t="shared" si="14"/>
        <v>TEXT</v>
      </c>
      <c r="R151" s="76" t="str">
        <f t="shared" si="15"/>
        <v/>
      </c>
      <c r="S151" s="76" t="str">
        <f t="shared" si="16"/>
        <v/>
      </c>
      <c r="T151" s="76" t="str">
        <f t="shared" si="17"/>
        <v>-- 精神保健福祉法における入院形態</v>
      </c>
      <c r="U151" s="4"/>
      <c r="AA151" s="4"/>
      <c r="AB151" s="4"/>
      <c r="AC151" s="4"/>
      <c r="AD151" s="4"/>
      <c r="AE151" s="4"/>
      <c r="AF151" s="4"/>
      <c r="AG151" s="4"/>
      <c r="AH151" s="4"/>
      <c r="AI151" s="4"/>
      <c r="AJ151" s="76" t="str">
        <f>IF(E151="○",IF(COUNTA(E$13:E151)=1,"",",")&amp;D151,"")</f>
        <v/>
      </c>
      <c r="AK151" s="4"/>
      <c r="AL151" s="4"/>
      <c r="AM151" s="4"/>
      <c r="AN151" s="4"/>
      <c r="AO151" s="4"/>
      <c r="AP151" s="4"/>
      <c r="AQ151" s="4"/>
      <c r="AR151" s="4"/>
      <c r="AS151" s="76" t="str">
        <f>"COMMENT ON COLUMN "&amp;エンティティ一覧!$O$2&amp;"."&amp;D$8&amp;"."&amp;D151&amp;" IS '"&amp;C151&amp;"';"</f>
        <v>COMMENT ON COLUMN milscm_2023_010.azn_202310_backup_merge_dpc_ff1.m170020_mental_nyuin_keitai IS '精神保健福祉法における入院形態';</v>
      </c>
      <c r="AT151" s="4"/>
      <c r="AU151" s="4"/>
      <c r="AV151" s="4"/>
      <c r="AW151" s="4"/>
      <c r="AX151" s="4"/>
      <c r="AY151" s="4"/>
      <c r="AZ151" s="4"/>
    </row>
    <row r="152" spans="1:52" s="25" customFormat="1" ht="31.5">
      <c r="A152" s="4"/>
      <c r="B152" s="21">
        <f t="shared" si="2"/>
        <v>140</v>
      </c>
      <c r="C152" s="13" t="s">
        <v>796</v>
      </c>
      <c r="D152" s="13" t="s">
        <v>797</v>
      </c>
      <c r="E152" s="7"/>
      <c r="F152" s="7" t="s">
        <v>316</v>
      </c>
      <c r="G152" s="7" t="str">
        <f t="shared" si="3"/>
        <v>text</v>
      </c>
      <c r="H152" s="58"/>
      <c r="I152" s="23"/>
      <c r="J152" s="24" t="s">
        <v>860</v>
      </c>
      <c r="L152" s="4"/>
      <c r="M152" s="4"/>
      <c r="N152" s="76"/>
      <c r="O152" s="76"/>
      <c r="P152" s="76" t="str">
        <f t="shared" si="13"/>
        <v>,m170020_mental_kakuri_days</v>
      </c>
      <c r="Q152" s="76" t="str">
        <f t="shared" si="14"/>
        <v>TEXT</v>
      </c>
      <c r="R152" s="76" t="str">
        <f t="shared" si="15"/>
        <v/>
      </c>
      <c r="S152" s="76" t="str">
        <f t="shared" si="16"/>
        <v/>
      </c>
      <c r="T152" s="76" t="str">
        <f t="shared" si="17"/>
        <v>-- 精神保健福祉法に基づく隔離日数</v>
      </c>
      <c r="U152" s="4"/>
      <c r="AA152" s="4"/>
      <c r="AB152" s="4"/>
      <c r="AC152" s="4"/>
      <c r="AD152" s="4"/>
      <c r="AE152" s="4"/>
      <c r="AF152" s="4"/>
      <c r="AG152" s="4"/>
      <c r="AH152" s="4"/>
      <c r="AI152" s="4"/>
      <c r="AJ152" s="76" t="str">
        <f>IF(E152="○",IF(COUNTA(E$13:E152)=1,"",",")&amp;D152,"")</f>
        <v/>
      </c>
      <c r="AK152" s="4"/>
      <c r="AL152" s="4"/>
      <c r="AM152" s="4"/>
      <c r="AN152" s="4"/>
      <c r="AO152" s="4"/>
      <c r="AP152" s="4"/>
      <c r="AQ152" s="4"/>
      <c r="AR152" s="4"/>
      <c r="AS152" s="76" t="str">
        <f>"COMMENT ON COLUMN "&amp;エンティティ一覧!$O$2&amp;"."&amp;D$8&amp;"."&amp;D152&amp;" IS '"&amp;C152&amp;"';"</f>
        <v>COMMENT ON COLUMN milscm_2023_010.azn_202310_backup_merge_dpc_ff1.m170020_mental_kakuri_days IS '精神保健福祉法に基づく隔離日数';</v>
      </c>
      <c r="AT152" s="4"/>
      <c r="AU152" s="4"/>
      <c r="AV152" s="4"/>
      <c r="AW152" s="4"/>
      <c r="AX152" s="4"/>
      <c r="AY152" s="4"/>
      <c r="AZ152" s="4"/>
    </row>
    <row r="153" spans="1:52" s="25" customFormat="1" ht="31.5">
      <c r="A153" s="4"/>
      <c r="B153" s="21">
        <f t="shared" si="2"/>
        <v>141</v>
      </c>
      <c r="C153" s="13" t="s">
        <v>798</v>
      </c>
      <c r="D153" s="13" t="s">
        <v>799</v>
      </c>
      <c r="E153" s="7"/>
      <c r="F153" s="7" t="s">
        <v>316</v>
      </c>
      <c r="G153" s="7" t="str">
        <f t="shared" si="3"/>
        <v>text</v>
      </c>
      <c r="H153" s="26"/>
      <c r="I153" s="10"/>
      <c r="J153" s="11" t="s">
        <v>860</v>
      </c>
      <c r="L153" s="4"/>
      <c r="M153" s="4"/>
      <c r="N153" s="76"/>
      <c r="O153" s="76"/>
      <c r="P153" s="76" t="str">
        <f t="shared" si="13"/>
        <v>,m170020_mental_kosoku_days</v>
      </c>
      <c r="Q153" s="76" t="str">
        <f t="shared" si="14"/>
        <v>TEXT</v>
      </c>
      <c r="R153" s="76" t="str">
        <f t="shared" si="15"/>
        <v/>
      </c>
      <c r="S153" s="76" t="str">
        <f t="shared" si="16"/>
        <v/>
      </c>
      <c r="T153" s="76" t="str">
        <f t="shared" si="17"/>
        <v>-- 精神保健福祉法に基づく身体拘束日数</v>
      </c>
      <c r="U153" s="4"/>
      <c r="AA153" s="4"/>
      <c r="AB153" s="4"/>
      <c r="AC153" s="4"/>
      <c r="AD153" s="4"/>
      <c r="AE153" s="4"/>
      <c r="AF153" s="4"/>
      <c r="AG153" s="4"/>
      <c r="AH153" s="4"/>
      <c r="AI153" s="4"/>
      <c r="AJ153" s="76" t="str">
        <f>IF(E153="○",IF(COUNTA(E$13:E153)=1,"",",")&amp;D153,"")</f>
        <v/>
      </c>
      <c r="AK153" s="4"/>
      <c r="AL153" s="4"/>
      <c r="AM153" s="4"/>
      <c r="AN153" s="4"/>
      <c r="AO153" s="4"/>
      <c r="AP153" s="4"/>
      <c r="AQ153" s="4"/>
      <c r="AR153" s="4"/>
      <c r="AS153" s="76" t="str">
        <f>"COMMENT ON COLUMN "&amp;エンティティ一覧!$O$2&amp;"."&amp;D$8&amp;"."&amp;D153&amp;" IS '"&amp;C153&amp;"';"</f>
        <v>COMMENT ON COLUMN milscm_2023_010.azn_202310_backup_merge_dpc_ff1.m170020_mental_kosoku_days IS '精神保健福祉法に基づく身体拘束日数';</v>
      </c>
      <c r="AT153" s="4"/>
      <c r="AU153" s="4"/>
      <c r="AV153" s="4"/>
      <c r="AW153" s="4"/>
      <c r="AX153" s="4"/>
      <c r="AY153" s="4"/>
      <c r="AZ153" s="4"/>
    </row>
    <row r="154" spans="1:52" s="25" customFormat="1" ht="31.5">
      <c r="A154" s="4"/>
      <c r="B154" s="21">
        <f t="shared" si="2"/>
        <v>142</v>
      </c>
      <c r="C154" s="13" t="s">
        <v>800</v>
      </c>
      <c r="D154" s="13" t="s">
        <v>801</v>
      </c>
      <c r="E154" s="7"/>
      <c r="F154" s="7" t="s">
        <v>316</v>
      </c>
      <c r="G154" s="7" t="str">
        <f t="shared" si="3"/>
        <v>text</v>
      </c>
      <c r="H154" s="58"/>
      <c r="I154" s="23"/>
      <c r="J154" s="24" t="s">
        <v>861</v>
      </c>
      <c r="L154" s="4"/>
      <c r="M154" s="4"/>
      <c r="N154" s="76"/>
      <c r="O154" s="76"/>
      <c r="P154" s="76" t="str">
        <f t="shared" si="13"/>
        <v>,mzz0010_other_jusho_no</v>
      </c>
      <c r="Q154" s="76" t="str">
        <f t="shared" si="14"/>
        <v>TEXT</v>
      </c>
      <c r="R154" s="76" t="str">
        <f t="shared" si="15"/>
        <v/>
      </c>
      <c r="S154" s="76" t="str">
        <f t="shared" si="16"/>
        <v/>
      </c>
      <c r="T154" s="76" t="str">
        <f t="shared" si="17"/>
        <v>-- その他の重症度分類・分類番号または記号</v>
      </c>
      <c r="U154" s="4"/>
      <c r="AA154" s="4"/>
      <c r="AB154" s="4"/>
      <c r="AC154" s="4"/>
      <c r="AD154" s="4"/>
      <c r="AE154" s="4"/>
      <c r="AF154" s="4"/>
      <c r="AG154" s="4"/>
      <c r="AH154" s="4"/>
      <c r="AI154" s="4"/>
      <c r="AJ154" s="76" t="str">
        <f>IF(E154="○",IF(COUNTA(E$13:E154)=1,"",",")&amp;D154,"")</f>
        <v/>
      </c>
      <c r="AK154" s="4"/>
      <c r="AL154" s="4"/>
      <c r="AM154" s="4"/>
      <c r="AN154" s="4"/>
      <c r="AO154" s="4"/>
      <c r="AP154" s="4"/>
      <c r="AQ154" s="4"/>
      <c r="AR154" s="4"/>
      <c r="AS154" s="76" t="str">
        <f>"COMMENT ON COLUMN "&amp;エンティティ一覧!$O$2&amp;"."&amp;D$8&amp;"."&amp;D154&amp;" IS '"&amp;C154&amp;"';"</f>
        <v>COMMENT ON COLUMN milscm_2023_010.azn_202310_backup_merge_dpc_ff1.mzz0010_other_jusho_no IS 'その他の重症度分類・分類番号または記号';</v>
      </c>
      <c r="AT154" s="4"/>
      <c r="AU154" s="4"/>
      <c r="AV154" s="4"/>
      <c r="AW154" s="4"/>
      <c r="AX154" s="4"/>
      <c r="AY154" s="4"/>
      <c r="AZ154" s="4"/>
    </row>
    <row r="155" spans="1:52" s="25" customFormat="1" ht="32.25" thickBot="1">
      <c r="A155" s="4"/>
      <c r="B155" s="27">
        <f>ROW()-12</f>
        <v>143</v>
      </c>
      <c r="C155" s="57" t="s">
        <v>802</v>
      </c>
      <c r="D155" s="57" t="s">
        <v>803</v>
      </c>
      <c r="E155" s="56"/>
      <c r="F155" s="56" t="s">
        <v>316</v>
      </c>
      <c r="G155" s="56" t="str">
        <f t="shared" si="3"/>
        <v>text</v>
      </c>
      <c r="H155" s="59"/>
      <c r="I155" s="60"/>
      <c r="J155" s="61" t="s">
        <v>861</v>
      </c>
      <c r="L155" s="4"/>
      <c r="M155" s="4"/>
      <c r="N155" s="76"/>
      <c r="O155" s="76"/>
      <c r="P155" s="76" t="str">
        <f t="shared" si="13"/>
        <v>,mzz0010_other_jusho_name</v>
      </c>
      <c r="Q155" s="76" t="str">
        <f t="shared" si="14"/>
        <v>TEXT</v>
      </c>
      <c r="R155" s="76" t="str">
        <f t="shared" si="15"/>
        <v/>
      </c>
      <c r="S155" s="76" t="str">
        <f t="shared" si="16"/>
        <v/>
      </c>
      <c r="T155" s="76" t="str">
        <f t="shared" si="17"/>
        <v>-- その他の重症度分類・名称</v>
      </c>
      <c r="U155" s="4"/>
      <c r="AA155" s="4"/>
      <c r="AB155" s="4"/>
      <c r="AC155" s="4"/>
      <c r="AD155" s="4"/>
      <c r="AE155" s="4"/>
      <c r="AF155" s="4"/>
      <c r="AG155" s="4"/>
      <c r="AH155" s="4"/>
      <c r="AI155" s="4"/>
      <c r="AJ155" s="76" t="str">
        <f>IF(E155="○",IF(COUNTA(E$13:E155)=1,"",",")&amp;D155,"")</f>
        <v/>
      </c>
      <c r="AK155" s="4"/>
      <c r="AL155" s="4"/>
      <c r="AM155" s="4"/>
      <c r="AN155" s="4"/>
      <c r="AO155" s="4"/>
      <c r="AP155" s="4"/>
      <c r="AQ155" s="4"/>
      <c r="AR155" s="4"/>
      <c r="AS155" s="76" t="str">
        <f>"COMMENT ON COLUMN "&amp;エンティティ一覧!$O$2&amp;"."&amp;D$8&amp;"."&amp;D155&amp;" IS '"&amp;C155&amp;"';"</f>
        <v>COMMENT ON COLUMN milscm_2023_010.azn_202310_backup_merge_dpc_ff1.mzz0010_other_jusho_name IS 'その他の重症度分類・名称';</v>
      </c>
      <c r="AT155" s="4"/>
      <c r="AU155" s="4"/>
      <c r="AV155" s="4"/>
      <c r="AW155" s="4"/>
      <c r="AX155" s="4"/>
      <c r="AY155" s="4"/>
      <c r="AZ155" s="4"/>
    </row>
    <row r="156" spans="1:52">
      <c r="N156" s="76" t="s">
        <v>142</v>
      </c>
      <c r="O156" s="76"/>
      <c r="P156" s="76"/>
      <c r="Q156" s="76"/>
      <c r="R156" s="76"/>
      <c r="S156" s="76"/>
      <c r="T156" s="76"/>
      <c r="V156" s="25"/>
      <c r="W156" s="25"/>
      <c r="X156" s="25"/>
      <c r="Y156" s="25"/>
      <c r="Z156" s="25"/>
      <c r="AJ156" s="76" t="s">
        <v>142</v>
      </c>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ENT_01_C1-07</v>
      </c>
      <c r="E6" s="272"/>
      <c r="F6" s="272"/>
      <c r="G6" s="272"/>
      <c r="H6" s="272"/>
      <c r="I6" s="272"/>
      <c r="J6" s="273"/>
    </row>
    <row r="7" spans="1:45">
      <c r="B7" s="261" t="s">
        <v>115</v>
      </c>
      <c r="C7" s="262"/>
      <c r="D7" s="263" t="s">
        <v>313</v>
      </c>
      <c r="E7" s="264"/>
      <c r="F7" s="264"/>
      <c r="G7" s="264"/>
      <c r="H7" s="264"/>
      <c r="I7" s="264"/>
      <c r="J7" s="265"/>
    </row>
    <row r="8" spans="1:45">
      <c r="B8" s="261" t="s">
        <v>116</v>
      </c>
      <c r="C8" s="262"/>
      <c r="D8" s="263" t="str">
        <f>エンティティ一覧!AE2&amp;"_"&amp;D5&amp;"_merge_dpc_ff1_a006040"</f>
        <v>azn_202310_backup_merge_dpc_ff1_a006040</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DPC調査データ_様式1_診断情報_併存症テーブルから組入れ条件の第一条件で絞り込んだ結果を格納するテーブル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milscm_2023_010.azn_202310_backup_merge_dpc_ff1_a006040;</v>
      </c>
      <c r="O10" s="76"/>
      <c r="P10" s="76"/>
      <c r="Q10" s="76"/>
      <c r="R10" s="76"/>
      <c r="S10" s="76"/>
      <c r="T10" s="76"/>
      <c r="AJ10" s="76" t="str">
        <f>"ALTER TABLE ONLY "&amp;エンティティ一覧!$O$2&amp;"."&amp;D$8</f>
        <v>ALTER TABLE ONLY milscm_2023_010.azn_202310_backup_merge_dpc_ff1_a006040</v>
      </c>
      <c r="AS10" s="76" t="str">
        <f>"ALTER TABLE "&amp;エンティティ一覧!$O$2&amp;"."&amp;D$8&amp;" OWNER TO pgmisgrp1;"</f>
        <v>ALTER TABLE milscm_2023_010.azn_202310_backup_merge_dpc_ff1_a006040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milscm_2023_010.azn_202310_backup_merge_dpc_ff1_a006040</v>
      </c>
      <c r="O11" s="76"/>
      <c r="P11" s="76"/>
      <c r="Q11" s="76"/>
      <c r="R11" s="76"/>
      <c r="S11" s="76"/>
      <c r="T11" s="76"/>
      <c r="AJ11" s="76" t="str">
        <f>"ADD CONSTRAINT "&amp;D$8&amp;"_pkey PRIMARY KEY"</f>
        <v>ADD CONSTRAINT azn_202310_backup_merge_dpc_ff1_a006040_pkey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milscm_2023_010.azn_202310_backup_merge_dpc_ff1_a006040 IS 'バックアップ_DPC調査データ_様式1_診断情報_併存症';</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1" si="0">UPPER(G13)</f>
        <v>TEXT</v>
      </c>
      <c r="R13" s="76" t="str">
        <f t="shared" ref="R13:R31"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milscm_2023_010.azn_202310_backup_merge_dpc_ff1_a006040.torikomi_ym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6"/>
      <c r="O14" s="76"/>
      <c r="P14" s="76" t="str">
        <f t="shared" ref="P14:P31"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milscm_2023_010.azn_202310_backup_merge_dpc_ff1_a006040.mil_karute_id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805</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milscm_2023_010.azn_202310_backup_merge_dpc_ff1_a006040.facility_id IS '施設ID';</v>
      </c>
    </row>
    <row r="16" spans="1:45" s="25" customFormat="1" ht="93.75">
      <c r="B16" s="21">
        <f t="shared" si="2"/>
        <v>4</v>
      </c>
      <c r="C16" s="6" t="s">
        <v>864</v>
      </c>
      <c r="D16" s="6" t="s">
        <v>205</v>
      </c>
      <c r="E16" s="8" t="s">
        <v>127</v>
      </c>
      <c r="F16" s="7" t="s">
        <v>863</v>
      </c>
      <c r="G16" s="7" t="str">
        <f t="shared" si="3"/>
        <v>text</v>
      </c>
      <c r="H16" s="26"/>
      <c r="I16" s="10" t="s">
        <v>127</v>
      </c>
      <c r="J16" s="53" t="s">
        <v>896</v>
      </c>
      <c r="M16" s="4"/>
      <c r="N16" s="76"/>
      <c r="O16" s="76"/>
      <c r="P16" s="76" t="str">
        <f t="shared" si="4"/>
        <v>,shinryo_ym</v>
      </c>
      <c r="Q16" s="76" t="str">
        <f t="shared" si="0"/>
        <v>TEXT</v>
      </c>
      <c r="R16" s="76" t="str">
        <f t="shared" si="1"/>
        <v/>
      </c>
      <c r="S16" s="76" t="str">
        <f t="shared" ref="S16:S31" si="5">IF(I16="○","NOT NULL","")</f>
        <v>NOT NULL</v>
      </c>
      <c r="T16" s="76" t="str">
        <f t="shared" ref="T16:T31"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milscm_2023_010.azn_202310_backup_merge_dpc_ff1_a006040.shinryo_ym IS '診療年月';</v>
      </c>
    </row>
    <row r="17" spans="1:52" s="25" customFormat="1">
      <c r="B17" s="21">
        <f t="shared" si="2"/>
        <v>5</v>
      </c>
      <c r="C17" s="13" t="s">
        <v>318</v>
      </c>
      <c r="D17" s="13" t="s">
        <v>207</v>
      </c>
      <c r="E17" s="7"/>
      <c r="F17" s="7" t="s">
        <v>863</v>
      </c>
      <c r="G17" s="7" t="str">
        <f t="shared" si="3"/>
        <v>text</v>
      </c>
      <c r="H17" s="58" t="s">
        <v>258</v>
      </c>
      <c r="I17" s="23" t="s">
        <v>127</v>
      </c>
      <c r="J17" s="24" t="s">
        <v>806</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milscm_2023_010.azn_202310_backup_merge_dpc_ff1_a006040.data_type IS 'データ種別';</v>
      </c>
    </row>
    <row r="18" spans="1:52" s="25" customFormat="1">
      <c r="B18" s="21">
        <f t="shared" si="2"/>
        <v>6</v>
      </c>
      <c r="C18" s="6" t="s">
        <v>865</v>
      </c>
      <c r="D18" s="6" t="s">
        <v>209</v>
      </c>
      <c r="E18" s="8" t="s">
        <v>127</v>
      </c>
      <c r="F18" s="7" t="s">
        <v>863</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milscm_2023_010.azn_202310_backup_merge_dpc_ff1_a006040.shikibetsu_no IS 'データ識別番号';</v>
      </c>
    </row>
    <row r="19" spans="1:52" s="25" customFormat="1">
      <c r="B19" s="21">
        <f t="shared" si="2"/>
        <v>7</v>
      </c>
      <c r="C19" s="13" t="s">
        <v>866</v>
      </c>
      <c r="D19" s="13" t="s">
        <v>156</v>
      </c>
      <c r="E19" s="7" t="s">
        <v>127</v>
      </c>
      <c r="F19" s="7" t="s">
        <v>863</v>
      </c>
      <c r="G19" s="7" t="str">
        <f t="shared" si="3"/>
        <v>text</v>
      </c>
      <c r="H19" s="58"/>
      <c r="I19" s="23" t="s">
        <v>127</v>
      </c>
      <c r="J19" s="24" t="s">
        <v>144</v>
      </c>
      <c r="N19" s="76"/>
      <c r="O19" s="76"/>
      <c r="P19" s="76" t="str">
        <f t="shared" si="4"/>
        <v>,nyuin_ymd</v>
      </c>
      <c r="Q19" s="76" t="str">
        <f t="shared" si="0"/>
        <v>TEXT</v>
      </c>
      <c r="R19" s="76" t="str">
        <f t="shared" si="1"/>
        <v/>
      </c>
      <c r="S19" s="76" t="str">
        <f t="shared" si="5"/>
        <v>NOT NULL</v>
      </c>
      <c r="T19" s="76" t="str">
        <f t="shared" si="6"/>
        <v>-- 入院年月日</v>
      </c>
      <c r="U19" s="4"/>
      <c r="AA19" s="4"/>
      <c r="AB19" s="4"/>
      <c r="AC19" s="4"/>
      <c r="AD19" s="4"/>
      <c r="AE19" s="4"/>
      <c r="AF19" s="4"/>
      <c r="AG19" s="4"/>
      <c r="AH19" s="4"/>
      <c r="AI19" s="4"/>
      <c r="AJ19" s="76" t="str">
        <f>IF(E19="○",IF(COUNTA(E$13:E19)=1,"",",")&amp;D19,"")</f>
        <v>,nyuin_ymd</v>
      </c>
      <c r="AK19" s="4"/>
      <c r="AL19" s="4"/>
      <c r="AM19" s="4"/>
      <c r="AN19" s="4"/>
      <c r="AO19" s="4"/>
      <c r="AP19" s="4"/>
      <c r="AQ19" s="4"/>
      <c r="AR19" s="4"/>
      <c r="AS19" s="76" t="str">
        <f>"COMMENT ON COLUMN "&amp;エンティティ一覧!$O$2&amp;"."&amp;D$8&amp;"."&amp;D19&amp;" IS '"&amp;C19&amp;"';"</f>
        <v>COMMENT ON COLUMN milscm_2023_010.azn_202310_backup_merge_dpc_ff1_a006040.nyuin_ymd IS '入院年月日';</v>
      </c>
    </row>
    <row r="20" spans="1:52" s="25" customFormat="1">
      <c r="B20" s="21">
        <f t="shared" si="2"/>
        <v>8</v>
      </c>
      <c r="C20" s="6" t="s">
        <v>867</v>
      </c>
      <c r="D20" s="6" t="s">
        <v>562</v>
      </c>
      <c r="E20" s="8" t="s">
        <v>127</v>
      </c>
      <c r="F20" s="7" t="s">
        <v>863</v>
      </c>
      <c r="G20" s="7" t="str">
        <f t="shared" si="3"/>
        <v>text</v>
      </c>
      <c r="H20" s="26"/>
      <c r="I20" s="10" t="s">
        <v>127</v>
      </c>
      <c r="J20" s="11"/>
      <c r="N20" s="76"/>
      <c r="O20" s="76"/>
      <c r="P20" s="76" t="str">
        <f t="shared" si="4"/>
        <v>,times_no</v>
      </c>
      <c r="Q20" s="76" t="str">
        <f t="shared" si="0"/>
        <v>TEXT</v>
      </c>
      <c r="R20" s="76" t="str">
        <f t="shared" si="1"/>
        <v/>
      </c>
      <c r="S20" s="76" t="str">
        <f t="shared" si="5"/>
        <v>NOT NULL</v>
      </c>
      <c r="T20" s="76" t="str">
        <f t="shared" si="6"/>
        <v>-- 回数管理番号</v>
      </c>
      <c r="U20" s="4"/>
      <c r="AA20" s="4"/>
      <c r="AB20" s="4"/>
      <c r="AC20" s="4"/>
      <c r="AD20" s="4"/>
      <c r="AE20" s="4"/>
      <c r="AF20" s="4"/>
      <c r="AG20" s="4"/>
      <c r="AH20" s="4"/>
      <c r="AI20" s="4"/>
      <c r="AJ20" s="76" t="str">
        <f>IF(E20="○",IF(COUNTA(E$13:E20)=1,"",",")&amp;D20,"")</f>
        <v>,times_no</v>
      </c>
      <c r="AK20" s="4"/>
      <c r="AL20" s="4"/>
      <c r="AM20" s="4"/>
      <c r="AN20" s="4"/>
      <c r="AO20" s="4"/>
      <c r="AP20" s="4"/>
      <c r="AQ20" s="4"/>
      <c r="AR20" s="4"/>
      <c r="AS20" s="76" t="str">
        <f>"COMMENT ON COLUMN "&amp;エンティティ一覧!$O$2&amp;"."&amp;D$8&amp;"."&amp;D20&amp;" IS '"&amp;C20&amp;"';"</f>
        <v>COMMENT ON COLUMN milscm_2023_010.azn_202310_backup_merge_dpc_ff1_a006040.times_no IS '回数管理番号';</v>
      </c>
    </row>
    <row r="21" spans="1:52" s="25" customFormat="1">
      <c r="A21" s="4"/>
      <c r="B21" s="21">
        <f t="shared" si="2"/>
        <v>9</v>
      </c>
      <c r="C21" s="13" t="s">
        <v>563</v>
      </c>
      <c r="D21" s="13" t="s">
        <v>564</v>
      </c>
      <c r="E21" s="7" t="s">
        <v>127</v>
      </c>
      <c r="F21" s="7" t="s">
        <v>863</v>
      </c>
      <c r="G21" s="7" t="str">
        <f t="shared" si="3"/>
        <v>text</v>
      </c>
      <c r="H21" s="58"/>
      <c r="I21" s="23" t="s">
        <v>127</v>
      </c>
      <c r="J21" s="24"/>
      <c r="N21" s="76"/>
      <c r="O21" s="76"/>
      <c r="P21" s="76" t="str">
        <f t="shared" si="4"/>
        <v>,sokatsu_shinryo_no</v>
      </c>
      <c r="Q21" s="76" t="str">
        <f t="shared" si="0"/>
        <v>TEXT</v>
      </c>
      <c r="R21" s="76" t="str">
        <f t="shared" si="1"/>
        <v/>
      </c>
      <c r="S21" s="76" t="str">
        <f t="shared" si="5"/>
        <v>NOT NULL</v>
      </c>
      <c r="T21" s="76" t="str">
        <f t="shared" si="6"/>
        <v>-- 統括診療情報番号</v>
      </c>
      <c r="U21" s="4"/>
      <c r="AA21" s="4"/>
      <c r="AB21" s="4"/>
      <c r="AC21" s="4"/>
      <c r="AD21" s="4"/>
      <c r="AE21" s="4"/>
      <c r="AF21" s="4"/>
      <c r="AG21" s="4"/>
      <c r="AH21" s="4"/>
      <c r="AI21" s="4"/>
      <c r="AJ21" s="76" t="str">
        <f>IF(E21="○",IF(COUNTA(E$13:E21)=1,"",",")&amp;D21,"")</f>
        <v>,sokatsu_shinryo_no</v>
      </c>
      <c r="AK21" s="4"/>
      <c r="AL21" s="4"/>
      <c r="AM21" s="4"/>
      <c r="AN21" s="4"/>
      <c r="AO21" s="4"/>
      <c r="AP21" s="4"/>
      <c r="AQ21" s="4"/>
      <c r="AR21" s="4"/>
      <c r="AS21" s="76" t="str">
        <f>"COMMENT ON COLUMN "&amp;エンティティ一覧!$O$2&amp;"."&amp;D$8&amp;"."&amp;D21&amp;" IS '"&amp;C21&amp;"';"</f>
        <v>COMMENT ON COLUMN milscm_2023_010.azn_202310_backup_merge_dpc_ff1_a006040.sokatsu_shinryo_no IS '統括診療情報番号';</v>
      </c>
    </row>
    <row r="22" spans="1:52" s="25" customFormat="1">
      <c r="A22" s="4"/>
      <c r="B22" s="21">
        <f t="shared" si="2"/>
        <v>10</v>
      </c>
      <c r="C22" s="6" t="s">
        <v>357</v>
      </c>
      <c r="D22" s="6" t="s">
        <v>358</v>
      </c>
      <c r="E22" s="8" t="s">
        <v>127</v>
      </c>
      <c r="F22" s="7" t="s">
        <v>863</v>
      </c>
      <c r="G22" s="7" t="str">
        <f t="shared" si="3"/>
        <v>text</v>
      </c>
      <c r="H22" s="26" t="s">
        <v>877</v>
      </c>
      <c r="I22" s="10" t="s">
        <v>127</v>
      </c>
      <c r="J22" s="11" t="s">
        <v>878</v>
      </c>
      <c r="N22" s="76"/>
      <c r="O22" s="76"/>
      <c r="P22" s="76" t="str">
        <f t="shared" si="4"/>
        <v>,code</v>
      </c>
      <c r="Q22" s="76" t="str">
        <f t="shared" si="0"/>
        <v>TEXT</v>
      </c>
      <c r="R22" s="76" t="str">
        <f t="shared" si="1"/>
        <v>default 'A006040'</v>
      </c>
      <c r="S22" s="76" t="str">
        <f t="shared" si="5"/>
        <v>NOT NULL</v>
      </c>
      <c r="T22" s="76" t="str">
        <f t="shared" si="6"/>
        <v>-- コード</v>
      </c>
      <c r="U22" s="4"/>
      <c r="AA22" s="4"/>
      <c r="AB22" s="4"/>
      <c r="AC22" s="4"/>
      <c r="AD22" s="4"/>
      <c r="AE22" s="4"/>
      <c r="AF22" s="4"/>
      <c r="AG22" s="4"/>
      <c r="AH22" s="4"/>
      <c r="AI22" s="4"/>
      <c r="AJ22" s="76" t="str">
        <f>IF(E22="○",IF(COUNTA(E$13:E22)=1,"",",")&amp;D22,"")</f>
        <v>,code</v>
      </c>
      <c r="AK22" s="4"/>
      <c r="AL22" s="4"/>
      <c r="AM22" s="4"/>
      <c r="AN22" s="4"/>
      <c r="AO22" s="4"/>
      <c r="AP22" s="4"/>
      <c r="AQ22" s="4"/>
      <c r="AR22" s="4"/>
      <c r="AS22" s="76" t="str">
        <f>"COMMENT ON COLUMN "&amp;エンティティ一覧!$O$2&amp;"."&amp;D$8&amp;"."&amp;D22&amp;" IS '"&amp;C22&amp;"';"</f>
        <v>COMMENT ON COLUMN milscm_2023_010.azn_202310_backup_merge_dpc_ff1_a006040.code IS 'コード';</v>
      </c>
    </row>
    <row r="23" spans="1:52" s="25" customFormat="1">
      <c r="A23" s="4"/>
      <c r="B23" s="21">
        <f t="shared" si="2"/>
        <v>11</v>
      </c>
      <c r="C23" s="13" t="s">
        <v>359</v>
      </c>
      <c r="D23" s="13" t="s">
        <v>360</v>
      </c>
      <c r="E23" s="7" t="s">
        <v>127</v>
      </c>
      <c r="F23" s="7" t="s">
        <v>863</v>
      </c>
      <c r="G23" s="7" t="str">
        <f t="shared" si="3"/>
        <v>text</v>
      </c>
      <c r="H23" s="58">
        <v>20140401</v>
      </c>
      <c r="I23" s="23" t="s">
        <v>127</v>
      </c>
      <c r="J23" s="24" t="s">
        <v>809</v>
      </c>
      <c r="N23" s="76"/>
      <c r="O23" s="76"/>
      <c r="P23" s="76" t="str">
        <f t="shared" si="4"/>
        <v>,version</v>
      </c>
      <c r="Q23" s="76" t="str">
        <f t="shared" si="0"/>
        <v>TEXT</v>
      </c>
      <c r="R23" s="76" t="str">
        <f t="shared" si="1"/>
        <v>default '20140401'</v>
      </c>
      <c r="S23" s="76" t="str">
        <f t="shared" si="5"/>
        <v>NOT NULL</v>
      </c>
      <c r="T23" s="76" t="str">
        <f t="shared" si="6"/>
        <v>-- バージョン</v>
      </c>
      <c r="U23" s="4"/>
      <c r="AA23" s="4"/>
      <c r="AB23" s="4"/>
      <c r="AC23" s="4"/>
      <c r="AD23" s="4"/>
      <c r="AE23" s="4"/>
      <c r="AF23" s="4"/>
      <c r="AG23" s="4"/>
      <c r="AH23" s="4"/>
      <c r="AI23" s="4"/>
      <c r="AJ23" s="76" t="str">
        <f>IF(E23="○",IF(COUNTA(E$13:E23)=1,"",",")&amp;D23,"")</f>
        <v>,version</v>
      </c>
      <c r="AK23" s="4"/>
      <c r="AL23" s="4"/>
      <c r="AM23" s="4"/>
      <c r="AN23" s="4"/>
      <c r="AO23" s="4"/>
      <c r="AP23" s="4"/>
      <c r="AQ23" s="4"/>
      <c r="AR23" s="4"/>
      <c r="AS23" s="76" t="str">
        <f>"COMMENT ON COLUMN "&amp;エンティティ一覧!$O$2&amp;"."&amp;D$8&amp;"."&amp;D23&amp;" IS '"&amp;C23&amp;"';"</f>
        <v>COMMENT ON COLUMN milscm_2023_010.azn_202310_backup_merge_dpc_ff1_a006040.version IS 'バージョン';</v>
      </c>
    </row>
    <row r="24" spans="1:52" s="25" customFormat="1">
      <c r="A24" s="4"/>
      <c r="B24" s="21">
        <f t="shared" si="2"/>
        <v>12</v>
      </c>
      <c r="C24" s="6" t="s">
        <v>868</v>
      </c>
      <c r="D24" s="6" t="s">
        <v>362</v>
      </c>
      <c r="E24" s="8" t="s">
        <v>127</v>
      </c>
      <c r="F24" s="7" t="s">
        <v>863</v>
      </c>
      <c r="G24" s="7" t="str">
        <f t="shared" si="3"/>
        <v>text</v>
      </c>
      <c r="H24" s="26"/>
      <c r="I24" s="10" t="s">
        <v>127</v>
      </c>
      <c r="J24" s="11"/>
      <c r="N24" s="76"/>
      <c r="O24" s="76"/>
      <c r="P24" s="76" t="str">
        <f t="shared" si="4"/>
        <v>,number</v>
      </c>
      <c r="Q24" s="76" t="str">
        <f t="shared" si="0"/>
        <v>TEXT</v>
      </c>
      <c r="R24" s="76" t="str">
        <f t="shared" si="1"/>
        <v/>
      </c>
      <c r="S24" s="76" t="str">
        <f t="shared" si="5"/>
        <v>NOT NULL</v>
      </c>
      <c r="T24" s="76" t="str">
        <f t="shared" si="6"/>
        <v>-- 連番</v>
      </c>
      <c r="U24" s="4"/>
      <c r="AA24" s="4"/>
      <c r="AB24" s="4"/>
      <c r="AC24" s="4"/>
      <c r="AD24" s="4"/>
      <c r="AE24" s="4"/>
      <c r="AF24" s="4"/>
      <c r="AG24" s="4"/>
      <c r="AH24" s="4"/>
      <c r="AI24" s="4"/>
      <c r="AJ24" s="76" t="str">
        <f>IF(E24="○",IF(COUNTA(E$13:E24)=1,"",",")&amp;D24,"")</f>
        <v>,number</v>
      </c>
      <c r="AK24" s="4"/>
      <c r="AL24" s="4"/>
      <c r="AM24" s="4"/>
      <c r="AN24" s="4"/>
      <c r="AO24" s="4"/>
      <c r="AP24" s="4"/>
      <c r="AQ24" s="4"/>
      <c r="AR24" s="4"/>
      <c r="AS24" s="76" t="str">
        <f>"COMMENT ON COLUMN "&amp;エンティティ一覧!$O$2&amp;"."&amp;D$8&amp;"."&amp;D24&amp;" IS '"&amp;C24&amp;"';"</f>
        <v>COMMENT ON COLUMN milscm_2023_010.azn_202310_backup_merge_dpc_ff1_a006040.number IS '連番';</v>
      </c>
    </row>
    <row r="25" spans="1:52" s="25" customFormat="1">
      <c r="A25" s="4"/>
      <c r="B25" s="21">
        <f t="shared" si="2"/>
        <v>13</v>
      </c>
      <c r="C25" s="13" t="s">
        <v>661</v>
      </c>
      <c r="D25" s="13" t="s">
        <v>869</v>
      </c>
      <c r="E25" s="7"/>
      <c r="F25" s="7" t="s">
        <v>863</v>
      </c>
      <c r="G25" s="7" t="str">
        <f t="shared" si="3"/>
        <v>text</v>
      </c>
      <c r="H25" s="58"/>
      <c r="I25" s="23"/>
      <c r="J25" s="24" t="s">
        <v>879</v>
      </c>
      <c r="N25" s="76"/>
      <c r="O25" s="76"/>
      <c r="P25" s="76" t="str">
        <f t="shared" si="4"/>
        <v>,icd10_code</v>
      </c>
      <c r="Q25" s="76" t="str">
        <f t="shared" si="0"/>
        <v>TEXT</v>
      </c>
      <c r="R25" s="76" t="str">
        <f t="shared" si="1"/>
        <v/>
      </c>
      <c r="S25" s="76" t="str">
        <f t="shared" si="5"/>
        <v/>
      </c>
      <c r="T25" s="76" t="str">
        <f t="shared" si="6"/>
        <v>-- ICD10コード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milscm_2023_010.azn_202310_backup_merge_dpc_ff1_a006040.icd10_code IS 'ICD10コード';</v>
      </c>
    </row>
    <row r="26" spans="1:52" s="25" customFormat="1">
      <c r="A26" s="4"/>
      <c r="B26" s="21">
        <f t="shared" si="2"/>
        <v>14</v>
      </c>
      <c r="C26" s="6" t="s">
        <v>663</v>
      </c>
      <c r="D26" s="6" t="s">
        <v>870</v>
      </c>
      <c r="E26" s="8"/>
      <c r="F26" s="7" t="s">
        <v>863</v>
      </c>
      <c r="G26" s="7" t="str">
        <f t="shared" si="3"/>
        <v>text</v>
      </c>
      <c r="H26" s="26"/>
      <c r="I26" s="10"/>
      <c r="J26" s="11"/>
      <c r="N26" s="76"/>
      <c r="O26" s="76"/>
      <c r="P26" s="76" t="str">
        <f t="shared" si="4"/>
        <v>,shobyo_code</v>
      </c>
      <c r="Q26" s="76" t="str">
        <f t="shared" si="0"/>
        <v>TEXT</v>
      </c>
      <c r="R26" s="76" t="str">
        <f t="shared" si="1"/>
        <v/>
      </c>
      <c r="S26" s="76" t="str">
        <f t="shared" si="5"/>
        <v/>
      </c>
      <c r="T26" s="76" t="str">
        <f t="shared" si="6"/>
        <v>-- 傷病名コード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milscm_2023_010.azn_202310_backup_merge_dpc_ff1_a006040.shobyo_code IS '傷病名コード';</v>
      </c>
    </row>
    <row r="27" spans="1:52" s="25" customFormat="1">
      <c r="A27" s="4"/>
      <c r="B27" s="21">
        <f t="shared" si="2"/>
        <v>15</v>
      </c>
      <c r="C27" s="6" t="s">
        <v>665</v>
      </c>
      <c r="D27" s="6" t="s">
        <v>871</v>
      </c>
      <c r="E27" s="8"/>
      <c r="F27" s="7" t="s">
        <v>863</v>
      </c>
      <c r="G27" s="7" t="str">
        <f t="shared" si="3"/>
        <v>text</v>
      </c>
      <c r="H27" s="26"/>
      <c r="I27" s="10"/>
      <c r="J27" s="11"/>
      <c r="N27" s="76"/>
      <c r="O27" s="76"/>
      <c r="P27" s="76" t="str">
        <f t="shared" si="4"/>
        <v>,shushoku_code1</v>
      </c>
      <c r="Q27" s="76" t="str">
        <f t="shared" si="0"/>
        <v>TEXT</v>
      </c>
      <c r="R27" s="76" t="str">
        <f t="shared" si="1"/>
        <v/>
      </c>
      <c r="S27" s="76" t="str">
        <f t="shared" si="5"/>
        <v/>
      </c>
      <c r="T27" s="76" t="str">
        <f t="shared" si="6"/>
        <v>-- 修飾語コード1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milscm_2023_010.azn_202310_backup_merge_dpc_ff1_a006040.shushoku_code1 IS '修飾語コード1';</v>
      </c>
    </row>
    <row r="28" spans="1:52" s="25" customFormat="1">
      <c r="A28" s="4"/>
      <c r="B28" s="21">
        <f t="shared" si="2"/>
        <v>16</v>
      </c>
      <c r="C28" s="13" t="s">
        <v>667</v>
      </c>
      <c r="D28" s="13" t="s">
        <v>872</v>
      </c>
      <c r="E28" s="7"/>
      <c r="F28" s="7" t="s">
        <v>863</v>
      </c>
      <c r="G28" s="7" t="str">
        <f t="shared" si="3"/>
        <v>text</v>
      </c>
      <c r="H28" s="58"/>
      <c r="I28" s="23"/>
      <c r="J28" s="24"/>
      <c r="N28" s="76"/>
      <c r="O28" s="76"/>
      <c r="P28" s="76" t="str">
        <f t="shared" si="4"/>
        <v>,shushoku_code2</v>
      </c>
      <c r="Q28" s="76" t="str">
        <f t="shared" si="0"/>
        <v>TEXT</v>
      </c>
      <c r="R28" s="76" t="str">
        <f t="shared" si="1"/>
        <v/>
      </c>
      <c r="S28" s="76" t="str">
        <f t="shared" si="5"/>
        <v/>
      </c>
      <c r="T28" s="76" t="str">
        <f t="shared" si="6"/>
        <v>-- 修飾語コード2</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milscm_2023_010.azn_202310_backup_merge_dpc_ff1_a006040.shushoku_code2 IS '修飾語コード2';</v>
      </c>
    </row>
    <row r="29" spans="1:52" s="25" customFormat="1">
      <c r="A29" s="4"/>
      <c r="B29" s="21">
        <f t="shared" si="2"/>
        <v>17</v>
      </c>
      <c r="C29" s="6" t="s">
        <v>669</v>
      </c>
      <c r="D29" s="6" t="s">
        <v>873</v>
      </c>
      <c r="E29" s="8"/>
      <c r="F29" s="7" t="s">
        <v>863</v>
      </c>
      <c r="G29" s="7" t="str">
        <f t="shared" si="3"/>
        <v>text</v>
      </c>
      <c r="H29" s="26"/>
      <c r="I29" s="10"/>
      <c r="J29" s="11"/>
      <c r="N29" s="76"/>
      <c r="O29" s="76"/>
      <c r="P29" s="76" t="str">
        <f t="shared" si="4"/>
        <v>,shushoku_code3</v>
      </c>
      <c r="Q29" s="76" t="str">
        <f t="shared" si="0"/>
        <v>TEXT</v>
      </c>
      <c r="R29" s="76" t="str">
        <f t="shared" si="1"/>
        <v/>
      </c>
      <c r="S29" s="76" t="str">
        <f t="shared" si="5"/>
        <v/>
      </c>
      <c r="T29" s="76" t="str">
        <f t="shared" si="6"/>
        <v>-- 修飾語コード3</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milscm_2023_010.azn_202310_backup_merge_dpc_ff1_a006040.shushoku_code3 IS '修飾語コード3';</v>
      </c>
    </row>
    <row r="30" spans="1:52" s="25" customFormat="1">
      <c r="A30" s="4"/>
      <c r="B30" s="21">
        <f t="shared" si="2"/>
        <v>18</v>
      </c>
      <c r="C30" s="13" t="s">
        <v>671</v>
      </c>
      <c r="D30" s="13" t="s">
        <v>874</v>
      </c>
      <c r="E30" s="7"/>
      <c r="F30" s="7" t="s">
        <v>863</v>
      </c>
      <c r="G30" s="7" t="str">
        <f t="shared" si="3"/>
        <v>text</v>
      </c>
      <c r="H30" s="58"/>
      <c r="I30" s="23"/>
      <c r="J30" s="24"/>
      <c r="N30" s="76"/>
      <c r="O30" s="76"/>
      <c r="P30" s="76" t="str">
        <f t="shared" si="4"/>
        <v>,shushoku_code4</v>
      </c>
      <c r="Q30" s="76" t="str">
        <f t="shared" si="0"/>
        <v>TEXT</v>
      </c>
      <c r="R30" s="76" t="str">
        <f t="shared" si="1"/>
        <v/>
      </c>
      <c r="S30" s="76" t="str">
        <f t="shared" si="5"/>
        <v/>
      </c>
      <c r="T30" s="76" t="str">
        <f t="shared" si="6"/>
        <v>-- 修飾語コード4</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milscm_2023_010.azn_202310_backup_merge_dpc_ff1_a006040.shushoku_code4 IS '修飾語コード4';</v>
      </c>
    </row>
    <row r="31" spans="1:52" s="25" customFormat="1" ht="19.5" thickBot="1">
      <c r="A31" s="4"/>
      <c r="B31" s="27">
        <f>ROW()-12</f>
        <v>19</v>
      </c>
      <c r="C31" s="57" t="s">
        <v>875</v>
      </c>
      <c r="D31" s="57" t="s">
        <v>876</v>
      </c>
      <c r="E31" s="56"/>
      <c r="F31" s="56" t="s">
        <v>863</v>
      </c>
      <c r="G31" s="56" t="str">
        <f t="shared" si="3"/>
        <v>text</v>
      </c>
      <c r="H31" s="59"/>
      <c r="I31" s="60"/>
      <c r="J31" s="63" t="s">
        <v>880</v>
      </c>
      <c r="N31" s="76"/>
      <c r="O31" s="76"/>
      <c r="P31" s="76" t="str">
        <f t="shared" si="4"/>
        <v>,nyuin_heizonsho_name</v>
      </c>
      <c r="Q31" s="76" t="str">
        <f t="shared" si="0"/>
        <v>TEXT</v>
      </c>
      <c r="R31" s="76" t="str">
        <f t="shared" si="1"/>
        <v/>
      </c>
      <c r="S31" s="76" t="str">
        <f t="shared" si="5"/>
        <v/>
      </c>
      <c r="T31" s="76" t="str">
        <f t="shared" si="6"/>
        <v>-- 入院時併存症名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milscm_2023_010.azn_202310_backup_merge_dpc_ff1_a006040.nyuin_heizonsho_name IS '入院時併存症名';</v>
      </c>
    </row>
    <row r="32" spans="1:52">
      <c r="L32" s="25"/>
      <c r="M32" s="25"/>
      <c r="N32" s="76" t="s">
        <v>142</v>
      </c>
      <c r="O32" s="76"/>
      <c r="P32" s="76"/>
      <c r="Q32" s="76"/>
      <c r="R32" s="76"/>
      <c r="S32" s="76"/>
      <c r="T32" s="76"/>
      <c r="V32" s="25"/>
      <c r="W32" s="25"/>
      <c r="X32" s="25"/>
      <c r="Y32" s="25"/>
      <c r="Z32" s="25"/>
      <c r="AJ32" s="76"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ENT_01_C1-08</v>
      </c>
      <c r="E6" s="272"/>
      <c r="F6" s="272"/>
      <c r="G6" s="272"/>
      <c r="H6" s="272"/>
      <c r="I6" s="272"/>
      <c r="J6" s="273"/>
    </row>
    <row r="7" spans="1:45">
      <c r="B7" s="261" t="s">
        <v>115</v>
      </c>
      <c r="C7" s="262"/>
      <c r="D7" s="263" t="s">
        <v>314</v>
      </c>
      <c r="E7" s="264"/>
      <c r="F7" s="264"/>
      <c r="G7" s="264"/>
      <c r="H7" s="264"/>
      <c r="I7" s="264"/>
      <c r="J7" s="265"/>
    </row>
    <row r="8" spans="1:45">
      <c r="B8" s="261" t="s">
        <v>116</v>
      </c>
      <c r="C8" s="262"/>
      <c r="D8" s="263" t="str">
        <f>エンティティ一覧!AE2&amp;"_"&amp;D5&amp;"_merge_dpc_ff1_a006050"</f>
        <v>azn_202310_backup_merge_dpc_ff1_a006050</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DPC調査データ_様式1_診断情報_続発症テーブルから組入れ条件の第一条件で絞り込んだ結果を格納するテーブル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milscm_2023_010.azn_202310_backup_merge_dpc_ff1_a006050;</v>
      </c>
      <c r="O10" s="76"/>
      <c r="P10" s="76"/>
      <c r="Q10" s="76"/>
      <c r="R10" s="76"/>
      <c r="S10" s="76"/>
      <c r="T10" s="76"/>
      <c r="AJ10" s="76" t="str">
        <f>"ALTER TABLE ONLY "&amp;エンティティ一覧!$O$2&amp;"."&amp;D$8</f>
        <v>ALTER TABLE ONLY milscm_2023_010.azn_202310_backup_merge_dpc_ff1_a006050</v>
      </c>
      <c r="AS10" s="76" t="str">
        <f>"ALTER TABLE "&amp;エンティティ一覧!$O$2&amp;"."&amp;D$8&amp;" OWNER TO pgmisgrp1;"</f>
        <v>ALTER TABLE milscm_2023_010.azn_202310_backup_merge_dpc_ff1_a006050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milscm_2023_010.azn_202310_backup_merge_dpc_ff1_a006050</v>
      </c>
      <c r="O11" s="76"/>
      <c r="P11" s="76"/>
      <c r="Q11" s="76"/>
      <c r="R11" s="76"/>
      <c r="S11" s="76"/>
      <c r="T11" s="76"/>
      <c r="AJ11" s="76" t="str">
        <f>"ADD CONSTRAINT "&amp;D$8&amp;"_pkey PRIMARY KEY"</f>
        <v>ADD CONSTRAINT azn_202310_backup_merge_dpc_ff1_a006050_pkey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milscm_2023_010.azn_202310_backup_merge_dpc_ff1_a006050 IS 'バックアップ_DPC調査データ_様式1_診断情報_続発症';</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1" si="0">UPPER(G13)</f>
        <v>TEXT</v>
      </c>
      <c r="R13" s="76" t="str">
        <f t="shared" ref="R13:R31"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milscm_2023_010.azn_202310_backup_merge_dpc_ff1_a006050.torikomi_ym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6"/>
      <c r="O14" s="76"/>
      <c r="P14" s="76" t="str">
        <f t="shared" ref="P14:P31"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milscm_2023_010.azn_202310_backup_merge_dpc_ff1_a006050.mil_karute_id IS '千年カルテID';</v>
      </c>
    </row>
    <row r="15" spans="1:45" s="25" customFormat="1" ht="37.5">
      <c r="A15" s="4"/>
      <c r="B15" s="21">
        <f t="shared" si="2"/>
        <v>3</v>
      </c>
      <c r="C15" s="13" t="s">
        <v>137</v>
      </c>
      <c r="D15" s="13" t="s">
        <v>881</v>
      </c>
      <c r="E15" s="7" t="s">
        <v>127</v>
      </c>
      <c r="F15" s="7" t="s">
        <v>863</v>
      </c>
      <c r="G15" s="7" t="str">
        <f t="shared" si="3"/>
        <v>text</v>
      </c>
      <c r="H15" s="58"/>
      <c r="I15" s="23" t="s">
        <v>127</v>
      </c>
      <c r="J15" s="24" t="s">
        <v>805</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milscm_2023_010.azn_202310_backup_merge_dpc_ff1_a006050.facility_id IS '施設ID';</v>
      </c>
    </row>
    <row r="16" spans="1:45" s="25" customFormat="1" ht="93.75">
      <c r="B16" s="21">
        <f t="shared" si="2"/>
        <v>4</v>
      </c>
      <c r="C16" s="6" t="s">
        <v>864</v>
      </c>
      <c r="D16" s="6" t="s">
        <v>882</v>
      </c>
      <c r="E16" s="8" t="s">
        <v>127</v>
      </c>
      <c r="F16" s="7" t="s">
        <v>863</v>
      </c>
      <c r="G16" s="7" t="str">
        <f t="shared" si="3"/>
        <v>text</v>
      </c>
      <c r="H16" s="26"/>
      <c r="I16" s="10" t="s">
        <v>127</v>
      </c>
      <c r="J16" s="53" t="s">
        <v>896</v>
      </c>
      <c r="M16" s="4"/>
      <c r="N16" s="76"/>
      <c r="O16" s="76"/>
      <c r="P16" s="76" t="str">
        <f t="shared" si="4"/>
        <v>,shinryo_ym</v>
      </c>
      <c r="Q16" s="76" t="str">
        <f t="shared" si="0"/>
        <v>TEXT</v>
      </c>
      <c r="R16" s="76" t="str">
        <f t="shared" si="1"/>
        <v/>
      </c>
      <c r="S16" s="76" t="str">
        <f t="shared" ref="S16:S31" si="5">IF(I16="○","NOT NULL","")</f>
        <v>NOT NULL</v>
      </c>
      <c r="T16" s="76" t="str">
        <f t="shared" ref="T16:T31"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milscm_2023_010.azn_202310_backup_merge_dpc_ff1_a006050.shinryo_ym IS '診療年月';</v>
      </c>
    </row>
    <row r="17" spans="1:52" s="25" customFormat="1">
      <c r="B17" s="21">
        <f t="shared" si="2"/>
        <v>5</v>
      </c>
      <c r="C17" s="13" t="s">
        <v>318</v>
      </c>
      <c r="D17" s="13" t="s">
        <v>207</v>
      </c>
      <c r="E17" s="7"/>
      <c r="F17" s="7" t="s">
        <v>863</v>
      </c>
      <c r="G17" s="7" t="str">
        <f t="shared" si="3"/>
        <v>text</v>
      </c>
      <c r="H17" s="58" t="s">
        <v>258</v>
      </c>
      <c r="I17" s="23" t="s">
        <v>127</v>
      </c>
      <c r="J17" s="24" t="s">
        <v>806</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milscm_2023_010.azn_202310_backup_merge_dpc_ff1_a006050.data_type IS 'データ種別';</v>
      </c>
    </row>
    <row r="18" spans="1:52" s="25" customFormat="1">
      <c r="B18" s="21">
        <f t="shared" si="2"/>
        <v>6</v>
      </c>
      <c r="C18" s="6" t="s">
        <v>865</v>
      </c>
      <c r="D18" s="6" t="s">
        <v>883</v>
      </c>
      <c r="E18" s="8" t="s">
        <v>127</v>
      </c>
      <c r="F18" s="7" t="s">
        <v>863</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milscm_2023_010.azn_202310_backup_merge_dpc_ff1_a006050.shikibetsu_no IS 'データ識別番号';</v>
      </c>
    </row>
    <row r="19" spans="1:52" s="25" customFormat="1">
      <c r="B19" s="21">
        <f t="shared" si="2"/>
        <v>7</v>
      </c>
      <c r="C19" s="13" t="s">
        <v>866</v>
      </c>
      <c r="D19" s="13" t="s">
        <v>884</v>
      </c>
      <c r="E19" s="7" t="s">
        <v>127</v>
      </c>
      <c r="F19" s="7" t="s">
        <v>863</v>
      </c>
      <c r="G19" s="7" t="str">
        <f t="shared" si="3"/>
        <v>text</v>
      </c>
      <c r="H19" s="58"/>
      <c r="I19" s="23" t="s">
        <v>127</v>
      </c>
      <c r="J19" s="24" t="s">
        <v>144</v>
      </c>
      <c r="N19" s="76"/>
      <c r="O19" s="76"/>
      <c r="P19" s="76" t="str">
        <f t="shared" si="4"/>
        <v>,nyuin_ymd</v>
      </c>
      <c r="Q19" s="76" t="str">
        <f t="shared" si="0"/>
        <v>TEXT</v>
      </c>
      <c r="R19" s="76" t="str">
        <f t="shared" si="1"/>
        <v/>
      </c>
      <c r="S19" s="76" t="str">
        <f t="shared" si="5"/>
        <v>NOT NULL</v>
      </c>
      <c r="T19" s="76" t="str">
        <f t="shared" si="6"/>
        <v>-- 入院年月日</v>
      </c>
      <c r="U19" s="4"/>
      <c r="AA19" s="4"/>
      <c r="AB19" s="4"/>
      <c r="AC19" s="4"/>
      <c r="AD19" s="4"/>
      <c r="AE19" s="4"/>
      <c r="AF19" s="4"/>
      <c r="AG19" s="4"/>
      <c r="AH19" s="4"/>
      <c r="AI19" s="4"/>
      <c r="AJ19" s="76" t="str">
        <f>IF(E19="○",IF(COUNTA(E$13:E19)=1,"",",")&amp;D19,"")</f>
        <v>,nyuin_ymd</v>
      </c>
      <c r="AK19" s="4"/>
      <c r="AL19" s="4"/>
      <c r="AM19" s="4"/>
      <c r="AN19" s="4"/>
      <c r="AO19" s="4"/>
      <c r="AP19" s="4"/>
      <c r="AQ19" s="4"/>
      <c r="AR19" s="4"/>
      <c r="AS19" s="76" t="str">
        <f>"COMMENT ON COLUMN "&amp;エンティティ一覧!$O$2&amp;"."&amp;D$8&amp;"."&amp;D19&amp;" IS '"&amp;C19&amp;"';"</f>
        <v>COMMENT ON COLUMN milscm_2023_010.azn_202310_backup_merge_dpc_ff1_a006050.nyuin_ymd IS '入院年月日';</v>
      </c>
    </row>
    <row r="20" spans="1:52" s="25" customFormat="1">
      <c r="B20" s="21">
        <f t="shared" si="2"/>
        <v>8</v>
      </c>
      <c r="C20" s="6" t="s">
        <v>867</v>
      </c>
      <c r="D20" s="6" t="s">
        <v>562</v>
      </c>
      <c r="E20" s="8" t="s">
        <v>127</v>
      </c>
      <c r="F20" s="7" t="s">
        <v>863</v>
      </c>
      <c r="G20" s="7" t="str">
        <f t="shared" si="3"/>
        <v>text</v>
      </c>
      <c r="H20" s="26"/>
      <c r="I20" s="10" t="s">
        <v>127</v>
      </c>
      <c r="J20" s="11"/>
      <c r="N20" s="76"/>
      <c r="O20" s="76"/>
      <c r="P20" s="76" t="str">
        <f t="shared" si="4"/>
        <v>,times_no</v>
      </c>
      <c r="Q20" s="76" t="str">
        <f t="shared" si="0"/>
        <v>TEXT</v>
      </c>
      <c r="R20" s="76" t="str">
        <f t="shared" si="1"/>
        <v/>
      </c>
      <c r="S20" s="76" t="str">
        <f t="shared" si="5"/>
        <v>NOT NULL</v>
      </c>
      <c r="T20" s="76" t="str">
        <f t="shared" si="6"/>
        <v>-- 回数管理番号</v>
      </c>
      <c r="U20" s="4"/>
      <c r="AA20" s="4"/>
      <c r="AB20" s="4"/>
      <c r="AC20" s="4"/>
      <c r="AD20" s="4"/>
      <c r="AE20" s="4"/>
      <c r="AF20" s="4"/>
      <c r="AG20" s="4"/>
      <c r="AH20" s="4"/>
      <c r="AI20" s="4"/>
      <c r="AJ20" s="76" t="str">
        <f>IF(E20="○",IF(COUNTA(E$13:E20)=1,"",",")&amp;D20,"")</f>
        <v>,times_no</v>
      </c>
      <c r="AK20" s="4"/>
      <c r="AL20" s="4"/>
      <c r="AM20" s="4"/>
      <c r="AN20" s="4"/>
      <c r="AO20" s="4"/>
      <c r="AP20" s="4"/>
      <c r="AQ20" s="4"/>
      <c r="AR20" s="4"/>
      <c r="AS20" s="76" t="str">
        <f>"COMMENT ON COLUMN "&amp;エンティティ一覧!$O$2&amp;"."&amp;D$8&amp;"."&amp;D20&amp;" IS '"&amp;C20&amp;"';"</f>
        <v>COMMENT ON COLUMN milscm_2023_010.azn_202310_backup_merge_dpc_ff1_a006050.times_no IS '回数管理番号';</v>
      </c>
    </row>
    <row r="21" spans="1:52" s="25" customFormat="1">
      <c r="A21" s="4"/>
      <c r="B21" s="21">
        <f t="shared" si="2"/>
        <v>9</v>
      </c>
      <c r="C21" s="13" t="s">
        <v>563</v>
      </c>
      <c r="D21" s="13" t="s">
        <v>885</v>
      </c>
      <c r="E21" s="7" t="s">
        <v>127</v>
      </c>
      <c r="F21" s="7" t="s">
        <v>863</v>
      </c>
      <c r="G21" s="7" t="str">
        <f t="shared" si="3"/>
        <v>text</v>
      </c>
      <c r="H21" s="58"/>
      <c r="I21" s="23" t="s">
        <v>127</v>
      </c>
      <c r="J21" s="24"/>
      <c r="N21" s="76"/>
      <c r="O21" s="76"/>
      <c r="P21" s="76" t="str">
        <f t="shared" si="4"/>
        <v>,sokatsu_shinryo_no</v>
      </c>
      <c r="Q21" s="76" t="str">
        <f t="shared" si="0"/>
        <v>TEXT</v>
      </c>
      <c r="R21" s="76" t="str">
        <f t="shared" si="1"/>
        <v/>
      </c>
      <c r="S21" s="76" t="str">
        <f t="shared" si="5"/>
        <v>NOT NULL</v>
      </c>
      <c r="T21" s="76" t="str">
        <f t="shared" si="6"/>
        <v>-- 統括診療情報番号</v>
      </c>
      <c r="U21" s="4"/>
      <c r="AA21" s="4"/>
      <c r="AB21" s="4"/>
      <c r="AC21" s="4"/>
      <c r="AD21" s="4"/>
      <c r="AE21" s="4"/>
      <c r="AF21" s="4"/>
      <c r="AG21" s="4"/>
      <c r="AH21" s="4"/>
      <c r="AI21" s="4"/>
      <c r="AJ21" s="76" t="str">
        <f>IF(E21="○",IF(COUNTA(E$13:E21)=1,"",",")&amp;D21,"")</f>
        <v>,sokatsu_shinryo_no</v>
      </c>
      <c r="AK21" s="4"/>
      <c r="AL21" s="4"/>
      <c r="AM21" s="4"/>
      <c r="AN21" s="4"/>
      <c r="AO21" s="4"/>
      <c r="AP21" s="4"/>
      <c r="AQ21" s="4"/>
      <c r="AR21" s="4"/>
      <c r="AS21" s="76" t="str">
        <f>"COMMENT ON COLUMN "&amp;エンティティ一覧!$O$2&amp;"."&amp;D$8&amp;"."&amp;D21&amp;" IS '"&amp;C21&amp;"';"</f>
        <v>COMMENT ON COLUMN milscm_2023_010.azn_202310_backup_merge_dpc_ff1_a006050.sokatsu_shinryo_no IS '統括診療情報番号';</v>
      </c>
    </row>
    <row r="22" spans="1:52" s="25" customFormat="1">
      <c r="A22" s="4"/>
      <c r="B22" s="21">
        <f t="shared" si="2"/>
        <v>10</v>
      </c>
      <c r="C22" s="6" t="s">
        <v>357</v>
      </c>
      <c r="D22" s="6" t="s">
        <v>358</v>
      </c>
      <c r="E22" s="8" t="s">
        <v>127</v>
      </c>
      <c r="F22" s="7" t="s">
        <v>863</v>
      </c>
      <c r="G22" s="7" t="str">
        <f t="shared" si="3"/>
        <v>text</v>
      </c>
      <c r="H22" s="26" t="s">
        <v>888</v>
      </c>
      <c r="I22" s="10" t="s">
        <v>127</v>
      </c>
      <c r="J22" s="11" t="s">
        <v>889</v>
      </c>
      <c r="N22" s="76"/>
      <c r="O22" s="76"/>
      <c r="P22" s="76" t="str">
        <f t="shared" si="4"/>
        <v>,code</v>
      </c>
      <c r="Q22" s="76" t="str">
        <f t="shared" si="0"/>
        <v>TEXT</v>
      </c>
      <c r="R22" s="76" t="str">
        <f t="shared" si="1"/>
        <v>default 'A006050'</v>
      </c>
      <c r="S22" s="76" t="str">
        <f t="shared" si="5"/>
        <v>NOT NULL</v>
      </c>
      <c r="T22" s="76" t="str">
        <f t="shared" si="6"/>
        <v>-- コード</v>
      </c>
      <c r="U22" s="4"/>
      <c r="AA22" s="4"/>
      <c r="AB22" s="4"/>
      <c r="AC22" s="4"/>
      <c r="AD22" s="4"/>
      <c r="AE22" s="4"/>
      <c r="AF22" s="4"/>
      <c r="AG22" s="4"/>
      <c r="AH22" s="4"/>
      <c r="AI22" s="4"/>
      <c r="AJ22" s="76" t="str">
        <f>IF(E22="○",IF(COUNTA(E$13:E22)=1,"",",")&amp;D22,"")</f>
        <v>,code</v>
      </c>
      <c r="AK22" s="4"/>
      <c r="AL22" s="4"/>
      <c r="AM22" s="4"/>
      <c r="AN22" s="4"/>
      <c r="AO22" s="4"/>
      <c r="AP22" s="4"/>
      <c r="AQ22" s="4"/>
      <c r="AR22" s="4"/>
      <c r="AS22" s="76" t="str">
        <f>"COMMENT ON COLUMN "&amp;エンティティ一覧!$O$2&amp;"."&amp;D$8&amp;"."&amp;D22&amp;" IS '"&amp;C22&amp;"';"</f>
        <v>COMMENT ON COLUMN milscm_2023_010.azn_202310_backup_merge_dpc_ff1_a006050.code IS 'コード';</v>
      </c>
    </row>
    <row r="23" spans="1:52" s="25" customFormat="1">
      <c r="A23" s="4"/>
      <c r="B23" s="21">
        <f t="shared" si="2"/>
        <v>11</v>
      </c>
      <c r="C23" s="13" t="s">
        <v>359</v>
      </c>
      <c r="D23" s="13" t="s">
        <v>360</v>
      </c>
      <c r="E23" s="7" t="s">
        <v>127</v>
      </c>
      <c r="F23" s="7" t="s">
        <v>863</v>
      </c>
      <c r="G23" s="7" t="str">
        <f t="shared" si="3"/>
        <v>text</v>
      </c>
      <c r="H23" s="58">
        <v>20140401</v>
      </c>
      <c r="I23" s="23" t="s">
        <v>127</v>
      </c>
      <c r="J23" s="24" t="s">
        <v>809</v>
      </c>
      <c r="N23" s="76"/>
      <c r="O23" s="76"/>
      <c r="P23" s="76" t="str">
        <f t="shared" si="4"/>
        <v>,version</v>
      </c>
      <c r="Q23" s="76" t="str">
        <f t="shared" si="0"/>
        <v>TEXT</v>
      </c>
      <c r="R23" s="76" t="str">
        <f t="shared" si="1"/>
        <v>default '20140401'</v>
      </c>
      <c r="S23" s="76" t="str">
        <f t="shared" si="5"/>
        <v>NOT NULL</v>
      </c>
      <c r="T23" s="76" t="str">
        <f t="shared" si="6"/>
        <v>-- バージョン</v>
      </c>
      <c r="U23" s="4"/>
      <c r="AA23" s="4"/>
      <c r="AB23" s="4"/>
      <c r="AC23" s="4"/>
      <c r="AD23" s="4"/>
      <c r="AE23" s="4"/>
      <c r="AF23" s="4"/>
      <c r="AG23" s="4"/>
      <c r="AH23" s="4"/>
      <c r="AI23" s="4"/>
      <c r="AJ23" s="76" t="str">
        <f>IF(E23="○",IF(COUNTA(E$13:E23)=1,"",",")&amp;D23,"")</f>
        <v>,version</v>
      </c>
      <c r="AK23" s="4"/>
      <c r="AL23" s="4"/>
      <c r="AM23" s="4"/>
      <c r="AN23" s="4"/>
      <c r="AO23" s="4"/>
      <c r="AP23" s="4"/>
      <c r="AQ23" s="4"/>
      <c r="AR23" s="4"/>
      <c r="AS23" s="76" t="str">
        <f>"COMMENT ON COLUMN "&amp;エンティティ一覧!$O$2&amp;"."&amp;D$8&amp;"."&amp;D23&amp;" IS '"&amp;C23&amp;"';"</f>
        <v>COMMENT ON COLUMN milscm_2023_010.azn_202310_backup_merge_dpc_ff1_a006050.version IS 'バージョン';</v>
      </c>
    </row>
    <row r="24" spans="1:52" s="25" customFormat="1">
      <c r="A24" s="4"/>
      <c r="B24" s="21">
        <f t="shared" si="2"/>
        <v>12</v>
      </c>
      <c r="C24" s="6" t="s">
        <v>868</v>
      </c>
      <c r="D24" s="6" t="s">
        <v>362</v>
      </c>
      <c r="E24" s="8" t="s">
        <v>127</v>
      </c>
      <c r="F24" s="7" t="s">
        <v>863</v>
      </c>
      <c r="G24" s="7" t="str">
        <f t="shared" si="3"/>
        <v>text</v>
      </c>
      <c r="H24" s="26"/>
      <c r="I24" s="10" t="s">
        <v>127</v>
      </c>
      <c r="J24" s="11"/>
      <c r="N24" s="76"/>
      <c r="O24" s="76"/>
      <c r="P24" s="76" t="str">
        <f t="shared" si="4"/>
        <v>,number</v>
      </c>
      <c r="Q24" s="76" t="str">
        <f t="shared" si="0"/>
        <v>TEXT</v>
      </c>
      <c r="R24" s="76" t="str">
        <f t="shared" si="1"/>
        <v/>
      </c>
      <c r="S24" s="76" t="str">
        <f t="shared" si="5"/>
        <v>NOT NULL</v>
      </c>
      <c r="T24" s="76" t="str">
        <f t="shared" si="6"/>
        <v>-- 連番</v>
      </c>
      <c r="U24" s="4"/>
      <c r="AA24" s="4"/>
      <c r="AB24" s="4"/>
      <c r="AC24" s="4"/>
      <c r="AD24" s="4"/>
      <c r="AE24" s="4"/>
      <c r="AF24" s="4"/>
      <c r="AG24" s="4"/>
      <c r="AH24" s="4"/>
      <c r="AI24" s="4"/>
      <c r="AJ24" s="76" t="str">
        <f>IF(E24="○",IF(COUNTA(E$13:E24)=1,"",",")&amp;D24,"")</f>
        <v>,number</v>
      </c>
      <c r="AK24" s="4"/>
      <c r="AL24" s="4"/>
      <c r="AM24" s="4"/>
      <c r="AN24" s="4"/>
      <c r="AO24" s="4"/>
      <c r="AP24" s="4"/>
      <c r="AQ24" s="4"/>
      <c r="AR24" s="4"/>
      <c r="AS24" s="76" t="str">
        <f>"COMMENT ON COLUMN "&amp;エンティティ一覧!$O$2&amp;"."&amp;D$8&amp;"."&amp;D24&amp;" IS '"&amp;C24&amp;"';"</f>
        <v>COMMENT ON COLUMN milscm_2023_010.azn_202310_backup_merge_dpc_ff1_a006050.number IS '連番';</v>
      </c>
    </row>
    <row r="25" spans="1:52" s="25" customFormat="1">
      <c r="A25" s="4"/>
      <c r="B25" s="21">
        <f t="shared" si="2"/>
        <v>13</v>
      </c>
      <c r="C25" s="13" t="s">
        <v>661</v>
      </c>
      <c r="D25" s="13" t="s">
        <v>869</v>
      </c>
      <c r="E25" s="7"/>
      <c r="F25" s="7" t="s">
        <v>863</v>
      </c>
      <c r="G25" s="7" t="str">
        <f t="shared" si="3"/>
        <v>text</v>
      </c>
      <c r="H25" s="58"/>
      <c r="I25" s="23"/>
      <c r="J25" s="24" t="s">
        <v>890</v>
      </c>
      <c r="N25" s="76"/>
      <c r="O25" s="76"/>
      <c r="P25" s="76" t="str">
        <f t="shared" si="4"/>
        <v>,icd10_code</v>
      </c>
      <c r="Q25" s="76" t="str">
        <f t="shared" si="0"/>
        <v>TEXT</v>
      </c>
      <c r="R25" s="76" t="str">
        <f t="shared" si="1"/>
        <v/>
      </c>
      <c r="S25" s="76" t="str">
        <f t="shared" si="5"/>
        <v/>
      </c>
      <c r="T25" s="76" t="str">
        <f t="shared" si="6"/>
        <v>-- ICD10コード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milscm_2023_010.azn_202310_backup_merge_dpc_ff1_a006050.icd10_code IS 'ICD10コード';</v>
      </c>
    </row>
    <row r="26" spans="1:52" s="25" customFormat="1">
      <c r="A26" s="4"/>
      <c r="B26" s="21">
        <f t="shared" si="2"/>
        <v>14</v>
      </c>
      <c r="C26" s="6" t="s">
        <v>663</v>
      </c>
      <c r="D26" s="6" t="s">
        <v>870</v>
      </c>
      <c r="E26" s="8"/>
      <c r="F26" s="7" t="s">
        <v>863</v>
      </c>
      <c r="G26" s="7" t="str">
        <f t="shared" si="3"/>
        <v>text</v>
      </c>
      <c r="H26" s="26"/>
      <c r="I26" s="10"/>
      <c r="J26" s="11"/>
      <c r="N26" s="76"/>
      <c r="O26" s="76"/>
      <c r="P26" s="76" t="str">
        <f t="shared" si="4"/>
        <v>,shobyo_code</v>
      </c>
      <c r="Q26" s="76" t="str">
        <f t="shared" si="0"/>
        <v>TEXT</v>
      </c>
      <c r="R26" s="76" t="str">
        <f t="shared" si="1"/>
        <v/>
      </c>
      <c r="S26" s="76" t="str">
        <f t="shared" si="5"/>
        <v/>
      </c>
      <c r="T26" s="76" t="str">
        <f t="shared" si="6"/>
        <v>-- 傷病名コード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milscm_2023_010.azn_202310_backup_merge_dpc_ff1_a006050.shobyo_code IS '傷病名コード';</v>
      </c>
    </row>
    <row r="27" spans="1:52" s="25" customFormat="1">
      <c r="A27" s="4"/>
      <c r="B27" s="21">
        <f t="shared" si="2"/>
        <v>15</v>
      </c>
      <c r="C27" s="6" t="s">
        <v>665</v>
      </c>
      <c r="D27" s="6" t="s">
        <v>871</v>
      </c>
      <c r="E27" s="8"/>
      <c r="F27" s="7" t="s">
        <v>863</v>
      </c>
      <c r="G27" s="7" t="str">
        <f t="shared" si="3"/>
        <v>text</v>
      </c>
      <c r="H27" s="26"/>
      <c r="I27" s="10"/>
      <c r="J27" s="11"/>
      <c r="N27" s="76"/>
      <c r="O27" s="76"/>
      <c r="P27" s="76" t="str">
        <f t="shared" si="4"/>
        <v>,shushoku_code1</v>
      </c>
      <c r="Q27" s="76" t="str">
        <f t="shared" si="0"/>
        <v>TEXT</v>
      </c>
      <c r="R27" s="76" t="str">
        <f t="shared" si="1"/>
        <v/>
      </c>
      <c r="S27" s="76" t="str">
        <f t="shared" si="5"/>
        <v/>
      </c>
      <c r="T27" s="76" t="str">
        <f t="shared" si="6"/>
        <v>-- 修飾語コード1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milscm_2023_010.azn_202310_backup_merge_dpc_ff1_a006050.shushoku_code1 IS '修飾語コード1';</v>
      </c>
    </row>
    <row r="28" spans="1:52" s="25" customFormat="1">
      <c r="A28" s="4"/>
      <c r="B28" s="21">
        <f t="shared" si="2"/>
        <v>16</v>
      </c>
      <c r="C28" s="13" t="s">
        <v>667</v>
      </c>
      <c r="D28" s="13" t="s">
        <v>872</v>
      </c>
      <c r="E28" s="7"/>
      <c r="F28" s="7" t="s">
        <v>863</v>
      </c>
      <c r="G28" s="7" t="str">
        <f t="shared" si="3"/>
        <v>text</v>
      </c>
      <c r="H28" s="58"/>
      <c r="I28" s="23"/>
      <c r="J28" s="24"/>
      <c r="N28" s="76"/>
      <c r="O28" s="76"/>
      <c r="P28" s="76" t="str">
        <f t="shared" si="4"/>
        <v>,shushoku_code2</v>
      </c>
      <c r="Q28" s="76" t="str">
        <f t="shared" si="0"/>
        <v>TEXT</v>
      </c>
      <c r="R28" s="76" t="str">
        <f t="shared" si="1"/>
        <v/>
      </c>
      <c r="S28" s="76" t="str">
        <f t="shared" si="5"/>
        <v/>
      </c>
      <c r="T28" s="76" t="str">
        <f t="shared" si="6"/>
        <v>-- 修飾語コード2</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milscm_2023_010.azn_202310_backup_merge_dpc_ff1_a006050.shushoku_code2 IS '修飾語コード2';</v>
      </c>
    </row>
    <row r="29" spans="1:52" s="25" customFormat="1">
      <c r="A29" s="4"/>
      <c r="B29" s="21">
        <f t="shared" si="2"/>
        <v>17</v>
      </c>
      <c r="C29" s="6" t="s">
        <v>669</v>
      </c>
      <c r="D29" s="6" t="s">
        <v>873</v>
      </c>
      <c r="E29" s="8"/>
      <c r="F29" s="7" t="s">
        <v>863</v>
      </c>
      <c r="G29" s="7" t="str">
        <f t="shared" si="3"/>
        <v>text</v>
      </c>
      <c r="H29" s="26"/>
      <c r="I29" s="10"/>
      <c r="J29" s="11"/>
      <c r="N29" s="76"/>
      <c r="O29" s="76"/>
      <c r="P29" s="76" t="str">
        <f t="shared" si="4"/>
        <v>,shushoku_code3</v>
      </c>
      <c r="Q29" s="76" t="str">
        <f t="shared" si="0"/>
        <v>TEXT</v>
      </c>
      <c r="R29" s="76" t="str">
        <f t="shared" si="1"/>
        <v/>
      </c>
      <c r="S29" s="76" t="str">
        <f t="shared" si="5"/>
        <v/>
      </c>
      <c r="T29" s="76" t="str">
        <f t="shared" si="6"/>
        <v>-- 修飾語コード3</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milscm_2023_010.azn_202310_backup_merge_dpc_ff1_a006050.shushoku_code3 IS '修飾語コード3';</v>
      </c>
    </row>
    <row r="30" spans="1:52" s="25" customFormat="1">
      <c r="A30" s="4"/>
      <c r="B30" s="21">
        <f t="shared" si="2"/>
        <v>18</v>
      </c>
      <c r="C30" s="13" t="s">
        <v>671</v>
      </c>
      <c r="D30" s="13" t="s">
        <v>874</v>
      </c>
      <c r="E30" s="7"/>
      <c r="F30" s="7" t="s">
        <v>863</v>
      </c>
      <c r="G30" s="7" t="str">
        <f t="shared" si="3"/>
        <v>text</v>
      </c>
      <c r="H30" s="58"/>
      <c r="I30" s="23"/>
      <c r="J30" s="24"/>
      <c r="N30" s="76"/>
      <c r="O30" s="76"/>
      <c r="P30" s="76" t="str">
        <f t="shared" si="4"/>
        <v>,shushoku_code4</v>
      </c>
      <c r="Q30" s="76" t="str">
        <f t="shared" si="0"/>
        <v>TEXT</v>
      </c>
      <c r="R30" s="76" t="str">
        <f t="shared" si="1"/>
        <v/>
      </c>
      <c r="S30" s="76" t="str">
        <f t="shared" si="5"/>
        <v/>
      </c>
      <c r="T30" s="76" t="str">
        <f t="shared" si="6"/>
        <v>-- 修飾語コード4</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milscm_2023_010.azn_202310_backup_merge_dpc_ff1_a006050.shushoku_code4 IS '修飾語コード4';</v>
      </c>
    </row>
    <row r="31" spans="1:52" s="25" customFormat="1" ht="19.5" thickBot="1">
      <c r="A31" s="4"/>
      <c r="B31" s="27">
        <f>ROW()-12</f>
        <v>19</v>
      </c>
      <c r="C31" s="57" t="s">
        <v>886</v>
      </c>
      <c r="D31" s="57" t="s">
        <v>887</v>
      </c>
      <c r="E31" s="56"/>
      <c r="F31" s="56" t="s">
        <v>863</v>
      </c>
      <c r="G31" s="56" t="str">
        <f t="shared" si="3"/>
        <v>text</v>
      </c>
      <c r="H31" s="59"/>
      <c r="I31" s="60"/>
      <c r="J31" s="61" t="s">
        <v>891</v>
      </c>
      <c r="N31" s="76"/>
      <c r="O31" s="76"/>
      <c r="P31" s="76" t="str">
        <f t="shared" si="4"/>
        <v>,nyuin_shikkan_name</v>
      </c>
      <c r="Q31" s="76" t="str">
        <f t="shared" si="0"/>
        <v>TEXT</v>
      </c>
      <c r="R31" s="76" t="str">
        <f t="shared" si="1"/>
        <v/>
      </c>
      <c r="S31" s="76" t="str">
        <f t="shared" si="5"/>
        <v/>
      </c>
      <c r="T31" s="76" t="str">
        <f t="shared" si="6"/>
        <v>-- 入院後発症疾患名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milscm_2023_010.azn_202310_backup_merge_dpc_ff1_a006050.nyuin_shikkan_name IS '入院後発症疾患名';</v>
      </c>
    </row>
    <row r="32" spans="1:52">
      <c r="L32" s="25"/>
      <c r="M32" s="25"/>
      <c r="N32" s="76" t="s">
        <v>142</v>
      </c>
      <c r="O32" s="76"/>
      <c r="P32" s="76"/>
      <c r="Q32" s="76"/>
      <c r="R32" s="76"/>
      <c r="S32" s="76"/>
      <c r="T32" s="76"/>
      <c r="V32" s="25"/>
      <c r="W32" s="25"/>
      <c r="X32" s="25"/>
      <c r="Y32" s="25"/>
      <c r="Z32" s="25"/>
      <c r="AJ32" s="76"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ENT_01_C2-01</v>
      </c>
      <c r="E6" s="272"/>
      <c r="F6" s="272"/>
      <c r="G6" s="272"/>
      <c r="H6" s="272"/>
      <c r="I6" s="272"/>
      <c r="J6" s="273"/>
    </row>
    <row r="7" spans="1:45">
      <c r="B7" s="261" t="s">
        <v>115</v>
      </c>
      <c r="C7" s="262"/>
      <c r="D7" s="263" t="s">
        <v>901</v>
      </c>
      <c r="E7" s="264"/>
      <c r="F7" s="264"/>
      <c r="G7" s="264"/>
      <c r="H7" s="264"/>
      <c r="I7" s="264"/>
      <c r="J7" s="265"/>
    </row>
    <row r="8" spans="1:45">
      <c r="B8" s="261" t="s">
        <v>116</v>
      </c>
      <c r="C8" s="262"/>
      <c r="D8" s="263" t="str">
        <f>エンティティ一覧!AE2&amp;"_"&amp;D5&amp;"_merge_receiptc_ir"</f>
        <v>azn_202310_backup_merge_receiptc_ir</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医科レセプト_医療機関情報レコードテーブルから組入れ条件の第一条件で絞り込んだ結果を格納するテーブル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milscm_2023_010.azn_202310_backup_merge_receiptc_ir;</v>
      </c>
      <c r="O10" s="76"/>
      <c r="P10" s="76"/>
      <c r="Q10" s="76"/>
      <c r="R10" s="76"/>
      <c r="S10" s="76"/>
      <c r="T10" s="76"/>
      <c r="AJ10" s="76" t="str">
        <f>"ALTER TABLE ONLY "&amp;エンティティ一覧!$O$2&amp;"."&amp;D$8</f>
        <v>ALTER TABLE ONLY milscm_2023_010.azn_202310_backup_merge_receiptc_ir</v>
      </c>
      <c r="AS10" s="76" t="str">
        <f>"ALTER TABLE "&amp;エンティティ一覧!$O$2&amp;"."&amp;D$8&amp;" OWNER TO pgmisgrp1;"</f>
        <v>ALTER TABLE milscm_2023_010.azn_202310_backup_merge_receiptc_ir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milscm_2023_010.azn_202310_backup_merge_receiptc_ir</v>
      </c>
      <c r="O11" s="76"/>
      <c r="P11" s="76"/>
      <c r="Q11" s="76"/>
      <c r="R11" s="76"/>
      <c r="S11" s="76"/>
      <c r="T11" s="76"/>
      <c r="AJ11" s="76" t="str">
        <f>"ADD CONSTRAINT "&amp;D$8&amp;"_pkey PRIMARY KEY"</f>
        <v>ADD CONSTRAINT azn_202310_backup_merge_receiptc_ir_pkey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milscm_2023_010.azn_202310_backup_merge_receiptc_ir IS 'バックアップ_医科レセプト_医療機関情報レコード';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0" si="0">UPPER(G13)</f>
        <v>TEXT</v>
      </c>
      <c r="R13" s="76" t="str">
        <f t="shared" ref="R13:R3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milscm_2023_010.azn_202310_backup_merge_receiptc_ir.torikomi_ym IS '取込年月';</v>
      </c>
    </row>
    <row r="14" spans="1:45" s="25" customFormat="1">
      <c r="A14" s="4"/>
      <c r="B14" s="21">
        <f t="shared" ref="B14:B29" si="2">ROW()-12</f>
        <v>2</v>
      </c>
      <c r="C14" s="6" t="s">
        <v>201</v>
      </c>
      <c r="D14" s="6" t="s">
        <v>202</v>
      </c>
      <c r="E14" s="8"/>
      <c r="F14" s="7" t="s">
        <v>203</v>
      </c>
      <c r="G14" s="7" t="str">
        <f t="shared" ref="G14:G30" si="3">IF(F14="フラグ","boolean",IF(F14="文字列","text",IF(F14="整数","integer",IF(F14="実数","numeric",""))))</f>
        <v>integer</v>
      </c>
      <c r="H14" s="26"/>
      <c r="I14" s="10"/>
      <c r="J14" s="11" t="s">
        <v>256</v>
      </c>
      <c r="M14" s="4"/>
      <c r="N14" s="76"/>
      <c r="O14" s="76"/>
      <c r="P14" s="76" t="str">
        <f t="shared" ref="P14:P3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milscm_2023_010.azn_202310_backup_merge_receiptc_ir.mil_karute_id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928</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milscm_2023_010.azn_202310_backup_merge_receiptc_ir.facility_id IS '施設ID';</v>
      </c>
    </row>
    <row r="16" spans="1:45" s="25" customFormat="1" ht="56.25">
      <c r="B16" s="21">
        <f t="shared" si="2"/>
        <v>4</v>
      </c>
      <c r="C16" s="6" t="s">
        <v>902</v>
      </c>
      <c r="D16" s="6" t="s">
        <v>903</v>
      </c>
      <c r="E16" s="8" t="s">
        <v>127</v>
      </c>
      <c r="F16" s="7" t="s">
        <v>863</v>
      </c>
      <c r="G16" s="7" t="str">
        <f t="shared" si="3"/>
        <v>text</v>
      </c>
      <c r="H16" s="26"/>
      <c r="I16" s="10" t="s">
        <v>127</v>
      </c>
      <c r="J16" s="53" t="s">
        <v>929</v>
      </c>
      <c r="M16" s="4"/>
      <c r="N16" s="76"/>
      <c r="O16" s="76"/>
      <c r="P16" s="76" t="str">
        <f t="shared" si="4"/>
        <v>,seikyu_ym</v>
      </c>
      <c r="Q16" s="76" t="str">
        <f t="shared" si="0"/>
        <v>TEXT</v>
      </c>
      <c r="R16" s="76" t="str">
        <f t="shared" si="1"/>
        <v/>
      </c>
      <c r="S16" s="76" t="str">
        <f t="shared" ref="S16:S30" si="5">IF(I16="○","NOT NULL","")</f>
        <v>NOT NULL</v>
      </c>
      <c r="T16" s="76" t="str">
        <f t="shared" ref="T16:T30"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milscm_2023_010.azn_202310_backup_merge_receiptc_ir.seikyu_ym IS '請求年月';</v>
      </c>
    </row>
    <row r="17" spans="1:52" s="25" customFormat="1" ht="75">
      <c r="B17" s="21">
        <f t="shared" si="2"/>
        <v>5</v>
      </c>
      <c r="C17" s="13" t="s">
        <v>864</v>
      </c>
      <c r="D17" s="13" t="s">
        <v>205</v>
      </c>
      <c r="E17" s="7" t="s">
        <v>127</v>
      </c>
      <c r="F17" s="7" t="s">
        <v>863</v>
      </c>
      <c r="G17" s="7" t="str">
        <f t="shared" si="3"/>
        <v>text</v>
      </c>
      <c r="H17" s="58"/>
      <c r="I17" s="23" t="s">
        <v>127</v>
      </c>
      <c r="J17" s="24" t="s">
        <v>935</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milscm_2023_010.azn_202310_backup_merge_receiptc_ir.shinryo_ym IS '診療年月';</v>
      </c>
    </row>
    <row r="18" spans="1:52" s="25" customFormat="1">
      <c r="B18" s="21">
        <f t="shared" si="2"/>
        <v>6</v>
      </c>
      <c r="C18" s="6" t="s">
        <v>318</v>
      </c>
      <c r="D18" s="6" t="s">
        <v>207</v>
      </c>
      <c r="E18" s="8"/>
      <c r="F18" s="7" t="s">
        <v>863</v>
      </c>
      <c r="G18" s="7" t="str">
        <f t="shared" si="3"/>
        <v>text</v>
      </c>
      <c r="H18" s="26" t="s">
        <v>930</v>
      </c>
      <c r="I18" s="10" t="s">
        <v>127</v>
      </c>
      <c r="J18" s="11" t="s">
        <v>931</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milscm_2023_010.azn_202310_backup_merge_receiptc_ir.data_type IS 'データ種別';</v>
      </c>
    </row>
    <row r="19" spans="1:52" s="25" customFormat="1">
      <c r="B19" s="21">
        <f t="shared" si="2"/>
        <v>7</v>
      </c>
      <c r="C19" s="13" t="s">
        <v>904</v>
      </c>
      <c r="D19" s="13" t="s">
        <v>905</v>
      </c>
      <c r="E19" s="7" t="s">
        <v>127</v>
      </c>
      <c r="F19" s="7" t="s">
        <v>863</v>
      </c>
      <c r="G19" s="7" t="str">
        <f t="shared" si="3"/>
        <v>text</v>
      </c>
      <c r="H19" s="58"/>
      <c r="I19" s="23" t="s">
        <v>127</v>
      </c>
      <c r="J19" s="2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milscm_2023_010.azn_202310_backup_merge_receiptc_ir.shinsa_kikan IS '審査支払機関';</v>
      </c>
    </row>
    <row r="20" spans="1:52" s="25" customFormat="1">
      <c r="B20" s="21">
        <f t="shared" si="2"/>
        <v>8</v>
      </c>
      <c r="C20" s="6" t="s">
        <v>906</v>
      </c>
      <c r="D20" s="6" t="s">
        <v>907</v>
      </c>
      <c r="E20" s="8"/>
      <c r="F20" s="7" t="s">
        <v>863</v>
      </c>
      <c r="G20" s="7" t="str">
        <f t="shared" si="3"/>
        <v>text</v>
      </c>
      <c r="H20" s="26" t="s">
        <v>932</v>
      </c>
      <c r="I20" s="10" t="s">
        <v>127</v>
      </c>
      <c r="J20" s="11" t="s">
        <v>933</v>
      </c>
      <c r="N20" s="76"/>
      <c r="O20" s="76"/>
      <c r="P20" s="76" t="str">
        <f t="shared" si="4"/>
        <v>,record_shikibetsu</v>
      </c>
      <c r="Q20" s="76" t="str">
        <f t="shared" si="0"/>
        <v>TEXT</v>
      </c>
      <c r="R20" s="76" t="str">
        <f t="shared" si="1"/>
        <v>default 'IR'</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milscm_2023_010.azn_202310_backup_merge_receiptc_ir.record_shikibetsu IS 'レコード識別情報';</v>
      </c>
    </row>
    <row r="21" spans="1:52" s="25" customFormat="1">
      <c r="A21" s="4"/>
      <c r="B21" s="21">
        <f t="shared" si="2"/>
        <v>9</v>
      </c>
      <c r="C21" s="13" t="s">
        <v>908</v>
      </c>
      <c r="D21" s="13" t="s">
        <v>909</v>
      </c>
      <c r="E21" s="7" t="s">
        <v>127</v>
      </c>
      <c r="F21" s="7" t="s">
        <v>203</v>
      </c>
      <c r="G21" s="7" t="str">
        <f t="shared" si="3"/>
        <v>integer</v>
      </c>
      <c r="H21" s="58">
        <v>0</v>
      </c>
      <c r="I21" s="23" t="s">
        <v>127</v>
      </c>
      <c r="J21" s="24" t="s">
        <v>934</v>
      </c>
      <c r="N21" s="76"/>
      <c r="O21" s="76"/>
      <c r="P21" s="76" t="str">
        <f t="shared" si="4"/>
        <v>,receipt_no</v>
      </c>
      <c r="Q21" s="76" t="str">
        <f t="shared" si="0"/>
        <v>INTEGER</v>
      </c>
      <c r="R21" s="76" t="str">
        <f t="shared" si="1"/>
        <v>default 0</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milscm_2023_010.azn_202310_backup_merge_receiptc_ir.receipt_no IS 'レセプト番号';</v>
      </c>
    </row>
    <row r="22" spans="1:52" s="25" customFormat="1">
      <c r="A22" s="4"/>
      <c r="B22" s="21">
        <f t="shared" si="2"/>
        <v>10</v>
      </c>
      <c r="C22" s="6" t="s">
        <v>910</v>
      </c>
      <c r="D22" s="6" t="s">
        <v>911</v>
      </c>
      <c r="E22" s="8" t="s">
        <v>127</v>
      </c>
      <c r="F22" s="7" t="s">
        <v>203</v>
      </c>
      <c r="G22" s="7" t="str">
        <f t="shared" si="3"/>
        <v>integer</v>
      </c>
      <c r="H22" s="26">
        <v>0</v>
      </c>
      <c r="I22" s="10" t="s">
        <v>127</v>
      </c>
      <c r="J22" s="11" t="s">
        <v>934</v>
      </c>
      <c r="N22" s="76"/>
      <c r="O22" s="76"/>
      <c r="P22" s="76" t="str">
        <f t="shared" si="4"/>
        <v>,gyo_no</v>
      </c>
      <c r="Q22" s="76" t="str">
        <f t="shared" si="0"/>
        <v>INTEGER</v>
      </c>
      <c r="R22" s="76" t="str">
        <f t="shared" si="1"/>
        <v>default 0</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milscm_2023_010.azn_202310_backup_merge_receiptc_ir.gyo_no IS '行番号';</v>
      </c>
    </row>
    <row r="23" spans="1:52" s="25" customFormat="1">
      <c r="A23" s="4"/>
      <c r="B23" s="21">
        <f t="shared" si="2"/>
        <v>11</v>
      </c>
      <c r="C23" s="13" t="s">
        <v>912</v>
      </c>
      <c r="D23" s="13" t="s">
        <v>913</v>
      </c>
      <c r="E23" s="7"/>
      <c r="F23" s="7" t="s">
        <v>863</v>
      </c>
      <c r="G23" s="7" t="str">
        <f t="shared" si="3"/>
        <v>text</v>
      </c>
      <c r="H23" s="58"/>
      <c r="I23" s="23"/>
      <c r="J23" s="24" t="s">
        <v>861</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milscm_2023_010.azn_202310_backup_merge_receiptc_ir.karute_no IS 'カルテ番号等';</v>
      </c>
    </row>
    <row r="24" spans="1:52" s="25" customFormat="1">
      <c r="A24" s="4"/>
      <c r="B24" s="21">
        <f t="shared" si="2"/>
        <v>12</v>
      </c>
      <c r="C24" s="6" t="s">
        <v>914</v>
      </c>
      <c r="D24" s="6" t="s">
        <v>915</v>
      </c>
      <c r="E24" s="8"/>
      <c r="F24" s="7" t="s">
        <v>863</v>
      </c>
      <c r="G24" s="7" t="str">
        <f t="shared" si="3"/>
        <v>text</v>
      </c>
      <c r="H24" s="26"/>
      <c r="I24" s="10"/>
      <c r="J24" s="11"/>
      <c r="N24" s="76"/>
      <c r="O24" s="76"/>
      <c r="P24" s="76" t="str">
        <f t="shared" si="4"/>
        <v>,prefecture</v>
      </c>
      <c r="Q24" s="76" t="str">
        <f t="shared" si="0"/>
        <v>TEXT</v>
      </c>
      <c r="R24" s="76" t="str">
        <f t="shared" si="1"/>
        <v/>
      </c>
      <c r="S24" s="76" t="str">
        <f t="shared" si="5"/>
        <v/>
      </c>
      <c r="T24" s="76" t="str">
        <f t="shared" si="6"/>
        <v>-- 都道府県</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milscm_2023_010.azn_202310_backup_merge_receiptc_ir.prefecture IS '都道府県';</v>
      </c>
    </row>
    <row r="25" spans="1:52" s="25" customFormat="1">
      <c r="A25" s="4"/>
      <c r="B25" s="21">
        <f t="shared" si="2"/>
        <v>13</v>
      </c>
      <c r="C25" s="13" t="s">
        <v>916</v>
      </c>
      <c r="D25" s="13" t="s">
        <v>917</v>
      </c>
      <c r="E25" s="7"/>
      <c r="F25" s="7" t="s">
        <v>863</v>
      </c>
      <c r="G25" s="7" t="str">
        <f t="shared" si="3"/>
        <v>text</v>
      </c>
      <c r="H25" s="58"/>
      <c r="I25" s="23"/>
      <c r="J25" s="24"/>
      <c r="N25" s="76"/>
      <c r="O25" s="76"/>
      <c r="P25" s="76" t="str">
        <f t="shared" si="4"/>
        <v>,tensuhyo</v>
      </c>
      <c r="Q25" s="76" t="str">
        <f t="shared" si="0"/>
        <v>TEXT</v>
      </c>
      <c r="R25" s="76" t="str">
        <f t="shared" si="1"/>
        <v/>
      </c>
      <c r="S25" s="76" t="str">
        <f t="shared" si="5"/>
        <v/>
      </c>
      <c r="T25" s="76" t="str">
        <f t="shared" si="6"/>
        <v>-- 点数表</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milscm_2023_010.azn_202310_backup_merge_receiptc_ir.tensuhyo IS '点数表';</v>
      </c>
    </row>
    <row r="26" spans="1:52" s="25" customFormat="1">
      <c r="A26" s="4"/>
      <c r="B26" s="21">
        <f t="shared" si="2"/>
        <v>14</v>
      </c>
      <c r="C26" s="6" t="s">
        <v>918</v>
      </c>
      <c r="D26" s="6" t="s">
        <v>919</v>
      </c>
      <c r="E26" s="8"/>
      <c r="F26" s="7" t="s">
        <v>863</v>
      </c>
      <c r="G26" s="7" t="str">
        <f t="shared" si="3"/>
        <v>text</v>
      </c>
      <c r="H26" s="26"/>
      <c r="I26" s="10"/>
      <c r="J26" s="11"/>
      <c r="N26" s="76"/>
      <c r="O26" s="76"/>
      <c r="P26" s="76" t="str">
        <f t="shared" si="4"/>
        <v>,hospital_code</v>
      </c>
      <c r="Q26" s="76" t="str">
        <f t="shared" si="0"/>
        <v>TEXT</v>
      </c>
      <c r="R26" s="76" t="str">
        <f t="shared" si="1"/>
        <v/>
      </c>
      <c r="S26" s="76" t="str">
        <f t="shared" si="5"/>
        <v/>
      </c>
      <c r="T26" s="76" t="str">
        <f t="shared" si="6"/>
        <v>-- 医療機関コード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milscm_2023_010.azn_202310_backup_merge_receiptc_ir.hospital_code IS '医療機関コード';</v>
      </c>
    </row>
    <row r="27" spans="1:52" s="25" customFormat="1">
      <c r="A27" s="4"/>
      <c r="B27" s="21">
        <f t="shared" si="2"/>
        <v>15</v>
      </c>
      <c r="C27" s="6" t="s">
        <v>920</v>
      </c>
      <c r="D27" s="6" t="s">
        <v>921</v>
      </c>
      <c r="E27" s="8"/>
      <c r="F27" s="7" t="s">
        <v>863</v>
      </c>
      <c r="G27" s="7" t="str">
        <f t="shared" si="3"/>
        <v>text</v>
      </c>
      <c r="H27" s="26"/>
      <c r="I27" s="10"/>
      <c r="J27" s="11"/>
      <c r="N27" s="76"/>
      <c r="O27" s="76"/>
      <c r="P27" s="76" t="str">
        <f t="shared" si="4"/>
        <v>,reserve1</v>
      </c>
      <c r="Q27" s="76" t="str">
        <f t="shared" si="0"/>
        <v>TEXT</v>
      </c>
      <c r="R27" s="76" t="str">
        <f t="shared" si="1"/>
        <v/>
      </c>
      <c r="S27" s="76" t="str">
        <f t="shared" si="5"/>
        <v/>
      </c>
      <c r="T27" s="76" t="str">
        <f t="shared" si="6"/>
        <v>-- 予備1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milscm_2023_010.azn_202310_backup_merge_receiptc_ir.reserve1 IS '予備1';</v>
      </c>
    </row>
    <row r="28" spans="1:52" s="25" customFormat="1">
      <c r="A28" s="4"/>
      <c r="B28" s="21">
        <f t="shared" si="2"/>
        <v>16</v>
      </c>
      <c r="C28" s="13" t="s">
        <v>922</v>
      </c>
      <c r="D28" s="13" t="s">
        <v>923</v>
      </c>
      <c r="E28" s="7"/>
      <c r="F28" s="7" t="s">
        <v>863</v>
      </c>
      <c r="G28" s="7" t="str">
        <f t="shared" si="3"/>
        <v>text</v>
      </c>
      <c r="H28" s="58"/>
      <c r="I28" s="23"/>
      <c r="J28" s="24"/>
      <c r="N28" s="76"/>
      <c r="O28" s="76"/>
      <c r="P28" s="76" t="str">
        <f t="shared" si="4"/>
        <v>,hospital_name</v>
      </c>
      <c r="Q28" s="76" t="str">
        <f t="shared" si="0"/>
        <v>TEXT</v>
      </c>
      <c r="R28" s="76" t="str">
        <f t="shared" si="1"/>
        <v/>
      </c>
      <c r="S28" s="76" t="str">
        <f t="shared" si="5"/>
        <v/>
      </c>
      <c r="T28" s="76" t="str">
        <f t="shared" si="6"/>
        <v>-- 医療機関名称</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milscm_2023_010.azn_202310_backup_merge_receiptc_ir.hospital_name IS '医療機関名称';</v>
      </c>
    </row>
    <row r="29" spans="1:52" s="25" customFormat="1">
      <c r="A29" s="4"/>
      <c r="B29" s="21">
        <f t="shared" si="2"/>
        <v>17</v>
      </c>
      <c r="C29" s="13" t="s">
        <v>924</v>
      </c>
      <c r="D29" s="13" t="s">
        <v>925</v>
      </c>
      <c r="E29" s="7"/>
      <c r="F29" s="7" t="s">
        <v>863</v>
      </c>
      <c r="G29" s="7" t="str">
        <f t="shared" si="3"/>
        <v>text</v>
      </c>
      <c r="H29" s="58"/>
      <c r="I29" s="23"/>
      <c r="J29" s="24"/>
      <c r="N29" s="76"/>
      <c r="O29" s="76"/>
      <c r="P29" s="76" t="str">
        <f t="shared" si="4"/>
        <v>,multi_volume_shikibetsu</v>
      </c>
      <c r="Q29" s="76" t="str">
        <f t="shared" si="0"/>
        <v>TEXT</v>
      </c>
      <c r="R29" s="76" t="str">
        <f t="shared" si="1"/>
        <v/>
      </c>
      <c r="S29" s="76" t="str">
        <f t="shared" si="5"/>
        <v/>
      </c>
      <c r="T29" s="76" t="str">
        <f t="shared" si="6"/>
        <v>-- マルチボリューム識別情報</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milscm_2023_010.azn_202310_backup_merge_receiptc_ir.multi_volume_shikibetsu IS 'マルチボリューム識別情報';</v>
      </c>
    </row>
    <row r="30" spans="1:52" s="25" customFormat="1" ht="19.5" thickBot="1">
      <c r="A30" s="4"/>
      <c r="B30" s="27">
        <f>ROW()-12</f>
        <v>18</v>
      </c>
      <c r="C30" s="57" t="s">
        <v>926</v>
      </c>
      <c r="D30" s="57" t="s">
        <v>927</v>
      </c>
      <c r="E30" s="56"/>
      <c r="F30" s="56" t="s">
        <v>863</v>
      </c>
      <c r="G30" s="56" t="str">
        <f t="shared" si="3"/>
        <v>text</v>
      </c>
      <c r="H30" s="59"/>
      <c r="I30" s="60"/>
      <c r="J30" s="63"/>
      <c r="N30" s="76"/>
      <c r="O30" s="76"/>
      <c r="P30" s="76" t="str">
        <f t="shared" si="4"/>
        <v>,phone_no</v>
      </c>
      <c r="Q30" s="76" t="str">
        <f t="shared" si="0"/>
        <v>TEXT</v>
      </c>
      <c r="R30" s="76" t="str">
        <f t="shared" si="1"/>
        <v/>
      </c>
      <c r="S30" s="76" t="str">
        <f t="shared" si="5"/>
        <v/>
      </c>
      <c r="T30" s="76" t="str">
        <f t="shared" si="6"/>
        <v>-- 電話番号</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milscm_2023_010.azn_202310_backup_merge_receiptc_ir.phone_no IS '電話番号';</v>
      </c>
    </row>
    <row r="31" spans="1:52">
      <c r="L31" s="25"/>
      <c r="M31" s="25"/>
      <c r="N31" s="76" t="s">
        <v>142</v>
      </c>
      <c r="O31" s="76"/>
      <c r="P31" s="76"/>
      <c r="Q31" s="76"/>
      <c r="R31" s="76"/>
      <c r="S31" s="76"/>
      <c r="T31" s="76"/>
      <c r="V31" s="25"/>
      <c r="W31" s="25"/>
      <c r="X31" s="25"/>
      <c r="Y31" s="25"/>
      <c r="Z31" s="25"/>
      <c r="AJ31" s="76" t="s">
        <v>142</v>
      </c>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0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ENT_01_C2-02</v>
      </c>
      <c r="E6" s="272"/>
      <c r="F6" s="272"/>
      <c r="G6" s="272"/>
      <c r="H6" s="272"/>
      <c r="I6" s="272"/>
      <c r="J6" s="273"/>
    </row>
    <row r="7" spans="1:45">
      <c r="B7" s="261" t="s">
        <v>115</v>
      </c>
      <c r="C7" s="262"/>
      <c r="D7" s="263" t="s">
        <v>937</v>
      </c>
      <c r="E7" s="264"/>
      <c r="F7" s="264"/>
      <c r="G7" s="264"/>
      <c r="H7" s="264"/>
      <c r="I7" s="264"/>
      <c r="J7" s="265"/>
    </row>
    <row r="8" spans="1:45">
      <c r="B8" s="261" t="s">
        <v>116</v>
      </c>
      <c r="C8" s="262"/>
      <c r="D8" s="263" t="str">
        <f>エンティティ一覧!AE2&amp;"_"&amp;D5&amp;"_merge_receiptc_re"</f>
        <v>azn_202310_backup_merge_receiptc_re</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医科レセプト_レセプト共通レコードテーブルから組入れ条件の第一条件で絞り込んだ結果を格納するテーブル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milscm_2023_010.azn_202310_backup_merge_receiptc_re;</v>
      </c>
      <c r="O10" s="76"/>
      <c r="P10" s="76"/>
      <c r="Q10" s="76"/>
      <c r="R10" s="76"/>
      <c r="S10" s="76"/>
      <c r="T10" s="76"/>
      <c r="AJ10" s="76" t="str">
        <f>"ALTER TABLE ONLY "&amp;エンティティ一覧!$O$2&amp;"."&amp;D$8</f>
        <v>ALTER TABLE ONLY milscm_2023_010.azn_202310_backup_merge_receiptc_re</v>
      </c>
      <c r="AS10" s="76" t="str">
        <f>"ALTER TABLE "&amp;エンティティ一覧!$O$2&amp;"."&amp;D$8&amp;" OWNER TO pgmisgrp1;"</f>
        <v>ALTER TABLE milscm_2023_010.azn_202310_backup_merge_receiptc_re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milscm_2023_010.azn_202310_backup_merge_receiptc_re</v>
      </c>
      <c r="O11" s="76"/>
      <c r="P11" s="76"/>
      <c r="Q11" s="76"/>
      <c r="R11" s="76"/>
      <c r="S11" s="76"/>
      <c r="T11" s="76"/>
      <c r="AJ11" s="76" t="str">
        <f>"ADD CONSTRAINT "&amp;D$8&amp;"_pkey PRIMARY KEY"</f>
        <v>ADD CONSTRAINT azn_202310_backup_merge_receiptc_re_pkey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milscm_2023_010.azn_202310_backup_merge_receiptc_re IS 'バックアップ_医科レセプト_レセプト共通レコード';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83" si="0">UPPER(G13)</f>
        <v>TEXT</v>
      </c>
      <c r="R13" s="76" t="str">
        <f t="shared" ref="R13:R8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milscm_2023_010.azn_202310_backup_merge_receiptc_re.torikomi_ym IS '取込年月';</v>
      </c>
    </row>
    <row r="14" spans="1:45" s="25" customFormat="1">
      <c r="A14" s="4"/>
      <c r="B14" s="21">
        <f t="shared" ref="B14:B82" si="2">ROW()-12</f>
        <v>2</v>
      </c>
      <c r="C14" s="6" t="s">
        <v>201</v>
      </c>
      <c r="D14" s="6" t="s">
        <v>202</v>
      </c>
      <c r="E14" s="8"/>
      <c r="F14" s="7" t="s">
        <v>203</v>
      </c>
      <c r="G14" s="7" t="str">
        <f t="shared" ref="G14:G83" si="3">IF(F14="フラグ","boolean",IF(F14="文字列","text",IF(F14="整数","integer",IF(F14="実数","numeric",""))))</f>
        <v>integer</v>
      </c>
      <c r="H14" s="26"/>
      <c r="I14" s="10"/>
      <c r="J14" s="11" t="s">
        <v>256</v>
      </c>
      <c r="M14" s="4"/>
      <c r="N14" s="76"/>
      <c r="O14" s="76"/>
      <c r="P14" s="76" t="str">
        <f t="shared" ref="P14:P8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milscm_2023_010.azn_202310_backup_merge_receiptc_re.mil_karute_id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928</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milscm_2023_010.azn_202310_backup_merge_receiptc_re.facility_id IS '施設ID';</v>
      </c>
    </row>
    <row r="16" spans="1:45" s="25" customFormat="1">
      <c r="B16" s="21">
        <f t="shared" si="2"/>
        <v>4</v>
      </c>
      <c r="C16" s="6" t="s">
        <v>902</v>
      </c>
      <c r="D16" s="6" t="s">
        <v>903</v>
      </c>
      <c r="E16" s="8" t="s">
        <v>127</v>
      </c>
      <c r="F16" s="7" t="s">
        <v>863</v>
      </c>
      <c r="G16" s="7" t="str">
        <f t="shared" si="3"/>
        <v>text</v>
      </c>
      <c r="H16" s="26"/>
      <c r="I16" s="10" t="s">
        <v>127</v>
      </c>
      <c r="J16" s="53" t="s">
        <v>1053</v>
      </c>
      <c r="M16" s="4"/>
      <c r="N16" s="76"/>
      <c r="O16" s="76"/>
      <c r="P16" s="76" t="str">
        <f t="shared" si="4"/>
        <v>,seikyu_ym</v>
      </c>
      <c r="Q16" s="76" t="str">
        <f t="shared" si="0"/>
        <v>TEXT</v>
      </c>
      <c r="R16" s="76" t="str">
        <f t="shared" si="1"/>
        <v/>
      </c>
      <c r="S16" s="76" t="str">
        <f t="shared" ref="S16:S83" si="5">IF(I16="○","NOT NULL","")</f>
        <v>NOT NULL</v>
      </c>
      <c r="T16" s="76" t="str">
        <f t="shared" ref="T16:T83"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milscm_2023_010.azn_202310_backup_merge_receiptc_re.seikyu_ym IS '請求年月';</v>
      </c>
    </row>
    <row r="17" spans="2:45" s="25" customFormat="1" ht="75">
      <c r="B17" s="21">
        <f t="shared" si="2"/>
        <v>5</v>
      </c>
      <c r="C17" s="13" t="s">
        <v>864</v>
      </c>
      <c r="D17" s="13" t="s">
        <v>205</v>
      </c>
      <c r="E17" s="7" t="s">
        <v>127</v>
      </c>
      <c r="F17" s="7" t="s">
        <v>863</v>
      </c>
      <c r="G17" s="7" t="str">
        <f t="shared" ref="G17:G80" si="7">IF(F17="フラグ","boolean",IF(F17="文字列","text",IF(F17="整数","integer",IF(F17="実数","numeric",""))))</f>
        <v>text</v>
      </c>
      <c r="H17" s="58"/>
      <c r="I17" s="23" t="s">
        <v>127</v>
      </c>
      <c r="J17" s="24" t="s">
        <v>1054</v>
      </c>
      <c r="N17" s="76"/>
      <c r="O17" s="76"/>
      <c r="P17" s="76" t="str">
        <f t="shared" ref="P17:P80" si="8">IF(B17&lt;&gt;1,","&amp;D17,D17)</f>
        <v>,shinryo_ym</v>
      </c>
      <c r="Q17" s="76" t="str">
        <f t="shared" ref="Q17:Q80" si="9">UPPER(G17)</f>
        <v>TEXT</v>
      </c>
      <c r="R17" s="76" t="str">
        <f t="shared" ref="R17:R80" si="10">IF(H17&lt;&gt;"","default "&amp;IF(G17="text","'"&amp;H17&amp;"'",H17),"")</f>
        <v/>
      </c>
      <c r="S17" s="76" t="str">
        <f t="shared" ref="S17:S80" si="11">IF(I17="○","NOT NULL","")</f>
        <v>NOT NULL</v>
      </c>
      <c r="T17" s="76" t="str">
        <f t="shared" ref="T17:T80" si="12">"-- "&amp;C17</f>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milscm_2023_010.azn_202310_backup_merge_receiptc_re.shinryo_ym IS '診療年月';</v>
      </c>
    </row>
    <row r="18" spans="2:45" s="25" customFormat="1">
      <c r="B18" s="21">
        <f t="shared" si="2"/>
        <v>6</v>
      </c>
      <c r="C18" s="13" t="s">
        <v>318</v>
      </c>
      <c r="D18" s="13" t="s">
        <v>207</v>
      </c>
      <c r="E18" s="7"/>
      <c r="F18" s="7" t="s">
        <v>863</v>
      </c>
      <c r="G18" s="7" t="str">
        <f t="shared" si="7"/>
        <v>text</v>
      </c>
      <c r="H18" s="58" t="s">
        <v>930</v>
      </c>
      <c r="I18" s="23" t="s">
        <v>127</v>
      </c>
      <c r="J18" s="24" t="s">
        <v>931</v>
      </c>
      <c r="N18" s="76"/>
      <c r="O18" s="76"/>
      <c r="P18" s="76" t="str">
        <f t="shared" si="8"/>
        <v>,data_type</v>
      </c>
      <c r="Q18" s="76" t="str">
        <f t="shared" si="9"/>
        <v>TEXT</v>
      </c>
      <c r="R18" s="76" t="str">
        <f t="shared" si="10"/>
        <v>default 'RCP'</v>
      </c>
      <c r="S18" s="76" t="str">
        <f t="shared" si="11"/>
        <v>NOT NULL</v>
      </c>
      <c r="T18" s="76" t="str">
        <f t="shared" si="12"/>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milscm_2023_010.azn_202310_backup_merge_receiptc_re.data_type IS 'データ種別';</v>
      </c>
    </row>
    <row r="19" spans="2:45" s="25" customFormat="1">
      <c r="B19" s="21">
        <f t="shared" si="2"/>
        <v>7</v>
      </c>
      <c r="C19" s="13" t="s">
        <v>904</v>
      </c>
      <c r="D19" s="13" t="s">
        <v>905</v>
      </c>
      <c r="E19" s="7" t="s">
        <v>127</v>
      </c>
      <c r="F19" s="7" t="s">
        <v>863</v>
      </c>
      <c r="G19" s="7" t="str">
        <f t="shared" si="7"/>
        <v>text</v>
      </c>
      <c r="H19" s="58"/>
      <c r="I19" s="23" t="s">
        <v>127</v>
      </c>
      <c r="J19" s="24" t="s">
        <v>1055</v>
      </c>
      <c r="N19" s="76"/>
      <c r="O19" s="76"/>
      <c r="P19" s="76" t="str">
        <f t="shared" si="8"/>
        <v>,shinsa_kikan</v>
      </c>
      <c r="Q19" s="76" t="str">
        <f t="shared" si="9"/>
        <v>TEXT</v>
      </c>
      <c r="R19" s="76" t="str">
        <f t="shared" si="10"/>
        <v/>
      </c>
      <c r="S19" s="76" t="str">
        <f t="shared" si="11"/>
        <v>NOT NULL</v>
      </c>
      <c r="T19" s="76" t="str">
        <f t="shared" si="12"/>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milscm_2023_010.azn_202310_backup_merge_receiptc_re.shinsa_kikan IS '審査支払機関';</v>
      </c>
    </row>
    <row r="20" spans="2:45" s="25" customFormat="1">
      <c r="B20" s="21">
        <f t="shared" si="2"/>
        <v>8</v>
      </c>
      <c r="C20" s="13" t="s">
        <v>906</v>
      </c>
      <c r="D20" s="13" t="s">
        <v>907</v>
      </c>
      <c r="E20" s="7"/>
      <c r="F20" s="7" t="s">
        <v>863</v>
      </c>
      <c r="G20" s="7" t="str">
        <f t="shared" si="7"/>
        <v>text</v>
      </c>
      <c r="H20" s="58" t="s">
        <v>1056</v>
      </c>
      <c r="I20" s="23" t="s">
        <v>127</v>
      </c>
      <c r="J20" s="24" t="s">
        <v>1057</v>
      </c>
      <c r="N20" s="76"/>
      <c r="O20" s="76"/>
      <c r="P20" s="76" t="str">
        <f t="shared" si="8"/>
        <v>,record_shikibetsu</v>
      </c>
      <c r="Q20" s="76" t="str">
        <f t="shared" si="9"/>
        <v>TEXT</v>
      </c>
      <c r="R20" s="76" t="str">
        <f t="shared" si="10"/>
        <v>default 'RE'</v>
      </c>
      <c r="S20" s="76" t="str">
        <f t="shared" si="11"/>
        <v>NOT NULL</v>
      </c>
      <c r="T20" s="76" t="str">
        <f t="shared" si="12"/>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milscm_2023_010.azn_202310_backup_merge_receiptc_re.record_shikibetsu IS 'レコード識別情報';</v>
      </c>
    </row>
    <row r="21" spans="2:45" s="25" customFormat="1">
      <c r="B21" s="21">
        <f t="shared" si="2"/>
        <v>9</v>
      </c>
      <c r="C21" s="13" t="s">
        <v>908</v>
      </c>
      <c r="D21" s="13" t="s">
        <v>909</v>
      </c>
      <c r="E21" s="7" t="s">
        <v>127</v>
      </c>
      <c r="F21" s="7" t="s">
        <v>203</v>
      </c>
      <c r="G21" s="7" t="str">
        <f t="shared" si="7"/>
        <v>integer</v>
      </c>
      <c r="H21" s="58"/>
      <c r="I21" s="23" t="s">
        <v>127</v>
      </c>
      <c r="J21" s="24" t="s">
        <v>1058</v>
      </c>
      <c r="N21" s="76"/>
      <c r="O21" s="76"/>
      <c r="P21" s="76" t="str">
        <f t="shared" si="8"/>
        <v>,receipt_no</v>
      </c>
      <c r="Q21" s="76" t="str">
        <f t="shared" si="9"/>
        <v>INTEGER</v>
      </c>
      <c r="R21" s="76" t="str">
        <f t="shared" si="10"/>
        <v/>
      </c>
      <c r="S21" s="76" t="str">
        <f t="shared" si="11"/>
        <v>NOT NULL</v>
      </c>
      <c r="T21" s="76" t="str">
        <f t="shared" si="12"/>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milscm_2023_010.azn_202310_backup_merge_receiptc_re.receipt_no IS 'レセプト番号';</v>
      </c>
    </row>
    <row r="22" spans="2:45" s="25" customFormat="1">
      <c r="B22" s="21">
        <f t="shared" si="2"/>
        <v>10</v>
      </c>
      <c r="C22" s="13" t="s">
        <v>910</v>
      </c>
      <c r="D22" s="13" t="s">
        <v>911</v>
      </c>
      <c r="E22" s="7" t="s">
        <v>127</v>
      </c>
      <c r="F22" s="7" t="s">
        <v>203</v>
      </c>
      <c r="G22" s="7" t="str">
        <f t="shared" si="7"/>
        <v>integer</v>
      </c>
      <c r="H22" s="58"/>
      <c r="I22" s="23" t="s">
        <v>127</v>
      </c>
      <c r="J22" s="24" t="s">
        <v>1059</v>
      </c>
      <c r="N22" s="76"/>
      <c r="O22" s="76"/>
      <c r="P22" s="76" t="str">
        <f t="shared" si="8"/>
        <v>,gyo_no</v>
      </c>
      <c r="Q22" s="76" t="str">
        <f t="shared" si="9"/>
        <v>INTEGER</v>
      </c>
      <c r="R22" s="76" t="str">
        <f t="shared" si="10"/>
        <v/>
      </c>
      <c r="S22" s="76" t="str">
        <f t="shared" si="11"/>
        <v>NOT NULL</v>
      </c>
      <c r="T22" s="76" t="str">
        <f t="shared" si="12"/>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milscm_2023_010.azn_202310_backup_merge_receiptc_re.gyo_no IS '行番号';</v>
      </c>
    </row>
    <row r="23" spans="2:45" s="25" customFormat="1">
      <c r="B23" s="21">
        <f t="shared" si="2"/>
        <v>11</v>
      </c>
      <c r="C23" s="13" t="s">
        <v>912</v>
      </c>
      <c r="D23" s="13" t="s">
        <v>913</v>
      </c>
      <c r="E23" s="7"/>
      <c r="F23" s="7" t="s">
        <v>863</v>
      </c>
      <c r="G23" s="7" t="str">
        <f t="shared" si="7"/>
        <v>text</v>
      </c>
      <c r="H23" s="58"/>
      <c r="I23" s="23"/>
      <c r="J23" s="24" t="s">
        <v>1060</v>
      </c>
      <c r="N23" s="76"/>
      <c r="O23" s="76"/>
      <c r="P23" s="76" t="str">
        <f t="shared" si="8"/>
        <v>,karute_no</v>
      </c>
      <c r="Q23" s="76" t="str">
        <f t="shared" si="9"/>
        <v>TEXT</v>
      </c>
      <c r="R23" s="76" t="str">
        <f t="shared" si="10"/>
        <v/>
      </c>
      <c r="S23" s="76" t="str">
        <f t="shared" si="11"/>
        <v/>
      </c>
      <c r="T23" s="76" t="str">
        <f t="shared" si="12"/>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milscm_2023_010.azn_202310_backup_merge_receiptc_re.karute_no IS 'カルテ番号等';</v>
      </c>
    </row>
    <row r="24" spans="2:45" s="25" customFormat="1">
      <c r="B24" s="21">
        <f t="shared" si="2"/>
        <v>12</v>
      </c>
      <c r="C24" s="13" t="s">
        <v>938</v>
      </c>
      <c r="D24" s="13" t="s">
        <v>939</v>
      </c>
      <c r="E24" s="7"/>
      <c r="F24" s="7" t="s">
        <v>863</v>
      </c>
      <c r="G24" s="7" t="str">
        <f t="shared" si="7"/>
        <v>text</v>
      </c>
      <c r="H24" s="58"/>
      <c r="I24" s="23"/>
      <c r="J24" s="24"/>
      <c r="N24" s="76"/>
      <c r="O24" s="76"/>
      <c r="P24" s="76" t="str">
        <f t="shared" si="8"/>
        <v>,receipt_type</v>
      </c>
      <c r="Q24" s="76" t="str">
        <f t="shared" si="9"/>
        <v>TEXT</v>
      </c>
      <c r="R24" s="76" t="str">
        <f t="shared" si="10"/>
        <v/>
      </c>
      <c r="S24" s="76" t="str">
        <f t="shared" si="11"/>
        <v/>
      </c>
      <c r="T24" s="76" t="str">
        <f t="shared" si="12"/>
        <v>-- レセプト種別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milscm_2023_010.azn_202310_backup_merge_receiptc_re.receipt_type IS 'レセプト種別';</v>
      </c>
    </row>
    <row r="25" spans="2:45" s="25" customFormat="1">
      <c r="B25" s="21">
        <f t="shared" si="2"/>
        <v>13</v>
      </c>
      <c r="C25" s="13" t="s">
        <v>940</v>
      </c>
      <c r="D25" s="13" t="s">
        <v>941</v>
      </c>
      <c r="E25" s="7"/>
      <c r="F25" s="7" t="s">
        <v>863</v>
      </c>
      <c r="G25" s="7" t="str">
        <f t="shared" si="7"/>
        <v>text</v>
      </c>
      <c r="H25" s="58"/>
      <c r="I25" s="23"/>
      <c r="J25" s="24" t="s">
        <v>1061</v>
      </c>
      <c r="N25" s="76"/>
      <c r="O25" s="76"/>
      <c r="P25" s="76" t="str">
        <f t="shared" si="8"/>
        <v>,name</v>
      </c>
      <c r="Q25" s="76" t="str">
        <f t="shared" si="9"/>
        <v>TEXT</v>
      </c>
      <c r="R25" s="76" t="str">
        <f t="shared" si="10"/>
        <v/>
      </c>
      <c r="S25" s="76" t="str">
        <f t="shared" si="11"/>
        <v/>
      </c>
      <c r="T25" s="76" t="str">
        <f t="shared" si="12"/>
        <v>-- 氏名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milscm_2023_010.azn_202310_backup_merge_receiptc_re.name IS '氏名';</v>
      </c>
    </row>
    <row r="26" spans="2:45" s="25" customFormat="1">
      <c r="B26" s="21">
        <f t="shared" si="2"/>
        <v>14</v>
      </c>
      <c r="C26" s="13" t="s">
        <v>942</v>
      </c>
      <c r="D26" s="13" t="s">
        <v>943</v>
      </c>
      <c r="E26" s="7"/>
      <c r="F26" s="7" t="s">
        <v>863</v>
      </c>
      <c r="G26" s="7" t="str">
        <f t="shared" si="7"/>
        <v>text</v>
      </c>
      <c r="H26" s="58"/>
      <c r="I26" s="23"/>
      <c r="J26" s="24" t="s">
        <v>1062</v>
      </c>
      <c r="N26" s="76"/>
      <c r="O26" s="76"/>
      <c r="P26" s="76" t="str">
        <f t="shared" si="8"/>
        <v>,sex_kubun</v>
      </c>
      <c r="Q26" s="76" t="str">
        <f t="shared" si="9"/>
        <v>TEXT</v>
      </c>
      <c r="R26" s="76" t="str">
        <f t="shared" si="10"/>
        <v/>
      </c>
      <c r="S26" s="76" t="str">
        <f t="shared" si="11"/>
        <v/>
      </c>
      <c r="T26" s="76" t="str">
        <f t="shared" si="12"/>
        <v>-- 男女区分</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milscm_2023_010.azn_202310_backup_merge_receiptc_re.sex_kubun IS '男女区分';</v>
      </c>
    </row>
    <row r="27" spans="2:45" s="25" customFormat="1" ht="93.75">
      <c r="B27" s="21">
        <f t="shared" si="2"/>
        <v>15</v>
      </c>
      <c r="C27" s="13" t="s">
        <v>944</v>
      </c>
      <c r="D27" s="13" t="s">
        <v>321</v>
      </c>
      <c r="E27" s="7"/>
      <c r="F27" s="7" t="s">
        <v>863</v>
      </c>
      <c r="G27" s="7" t="str">
        <f t="shared" si="7"/>
        <v>text</v>
      </c>
      <c r="H27" s="58"/>
      <c r="I27" s="23"/>
      <c r="J27" s="24" t="s">
        <v>1063</v>
      </c>
      <c r="N27" s="76"/>
      <c r="O27" s="76"/>
      <c r="P27" s="76" t="str">
        <f t="shared" si="8"/>
        <v>,birthday</v>
      </c>
      <c r="Q27" s="76" t="str">
        <f t="shared" si="9"/>
        <v>TEXT</v>
      </c>
      <c r="R27" s="76" t="str">
        <f t="shared" si="10"/>
        <v/>
      </c>
      <c r="S27" s="76" t="str">
        <f t="shared" si="11"/>
        <v/>
      </c>
      <c r="T27" s="76" t="str">
        <f t="shared" si="12"/>
        <v>-- 生年月日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milscm_2023_010.azn_202310_backup_merge_receiptc_re.birthday IS '生年月日';</v>
      </c>
    </row>
    <row r="28" spans="2:45" s="25" customFormat="1">
      <c r="B28" s="21">
        <f t="shared" si="2"/>
        <v>16</v>
      </c>
      <c r="C28" s="13" t="s">
        <v>945</v>
      </c>
      <c r="D28" s="13" t="s">
        <v>946</v>
      </c>
      <c r="E28" s="7"/>
      <c r="F28" s="7" t="s">
        <v>203</v>
      </c>
      <c r="G28" s="7" t="str">
        <f t="shared" si="7"/>
        <v>integer</v>
      </c>
      <c r="H28" s="58"/>
      <c r="I28" s="23"/>
      <c r="J28" s="24"/>
      <c r="N28" s="76"/>
      <c r="O28" s="76"/>
      <c r="P28" s="76" t="str">
        <f t="shared" si="8"/>
        <v>,kyufu_wariai</v>
      </c>
      <c r="Q28" s="76" t="str">
        <f t="shared" si="9"/>
        <v>INTEGER</v>
      </c>
      <c r="R28" s="76" t="str">
        <f t="shared" si="10"/>
        <v/>
      </c>
      <c r="S28" s="76" t="str">
        <f t="shared" si="11"/>
        <v/>
      </c>
      <c r="T28" s="76" t="str">
        <f t="shared" si="12"/>
        <v>-- 給付割合</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milscm_2023_010.azn_202310_backup_merge_receiptc_re.kyufu_wariai IS '給付割合';</v>
      </c>
    </row>
    <row r="29" spans="2:45" s="25" customFormat="1" ht="75">
      <c r="B29" s="21">
        <f t="shared" si="2"/>
        <v>17</v>
      </c>
      <c r="C29" s="13" t="s">
        <v>866</v>
      </c>
      <c r="D29" s="13" t="s">
        <v>156</v>
      </c>
      <c r="E29" s="7"/>
      <c r="F29" s="7" t="s">
        <v>863</v>
      </c>
      <c r="G29" s="7" t="str">
        <f t="shared" si="7"/>
        <v>text</v>
      </c>
      <c r="H29" s="58"/>
      <c r="I29" s="23"/>
      <c r="J29" s="24" t="s">
        <v>1064</v>
      </c>
      <c r="N29" s="76"/>
      <c r="O29" s="76"/>
      <c r="P29" s="76" t="str">
        <f t="shared" si="8"/>
        <v>,nyuin_ymd</v>
      </c>
      <c r="Q29" s="76" t="str">
        <f t="shared" si="9"/>
        <v>TEXT</v>
      </c>
      <c r="R29" s="76" t="str">
        <f t="shared" si="10"/>
        <v/>
      </c>
      <c r="S29" s="76" t="str">
        <f t="shared" si="11"/>
        <v/>
      </c>
      <c r="T29" s="76" t="str">
        <f t="shared" si="12"/>
        <v>-- 入院年月日</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milscm_2023_010.azn_202310_backup_merge_receiptc_re.nyuin_ymd IS '入院年月日';</v>
      </c>
    </row>
    <row r="30" spans="2:45" s="25" customFormat="1">
      <c r="B30" s="21">
        <f t="shared" si="2"/>
        <v>18</v>
      </c>
      <c r="C30" s="13" t="s">
        <v>947</v>
      </c>
      <c r="D30" s="13" t="s">
        <v>948</v>
      </c>
      <c r="E30" s="7"/>
      <c r="F30" s="7" t="s">
        <v>863</v>
      </c>
      <c r="G30" s="7" t="str">
        <f t="shared" si="7"/>
        <v>text</v>
      </c>
      <c r="H30" s="58"/>
      <c r="I30" s="23"/>
      <c r="J30" s="24" t="s">
        <v>1065</v>
      </c>
      <c r="N30" s="76"/>
      <c r="O30" s="76"/>
      <c r="P30" s="76" t="str">
        <f t="shared" si="8"/>
        <v>,ward_kubun1</v>
      </c>
      <c r="Q30" s="76" t="str">
        <f t="shared" si="9"/>
        <v>TEXT</v>
      </c>
      <c r="R30" s="76" t="str">
        <f t="shared" si="10"/>
        <v/>
      </c>
      <c r="S30" s="76" t="str">
        <f t="shared" si="11"/>
        <v/>
      </c>
      <c r="T30" s="76" t="str">
        <f t="shared" si="12"/>
        <v>-- 病棟区分1</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milscm_2023_010.azn_202310_backup_merge_receiptc_re.ward_kubun1 IS '病棟区分1';</v>
      </c>
    </row>
    <row r="31" spans="2:45" s="25" customFormat="1">
      <c r="B31" s="21">
        <f t="shared" si="2"/>
        <v>19</v>
      </c>
      <c r="C31" s="13" t="s">
        <v>949</v>
      </c>
      <c r="D31" s="13" t="s">
        <v>950</v>
      </c>
      <c r="E31" s="7"/>
      <c r="F31" s="7" t="s">
        <v>863</v>
      </c>
      <c r="G31" s="7" t="str">
        <f t="shared" si="7"/>
        <v>text</v>
      </c>
      <c r="H31" s="58"/>
      <c r="I31" s="23"/>
      <c r="J31" s="24"/>
      <c r="N31" s="76"/>
      <c r="O31" s="76"/>
      <c r="P31" s="76" t="str">
        <f t="shared" si="8"/>
        <v>,ward_kubun2</v>
      </c>
      <c r="Q31" s="76" t="str">
        <f t="shared" si="9"/>
        <v>TEXT</v>
      </c>
      <c r="R31" s="76" t="str">
        <f t="shared" si="10"/>
        <v/>
      </c>
      <c r="S31" s="76" t="str">
        <f t="shared" si="11"/>
        <v/>
      </c>
      <c r="T31" s="76" t="str">
        <f t="shared" si="12"/>
        <v>-- 病棟区分2</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milscm_2023_010.azn_202310_backup_merge_receiptc_re.ward_kubun2 IS '病棟区分2';</v>
      </c>
    </row>
    <row r="32" spans="2:45" s="25" customFormat="1">
      <c r="B32" s="21">
        <f t="shared" si="2"/>
        <v>20</v>
      </c>
      <c r="C32" s="13" t="s">
        <v>951</v>
      </c>
      <c r="D32" s="13" t="s">
        <v>952</v>
      </c>
      <c r="E32" s="7"/>
      <c r="F32" s="7" t="s">
        <v>863</v>
      </c>
      <c r="G32" s="7" t="str">
        <f t="shared" si="7"/>
        <v>text</v>
      </c>
      <c r="H32" s="58"/>
      <c r="I32" s="23"/>
      <c r="J32" s="24"/>
      <c r="N32" s="76"/>
      <c r="O32" s="76"/>
      <c r="P32" s="76" t="str">
        <f t="shared" si="8"/>
        <v>,ward_kubun3</v>
      </c>
      <c r="Q32" s="76" t="str">
        <f t="shared" si="9"/>
        <v>TEXT</v>
      </c>
      <c r="R32" s="76" t="str">
        <f t="shared" si="10"/>
        <v/>
      </c>
      <c r="S32" s="76" t="str">
        <f t="shared" si="11"/>
        <v/>
      </c>
      <c r="T32" s="76" t="str">
        <f t="shared" si="12"/>
        <v>-- 病棟区分3</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milscm_2023_010.azn_202310_backup_merge_receiptc_re.ward_kubun3 IS '病棟区分3';</v>
      </c>
    </row>
    <row r="33" spans="2:45" s="25" customFormat="1">
      <c r="B33" s="21">
        <f t="shared" si="2"/>
        <v>21</v>
      </c>
      <c r="C33" s="13" t="s">
        <v>953</v>
      </c>
      <c r="D33" s="13" t="s">
        <v>954</v>
      </c>
      <c r="E33" s="7"/>
      <c r="F33" s="7" t="s">
        <v>863</v>
      </c>
      <c r="G33" s="7" t="str">
        <f t="shared" si="7"/>
        <v>text</v>
      </c>
      <c r="H33" s="58"/>
      <c r="I33" s="23"/>
      <c r="J33" s="24"/>
      <c r="N33" s="76"/>
      <c r="O33" s="76"/>
      <c r="P33" s="76" t="str">
        <f t="shared" si="8"/>
        <v>,ward_kubun4</v>
      </c>
      <c r="Q33" s="76" t="str">
        <f t="shared" si="9"/>
        <v>TEXT</v>
      </c>
      <c r="R33" s="76" t="str">
        <f t="shared" si="10"/>
        <v/>
      </c>
      <c r="S33" s="76" t="str">
        <f t="shared" si="11"/>
        <v/>
      </c>
      <c r="T33" s="76" t="str">
        <f t="shared" si="12"/>
        <v>-- 病棟区分4</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milscm_2023_010.azn_202310_backup_merge_receiptc_re.ward_kubun4 IS '病棟区分4';</v>
      </c>
    </row>
    <row r="34" spans="2:45" s="25" customFormat="1" ht="31.5">
      <c r="B34" s="21">
        <f t="shared" si="2"/>
        <v>22</v>
      </c>
      <c r="C34" s="13" t="s">
        <v>955</v>
      </c>
      <c r="D34" s="13" t="s">
        <v>956</v>
      </c>
      <c r="E34" s="7"/>
      <c r="F34" s="7" t="s">
        <v>863</v>
      </c>
      <c r="G34" s="7" t="str">
        <f t="shared" si="7"/>
        <v>text</v>
      </c>
      <c r="H34" s="58"/>
      <c r="I34" s="23"/>
      <c r="J34" s="24"/>
      <c r="N34" s="76"/>
      <c r="O34" s="76"/>
      <c r="P34" s="76" t="str">
        <f t="shared" si="8"/>
        <v>,ichibu_futankin_kubun</v>
      </c>
      <c r="Q34" s="76" t="str">
        <f t="shared" si="9"/>
        <v>TEXT</v>
      </c>
      <c r="R34" s="76" t="str">
        <f t="shared" si="10"/>
        <v/>
      </c>
      <c r="S34" s="76" t="str">
        <f t="shared" si="11"/>
        <v/>
      </c>
      <c r="T34" s="76" t="str">
        <f t="shared" si="12"/>
        <v>-- 一部負担金・食事療養費・生活療養費標準負担額区分</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milscm_2023_010.azn_202310_backup_merge_receiptc_re.ichibu_futankin_kubun IS '一部負担金・食事療養費・生活療養費標準負担額区分';</v>
      </c>
    </row>
    <row r="35" spans="2:45" s="25" customFormat="1">
      <c r="B35" s="21">
        <f t="shared" si="2"/>
        <v>23</v>
      </c>
      <c r="C35" s="13" t="s">
        <v>957</v>
      </c>
      <c r="D35" s="13" t="s">
        <v>958</v>
      </c>
      <c r="E35" s="7"/>
      <c r="F35" s="7" t="s">
        <v>863</v>
      </c>
      <c r="G35" s="7" t="str">
        <f t="shared" si="7"/>
        <v>text</v>
      </c>
      <c r="H35" s="58"/>
      <c r="I35" s="23"/>
      <c r="J35" s="24" t="s">
        <v>1066</v>
      </c>
      <c r="N35" s="76"/>
      <c r="O35" s="76"/>
      <c r="P35" s="76" t="str">
        <f t="shared" si="8"/>
        <v>,receipt_tokki_code1</v>
      </c>
      <c r="Q35" s="76" t="str">
        <f t="shared" si="9"/>
        <v>TEXT</v>
      </c>
      <c r="R35" s="76" t="str">
        <f t="shared" si="10"/>
        <v/>
      </c>
      <c r="S35" s="76" t="str">
        <f t="shared" si="11"/>
        <v/>
      </c>
      <c r="T35" s="76" t="str">
        <f t="shared" si="12"/>
        <v>-- レセプト特記事項1</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milscm_2023_010.azn_202310_backup_merge_receiptc_re.receipt_tokki_code1 IS 'レセプト特記事項1';</v>
      </c>
    </row>
    <row r="36" spans="2:45" s="25" customFormat="1">
      <c r="B36" s="21">
        <f t="shared" si="2"/>
        <v>24</v>
      </c>
      <c r="C36" s="13" t="s">
        <v>959</v>
      </c>
      <c r="D36" s="13" t="s">
        <v>960</v>
      </c>
      <c r="E36" s="7"/>
      <c r="F36" s="7" t="s">
        <v>863</v>
      </c>
      <c r="G36" s="7" t="str">
        <f t="shared" si="7"/>
        <v>text</v>
      </c>
      <c r="H36" s="58"/>
      <c r="I36" s="23"/>
      <c r="J36" s="24"/>
      <c r="N36" s="76"/>
      <c r="O36" s="76"/>
      <c r="P36" s="76" t="str">
        <f t="shared" si="8"/>
        <v>,receipt_tokki_code2</v>
      </c>
      <c r="Q36" s="76" t="str">
        <f t="shared" si="9"/>
        <v>TEXT</v>
      </c>
      <c r="R36" s="76" t="str">
        <f t="shared" si="10"/>
        <v/>
      </c>
      <c r="S36" s="76" t="str">
        <f t="shared" si="11"/>
        <v/>
      </c>
      <c r="T36" s="76" t="str">
        <f t="shared" si="12"/>
        <v>-- レセプト特記事項2</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milscm_2023_010.azn_202310_backup_merge_receiptc_re.receipt_tokki_code2 IS 'レセプト特記事項2';</v>
      </c>
    </row>
    <row r="37" spans="2:45" s="25" customFormat="1">
      <c r="B37" s="21">
        <f t="shared" si="2"/>
        <v>25</v>
      </c>
      <c r="C37" s="13" t="s">
        <v>961</v>
      </c>
      <c r="D37" s="13" t="s">
        <v>962</v>
      </c>
      <c r="E37" s="7"/>
      <c r="F37" s="7" t="s">
        <v>863</v>
      </c>
      <c r="G37" s="7" t="str">
        <f t="shared" si="7"/>
        <v>text</v>
      </c>
      <c r="H37" s="58"/>
      <c r="I37" s="23"/>
      <c r="J37" s="24"/>
      <c r="N37" s="76"/>
      <c r="O37" s="76"/>
      <c r="P37" s="76" t="str">
        <f t="shared" si="8"/>
        <v>,receipt_tokki_code3</v>
      </c>
      <c r="Q37" s="76" t="str">
        <f t="shared" si="9"/>
        <v>TEXT</v>
      </c>
      <c r="R37" s="76" t="str">
        <f t="shared" si="10"/>
        <v/>
      </c>
      <c r="S37" s="76" t="str">
        <f t="shared" si="11"/>
        <v/>
      </c>
      <c r="T37" s="76" t="str">
        <f t="shared" si="12"/>
        <v>-- レセプト特記事項3</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milscm_2023_010.azn_202310_backup_merge_receiptc_re.receipt_tokki_code3 IS 'レセプト特記事項3';</v>
      </c>
    </row>
    <row r="38" spans="2:45" s="25" customFormat="1">
      <c r="B38" s="21">
        <f t="shared" si="2"/>
        <v>26</v>
      </c>
      <c r="C38" s="13" t="s">
        <v>963</v>
      </c>
      <c r="D38" s="13" t="s">
        <v>964</v>
      </c>
      <c r="E38" s="7"/>
      <c r="F38" s="7" t="s">
        <v>863</v>
      </c>
      <c r="G38" s="7" t="str">
        <f t="shared" si="7"/>
        <v>text</v>
      </c>
      <c r="H38" s="58"/>
      <c r="I38" s="23"/>
      <c r="J38" s="24"/>
      <c r="N38" s="76"/>
      <c r="O38" s="76"/>
      <c r="P38" s="76" t="str">
        <f t="shared" si="8"/>
        <v>,receipt_tokki_code4</v>
      </c>
      <c r="Q38" s="76" t="str">
        <f t="shared" si="9"/>
        <v>TEXT</v>
      </c>
      <c r="R38" s="76" t="str">
        <f t="shared" si="10"/>
        <v/>
      </c>
      <c r="S38" s="76" t="str">
        <f t="shared" si="11"/>
        <v/>
      </c>
      <c r="T38" s="76" t="str">
        <f t="shared" si="12"/>
        <v>-- レセプト特記事項4</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milscm_2023_010.azn_202310_backup_merge_receiptc_re.receipt_tokki_code4 IS 'レセプト特記事項4';</v>
      </c>
    </row>
    <row r="39" spans="2:45" s="25" customFormat="1">
      <c r="B39" s="21">
        <f t="shared" si="2"/>
        <v>27</v>
      </c>
      <c r="C39" s="13" t="s">
        <v>965</v>
      </c>
      <c r="D39" s="13" t="s">
        <v>966</v>
      </c>
      <c r="E39" s="7"/>
      <c r="F39" s="7" t="s">
        <v>863</v>
      </c>
      <c r="G39" s="7" t="str">
        <f t="shared" si="7"/>
        <v>text</v>
      </c>
      <c r="H39" s="58"/>
      <c r="I39" s="23"/>
      <c r="J39" s="24"/>
      <c r="N39" s="76"/>
      <c r="O39" s="76"/>
      <c r="P39" s="76" t="str">
        <f t="shared" si="8"/>
        <v>,receipt_tokki_code5</v>
      </c>
      <c r="Q39" s="76" t="str">
        <f t="shared" si="9"/>
        <v>TEXT</v>
      </c>
      <c r="R39" s="76" t="str">
        <f t="shared" si="10"/>
        <v/>
      </c>
      <c r="S39" s="76" t="str">
        <f t="shared" si="11"/>
        <v/>
      </c>
      <c r="T39" s="76" t="str">
        <f t="shared" si="12"/>
        <v>-- レセプト特記事項5</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milscm_2023_010.azn_202310_backup_merge_receiptc_re.receipt_tokki_code5 IS 'レセプト特記事項5';</v>
      </c>
    </row>
    <row r="40" spans="2:45" s="25" customFormat="1">
      <c r="B40" s="21">
        <f t="shared" si="2"/>
        <v>28</v>
      </c>
      <c r="C40" s="13" t="s">
        <v>967</v>
      </c>
      <c r="D40" s="13" t="s">
        <v>968</v>
      </c>
      <c r="E40" s="7"/>
      <c r="F40" s="7" t="s">
        <v>203</v>
      </c>
      <c r="G40" s="7" t="str">
        <f t="shared" si="7"/>
        <v>integer</v>
      </c>
      <c r="H40" s="58"/>
      <c r="I40" s="23"/>
      <c r="J40" s="24"/>
      <c r="N40" s="76"/>
      <c r="O40" s="76"/>
      <c r="P40" s="76" t="str">
        <f t="shared" si="8"/>
        <v>,bed_su</v>
      </c>
      <c r="Q40" s="76" t="str">
        <f t="shared" si="9"/>
        <v>INTEGER</v>
      </c>
      <c r="R40" s="76" t="str">
        <f t="shared" si="10"/>
        <v/>
      </c>
      <c r="S40" s="76" t="str">
        <f t="shared" si="11"/>
        <v/>
      </c>
      <c r="T40" s="76" t="str">
        <f t="shared" si="12"/>
        <v>-- 病床数</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milscm_2023_010.azn_202310_backup_merge_receiptc_re.bed_su IS '病床数';</v>
      </c>
    </row>
    <row r="41" spans="2:45" s="25" customFormat="1">
      <c r="B41" s="21">
        <f t="shared" si="2"/>
        <v>29</v>
      </c>
      <c r="C41" s="13" t="s">
        <v>969</v>
      </c>
      <c r="D41" s="13" t="s">
        <v>970</v>
      </c>
      <c r="E41" s="7"/>
      <c r="F41" s="7" t="s">
        <v>203</v>
      </c>
      <c r="G41" s="7" t="str">
        <f t="shared" si="7"/>
        <v>integer</v>
      </c>
      <c r="H41" s="58"/>
      <c r="I41" s="23"/>
      <c r="J41" s="24"/>
      <c r="N41" s="76"/>
      <c r="O41" s="76"/>
      <c r="P41" s="76" t="str">
        <f t="shared" si="8"/>
        <v>,waribiki_tensu</v>
      </c>
      <c r="Q41" s="76" t="str">
        <f t="shared" si="9"/>
        <v>INTEGER</v>
      </c>
      <c r="R41" s="76" t="str">
        <f t="shared" si="10"/>
        <v/>
      </c>
      <c r="S41" s="76" t="str">
        <f t="shared" si="11"/>
        <v/>
      </c>
      <c r="T41" s="76" t="str">
        <f t="shared" si="12"/>
        <v>-- 割引点数単価</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milscm_2023_010.azn_202310_backup_merge_receiptc_re.waribiki_tensu IS '割引点数単価';</v>
      </c>
    </row>
    <row r="42" spans="2:45" s="25" customFormat="1">
      <c r="B42" s="21">
        <f t="shared" si="2"/>
        <v>30</v>
      </c>
      <c r="C42" s="13" t="s">
        <v>920</v>
      </c>
      <c r="D42" s="13" t="s">
        <v>921</v>
      </c>
      <c r="E42" s="7"/>
      <c r="F42" s="7" t="s">
        <v>863</v>
      </c>
      <c r="G42" s="7" t="str">
        <f t="shared" si="7"/>
        <v>text</v>
      </c>
      <c r="H42" s="58"/>
      <c r="I42" s="23"/>
      <c r="J42" s="24"/>
      <c r="N42" s="76"/>
      <c r="O42" s="76"/>
      <c r="P42" s="76" t="str">
        <f t="shared" si="8"/>
        <v>,reserve1</v>
      </c>
      <c r="Q42" s="76" t="str">
        <f t="shared" si="9"/>
        <v>TEXT</v>
      </c>
      <c r="R42" s="76" t="str">
        <f t="shared" si="10"/>
        <v/>
      </c>
      <c r="S42" s="76" t="str">
        <f t="shared" si="11"/>
        <v/>
      </c>
      <c r="T42" s="76" t="str">
        <f t="shared" si="12"/>
        <v>-- 予備1</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milscm_2023_010.azn_202310_backup_merge_receiptc_re.reserve1 IS '予備1';</v>
      </c>
    </row>
    <row r="43" spans="2:45" s="25" customFormat="1">
      <c r="B43" s="21">
        <f t="shared" si="2"/>
        <v>31</v>
      </c>
      <c r="C43" s="13" t="s">
        <v>971</v>
      </c>
      <c r="D43" s="13" t="s">
        <v>972</v>
      </c>
      <c r="E43" s="7"/>
      <c r="F43" s="7" t="s">
        <v>863</v>
      </c>
      <c r="G43" s="7" t="str">
        <f t="shared" si="7"/>
        <v>text</v>
      </c>
      <c r="H43" s="58"/>
      <c r="I43" s="23"/>
      <c r="J43" s="24"/>
      <c r="N43" s="76"/>
      <c r="O43" s="76"/>
      <c r="P43" s="76" t="str">
        <f t="shared" si="8"/>
        <v>,reserve2</v>
      </c>
      <c r="Q43" s="76" t="str">
        <f t="shared" si="9"/>
        <v>TEXT</v>
      </c>
      <c r="R43" s="76" t="str">
        <f t="shared" si="10"/>
        <v/>
      </c>
      <c r="S43" s="76" t="str">
        <f t="shared" si="11"/>
        <v/>
      </c>
      <c r="T43" s="76" t="str">
        <f t="shared" si="12"/>
        <v>-- 予備2</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milscm_2023_010.azn_202310_backup_merge_receiptc_re.reserve2 IS '予備2';</v>
      </c>
    </row>
    <row r="44" spans="2:45" s="25" customFormat="1">
      <c r="B44" s="21">
        <f t="shared" si="2"/>
        <v>32</v>
      </c>
      <c r="C44" s="13" t="s">
        <v>973</v>
      </c>
      <c r="D44" s="13" t="s">
        <v>974</v>
      </c>
      <c r="E44" s="7"/>
      <c r="F44" s="7" t="s">
        <v>863</v>
      </c>
      <c r="G44" s="7" t="str">
        <f t="shared" si="7"/>
        <v>text</v>
      </c>
      <c r="H44" s="58"/>
      <c r="I44" s="23"/>
      <c r="J44" s="24"/>
      <c r="N44" s="76"/>
      <c r="O44" s="76"/>
      <c r="P44" s="76" t="str">
        <f t="shared" si="8"/>
        <v>,reserve3</v>
      </c>
      <c r="Q44" s="76" t="str">
        <f t="shared" si="9"/>
        <v>TEXT</v>
      </c>
      <c r="R44" s="76" t="str">
        <f t="shared" si="10"/>
        <v/>
      </c>
      <c r="S44" s="76" t="str">
        <f t="shared" si="11"/>
        <v/>
      </c>
      <c r="T44" s="76" t="str">
        <f t="shared" si="12"/>
        <v>-- 予備3</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milscm_2023_010.azn_202310_backup_merge_receiptc_re.reserve3 IS '予備3';</v>
      </c>
    </row>
    <row r="45" spans="2:45" s="25" customFormat="1">
      <c r="B45" s="21">
        <f t="shared" si="2"/>
        <v>33</v>
      </c>
      <c r="C45" s="13" t="s">
        <v>975</v>
      </c>
      <c r="D45" s="13" t="s">
        <v>976</v>
      </c>
      <c r="E45" s="7"/>
      <c r="F45" s="7" t="s">
        <v>863</v>
      </c>
      <c r="G45" s="7" t="str">
        <f t="shared" si="7"/>
        <v>text</v>
      </c>
      <c r="H45" s="58"/>
      <c r="I45" s="23"/>
      <c r="J45" s="24"/>
      <c r="N45" s="76"/>
      <c r="O45" s="76"/>
      <c r="P45" s="76" t="str">
        <f t="shared" si="8"/>
        <v>,kensaku_no</v>
      </c>
      <c r="Q45" s="76" t="str">
        <f t="shared" si="9"/>
        <v>TEXT</v>
      </c>
      <c r="R45" s="76" t="str">
        <f t="shared" si="10"/>
        <v/>
      </c>
      <c r="S45" s="76" t="str">
        <f t="shared" si="11"/>
        <v/>
      </c>
      <c r="T45" s="76" t="str">
        <f t="shared" si="12"/>
        <v>-- 検索番号</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milscm_2023_010.azn_202310_backup_merge_receiptc_re.kensaku_no IS '検索番号';</v>
      </c>
    </row>
    <row r="46" spans="2:45" s="25" customFormat="1" ht="56.25">
      <c r="B46" s="21">
        <f t="shared" si="2"/>
        <v>34</v>
      </c>
      <c r="C46" s="13" t="s">
        <v>977</v>
      </c>
      <c r="D46" s="13" t="s">
        <v>978</v>
      </c>
      <c r="E46" s="7"/>
      <c r="F46" s="7" t="s">
        <v>863</v>
      </c>
      <c r="G46" s="7" t="str">
        <f t="shared" si="7"/>
        <v>text</v>
      </c>
      <c r="H46" s="58"/>
      <c r="I46" s="23"/>
      <c r="J46" s="24" t="s">
        <v>929</v>
      </c>
      <c r="N46" s="76"/>
      <c r="O46" s="76"/>
      <c r="P46" s="76" t="str">
        <f t="shared" si="8"/>
        <v>,kiroku_ym</v>
      </c>
      <c r="Q46" s="76" t="str">
        <f t="shared" si="9"/>
        <v>TEXT</v>
      </c>
      <c r="R46" s="76" t="str">
        <f t="shared" si="10"/>
        <v/>
      </c>
      <c r="S46" s="76" t="str">
        <f t="shared" si="11"/>
        <v/>
      </c>
      <c r="T46" s="76" t="str">
        <f t="shared" si="12"/>
        <v>-- 記録条件仕様年月情報</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milscm_2023_010.azn_202310_backup_merge_receiptc_re.kiroku_ym IS '記録条件仕様年月情報';</v>
      </c>
    </row>
    <row r="47" spans="2:45" s="25" customFormat="1">
      <c r="B47" s="21">
        <f t="shared" si="2"/>
        <v>35</v>
      </c>
      <c r="C47" s="13" t="s">
        <v>979</v>
      </c>
      <c r="D47" s="13" t="s">
        <v>980</v>
      </c>
      <c r="E47" s="7"/>
      <c r="F47" s="7" t="s">
        <v>863</v>
      </c>
      <c r="G47" s="7" t="str">
        <f t="shared" si="7"/>
        <v>text</v>
      </c>
      <c r="H47" s="58"/>
      <c r="I47" s="23"/>
      <c r="J47" s="24"/>
      <c r="N47" s="76"/>
      <c r="O47" s="76"/>
      <c r="P47" s="76" t="str">
        <f t="shared" si="8"/>
        <v>,seikyu_info</v>
      </c>
      <c r="Q47" s="76" t="str">
        <f t="shared" si="9"/>
        <v>TEXT</v>
      </c>
      <c r="R47" s="76" t="str">
        <f t="shared" si="10"/>
        <v/>
      </c>
      <c r="S47" s="76" t="str">
        <f t="shared" si="11"/>
        <v/>
      </c>
      <c r="T47" s="76" t="str">
        <f t="shared" si="12"/>
        <v>-- 請求情報</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milscm_2023_010.azn_202310_backup_merge_receiptc_re.seikyu_info IS '請求情報';</v>
      </c>
    </row>
    <row r="48" spans="2:45" s="25" customFormat="1">
      <c r="B48" s="21">
        <f t="shared" si="2"/>
        <v>36</v>
      </c>
      <c r="C48" s="13" t="s">
        <v>981</v>
      </c>
      <c r="D48" s="13" t="s">
        <v>982</v>
      </c>
      <c r="E48" s="7"/>
      <c r="F48" s="7" t="s">
        <v>863</v>
      </c>
      <c r="G48" s="7" t="str">
        <f t="shared" si="7"/>
        <v>text</v>
      </c>
      <c r="H48" s="58"/>
      <c r="I48" s="23"/>
      <c r="J48" s="24"/>
      <c r="N48" s="76"/>
      <c r="O48" s="76"/>
      <c r="P48" s="76" t="str">
        <f t="shared" si="8"/>
        <v>,department1_name</v>
      </c>
      <c r="Q48" s="76" t="str">
        <f t="shared" si="9"/>
        <v>TEXT</v>
      </c>
      <c r="R48" s="76" t="str">
        <f t="shared" si="10"/>
        <v/>
      </c>
      <c r="S48" s="76" t="str">
        <f t="shared" si="11"/>
        <v/>
      </c>
      <c r="T48" s="76" t="str">
        <f t="shared" si="12"/>
        <v>-- 診療科1診療科名</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milscm_2023_010.azn_202310_backup_merge_receiptc_re.department1_name IS '診療科1診療科名';</v>
      </c>
    </row>
    <row r="49" spans="2:45" s="25" customFormat="1">
      <c r="B49" s="21">
        <f t="shared" si="2"/>
        <v>37</v>
      </c>
      <c r="C49" s="13" t="s">
        <v>983</v>
      </c>
      <c r="D49" s="13" t="s">
        <v>984</v>
      </c>
      <c r="E49" s="7"/>
      <c r="F49" s="7" t="s">
        <v>863</v>
      </c>
      <c r="G49" s="7" t="str">
        <f t="shared" si="7"/>
        <v>text</v>
      </c>
      <c r="H49" s="58"/>
      <c r="I49" s="23"/>
      <c r="J49" s="24"/>
      <c r="N49" s="76"/>
      <c r="O49" s="76"/>
      <c r="P49" s="76" t="str">
        <f t="shared" si="8"/>
        <v>,department1_jintai</v>
      </c>
      <c r="Q49" s="76" t="str">
        <f t="shared" si="9"/>
        <v>TEXT</v>
      </c>
      <c r="R49" s="76" t="str">
        <f t="shared" si="10"/>
        <v/>
      </c>
      <c r="S49" s="76" t="str">
        <f t="shared" si="11"/>
        <v/>
      </c>
      <c r="T49" s="76" t="str">
        <f t="shared" si="12"/>
        <v>-- 診療科1人体の部位等</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milscm_2023_010.azn_202310_backup_merge_receiptc_re.department1_jintai IS '診療科1人体の部位等';</v>
      </c>
    </row>
    <row r="50" spans="2:45" s="25" customFormat="1">
      <c r="B50" s="21">
        <f t="shared" si="2"/>
        <v>38</v>
      </c>
      <c r="C50" s="13" t="s">
        <v>985</v>
      </c>
      <c r="D50" s="13" t="s">
        <v>986</v>
      </c>
      <c r="E50" s="7"/>
      <c r="F50" s="7" t="s">
        <v>863</v>
      </c>
      <c r="G50" s="7" t="str">
        <f t="shared" si="7"/>
        <v>text</v>
      </c>
      <c r="H50" s="58"/>
      <c r="I50" s="23"/>
      <c r="J50" s="24"/>
      <c r="N50" s="76"/>
      <c r="O50" s="76"/>
      <c r="P50" s="76" t="str">
        <f t="shared" si="8"/>
        <v>,department1_sex</v>
      </c>
      <c r="Q50" s="76" t="str">
        <f t="shared" si="9"/>
        <v>TEXT</v>
      </c>
      <c r="R50" s="76" t="str">
        <f t="shared" si="10"/>
        <v/>
      </c>
      <c r="S50" s="76" t="str">
        <f t="shared" si="11"/>
        <v/>
      </c>
      <c r="T50" s="76" t="str">
        <f t="shared" si="12"/>
        <v>-- 診療科1性別等</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milscm_2023_010.azn_202310_backup_merge_receiptc_re.department1_sex IS '診療科1性別等';</v>
      </c>
    </row>
    <row r="51" spans="2:45" s="25" customFormat="1">
      <c r="B51" s="21">
        <f t="shared" si="2"/>
        <v>39</v>
      </c>
      <c r="C51" s="13" t="s">
        <v>987</v>
      </c>
      <c r="D51" s="13" t="s">
        <v>988</v>
      </c>
      <c r="E51" s="7"/>
      <c r="F51" s="7" t="s">
        <v>863</v>
      </c>
      <c r="G51" s="7" t="str">
        <f t="shared" si="7"/>
        <v>text</v>
      </c>
      <c r="H51" s="58"/>
      <c r="I51" s="23"/>
      <c r="J51" s="24"/>
      <c r="N51" s="76"/>
      <c r="O51" s="76"/>
      <c r="P51" s="76" t="str">
        <f t="shared" si="8"/>
        <v>,department1_igaku</v>
      </c>
      <c r="Q51" s="76" t="str">
        <f t="shared" si="9"/>
        <v>TEXT</v>
      </c>
      <c r="R51" s="76" t="str">
        <f t="shared" si="10"/>
        <v/>
      </c>
      <c r="S51" s="76" t="str">
        <f t="shared" si="11"/>
        <v/>
      </c>
      <c r="T51" s="76" t="str">
        <f t="shared" si="12"/>
        <v>-- 診療科1医学的処置</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milscm_2023_010.azn_202310_backup_merge_receiptc_re.department1_igaku IS '診療科1医学的処置';</v>
      </c>
    </row>
    <row r="52" spans="2:45" s="25" customFormat="1">
      <c r="B52" s="21">
        <f t="shared" si="2"/>
        <v>40</v>
      </c>
      <c r="C52" s="13" t="s">
        <v>989</v>
      </c>
      <c r="D52" s="13" t="s">
        <v>990</v>
      </c>
      <c r="E52" s="7"/>
      <c r="F52" s="7" t="s">
        <v>863</v>
      </c>
      <c r="G52" s="7" t="str">
        <f t="shared" si="7"/>
        <v>text</v>
      </c>
      <c r="H52" s="58"/>
      <c r="I52" s="23"/>
      <c r="J52" s="24"/>
      <c r="N52" s="76"/>
      <c r="O52" s="76"/>
      <c r="P52" s="76" t="str">
        <f t="shared" si="8"/>
        <v>,department1_shippei</v>
      </c>
      <c r="Q52" s="76" t="str">
        <f t="shared" si="9"/>
        <v>TEXT</v>
      </c>
      <c r="R52" s="76" t="str">
        <f t="shared" si="10"/>
        <v/>
      </c>
      <c r="S52" s="76" t="str">
        <f t="shared" si="11"/>
        <v/>
      </c>
      <c r="T52" s="76" t="str">
        <f t="shared" si="12"/>
        <v>-- 診療科1特定疾病</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milscm_2023_010.azn_202310_backup_merge_receiptc_re.department1_shippei IS '診療科1特定疾病';</v>
      </c>
    </row>
    <row r="53" spans="2:45" s="25" customFormat="1">
      <c r="B53" s="21">
        <f t="shared" si="2"/>
        <v>41</v>
      </c>
      <c r="C53" s="13" t="s">
        <v>991</v>
      </c>
      <c r="D53" s="13" t="s">
        <v>992</v>
      </c>
      <c r="E53" s="7"/>
      <c r="F53" s="7" t="s">
        <v>863</v>
      </c>
      <c r="G53" s="7" t="str">
        <f t="shared" si="7"/>
        <v>text</v>
      </c>
      <c r="H53" s="58"/>
      <c r="I53" s="23"/>
      <c r="J53" s="24"/>
      <c r="N53" s="76"/>
      <c r="O53" s="76"/>
      <c r="P53" s="76" t="str">
        <f t="shared" si="8"/>
        <v>,department2_name</v>
      </c>
      <c r="Q53" s="76" t="str">
        <f t="shared" si="9"/>
        <v>TEXT</v>
      </c>
      <c r="R53" s="76" t="str">
        <f t="shared" si="10"/>
        <v/>
      </c>
      <c r="S53" s="76" t="str">
        <f t="shared" si="11"/>
        <v/>
      </c>
      <c r="T53" s="76" t="str">
        <f t="shared" si="12"/>
        <v>-- 診療科2診療科名</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milscm_2023_010.azn_202310_backup_merge_receiptc_re.department2_name IS '診療科2診療科名';</v>
      </c>
    </row>
    <row r="54" spans="2:45" s="25" customFormat="1">
      <c r="B54" s="21">
        <f t="shared" si="2"/>
        <v>42</v>
      </c>
      <c r="C54" s="13" t="s">
        <v>993</v>
      </c>
      <c r="D54" s="13" t="s">
        <v>994</v>
      </c>
      <c r="E54" s="7"/>
      <c r="F54" s="7" t="s">
        <v>863</v>
      </c>
      <c r="G54" s="7" t="str">
        <f t="shared" si="7"/>
        <v>text</v>
      </c>
      <c r="H54" s="58"/>
      <c r="I54" s="23"/>
      <c r="J54" s="24"/>
      <c r="N54" s="76"/>
      <c r="O54" s="76"/>
      <c r="P54" s="76" t="str">
        <f t="shared" si="8"/>
        <v>,department2_jintai</v>
      </c>
      <c r="Q54" s="76" t="str">
        <f t="shared" si="9"/>
        <v>TEXT</v>
      </c>
      <c r="R54" s="76" t="str">
        <f t="shared" si="10"/>
        <v/>
      </c>
      <c r="S54" s="76" t="str">
        <f t="shared" si="11"/>
        <v/>
      </c>
      <c r="T54" s="76" t="str">
        <f t="shared" si="12"/>
        <v>-- 診療科2人体の部位等</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milscm_2023_010.azn_202310_backup_merge_receiptc_re.department2_jintai IS '診療科2人体の部位等';</v>
      </c>
    </row>
    <row r="55" spans="2:45" s="25" customFormat="1">
      <c r="B55" s="21">
        <f t="shared" si="2"/>
        <v>43</v>
      </c>
      <c r="C55" s="13" t="s">
        <v>995</v>
      </c>
      <c r="D55" s="13" t="s">
        <v>996</v>
      </c>
      <c r="E55" s="7"/>
      <c r="F55" s="7" t="s">
        <v>863</v>
      </c>
      <c r="G55" s="7" t="str">
        <f t="shared" si="7"/>
        <v>text</v>
      </c>
      <c r="H55" s="58"/>
      <c r="I55" s="23"/>
      <c r="J55" s="24"/>
      <c r="N55" s="76"/>
      <c r="O55" s="76"/>
      <c r="P55" s="76" t="str">
        <f t="shared" si="8"/>
        <v>,department2_sex</v>
      </c>
      <c r="Q55" s="76" t="str">
        <f t="shared" si="9"/>
        <v>TEXT</v>
      </c>
      <c r="R55" s="76" t="str">
        <f t="shared" si="10"/>
        <v/>
      </c>
      <c r="S55" s="76" t="str">
        <f t="shared" si="11"/>
        <v/>
      </c>
      <c r="T55" s="76" t="str">
        <f t="shared" si="12"/>
        <v>-- 診療科2性別等</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milscm_2023_010.azn_202310_backup_merge_receiptc_re.department2_sex IS '診療科2性別等';</v>
      </c>
    </row>
    <row r="56" spans="2:45" s="25" customFormat="1">
      <c r="B56" s="21">
        <f t="shared" si="2"/>
        <v>44</v>
      </c>
      <c r="C56" s="13" t="s">
        <v>997</v>
      </c>
      <c r="D56" s="13" t="s">
        <v>998</v>
      </c>
      <c r="E56" s="7"/>
      <c r="F56" s="7" t="s">
        <v>863</v>
      </c>
      <c r="G56" s="7" t="str">
        <f t="shared" si="7"/>
        <v>text</v>
      </c>
      <c r="H56" s="58"/>
      <c r="I56" s="23"/>
      <c r="J56" s="24"/>
      <c r="N56" s="76"/>
      <c r="O56" s="76"/>
      <c r="P56" s="76" t="str">
        <f t="shared" si="8"/>
        <v>,department2_igaku</v>
      </c>
      <c r="Q56" s="76" t="str">
        <f t="shared" si="9"/>
        <v>TEXT</v>
      </c>
      <c r="R56" s="76" t="str">
        <f t="shared" si="10"/>
        <v/>
      </c>
      <c r="S56" s="76" t="str">
        <f t="shared" si="11"/>
        <v/>
      </c>
      <c r="T56" s="76" t="str">
        <f t="shared" si="12"/>
        <v>-- 診療科2医学的処置</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milscm_2023_010.azn_202310_backup_merge_receiptc_re.department2_igaku IS '診療科2医学的処置';</v>
      </c>
    </row>
    <row r="57" spans="2:45" s="25" customFormat="1">
      <c r="B57" s="21">
        <f t="shared" si="2"/>
        <v>45</v>
      </c>
      <c r="C57" s="13" t="s">
        <v>999</v>
      </c>
      <c r="D57" s="13" t="s">
        <v>1000</v>
      </c>
      <c r="E57" s="7"/>
      <c r="F57" s="7" t="s">
        <v>863</v>
      </c>
      <c r="G57" s="7" t="str">
        <f t="shared" si="7"/>
        <v>text</v>
      </c>
      <c r="H57" s="58"/>
      <c r="I57" s="23"/>
      <c r="J57" s="24"/>
      <c r="N57" s="76"/>
      <c r="O57" s="76"/>
      <c r="P57" s="76" t="str">
        <f t="shared" si="8"/>
        <v>,department2_shippei</v>
      </c>
      <c r="Q57" s="76" t="str">
        <f t="shared" si="9"/>
        <v>TEXT</v>
      </c>
      <c r="R57" s="76" t="str">
        <f t="shared" si="10"/>
        <v/>
      </c>
      <c r="S57" s="76" t="str">
        <f t="shared" si="11"/>
        <v/>
      </c>
      <c r="T57" s="76" t="str">
        <f t="shared" si="12"/>
        <v>-- 診療科2特定疾病</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milscm_2023_010.azn_202310_backup_merge_receiptc_re.department2_shippei IS '診療科2特定疾病';</v>
      </c>
    </row>
    <row r="58" spans="2:45" s="25" customFormat="1">
      <c r="B58" s="21">
        <f t="shared" si="2"/>
        <v>46</v>
      </c>
      <c r="C58" s="13" t="s">
        <v>1001</v>
      </c>
      <c r="D58" s="13" t="s">
        <v>1002</v>
      </c>
      <c r="E58" s="7"/>
      <c r="F58" s="7" t="s">
        <v>863</v>
      </c>
      <c r="G58" s="7" t="str">
        <f t="shared" si="7"/>
        <v>text</v>
      </c>
      <c r="H58" s="58"/>
      <c r="I58" s="23"/>
      <c r="J58" s="24"/>
      <c r="N58" s="76"/>
      <c r="O58" s="76"/>
      <c r="P58" s="76" t="str">
        <f t="shared" si="8"/>
        <v>,department3_name</v>
      </c>
      <c r="Q58" s="76" t="str">
        <f t="shared" si="9"/>
        <v>TEXT</v>
      </c>
      <c r="R58" s="76" t="str">
        <f t="shared" si="10"/>
        <v/>
      </c>
      <c r="S58" s="76" t="str">
        <f t="shared" si="11"/>
        <v/>
      </c>
      <c r="T58" s="76" t="str">
        <f t="shared" si="12"/>
        <v>-- 診療科3診療科名</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milscm_2023_010.azn_202310_backup_merge_receiptc_re.department3_name IS '診療科3診療科名';</v>
      </c>
    </row>
    <row r="59" spans="2:45" s="25" customFormat="1">
      <c r="B59" s="21">
        <f t="shared" si="2"/>
        <v>47</v>
      </c>
      <c r="C59" s="13" t="s">
        <v>1003</v>
      </c>
      <c r="D59" s="13" t="s">
        <v>1004</v>
      </c>
      <c r="E59" s="7"/>
      <c r="F59" s="7" t="s">
        <v>863</v>
      </c>
      <c r="G59" s="7" t="str">
        <f t="shared" si="7"/>
        <v>text</v>
      </c>
      <c r="H59" s="58"/>
      <c r="I59" s="23"/>
      <c r="J59" s="24"/>
      <c r="N59" s="76"/>
      <c r="O59" s="76"/>
      <c r="P59" s="76" t="str">
        <f t="shared" si="8"/>
        <v>,department3_jintai</v>
      </c>
      <c r="Q59" s="76" t="str">
        <f t="shared" si="9"/>
        <v>TEXT</v>
      </c>
      <c r="R59" s="76" t="str">
        <f t="shared" si="10"/>
        <v/>
      </c>
      <c r="S59" s="76" t="str">
        <f t="shared" si="11"/>
        <v/>
      </c>
      <c r="T59" s="76" t="str">
        <f t="shared" si="12"/>
        <v>-- 診療科3人体の部位等</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milscm_2023_010.azn_202310_backup_merge_receiptc_re.department3_jintai IS '診療科3人体の部位等';</v>
      </c>
    </row>
    <row r="60" spans="2:45" s="25" customFormat="1">
      <c r="B60" s="21">
        <f t="shared" si="2"/>
        <v>48</v>
      </c>
      <c r="C60" s="13" t="s">
        <v>1005</v>
      </c>
      <c r="D60" s="13" t="s">
        <v>1006</v>
      </c>
      <c r="E60" s="7"/>
      <c r="F60" s="7" t="s">
        <v>863</v>
      </c>
      <c r="G60" s="7" t="str">
        <f t="shared" si="7"/>
        <v>text</v>
      </c>
      <c r="H60" s="58"/>
      <c r="I60" s="23"/>
      <c r="J60" s="24"/>
      <c r="N60" s="76"/>
      <c r="O60" s="76"/>
      <c r="P60" s="76" t="str">
        <f t="shared" si="8"/>
        <v>,department3_sex</v>
      </c>
      <c r="Q60" s="76" t="str">
        <f t="shared" si="9"/>
        <v>TEXT</v>
      </c>
      <c r="R60" s="76" t="str">
        <f t="shared" si="10"/>
        <v/>
      </c>
      <c r="S60" s="76" t="str">
        <f t="shared" si="11"/>
        <v/>
      </c>
      <c r="T60" s="76" t="str">
        <f t="shared" si="12"/>
        <v>-- 診療科3性別等</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milscm_2023_010.azn_202310_backup_merge_receiptc_re.department3_sex IS '診療科3性別等';</v>
      </c>
    </row>
    <row r="61" spans="2:45" s="25" customFormat="1">
      <c r="B61" s="21">
        <f t="shared" si="2"/>
        <v>49</v>
      </c>
      <c r="C61" s="13" t="s">
        <v>1007</v>
      </c>
      <c r="D61" s="13" t="s">
        <v>1008</v>
      </c>
      <c r="E61" s="7"/>
      <c r="F61" s="7" t="s">
        <v>863</v>
      </c>
      <c r="G61" s="7" t="str">
        <f t="shared" si="7"/>
        <v>text</v>
      </c>
      <c r="H61" s="58"/>
      <c r="I61" s="23"/>
      <c r="J61" s="24"/>
      <c r="N61" s="76"/>
      <c r="O61" s="76"/>
      <c r="P61" s="76" t="str">
        <f t="shared" si="8"/>
        <v>,department3_igaku</v>
      </c>
      <c r="Q61" s="76" t="str">
        <f t="shared" si="9"/>
        <v>TEXT</v>
      </c>
      <c r="R61" s="76" t="str">
        <f t="shared" si="10"/>
        <v/>
      </c>
      <c r="S61" s="76" t="str">
        <f t="shared" si="11"/>
        <v/>
      </c>
      <c r="T61" s="76" t="str">
        <f t="shared" si="12"/>
        <v>-- 診療科3医学的処置</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milscm_2023_010.azn_202310_backup_merge_receiptc_re.department3_igaku IS '診療科3医学的処置';</v>
      </c>
    </row>
    <row r="62" spans="2:45" s="25" customFormat="1">
      <c r="B62" s="21">
        <f t="shared" si="2"/>
        <v>50</v>
      </c>
      <c r="C62" s="13" t="s">
        <v>1009</v>
      </c>
      <c r="D62" s="13" t="s">
        <v>1010</v>
      </c>
      <c r="E62" s="7"/>
      <c r="F62" s="7" t="s">
        <v>863</v>
      </c>
      <c r="G62" s="7" t="str">
        <f t="shared" si="7"/>
        <v>text</v>
      </c>
      <c r="H62" s="58"/>
      <c r="I62" s="23"/>
      <c r="J62" s="24"/>
      <c r="N62" s="76"/>
      <c r="O62" s="76"/>
      <c r="P62" s="76" t="str">
        <f t="shared" si="8"/>
        <v>,department3_shippei</v>
      </c>
      <c r="Q62" s="76" t="str">
        <f t="shared" si="9"/>
        <v>TEXT</v>
      </c>
      <c r="R62" s="76" t="str">
        <f t="shared" si="10"/>
        <v/>
      </c>
      <c r="S62" s="76" t="str">
        <f t="shared" si="11"/>
        <v/>
      </c>
      <c r="T62" s="76" t="str">
        <f t="shared" si="12"/>
        <v>-- 診療科3特定疾病</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milscm_2023_010.azn_202310_backup_merge_receiptc_re.department3_shippei IS '診療科3特定疾病';</v>
      </c>
    </row>
    <row r="63" spans="2:45" s="25" customFormat="1">
      <c r="B63" s="21">
        <f t="shared" si="2"/>
        <v>51</v>
      </c>
      <c r="C63" s="13" t="s">
        <v>1011</v>
      </c>
      <c r="D63" s="13" t="s">
        <v>1012</v>
      </c>
      <c r="E63" s="7"/>
      <c r="F63" s="7" t="s">
        <v>863</v>
      </c>
      <c r="G63" s="7" t="str">
        <f t="shared" si="7"/>
        <v>text</v>
      </c>
      <c r="H63" s="58"/>
      <c r="I63" s="23"/>
      <c r="J63" s="24" t="s">
        <v>1061</v>
      </c>
      <c r="N63" s="76"/>
      <c r="O63" s="76"/>
      <c r="P63" s="76" t="str">
        <f t="shared" si="8"/>
        <v>,kana_name</v>
      </c>
      <c r="Q63" s="76" t="str">
        <f t="shared" si="9"/>
        <v>TEXT</v>
      </c>
      <c r="R63" s="76" t="str">
        <f t="shared" si="10"/>
        <v/>
      </c>
      <c r="S63" s="76" t="str">
        <f t="shared" si="11"/>
        <v/>
      </c>
      <c r="T63" s="76" t="str">
        <f t="shared" si="12"/>
        <v>-- カタカナ（氏名）</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milscm_2023_010.azn_202310_backup_merge_receiptc_re.kana_name IS 'カタカナ（氏名）';</v>
      </c>
    </row>
    <row r="64" spans="2:45" s="25" customFormat="1">
      <c r="B64" s="21">
        <f t="shared" si="2"/>
        <v>52</v>
      </c>
      <c r="C64" s="13" t="s">
        <v>1013</v>
      </c>
      <c r="D64" s="13" t="s">
        <v>1014</v>
      </c>
      <c r="E64" s="7"/>
      <c r="F64" s="7" t="s">
        <v>863</v>
      </c>
      <c r="G64" s="7" t="str">
        <f t="shared" si="7"/>
        <v>text</v>
      </c>
      <c r="H64" s="58"/>
      <c r="I64" s="23"/>
      <c r="J64" s="24" t="s">
        <v>1067</v>
      </c>
      <c r="N64" s="76"/>
      <c r="O64" s="76"/>
      <c r="P64" s="76" t="str">
        <f t="shared" si="8"/>
        <v>,patient_state1</v>
      </c>
      <c r="Q64" s="76" t="str">
        <f t="shared" si="9"/>
        <v>TEXT</v>
      </c>
      <c r="R64" s="76" t="str">
        <f t="shared" si="10"/>
        <v/>
      </c>
      <c r="S64" s="76" t="str">
        <f t="shared" si="11"/>
        <v/>
      </c>
      <c r="T64" s="76" t="str">
        <f t="shared" si="12"/>
        <v>-- 患者の状態1</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milscm_2023_010.azn_202310_backup_merge_receiptc_re.patient_state1 IS '患者の状態1';</v>
      </c>
    </row>
    <row r="65" spans="2:45" s="25" customFormat="1">
      <c r="B65" s="21">
        <f t="shared" si="2"/>
        <v>53</v>
      </c>
      <c r="C65" s="13" t="s">
        <v>1015</v>
      </c>
      <c r="D65" s="13" t="s">
        <v>1016</v>
      </c>
      <c r="E65" s="7"/>
      <c r="F65" s="7" t="s">
        <v>863</v>
      </c>
      <c r="G65" s="7" t="str">
        <f t="shared" si="7"/>
        <v>text</v>
      </c>
      <c r="H65" s="58"/>
      <c r="I65" s="23"/>
      <c r="J65" s="24"/>
      <c r="N65" s="76"/>
      <c r="O65" s="76"/>
      <c r="P65" s="76" t="str">
        <f t="shared" si="8"/>
        <v>,patient_state2</v>
      </c>
      <c r="Q65" s="76" t="str">
        <f t="shared" si="9"/>
        <v>TEXT</v>
      </c>
      <c r="R65" s="76" t="str">
        <f t="shared" si="10"/>
        <v/>
      </c>
      <c r="S65" s="76" t="str">
        <f t="shared" si="11"/>
        <v/>
      </c>
      <c r="T65" s="76" t="str">
        <f t="shared" si="12"/>
        <v>-- 患者の状態2</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milscm_2023_010.azn_202310_backup_merge_receiptc_re.patient_state2 IS '患者の状態2';</v>
      </c>
    </row>
    <row r="66" spans="2:45" s="25" customFormat="1">
      <c r="B66" s="21">
        <f t="shared" si="2"/>
        <v>54</v>
      </c>
      <c r="C66" s="13" t="s">
        <v>1017</v>
      </c>
      <c r="D66" s="13" t="s">
        <v>1018</v>
      </c>
      <c r="E66" s="7"/>
      <c r="F66" s="7" t="s">
        <v>863</v>
      </c>
      <c r="G66" s="7" t="str">
        <f t="shared" si="7"/>
        <v>text</v>
      </c>
      <c r="H66" s="58"/>
      <c r="I66" s="23"/>
      <c r="J66" s="24"/>
      <c r="N66" s="76"/>
      <c r="O66" s="76"/>
      <c r="P66" s="76" t="str">
        <f t="shared" si="8"/>
        <v>,patient_state3</v>
      </c>
      <c r="Q66" s="76" t="str">
        <f t="shared" si="9"/>
        <v>TEXT</v>
      </c>
      <c r="R66" s="76" t="str">
        <f t="shared" si="10"/>
        <v/>
      </c>
      <c r="S66" s="76" t="str">
        <f t="shared" si="11"/>
        <v/>
      </c>
      <c r="T66" s="76" t="str">
        <f t="shared" si="12"/>
        <v>-- 患者の状態3</v>
      </c>
      <c r="U66" s="4"/>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milscm_2023_010.azn_202310_backup_merge_receiptc_re.patient_state3 IS '患者の状態3';</v>
      </c>
    </row>
    <row r="67" spans="2:45" s="25" customFormat="1">
      <c r="B67" s="21">
        <f t="shared" si="2"/>
        <v>55</v>
      </c>
      <c r="C67" s="13" t="s">
        <v>1019</v>
      </c>
      <c r="D67" s="13" t="s">
        <v>1020</v>
      </c>
      <c r="E67" s="7"/>
      <c r="F67" s="7" t="s">
        <v>863</v>
      </c>
      <c r="G67" s="7" t="str">
        <f t="shared" si="7"/>
        <v>text</v>
      </c>
      <c r="H67" s="58"/>
      <c r="I67" s="23"/>
      <c r="J67" s="24"/>
      <c r="N67" s="76"/>
      <c r="O67" s="76"/>
      <c r="P67" s="76" t="str">
        <f t="shared" si="8"/>
        <v>,patient_state4</v>
      </c>
      <c r="Q67" s="76" t="str">
        <f t="shared" si="9"/>
        <v>TEXT</v>
      </c>
      <c r="R67" s="76" t="str">
        <f t="shared" si="10"/>
        <v/>
      </c>
      <c r="S67" s="76" t="str">
        <f t="shared" si="11"/>
        <v/>
      </c>
      <c r="T67" s="76" t="str">
        <f t="shared" si="12"/>
        <v>-- 患者の状態4</v>
      </c>
      <c r="U67" s="4"/>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milscm_2023_010.azn_202310_backup_merge_receiptc_re.patient_state4 IS '患者の状態4';</v>
      </c>
    </row>
    <row r="68" spans="2:45" s="25" customFormat="1">
      <c r="B68" s="21">
        <f t="shared" si="2"/>
        <v>56</v>
      </c>
      <c r="C68" s="13" t="s">
        <v>1021</v>
      </c>
      <c r="D68" s="13" t="s">
        <v>1022</v>
      </c>
      <c r="E68" s="7"/>
      <c r="F68" s="7" t="s">
        <v>863</v>
      </c>
      <c r="G68" s="7" t="str">
        <f t="shared" si="7"/>
        <v>text</v>
      </c>
      <c r="H68" s="58"/>
      <c r="I68" s="23"/>
      <c r="J68" s="24"/>
      <c r="N68" s="76"/>
      <c r="O68" s="76"/>
      <c r="P68" s="76" t="str">
        <f t="shared" si="8"/>
        <v>,patient_state5</v>
      </c>
      <c r="Q68" s="76" t="str">
        <f t="shared" si="9"/>
        <v>TEXT</v>
      </c>
      <c r="R68" s="76" t="str">
        <f t="shared" si="10"/>
        <v/>
      </c>
      <c r="S68" s="76" t="str">
        <f t="shared" si="11"/>
        <v/>
      </c>
      <c r="T68" s="76" t="str">
        <f t="shared" si="12"/>
        <v>-- 患者の状態5</v>
      </c>
      <c r="U68" s="4"/>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milscm_2023_010.azn_202310_backup_merge_receiptc_re.patient_state5 IS '患者の状態5';</v>
      </c>
    </row>
    <row r="69" spans="2:45" s="25" customFormat="1">
      <c r="B69" s="21">
        <f t="shared" si="2"/>
        <v>57</v>
      </c>
      <c r="C69" s="13" t="s">
        <v>1023</v>
      </c>
      <c r="D69" s="13" t="s">
        <v>1024</v>
      </c>
      <c r="E69" s="7"/>
      <c r="F69" s="7" t="s">
        <v>863</v>
      </c>
      <c r="G69" s="7" t="str">
        <f t="shared" si="7"/>
        <v>text</v>
      </c>
      <c r="H69" s="58"/>
      <c r="I69" s="23"/>
      <c r="J69" s="24"/>
      <c r="N69" s="76"/>
      <c r="O69" s="76"/>
      <c r="P69" s="76" t="str">
        <f t="shared" si="8"/>
        <v>,patient_state6</v>
      </c>
      <c r="Q69" s="76" t="str">
        <f t="shared" si="9"/>
        <v>TEXT</v>
      </c>
      <c r="R69" s="76" t="str">
        <f t="shared" si="10"/>
        <v/>
      </c>
      <c r="S69" s="76" t="str">
        <f t="shared" si="11"/>
        <v/>
      </c>
      <c r="T69" s="76" t="str">
        <f t="shared" si="12"/>
        <v>-- 患者の状態6</v>
      </c>
      <c r="U69" s="4"/>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milscm_2023_010.azn_202310_backup_merge_receiptc_re.patient_state6 IS '患者の状態6';</v>
      </c>
    </row>
    <row r="70" spans="2:45" s="25" customFormat="1">
      <c r="B70" s="21">
        <f t="shared" si="2"/>
        <v>58</v>
      </c>
      <c r="C70" s="13" t="s">
        <v>1025</v>
      </c>
      <c r="D70" s="13" t="s">
        <v>1026</v>
      </c>
      <c r="E70" s="7"/>
      <c r="F70" s="7" t="s">
        <v>863</v>
      </c>
      <c r="G70" s="7" t="str">
        <f t="shared" si="7"/>
        <v>text</v>
      </c>
      <c r="H70" s="58"/>
      <c r="I70" s="23"/>
      <c r="J70" s="24"/>
      <c r="N70" s="76"/>
      <c r="O70" s="76"/>
      <c r="P70" s="76" t="str">
        <f t="shared" si="8"/>
        <v>,patient_state7</v>
      </c>
      <c r="Q70" s="76" t="str">
        <f t="shared" si="9"/>
        <v>TEXT</v>
      </c>
      <c r="R70" s="76" t="str">
        <f t="shared" si="10"/>
        <v/>
      </c>
      <c r="S70" s="76" t="str">
        <f t="shared" si="11"/>
        <v/>
      </c>
      <c r="T70" s="76" t="str">
        <f t="shared" si="12"/>
        <v>-- 患者の状態7</v>
      </c>
      <c r="U70" s="4"/>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milscm_2023_010.azn_202310_backup_merge_receiptc_re.patient_state7 IS '患者の状態7';</v>
      </c>
    </row>
    <row r="71" spans="2:45" s="25" customFormat="1">
      <c r="B71" s="21">
        <f t="shared" si="2"/>
        <v>59</v>
      </c>
      <c r="C71" s="13" t="s">
        <v>1027</v>
      </c>
      <c r="D71" s="13" t="s">
        <v>1028</v>
      </c>
      <c r="E71" s="7"/>
      <c r="F71" s="7" t="s">
        <v>863</v>
      </c>
      <c r="G71" s="7" t="str">
        <f t="shared" si="7"/>
        <v>text</v>
      </c>
      <c r="H71" s="58"/>
      <c r="I71" s="23"/>
      <c r="J71" s="24"/>
      <c r="N71" s="76"/>
      <c r="O71" s="76"/>
      <c r="P71" s="76" t="str">
        <f t="shared" si="8"/>
        <v>,patient_state8</v>
      </c>
      <c r="Q71" s="76" t="str">
        <f t="shared" si="9"/>
        <v>TEXT</v>
      </c>
      <c r="R71" s="76" t="str">
        <f t="shared" si="10"/>
        <v/>
      </c>
      <c r="S71" s="76" t="str">
        <f t="shared" si="11"/>
        <v/>
      </c>
      <c r="T71" s="76" t="str">
        <f t="shared" si="12"/>
        <v>-- 患者の状態8</v>
      </c>
      <c r="U71" s="4"/>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milscm_2023_010.azn_202310_backup_merge_receiptc_re.patient_state8 IS '患者の状態8';</v>
      </c>
    </row>
    <row r="72" spans="2:45" s="25" customFormat="1">
      <c r="B72" s="21">
        <f t="shared" si="2"/>
        <v>60</v>
      </c>
      <c r="C72" s="13" t="s">
        <v>1029</v>
      </c>
      <c r="D72" s="13" t="s">
        <v>1030</v>
      </c>
      <c r="E72" s="7"/>
      <c r="F72" s="7" t="s">
        <v>863</v>
      </c>
      <c r="G72" s="7" t="str">
        <f t="shared" si="7"/>
        <v>text</v>
      </c>
      <c r="H72" s="58"/>
      <c r="I72" s="23"/>
      <c r="J72" s="24"/>
      <c r="N72" s="76"/>
      <c r="O72" s="76"/>
      <c r="P72" s="76" t="str">
        <f t="shared" si="8"/>
        <v>,patient_state9</v>
      </c>
      <c r="Q72" s="76" t="str">
        <f t="shared" si="9"/>
        <v>TEXT</v>
      </c>
      <c r="R72" s="76" t="str">
        <f t="shared" si="10"/>
        <v/>
      </c>
      <c r="S72" s="76" t="str">
        <f t="shared" si="11"/>
        <v/>
      </c>
      <c r="T72" s="76" t="str">
        <f t="shared" si="12"/>
        <v>-- 患者の状態9</v>
      </c>
      <c r="U72" s="4"/>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milscm_2023_010.azn_202310_backup_merge_receiptc_re.patient_state9 IS '患者の状態9';</v>
      </c>
    </row>
    <row r="73" spans="2:45" s="25" customFormat="1">
      <c r="B73" s="21">
        <f t="shared" si="2"/>
        <v>61</v>
      </c>
      <c r="C73" s="13" t="s">
        <v>1031</v>
      </c>
      <c r="D73" s="13" t="s">
        <v>1032</v>
      </c>
      <c r="E73" s="7"/>
      <c r="F73" s="7" t="s">
        <v>863</v>
      </c>
      <c r="G73" s="7" t="str">
        <f t="shared" si="7"/>
        <v>text</v>
      </c>
      <c r="H73" s="58"/>
      <c r="I73" s="23"/>
      <c r="J73" s="24"/>
      <c r="N73" s="76"/>
      <c r="O73" s="76"/>
      <c r="P73" s="76" t="str">
        <f t="shared" si="8"/>
        <v>,patient_state10</v>
      </c>
      <c r="Q73" s="76" t="str">
        <f t="shared" si="9"/>
        <v>TEXT</v>
      </c>
      <c r="R73" s="76" t="str">
        <f t="shared" si="10"/>
        <v/>
      </c>
      <c r="S73" s="76" t="str">
        <f t="shared" si="11"/>
        <v/>
      </c>
      <c r="T73" s="76" t="str">
        <f t="shared" si="12"/>
        <v>-- 患者の状態10</v>
      </c>
      <c r="U73" s="4"/>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milscm_2023_010.azn_202310_backup_merge_receiptc_re.patient_state10 IS '患者の状態10';</v>
      </c>
    </row>
    <row r="74" spans="2:45" s="25" customFormat="1">
      <c r="B74" s="21">
        <f t="shared" si="2"/>
        <v>62</v>
      </c>
      <c r="C74" s="13" t="s">
        <v>1033</v>
      </c>
      <c r="D74" s="13" t="s">
        <v>1034</v>
      </c>
      <c r="E74" s="7"/>
      <c r="F74" s="7" t="s">
        <v>863</v>
      </c>
      <c r="G74" s="7" t="str">
        <f t="shared" si="7"/>
        <v>text</v>
      </c>
      <c r="H74" s="58"/>
      <c r="I74" s="23"/>
      <c r="J74" s="24"/>
      <c r="N74" s="76"/>
      <c r="O74" s="76"/>
      <c r="P74" s="76" t="str">
        <f t="shared" si="8"/>
        <v>,patient_state11</v>
      </c>
      <c r="Q74" s="76" t="str">
        <f t="shared" si="9"/>
        <v>TEXT</v>
      </c>
      <c r="R74" s="76" t="str">
        <f t="shared" si="10"/>
        <v/>
      </c>
      <c r="S74" s="76" t="str">
        <f t="shared" si="11"/>
        <v/>
      </c>
      <c r="T74" s="76" t="str">
        <f t="shared" si="12"/>
        <v>-- 患者の状態11</v>
      </c>
      <c r="U74" s="4"/>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milscm_2023_010.azn_202310_backup_merge_receiptc_re.patient_state11 IS '患者の状態11';</v>
      </c>
    </row>
    <row r="75" spans="2:45" s="25" customFormat="1">
      <c r="B75" s="21">
        <f t="shared" si="2"/>
        <v>63</v>
      </c>
      <c r="C75" s="13" t="s">
        <v>1035</v>
      </c>
      <c r="D75" s="13" t="s">
        <v>1036</v>
      </c>
      <c r="E75" s="7"/>
      <c r="F75" s="7" t="s">
        <v>863</v>
      </c>
      <c r="G75" s="7" t="str">
        <f t="shared" si="7"/>
        <v>text</v>
      </c>
      <c r="H75" s="58"/>
      <c r="I75" s="23"/>
      <c r="J75" s="24"/>
      <c r="N75" s="76"/>
      <c r="O75" s="76"/>
      <c r="P75" s="76" t="str">
        <f t="shared" si="8"/>
        <v>,patient_state12</v>
      </c>
      <c r="Q75" s="76" t="str">
        <f t="shared" si="9"/>
        <v>TEXT</v>
      </c>
      <c r="R75" s="76" t="str">
        <f t="shared" si="10"/>
        <v/>
      </c>
      <c r="S75" s="76" t="str">
        <f t="shared" si="11"/>
        <v/>
      </c>
      <c r="T75" s="76" t="str">
        <f t="shared" si="12"/>
        <v>-- 患者の状態12</v>
      </c>
      <c r="U75" s="4"/>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milscm_2023_010.azn_202310_backup_merge_receiptc_re.patient_state12 IS '患者の状態12';</v>
      </c>
    </row>
    <row r="76" spans="2:45" s="25" customFormat="1">
      <c r="B76" s="21">
        <f t="shared" si="2"/>
        <v>64</v>
      </c>
      <c r="C76" s="13" t="s">
        <v>1037</v>
      </c>
      <c r="D76" s="13" t="s">
        <v>1038</v>
      </c>
      <c r="E76" s="7"/>
      <c r="F76" s="7" t="s">
        <v>863</v>
      </c>
      <c r="G76" s="7" t="str">
        <f t="shared" si="7"/>
        <v>text</v>
      </c>
      <c r="H76" s="58"/>
      <c r="I76" s="23"/>
      <c r="J76" s="24"/>
      <c r="N76" s="76"/>
      <c r="O76" s="76"/>
      <c r="P76" s="76" t="str">
        <f t="shared" si="8"/>
        <v>,patient_state13</v>
      </c>
      <c r="Q76" s="76" t="str">
        <f t="shared" si="9"/>
        <v>TEXT</v>
      </c>
      <c r="R76" s="76" t="str">
        <f t="shared" si="10"/>
        <v/>
      </c>
      <c r="S76" s="76" t="str">
        <f t="shared" si="11"/>
        <v/>
      </c>
      <c r="T76" s="76" t="str">
        <f t="shared" si="12"/>
        <v>-- 患者の状態13</v>
      </c>
      <c r="U76" s="4"/>
      <c r="AA76" s="4"/>
      <c r="AB76" s="4"/>
      <c r="AC76" s="4"/>
      <c r="AD76" s="4"/>
      <c r="AE76" s="4"/>
      <c r="AF76" s="4"/>
      <c r="AG76" s="4"/>
      <c r="AH76" s="4"/>
      <c r="AI76" s="4"/>
      <c r="AJ76" s="76" t="str">
        <f>IF(E76="○",IF(COUNTA(E$13:E76)=1,"",",")&amp;D76,"")</f>
        <v/>
      </c>
      <c r="AK76" s="4"/>
      <c r="AL76" s="4"/>
      <c r="AM76" s="4"/>
      <c r="AN76" s="4"/>
      <c r="AO76" s="4"/>
      <c r="AP76" s="4"/>
      <c r="AQ76" s="4"/>
      <c r="AR76" s="4"/>
      <c r="AS76" s="76" t="str">
        <f>"COMMENT ON COLUMN "&amp;エンティティ一覧!$O$2&amp;"."&amp;D$8&amp;"."&amp;D76&amp;" IS '"&amp;C76&amp;"';"</f>
        <v>COMMENT ON COLUMN milscm_2023_010.azn_202310_backup_merge_receiptc_re.patient_state13 IS '患者の状態13';</v>
      </c>
    </row>
    <row r="77" spans="2:45" s="25" customFormat="1">
      <c r="B77" s="21">
        <f t="shared" si="2"/>
        <v>65</v>
      </c>
      <c r="C77" s="13" t="s">
        <v>1039</v>
      </c>
      <c r="D77" s="13" t="s">
        <v>1040</v>
      </c>
      <c r="E77" s="7"/>
      <c r="F77" s="7" t="s">
        <v>863</v>
      </c>
      <c r="G77" s="7" t="str">
        <f t="shared" si="7"/>
        <v>text</v>
      </c>
      <c r="H77" s="58"/>
      <c r="I77" s="23"/>
      <c r="J77" s="24"/>
      <c r="N77" s="76"/>
      <c r="O77" s="76"/>
      <c r="P77" s="76" t="str">
        <f t="shared" si="8"/>
        <v>,patient_state14</v>
      </c>
      <c r="Q77" s="76" t="str">
        <f t="shared" si="9"/>
        <v>TEXT</v>
      </c>
      <c r="R77" s="76" t="str">
        <f t="shared" si="10"/>
        <v/>
      </c>
      <c r="S77" s="76" t="str">
        <f t="shared" si="11"/>
        <v/>
      </c>
      <c r="T77" s="76" t="str">
        <f t="shared" si="12"/>
        <v>-- 患者の状態14</v>
      </c>
      <c r="U77" s="4"/>
      <c r="AA77" s="4"/>
      <c r="AB77" s="4"/>
      <c r="AC77" s="4"/>
      <c r="AD77" s="4"/>
      <c r="AE77" s="4"/>
      <c r="AF77" s="4"/>
      <c r="AG77" s="4"/>
      <c r="AH77" s="4"/>
      <c r="AI77" s="4"/>
      <c r="AJ77" s="76" t="str">
        <f>IF(E77="○",IF(COUNTA(E$13:E77)=1,"",",")&amp;D77,"")</f>
        <v/>
      </c>
      <c r="AK77" s="4"/>
      <c r="AL77" s="4"/>
      <c r="AM77" s="4"/>
      <c r="AN77" s="4"/>
      <c r="AO77" s="4"/>
      <c r="AP77" s="4"/>
      <c r="AQ77" s="4"/>
      <c r="AR77" s="4"/>
      <c r="AS77" s="76" t="str">
        <f>"COMMENT ON COLUMN "&amp;エンティティ一覧!$O$2&amp;"."&amp;D$8&amp;"."&amp;D77&amp;" IS '"&amp;C77&amp;"';"</f>
        <v>COMMENT ON COLUMN milscm_2023_010.azn_202310_backup_merge_receiptc_re.patient_state14 IS '患者の状態14';</v>
      </c>
    </row>
    <row r="78" spans="2:45" s="25" customFormat="1">
      <c r="B78" s="21">
        <f t="shared" si="2"/>
        <v>66</v>
      </c>
      <c r="C78" s="13" t="s">
        <v>1041</v>
      </c>
      <c r="D78" s="13" t="s">
        <v>1042</v>
      </c>
      <c r="E78" s="7"/>
      <c r="F78" s="7" t="s">
        <v>863</v>
      </c>
      <c r="G78" s="7" t="str">
        <f t="shared" si="7"/>
        <v>text</v>
      </c>
      <c r="H78" s="58"/>
      <c r="I78" s="23"/>
      <c r="J78" s="24"/>
      <c r="N78" s="76"/>
      <c r="O78" s="76"/>
      <c r="P78" s="76" t="str">
        <f t="shared" si="8"/>
        <v>,patient_state15</v>
      </c>
      <c r="Q78" s="76" t="str">
        <f t="shared" si="9"/>
        <v>TEXT</v>
      </c>
      <c r="R78" s="76" t="str">
        <f t="shared" si="10"/>
        <v/>
      </c>
      <c r="S78" s="76" t="str">
        <f t="shared" si="11"/>
        <v/>
      </c>
      <c r="T78" s="76" t="str">
        <f t="shared" si="12"/>
        <v>-- 患者の状態15</v>
      </c>
      <c r="U78" s="4"/>
      <c r="AA78" s="4"/>
      <c r="AB78" s="4"/>
      <c r="AC78" s="4"/>
      <c r="AD78" s="4"/>
      <c r="AE78" s="4"/>
      <c r="AF78" s="4"/>
      <c r="AG78" s="4"/>
      <c r="AH78" s="4"/>
      <c r="AI78" s="4"/>
      <c r="AJ78" s="76" t="str">
        <f>IF(E78="○",IF(COUNTA(E$13:E78)=1,"",",")&amp;D78,"")</f>
        <v/>
      </c>
      <c r="AK78" s="4"/>
      <c r="AL78" s="4"/>
      <c r="AM78" s="4"/>
      <c r="AN78" s="4"/>
      <c r="AO78" s="4"/>
      <c r="AP78" s="4"/>
      <c r="AQ78" s="4"/>
      <c r="AR78" s="4"/>
      <c r="AS78" s="76" t="str">
        <f>"COMMENT ON COLUMN "&amp;エンティティ一覧!$O$2&amp;"."&amp;D$8&amp;"."&amp;D78&amp;" IS '"&amp;C78&amp;"';"</f>
        <v>COMMENT ON COLUMN milscm_2023_010.azn_202310_backup_merge_receiptc_re.patient_state15 IS '患者の状態15';</v>
      </c>
    </row>
    <row r="79" spans="2:45" s="25" customFormat="1">
      <c r="B79" s="21">
        <f t="shared" si="2"/>
        <v>67</v>
      </c>
      <c r="C79" s="13" t="s">
        <v>1043</v>
      </c>
      <c r="D79" s="13" t="s">
        <v>1044</v>
      </c>
      <c r="E79" s="7"/>
      <c r="F79" s="7" t="s">
        <v>863</v>
      </c>
      <c r="G79" s="7" t="str">
        <f t="shared" si="7"/>
        <v>text</v>
      </c>
      <c r="H79" s="58"/>
      <c r="I79" s="23"/>
      <c r="J79" s="24"/>
      <c r="N79" s="76"/>
      <c r="O79" s="76"/>
      <c r="P79" s="76" t="str">
        <f t="shared" si="8"/>
        <v>,patient_state16</v>
      </c>
      <c r="Q79" s="76" t="str">
        <f t="shared" si="9"/>
        <v>TEXT</v>
      </c>
      <c r="R79" s="76" t="str">
        <f t="shared" si="10"/>
        <v/>
      </c>
      <c r="S79" s="76" t="str">
        <f t="shared" si="11"/>
        <v/>
      </c>
      <c r="T79" s="76" t="str">
        <f t="shared" si="12"/>
        <v>-- 患者の状態16</v>
      </c>
      <c r="U79" s="4"/>
      <c r="AA79" s="4"/>
      <c r="AB79" s="4"/>
      <c r="AC79" s="4"/>
      <c r="AD79" s="4"/>
      <c r="AE79" s="4"/>
      <c r="AF79" s="4"/>
      <c r="AG79" s="4"/>
      <c r="AH79" s="4"/>
      <c r="AI79" s="4"/>
      <c r="AJ79" s="76" t="str">
        <f>IF(E79="○",IF(COUNTA(E$13:E79)=1,"",",")&amp;D79,"")</f>
        <v/>
      </c>
      <c r="AK79" s="4"/>
      <c r="AL79" s="4"/>
      <c r="AM79" s="4"/>
      <c r="AN79" s="4"/>
      <c r="AO79" s="4"/>
      <c r="AP79" s="4"/>
      <c r="AQ79" s="4"/>
      <c r="AR79" s="4"/>
      <c r="AS79" s="76" t="str">
        <f>"COMMENT ON COLUMN "&amp;エンティティ一覧!$O$2&amp;"."&amp;D$8&amp;"."&amp;D79&amp;" IS '"&amp;C79&amp;"';"</f>
        <v>COMMENT ON COLUMN milscm_2023_010.azn_202310_backup_merge_receiptc_re.patient_state16 IS '患者の状態16';</v>
      </c>
    </row>
    <row r="80" spans="2:45" s="25" customFormat="1">
      <c r="B80" s="21">
        <f t="shared" si="2"/>
        <v>68</v>
      </c>
      <c r="C80" s="13" t="s">
        <v>1045</v>
      </c>
      <c r="D80" s="13" t="s">
        <v>1046</v>
      </c>
      <c r="E80" s="7"/>
      <c r="F80" s="7" t="s">
        <v>863</v>
      </c>
      <c r="G80" s="7" t="str">
        <f t="shared" si="7"/>
        <v>text</v>
      </c>
      <c r="H80" s="58"/>
      <c r="I80" s="23"/>
      <c r="J80" s="24"/>
      <c r="N80" s="76"/>
      <c r="O80" s="76"/>
      <c r="P80" s="76" t="str">
        <f t="shared" si="8"/>
        <v>,patient_state17</v>
      </c>
      <c r="Q80" s="76" t="str">
        <f t="shared" si="9"/>
        <v>TEXT</v>
      </c>
      <c r="R80" s="76" t="str">
        <f t="shared" si="10"/>
        <v/>
      </c>
      <c r="S80" s="76" t="str">
        <f t="shared" si="11"/>
        <v/>
      </c>
      <c r="T80" s="76" t="str">
        <f t="shared" si="12"/>
        <v>-- 患者の状態17</v>
      </c>
      <c r="U80" s="4"/>
      <c r="AA80" s="4"/>
      <c r="AB80" s="4"/>
      <c r="AC80" s="4"/>
      <c r="AD80" s="4"/>
      <c r="AE80" s="4"/>
      <c r="AF80" s="4"/>
      <c r="AG80" s="4"/>
      <c r="AH80" s="4"/>
      <c r="AI80" s="4"/>
      <c r="AJ80" s="76" t="str">
        <f>IF(E80="○",IF(COUNTA(E$13:E80)=1,"",",")&amp;D80,"")</f>
        <v/>
      </c>
      <c r="AK80" s="4"/>
      <c r="AL80" s="4"/>
      <c r="AM80" s="4"/>
      <c r="AN80" s="4"/>
      <c r="AO80" s="4"/>
      <c r="AP80" s="4"/>
      <c r="AQ80" s="4"/>
      <c r="AR80" s="4"/>
      <c r="AS80" s="76" t="str">
        <f>"COMMENT ON COLUMN "&amp;エンティティ一覧!$O$2&amp;"."&amp;D$8&amp;"."&amp;D80&amp;" IS '"&amp;C80&amp;"';"</f>
        <v>COMMENT ON COLUMN milscm_2023_010.azn_202310_backup_merge_receiptc_re.patient_state17 IS '患者の状態17';</v>
      </c>
    </row>
    <row r="81" spans="1:52" s="25" customFormat="1">
      <c r="B81" s="21">
        <f t="shared" si="2"/>
        <v>69</v>
      </c>
      <c r="C81" s="13" t="s">
        <v>1047</v>
      </c>
      <c r="D81" s="13" t="s">
        <v>1048</v>
      </c>
      <c r="E81" s="7"/>
      <c r="F81" s="7" t="s">
        <v>863</v>
      </c>
      <c r="G81" s="7" t="str">
        <f t="shared" ref="G81:G82" si="13">IF(F81="フラグ","boolean",IF(F81="文字列","text",IF(F81="整数","integer",IF(F81="実数","numeric",""))))</f>
        <v>text</v>
      </c>
      <c r="H81" s="58"/>
      <c r="I81" s="23"/>
      <c r="J81" s="24"/>
      <c r="N81" s="76"/>
      <c r="O81" s="76"/>
      <c r="P81" s="76" t="str">
        <f t="shared" ref="P81:P82" si="14">IF(B81&lt;&gt;1,","&amp;D81,D81)</f>
        <v>,patient_state18</v>
      </c>
      <c r="Q81" s="76" t="str">
        <f t="shared" ref="Q81:Q82" si="15">UPPER(G81)</f>
        <v>TEXT</v>
      </c>
      <c r="R81" s="76" t="str">
        <f t="shared" ref="R81:R82" si="16">IF(H81&lt;&gt;"","default "&amp;IF(G81="text","'"&amp;H81&amp;"'",H81),"")</f>
        <v/>
      </c>
      <c r="S81" s="76" t="str">
        <f t="shared" ref="S81:S82" si="17">IF(I81="○","NOT NULL","")</f>
        <v/>
      </c>
      <c r="T81" s="76" t="str">
        <f t="shared" ref="T81:T82" si="18">"-- "&amp;C81</f>
        <v>-- 患者の状態18</v>
      </c>
      <c r="U81" s="4"/>
      <c r="AA81" s="4"/>
      <c r="AB81" s="4"/>
      <c r="AC81" s="4"/>
      <c r="AD81" s="4"/>
      <c r="AE81" s="4"/>
      <c r="AF81" s="4"/>
      <c r="AG81" s="4"/>
      <c r="AH81" s="4"/>
      <c r="AI81" s="4"/>
      <c r="AJ81" s="76" t="str">
        <f>IF(E81="○",IF(COUNTA(E$13:E81)=1,"",",")&amp;D81,"")</f>
        <v/>
      </c>
      <c r="AK81" s="4"/>
      <c r="AL81" s="4"/>
      <c r="AM81" s="4"/>
      <c r="AN81" s="4"/>
      <c r="AO81" s="4"/>
      <c r="AP81" s="4"/>
      <c r="AQ81" s="4"/>
      <c r="AR81" s="4"/>
      <c r="AS81" s="76" t="str">
        <f>"COMMENT ON COLUMN "&amp;エンティティ一覧!$O$2&amp;"."&amp;D$8&amp;"."&amp;D81&amp;" IS '"&amp;C81&amp;"';"</f>
        <v>COMMENT ON COLUMN milscm_2023_010.azn_202310_backup_merge_receiptc_re.patient_state18 IS '患者の状態18';</v>
      </c>
    </row>
    <row r="82" spans="1:52" s="25" customFormat="1">
      <c r="B82" s="21">
        <f t="shared" si="2"/>
        <v>70</v>
      </c>
      <c r="C82" s="13" t="s">
        <v>1049</v>
      </c>
      <c r="D82" s="13" t="s">
        <v>1050</v>
      </c>
      <c r="E82" s="7"/>
      <c r="F82" s="7" t="s">
        <v>863</v>
      </c>
      <c r="G82" s="7" t="str">
        <f t="shared" si="13"/>
        <v>text</v>
      </c>
      <c r="H82" s="58"/>
      <c r="I82" s="23"/>
      <c r="J82" s="24"/>
      <c r="N82" s="76"/>
      <c r="O82" s="76"/>
      <c r="P82" s="76" t="str">
        <f t="shared" si="14"/>
        <v>,patient_state19</v>
      </c>
      <c r="Q82" s="76" t="str">
        <f t="shared" si="15"/>
        <v>TEXT</v>
      </c>
      <c r="R82" s="76" t="str">
        <f t="shared" si="16"/>
        <v/>
      </c>
      <c r="S82" s="76" t="str">
        <f t="shared" si="17"/>
        <v/>
      </c>
      <c r="T82" s="76" t="str">
        <f t="shared" si="18"/>
        <v>-- 患者の状態19</v>
      </c>
      <c r="U82" s="4"/>
      <c r="AA82" s="4"/>
      <c r="AB82" s="4"/>
      <c r="AC82" s="4"/>
      <c r="AD82" s="4"/>
      <c r="AE82" s="4"/>
      <c r="AF82" s="4"/>
      <c r="AG82" s="4"/>
      <c r="AH82" s="4"/>
      <c r="AI82" s="4"/>
      <c r="AJ82" s="76" t="str">
        <f>IF(E82="○",IF(COUNTA(E$13:E82)=1,"",",")&amp;D82,"")</f>
        <v/>
      </c>
      <c r="AK82" s="4"/>
      <c r="AL82" s="4"/>
      <c r="AM82" s="4"/>
      <c r="AN82" s="4"/>
      <c r="AO82" s="4"/>
      <c r="AP82" s="4"/>
      <c r="AQ82" s="4"/>
      <c r="AR82" s="4"/>
      <c r="AS82" s="76" t="str">
        <f>"COMMENT ON COLUMN "&amp;エンティティ一覧!$O$2&amp;"."&amp;D$8&amp;"."&amp;D82&amp;" IS '"&amp;C82&amp;"';"</f>
        <v>COMMENT ON COLUMN milscm_2023_010.azn_202310_backup_merge_receiptc_re.patient_state19 IS '患者の状態19';</v>
      </c>
    </row>
    <row r="83" spans="1:52" s="25" customFormat="1" ht="19.5" thickBot="1">
      <c r="A83" s="4"/>
      <c r="B83" s="27">
        <f>ROW()-12</f>
        <v>71</v>
      </c>
      <c r="C83" s="57" t="s">
        <v>1051</v>
      </c>
      <c r="D83" s="57" t="s">
        <v>1052</v>
      </c>
      <c r="E83" s="56"/>
      <c r="F83" s="56" t="s">
        <v>863</v>
      </c>
      <c r="G83" s="56" t="str">
        <f t="shared" si="3"/>
        <v>text</v>
      </c>
      <c r="H83" s="59"/>
      <c r="I83" s="60"/>
      <c r="J83" s="63"/>
      <c r="N83" s="76"/>
      <c r="O83" s="76"/>
      <c r="P83" s="76" t="str">
        <f t="shared" si="4"/>
        <v>,patient_state20</v>
      </c>
      <c r="Q83" s="76" t="str">
        <f t="shared" si="0"/>
        <v>TEXT</v>
      </c>
      <c r="R83" s="76" t="str">
        <f t="shared" si="1"/>
        <v/>
      </c>
      <c r="S83" s="76" t="str">
        <f t="shared" si="5"/>
        <v/>
      </c>
      <c r="T83" s="76" t="str">
        <f t="shared" si="6"/>
        <v>-- 患者の状態20</v>
      </c>
      <c r="U83" s="4"/>
      <c r="AA83" s="4"/>
      <c r="AB83" s="4"/>
      <c r="AC83" s="4"/>
      <c r="AD83" s="4"/>
      <c r="AE83" s="4"/>
      <c r="AF83" s="4"/>
      <c r="AG83" s="4"/>
      <c r="AH83" s="4"/>
      <c r="AI83" s="4"/>
      <c r="AJ83" s="76" t="str">
        <f>IF(E83="○",IF(COUNTA(E$13:E83)=1,"",",")&amp;D83,"")</f>
        <v/>
      </c>
      <c r="AK83" s="4"/>
      <c r="AL83" s="4"/>
      <c r="AM83" s="4"/>
      <c r="AN83" s="4"/>
      <c r="AO83" s="4"/>
      <c r="AP83" s="4"/>
      <c r="AQ83" s="4"/>
      <c r="AR83" s="4"/>
      <c r="AS83" s="76" t="str">
        <f>"COMMENT ON COLUMN "&amp;エンティティ一覧!$O$2&amp;"."&amp;D$8&amp;"."&amp;D83&amp;" IS '"&amp;C83&amp;"';"</f>
        <v>COMMENT ON COLUMN milscm_2023_010.azn_202310_backup_merge_receiptc_re.patient_state20 IS '患者の状態20';</v>
      </c>
    </row>
    <row r="84" spans="1:52">
      <c r="L84" s="25"/>
      <c r="M84" s="25"/>
      <c r="N84" s="76" t="s">
        <v>142</v>
      </c>
      <c r="O84" s="76"/>
      <c r="P84" s="76"/>
      <c r="Q84" s="76"/>
      <c r="R84" s="76"/>
      <c r="S84" s="76"/>
      <c r="T84" s="76"/>
      <c r="V84" s="25"/>
      <c r="W84" s="25"/>
      <c r="X84" s="25"/>
      <c r="Y84" s="25"/>
      <c r="Z84" s="25"/>
      <c r="AJ84" s="76" t="s">
        <v>142</v>
      </c>
      <c r="AT84" s="25"/>
      <c r="AU84" s="25"/>
      <c r="AV84" s="25"/>
      <c r="AW84" s="25"/>
      <c r="AX84" s="25"/>
      <c r="AY84" s="25"/>
      <c r="AZ84" s="25"/>
    </row>
    <row r="85" spans="1:52">
      <c r="L85" s="25"/>
      <c r="M85" s="25"/>
      <c r="V85" s="25"/>
      <c r="W85" s="25"/>
      <c r="X85" s="25"/>
      <c r="Y85" s="25"/>
      <c r="Z85" s="25"/>
      <c r="AT85" s="25"/>
      <c r="AU85" s="25"/>
      <c r="AV85" s="25"/>
      <c r="AW85" s="25"/>
      <c r="AX85" s="25"/>
      <c r="AY85" s="25"/>
      <c r="AZ85" s="25"/>
    </row>
    <row r="86" spans="1:52">
      <c r="L86" s="25"/>
      <c r="M86" s="25"/>
      <c r="V86" s="25"/>
      <c r="W86" s="25"/>
      <c r="X86" s="25"/>
      <c r="Y86" s="25"/>
      <c r="Z86" s="25"/>
      <c r="AT86" s="25"/>
      <c r="AU86" s="25"/>
      <c r="AV86" s="25"/>
      <c r="AW86" s="25"/>
      <c r="AX86" s="25"/>
      <c r="AY86" s="25"/>
      <c r="AZ86" s="25"/>
    </row>
    <row r="87" spans="1:52">
      <c r="L87" s="25"/>
      <c r="M87" s="25"/>
      <c r="V87" s="25"/>
      <c r="W87" s="25"/>
      <c r="X87" s="25"/>
      <c r="Y87" s="25"/>
      <c r="Z87" s="25"/>
      <c r="AT87" s="25"/>
      <c r="AU87" s="25"/>
      <c r="AV87" s="25"/>
      <c r="AW87" s="25"/>
      <c r="AX87" s="25"/>
      <c r="AY87" s="25"/>
      <c r="AZ87" s="25"/>
    </row>
    <row r="88" spans="1:52">
      <c r="L88" s="25"/>
      <c r="M88" s="25"/>
      <c r="V88" s="25"/>
      <c r="W88" s="25"/>
      <c r="X88" s="25"/>
      <c r="Y88" s="25"/>
      <c r="Z88" s="25"/>
      <c r="AT88" s="25"/>
      <c r="AU88" s="25"/>
      <c r="AV88" s="25"/>
      <c r="AW88" s="25"/>
      <c r="AX88" s="25"/>
      <c r="AY88" s="25"/>
      <c r="AZ88" s="25"/>
    </row>
    <row r="89" spans="1:52">
      <c r="L89" s="25"/>
      <c r="M89" s="25"/>
      <c r="V89" s="25"/>
      <c r="W89" s="25"/>
      <c r="X89" s="25"/>
      <c r="Y89" s="25"/>
      <c r="Z89" s="25"/>
      <c r="AT89" s="25"/>
      <c r="AU89" s="25"/>
      <c r="AV89" s="25"/>
      <c r="AW89" s="25"/>
      <c r="AX89" s="25"/>
      <c r="AY89" s="25"/>
      <c r="AZ89" s="25"/>
    </row>
    <row r="90" spans="1:52">
      <c r="L90" s="25"/>
      <c r="M90" s="25"/>
      <c r="AT90" s="25"/>
      <c r="AU90" s="25"/>
      <c r="AV90" s="25"/>
      <c r="AW90" s="25"/>
      <c r="AX90" s="25"/>
      <c r="AY90" s="25"/>
      <c r="AZ90" s="25"/>
    </row>
    <row r="91" spans="1:52">
      <c r="L91" s="25"/>
      <c r="M91" s="25"/>
      <c r="AT91" s="25"/>
      <c r="AU91" s="25"/>
      <c r="AV91" s="25"/>
      <c r="AW91" s="25"/>
      <c r="AX91" s="25"/>
      <c r="AY91" s="25"/>
      <c r="AZ91" s="25"/>
    </row>
    <row r="92" spans="1:52">
      <c r="L92" s="25"/>
      <c r="M92" s="25"/>
      <c r="AT92" s="25"/>
      <c r="AU92" s="25"/>
      <c r="AV92" s="25"/>
      <c r="AW92" s="25"/>
      <c r="AX92" s="25"/>
      <c r="AY92" s="25"/>
      <c r="AZ92" s="25"/>
    </row>
    <row r="93" spans="1:52">
      <c r="L93" s="25"/>
      <c r="M93" s="25"/>
      <c r="AT93" s="25"/>
      <c r="AU93" s="25"/>
      <c r="AV93" s="25"/>
      <c r="AW93" s="25"/>
      <c r="AX93" s="25"/>
      <c r="AY93" s="25"/>
      <c r="AZ93" s="25"/>
    </row>
    <row r="94" spans="1:52">
      <c r="L94" s="25"/>
      <c r="M94" s="25"/>
      <c r="AT94" s="25"/>
      <c r="AU94" s="25"/>
      <c r="AV94" s="25"/>
      <c r="AW94" s="25"/>
      <c r="AX94" s="25"/>
      <c r="AY94" s="25"/>
      <c r="AZ94" s="25"/>
    </row>
    <row r="95" spans="1:52">
      <c r="L95" s="25"/>
      <c r="M95" s="25"/>
      <c r="AT95" s="25"/>
      <c r="AU95" s="25"/>
      <c r="AV95" s="25"/>
      <c r="AW95" s="25"/>
      <c r="AX95" s="25"/>
      <c r="AY95" s="25"/>
      <c r="AZ95" s="25"/>
    </row>
    <row r="96" spans="1:52">
      <c r="L96" s="25"/>
      <c r="M96" s="25"/>
      <c r="AT96" s="25"/>
      <c r="AU96" s="25"/>
      <c r="AV96" s="25"/>
      <c r="AW96" s="25"/>
      <c r="AX96" s="25"/>
      <c r="AY96" s="25"/>
      <c r="AZ96" s="25"/>
    </row>
    <row r="97" spans="12:52">
      <c r="L97" s="25"/>
      <c r="M97" s="25"/>
      <c r="AT97" s="25"/>
      <c r="AU97" s="25"/>
      <c r="AV97" s="25"/>
      <c r="AW97" s="25"/>
      <c r="AX97" s="25"/>
      <c r="AY97" s="25"/>
      <c r="AZ97" s="25"/>
    </row>
    <row r="98" spans="12:52">
      <c r="L98" s="25"/>
      <c r="M98" s="25"/>
      <c r="AT98" s="25"/>
      <c r="AU98" s="25"/>
      <c r="AV98" s="25"/>
      <c r="AW98" s="25"/>
      <c r="AX98" s="25"/>
      <c r="AY98" s="25"/>
      <c r="AZ98" s="25"/>
    </row>
    <row r="99" spans="12:52">
      <c r="L99" s="25"/>
      <c r="M99" s="25"/>
      <c r="AV99" s="25"/>
      <c r="AW99" s="25"/>
      <c r="AX99" s="25"/>
      <c r="AY99" s="25"/>
      <c r="AZ99" s="25"/>
    </row>
    <row r="100" spans="12:52">
      <c r="M100" s="25"/>
    </row>
    <row r="101" spans="12:52">
      <c r="M101" s="25"/>
    </row>
    <row r="102" spans="12:52">
      <c r="M102" s="25"/>
    </row>
    <row r="103" spans="12:52">
      <c r="M103" s="25"/>
    </row>
    <row r="104" spans="12:52">
      <c r="M104" s="25"/>
    </row>
    <row r="105" spans="12:52">
      <c r="M10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ENT_01_C2-06</v>
      </c>
      <c r="E6" s="272"/>
      <c r="F6" s="272"/>
      <c r="G6" s="272"/>
      <c r="H6" s="272"/>
      <c r="I6" s="272"/>
      <c r="J6" s="273"/>
    </row>
    <row r="7" spans="1:45">
      <c r="B7" s="261" t="s">
        <v>115</v>
      </c>
      <c r="C7" s="262"/>
      <c r="D7" s="263" t="s">
        <v>1069</v>
      </c>
      <c r="E7" s="264"/>
      <c r="F7" s="264"/>
      <c r="G7" s="264"/>
      <c r="H7" s="264"/>
      <c r="I7" s="264"/>
      <c r="J7" s="265"/>
    </row>
    <row r="8" spans="1:45">
      <c r="B8" s="261" t="s">
        <v>116</v>
      </c>
      <c r="C8" s="262"/>
      <c r="D8" s="263" t="str">
        <f>エンティティ一覧!AE2&amp;"_"&amp;D5&amp;"_merge_receiptc_sy"</f>
        <v>azn_202310_backup_merge_receiptc_sy</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医科レセプト_傷病名レコードテーブルから組入れ条件の第一条件で絞り込んだ結果を格納するテーブル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milscm_2023_010.azn_202310_backup_merge_receiptc_sy;</v>
      </c>
      <c r="O10" s="76"/>
      <c r="P10" s="76"/>
      <c r="Q10" s="76"/>
      <c r="R10" s="76"/>
      <c r="S10" s="76"/>
      <c r="T10" s="76"/>
      <c r="AJ10" s="76" t="str">
        <f>"ALTER TABLE ONLY "&amp;エンティティ一覧!$O$2&amp;"."&amp;D$8</f>
        <v>ALTER TABLE ONLY milscm_2023_010.azn_202310_backup_merge_receiptc_sy</v>
      </c>
      <c r="AS10" s="76" t="str">
        <f>"ALTER TABLE "&amp;エンティティ一覧!$O$2&amp;"."&amp;D$8&amp;" OWNER TO pgmisgrp1;"</f>
        <v>ALTER TABLE milscm_2023_010.azn_202310_backup_merge_receiptc_sy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milscm_2023_010.azn_202310_backup_merge_receiptc_sy</v>
      </c>
      <c r="O11" s="76"/>
      <c r="P11" s="76"/>
      <c r="Q11" s="76"/>
      <c r="R11" s="76"/>
      <c r="S11" s="76"/>
      <c r="T11" s="76"/>
      <c r="AJ11" s="76" t="str">
        <f>"ADD CONSTRAINT "&amp;D$8&amp;"_pkey PRIMARY KEY"</f>
        <v>ADD CONSTRAINT azn_202310_backup_merge_receiptc_sy_pkey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milscm_2023_010.azn_202310_backup_merge_receiptc_sy IS 'バックアップ_医科レセプト_傷病名レコード';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49" si="0">UPPER(G13)</f>
        <v>TEXT</v>
      </c>
      <c r="R13" s="76" t="str">
        <f t="shared" ref="R13:R49"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milscm_2023_010.azn_202310_backup_merge_receiptc_sy.torikomi_ym IS '取込年月';</v>
      </c>
    </row>
    <row r="14" spans="1:45" s="25" customFormat="1">
      <c r="A14" s="4"/>
      <c r="B14" s="21">
        <f t="shared" ref="B14:B48" si="2">ROW()-12</f>
        <v>2</v>
      </c>
      <c r="C14" s="6" t="s">
        <v>201</v>
      </c>
      <c r="D14" s="6" t="s">
        <v>202</v>
      </c>
      <c r="E14" s="8"/>
      <c r="F14" s="7" t="s">
        <v>203</v>
      </c>
      <c r="G14" s="7" t="str">
        <f t="shared" ref="G14:G49" si="3">IF(F14="フラグ","boolean",IF(F14="文字列","text",IF(F14="整数","integer",IF(F14="実数","numeric",""))))</f>
        <v>integer</v>
      </c>
      <c r="H14" s="26"/>
      <c r="I14" s="10"/>
      <c r="J14" s="11" t="s">
        <v>256</v>
      </c>
      <c r="M14" s="4"/>
      <c r="N14" s="76"/>
      <c r="O14" s="76"/>
      <c r="P14" s="76" t="str">
        <f t="shared" ref="P14:P49"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milscm_2023_010.azn_202310_backup_merge_receiptc_sy.mil_karute_id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928</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milscm_2023_010.azn_202310_backup_merge_receiptc_sy.facility_id IS '施設ID';</v>
      </c>
    </row>
    <row r="16" spans="1:45" s="25" customFormat="1">
      <c r="B16" s="21">
        <f t="shared" si="2"/>
        <v>4</v>
      </c>
      <c r="C16" s="6" t="s">
        <v>902</v>
      </c>
      <c r="D16" s="6" t="s">
        <v>903</v>
      </c>
      <c r="E16" s="8" t="s">
        <v>127</v>
      </c>
      <c r="F16" s="7" t="s">
        <v>863</v>
      </c>
      <c r="G16" s="7" t="str">
        <f t="shared" si="3"/>
        <v>text</v>
      </c>
      <c r="H16" s="26"/>
      <c r="I16" s="10" t="s">
        <v>127</v>
      </c>
      <c r="J16" s="53" t="s">
        <v>1053</v>
      </c>
      <c r="M16" s="4"/>
      <c r="N16" s="76"/>
      <c r="O16" s="76"/>
      <c r="P16" s="76" t="str">
        <f t="shared" si="4"/>
        <v>,seikyu_ym</v>
      </c>
      <c r="Q16" s="76" t="str">
        <f t="shared" si="0"/>
        <v>TEXT</v>
      </c>
      <c r="R16" s="76" t="str">
        <f t="shared" si="1"/>
        <v/>
      </c>
      <c r="S16" s="76" t="str">
        <f t="shared" ref="S16:S49" si="5">IF(I16="○","NOT NULL","")</f>
        <v>NOT NULL</v>
      </c>
      <c r="T16" s="76" t="str">
        <f t="shared" ref="T16:T49"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milscm_2023_010.azn_202310_backup_merge_receiptc_sy.seikyu_ym IS '請求年月';</v>
      </c>
    </row>
    <row r="17" spans="2:45" s="25" customFormat="1">
      <c r="B17" s="21">
        <f t="shared" si="2"/>
        <v>5</v>
      </c>
      <c r="C17" s="13" t="s">
        <v>864</v>
      </c>
      <c r="D17" s="13" t="s">
        <v>205</v>
      </c>
      <c r="E17" s="7" t="s">
        <v>127</v>
      </c>
      <c r="F17" s="7" t="s">
        <v>863</v>
      </c>
      <c r="G17" s="7" t="str">
        <f t="shared" si="3"/>
        <v>text</v>
      </c>
      <c r="H17" s="58"/>
      <c r="I17" s="23" t="s">
        <v>127</v>
      </c>
      <c r="J17" s="24" t="s">
        <v>1112</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milscm_2023_010.azn_202310_backup_merge_receiptc_sy.shinryo_ym IS '診療年月';</v>
      </c>
    </row>
    <row r="18" spans="2:45" s="25" customFormat="1">
      <c r="B18" s="21">
        <f t="shared" si="2"/>
        <v>6</v>
      </c>
      <c r="C18" s="13" t="s">
        <v>318</v>
      </c>
      <c r="D18" s="13" t="s">
        <v>207</v>
      </c>
      <c r="E18" s="7"/>
      <c r="F18" s="7" t="s">
        <v>863</v>
      </c>
      <c r="G18" s="7" t="str">
        <f t="shared" si="3"/>
        <v>text</v>
      </c>
      <c r="H18" s="58" t="s">
        <v>930</v>
      </c>
      <c r="I18" s="23" t="s">
        <v>127</v>
      </c>
      <c r="J18" s="24" t="s">
        <v>931</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milscm_2023_010.azn_202310_backup_merge_receiptc_sy.data_type IS 'データ種別';</v>
      </c>
    </row>
    <row r="19" spans="2:45" s="25" customFormat="1">
      <c r="B19" s="21">
        <f t="shared" si="2"/>
        <v>7</v>
      </c>
      <c r="C19" s="13" t="s">
        <v>904</v>
      </c>
      <c r="D19" s="13" t="s">
        <v>905</v>
      </c>
      <c r="E19" s="7" t="s">
        <v>127</v>
      </c>
      <c r="F19" s="7" t="s">
        <v>863</v>
      </c>
      <c r="G19" s="7" t="str">
        <f t="shared" si="3"/>
        <v>text</v>
      </c>
      <c r="H19" s="58"/>
      <c r="I19" s="23" t="s">
        <v>127</v>
      </c>
      <c r="J19" s="24" t="s">
        <v>1055</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milscm_2023_010.azn_202310_backup_merge_receiptc_sy.shinsa_kikan IS '審査支払機関';</v>
      </c>
    </row>
    <row r="20" spans="2:45" s="25" customFormat="1">
      <c r="B20" s="21">
        <f t="shared" si="2"/>
        <v>8</v>
      </c>
      <c r="C20" s="13" t="s">
        <v>906</v>
      </c>
      <c r="D20" s="13" t="s">
        <v>907</v>
      </c>
      <c r="E20" s="7"/>
      <c r="F20" s="7" t="s">
        <v>863</v>
      </c>
      <c r="G20" s="7" t="str">
        <f t="shared" si="3"/>
        <v>text</v>
      </c>
      <c r="H20" s="58" t="s">
        <v>1113</v>
      </c>
      <c r="I20" s="23" t="s">
        <v>127</v>
      </c>
      <c r="J20" s="24" t="s">
        <v>1114</v>
      </c>
      <c r="N20" s="76"/>
      <c r="O20" s="76"/>
      <c r="P20" s="76" t="str">
        <f t="shared" si="4"/>
        <v>,record_shikibetsu</v>
      </c>
      <c r="Q20" s="76" t="str">
        <f t="shared" si="0"/>
        <v>TEXT</v>
      </c>
      <c r="R20" s="76" t="str">
        <f t="shared" si="1"/>
        <v>default 'SY'</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milscm_2023_010.azn_202310_backup_merge_receiptc_sy.record_shikibetsu IS 'レコード識別情報';</v>
      </c>
    </row>
    <row r="21" spans="2:45" s="25" customFormat="1">
      <c r="B21" s="21">
        <f t="shared" si="2"/>
        <v>9</v>
      </c>
      <c r="C21" s="13" t="s">
        <v>908</v>
      </c>
      <c r="D21" s="13" t="s">
        <v>909</v>
      </c>
      <c r="E21" s="7" t="s">
        <v>127</v>
      </c>
      <c r="F21" s="7" t="s">
        <v>203</v>
      </c>
      <c r="G21" s="7" t="str">
        <f t="shared" si="3"/>
        <v>integer</v>
      </c>
      <c r="H21" s="58"/>
      <c r="I21" s="23" t="s">
        <v>127</v>
      </c>
      <c r="J21" s="24" t="s">
        <v>1058</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milscm_2023_010.azn_202310_backup_merge_receiptc_sy.receipt_no IS 'レセプト番号';</v>
      </c>
    </row>
    <row r="22" spans="2:45" s="25" customFormat="1">
      <c r="B22" s="21">
        <f t="shared" si="2"/>
        <v>10</v>
      </c>
      <c r="C22" s="13" t="s">
        <v>910</v>
      </c>
      <c r="D22" s="13" t="s">
        <v>911</v>
      </c>
      <c r="E22" s="7" t="s">
        <v>127</v>
      </c>
      <c r="F22" s="7" t="s">
        <v>203</v>
      </c>
      <c r="G22" s="7" t="str">
        <f t="shared" si="3"/>
        <v>integer</v>
      </c>
      <c r="H22" s="58"/>
      <c r="I22" s="23" t="s">
        <v>127</v>
      </c>
      <c r="J22" s="24" t="s">
        <v>1115</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milscm_2023_010.azn_202310_backup_merge_receiptc_sy.gyo_no IS '行番号';</v>
      </c>
    </row>
    <row r="23" spans="2:45" s="25" customFormat="1">
      <c r="B23" s="21">
        <f t="shared" si="2"/>
        <v>11</v>
      </c>
      <c r="C23" s="13" t="s">
        <v>912</v>
      </c>
      <c r="D23" s="13" t="s">
        <v>913</v>
      </c>
      <c r="E23" s="7"/>
      <c r="F23" s="7" t="s">
        <v>863</v>
      </c>
      <c r="G23" s="7" t="str">
        <f t="shared" si="3"/>
        <v>text</v>
      </c>
      <c r="H23" s="58"/>
      <c r="I23" s="23"/>
      <c r="J23" s="24" t="s">
        <v>1060</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milscm_2023_010.azn_202310_backup_merge_receiptc_sy.karute_no IS 'カルテ番号等';</v>
      </c>
    </row>
    <row r="24" spans="2:45" s="25" customFormat="1">
      <c r="B24" s="21">
        <f t="shared" si="2"/>
        <v>12</v>
      </c>
      <c r="C24" s="13" t="s">
        <v>663</v>
      </c>
      <c r="D24" s="13" t="s">
        <v>870</v>
      </c>
      <c r="E24" s="7"/>
      <c r="F24" s="7" t="s">
        <v>863</v>
      </c>
      <c r="G24" s="7" t="str">
        <f t="shared" si="3"/>
        <v>text</v>
      </c>
      <c r="H24" s="58"/>
      <c r="I24" s="23"/>
      <c r="J24" s="24"/>
      <c r="N24" s="76"/>
      <c r="O24" s="76"/>
      <c r="P24" s="76" t="str">
        <f t="shared" si="4"/>
        <v>,shobyo_code</v>
      </c>
      <c r="Q24" s="76" t="str">
        <f t="shared" si="0"/>
        <v>TEXT</v>
      </c>
      <c r="R24" s="76" t="str">
        <f t="shared" si="1"/>
        <v/>
      </c>
      <c r="S24" s="76" t="str">
        <f t="shared" si="5"/>
        <v/>
      </c>
      <c r="T24" s="76" t="str">
        <f t="shared" si="6"/>
        <v>-- 傷病名コード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milscm_2023_010.azn_202310_backup_merge_receiptc_sy.shobyo_code IS '傷病名コード';</v>
      </c>
    </row>
    <row r="25" spans="2:45" s="25" customFormat="1" ht="75">
      <c r="B25" s="21">
        <f t="shared" si="2"/>
        <v>13</v>
      </c>
      <c r="C25" s="13" t="s">
        <v>1070</v>
      </c>
      <c r="D25" s="13" t="s">
        <v>1071</v>
      </c>
      <c r="E25" s="7"/>
      <c r="F25" s="7" t="s">
        <v>863</v>
      </c>
      <c r="G25" s="7" t="str">
        <f t="shared" si="3"/>
        <v>text</v>
      </c>
      <c r="H25" s="58"/>
      <c r="I25" s="23"/>
      <c r="J25" s="24" t="s">
        <v>1064</v>
      </c>
      <c r="N25" s="76"/>
      <c r="O25" s="76"/>
      <c r="P25" s="76" t="str">
        <f t="shared" si="4"/>
        <v>,shinryo_start_date</v>
      </c>
      <c r="Q25" s="76" t="str">
        <f t="shared" si="0"/>
        <v>TEXT</v>
      </c>
      <c r="R25" s="76" t="str">
        <f t="shared" si="1"/>
        <v/>
      </c>
      <c r="S25" s="76" t="str">
        <f t="shared" si="5"/>
        <v/>
      </c>
      <c r="T25" s="76" t="str">
        <f t="shared" si="6"/>
        <v>-- 診療開始日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milscm_2023_010.azn_202310_backup_merge_receiptc_sy.shinryo_start_date IS '診療開始日';</v>
      </c>
    </row>
    <row r="26" spans="2:45" s="25" customFormat="1">
      <c r="B26" s="21">
        <f t="shared" si="2"/>
        <v>14</v>
      </c>
      <c r="C26" s="13" t="s">
        <v>1072</v>
      </c>
      <c r="D26" s="13" t="s">
        <v>1073</v>
      </c>
      <c r="E26" s="7"/>
      <c r="F26" s="7" t="s">
        <v>863</v>
      </c>
      <c r="G26" s="7" t="str">
        <f t="shared" si="3"/>
        <v>text</v>
      </c>
      <c r="H26" s="58"/>
      <c r="I26" s="23"/>
      <c r="J26" s="24"/>
      <c r="N26" s="76"/>
      <c r="O26" s="76"/>
      <c r="P26" s="76" t="str">
        <f t="shared" si="4"/>
        <v>,tenki_kubun</v>
      </c>
      <c r="Q26" s="76" t="str">
        <f t="shared" si="0"/>
        <v>TEXT</v>
      </c>
      <c r="R26" s="76" t="str">
        <f t="shared" si="1"/>
        <v/>
      </c>
      <c r="S26" s="76" t="str">
        <f t="shared" si="5"/>
        <v/>
      </c>
      <c r="T26" s="76" t="str">
        <f t="shared" si="6"/>
        <v>-- 転帰区分</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milscm_2023_010.azn_202310_backup_merge_receiptc_sy.tenki_kubun IS '転帰区分';</v>
      </c>
    </row>
    <row r="27" spans="2:45" s="25" customFormat="1">
      <c r="B27" s="21">
        <f t="shared" si="2"/>
        <v>15</v>
      </c>
      <c r="C27" s="13" t="s">
        <v>665</v>
      </c>
      <c r="D27" s="13" t="s">
        <v>871</v>
      </c>
      <c r="E27" s="7"/>
      <c r="F27" s="7" t="s">
        <v>863</v>
      </c>
      <c r="G27" s="7" t="str">
        <f t="shared" si="3"/>
        <v>text</v>
      </c>
      <c r="H27" s="58"/>
      <c r="I27" s="23"/>
      <c r="J27" s="24" t="s">
        <v>1116</v>
      </c>
      <c r="N27" s="76"/>
      <c r="O27" s="76"/>
      <c r="P27" s="76" t="str">
        <f t="shared" si="4"/>
        <v>,shushoku_code1</v>
      </c>
      <c r="Q27" s="76" t="str">
        <f t="shared" si="0"/>
        <v>TEXT</v>
      </c>
      <c r="R27" s="76" t="str">
        <f t="shared" si="1"/>
        <v/>
      </c>
      <c r="S27" s="76" t="str">
        <f t="shared" si="5"/>
        <v/>
      </c>
      <c r="T27" s="76" t="str">
        <f t="shared" si="6"/>
        <v>-- 修飾語コード1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milscm_2023_010.azn_202310_backup_merge_receiptc_sy.shushoku_code1 IS '修飾語コード1';</v>
      </c>
    </row>
    <row r="28" spans="2:45" s="25" customFormat="1">
      <c r="B28" s="21">
        <f t="shared" si="2"/>
        <v>16</v>
      </c>
      <c r="C28" s="13" t="s">
        <v>667</v>
      </c>
      <c r="D28" s="13" t="s">
        <v>872</v>
      </c>
      <c r="E28" s="7"/>
      <c r="F28" s="7" t="s">
        <v>863</v>
      </c>
      <c r="G28" s="7" t="str">
        <f t="shared" si="3"/>
        <v>text</v>
      </c>
      <c r="H28" s="58"/>
      <c r="I28" s="23"/>
      <c r="J28" s="24"/>
      <c r="N28" s="76"/>
      <c r="O28" s="76"/>
      <c r="P28" s="76" t="str">
        <f t="shared" si="4"/>
        <v>,shushoku_code2</v>
      </c>
      <c r="Q28" s="76" t="str">
        <f t="shared" si="0"/>
        <v>TEXT</v>
      </c>
      <c r="R28" s="76" t="str">
        <f t="shared" si="1"/>
        <v/>
      </c>
      <c r="S28" s="76" t="str">
        <f t="shared" si="5"/>
        <v/>
      </c>
      <c r="T28" s="76" t="str">
        <f t="shared" si="6"/>
        <v>-- 修飾語コード2</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milscm_2023_010.azn_202310_backup_merge_receiptc_sy.shushoku_code2 IS '修飾語コード2';</v>
      </c>
    </row>
    <row r="29" spans="2:45" s="25" customFormat="1">
      <c r="B29" s="21">
        <f t="shared" si="2"/>
        <v>17</v>
      </c>
      <c r="C29" s="13" t="s">
        <v>669</v>
      </c>
      <c r="D29" s="13" t="s">
        <v>873</v>
      </c>
      <c r="E29" s="7"/>
      <c r="F29" s="7" t="s">
        <v>863</v>
      </c>
      <c r="G29" s="7" t="str">
        <f t="shared" si="3"/>
        <v>text</v>
      </c>
      <c r="H29" s="58"/>
      <c r="I29" s="23"/>
      <c r="J29" s="24"/>
      <c r="N29" s="76"/>
      <c r="O29" s="76"/>
      <c r="P29" s="76" t="str">
        <f t="shared" si="4"/>
        <v>,shushoku_code3</v>
      </c>
      <c r="Q29" s="76" t="str">
        <f t="shared" si="0"/>
        <v>TEXT</v>
      </c>
      <c r="R29" s="76" t="str">
        <f t="shared" si="1"/>
        <v/>
      </c>
      <c r="S29" s="76" t="str">
        <f t="shared" si="5"/>
        <v/>
      </c>
      <c r="T29" s="76" t="str">
        <f t="shared" si="6"/>
        <v>-- 修飾語コード3</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milscm_2023_010.azn_202310_backup_merge_receiptc_sy.shushoku_code3 IS '修飾語コード3';</v>
      </c>
    </row>
    <row r="30" spans="2:45" s="25" customFormat="1">
      <c r="B30" s="21">
        <f t="shared" si="2"/>
        <v>18</v>
      </c>
      <c r="C30" s="13" t="s">
        <v>671</v>
      </c>
      <c r="D30" s="13" t="s">
        <v>874</v>
      </c>
      <c r="E30" s="7"/>
      <c r="F30" s="7" t="s">
        <v>863</v>
      </c>
      <c r="G30" s="7" t="str">
        <f t="shared" si="3"/>
        <v>text</v>
      </c>
      <c r="H30" s="58"/>
      <c r="I30" s="23"/>
      <c r="J30" s="24"/>
      <c r="N30" s="76"/>
      <c r="O30" s="76"/>
      <c r="P30" s="76" t="str">
        <f t="shared" si="4"/>
        <v>,shushoku_code4</v>
      </c>
      <c r="Q30" s="76" t="str">
        <f t="shared" si="0"/>
        <v>TEXT</v>
      </c>
      <c r="R30" s="76" t="str">
        <f t="shared" si="1"/>
        <v/>
      </c>
      <c r="S30" s="76" t="str">
        <f t="shared" si="5"/>
        <v/>
      </c>
      <c r="T30" s="76" t="str">
        <f t="shared" si="6"/>
        <v>-- 修飾語コード4</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milscm_2023_010.azn_202310_backup_merge_receiptc_sy.shushoku_code4 IS '修飾語コード4';</v>
      </c>
    </row>
    <row r="31" spans="2:45" s="25" customFormat="1">
      <c r="B31" s="21">
        <f t="shared" si="2"/>
        <v>19</v>
      </c>
      <c r="C31" s="13" t="s">
        <v>1074</v>
      </c>
      <c r="D31" s="13" t="s">
        <v>1075</v>
      </c>
      <c r="E31" s="7"/>
      <c r="F31" s="7" t="s">
        <v>863</v>
      </c>
      <c r="G31" s="7" t="str">
        <f t="shared" si="3"/>
        <v>text</v>
      </c>
      <c r="H31" s="58"/>
      <c r="I31" s="23"/>
      <c r="J31" s="24"/>
      <c r="N31" s="76"/>
      <c r="O31" s="76"/>
      <c r="P31" s="76" t="str">
        <f t="shared" si="4"/>
        <v>,shushoku_code5</v>
      </c>
      <c r="Q31" s="76" t="str">
        <f t="shared" si="0"/>
        <v>TEXT</v>
      </c>
      <c r="R31" s="76" t="str">
        <f t="shared" si="1"/>
        <v/>
      </c>
      <c r="S31" s="76" t="str">
        <f t="shared" si="5"/>
        <v/>
      </c>
      <c r="T31" s="76" t="str">
        <f t="shared" si="6"/>
        <v>-- 修飾語コード5</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milscm_2023_010.azn_202310_backup_merge_receiptc_sy.shushoku_code5 IS '修飾語コード5';</v>
      </c>
    </row>
    <row r="32" spans="2:45" s="25" customFormat="1">
      <c r="B32" s="21">
        <f t="shared" si="2"/>
        <v>20</v>
      </c>
      <c r="C32" s="13" t="s">
        <v>1076</v>
      </c>
      <c r="D32" s="13" t="s">
        <v>1077</v>
      </c>
      <c r="E32" s="7"/>
      <c r="F32" s="7" t="s">
        <v>863</v>
      </c>
      <c r="G32" s="7" t="str">
        <f t="shared" si="3"/>
        <v>text</v>
      </c>
      <c r="H32" s="58"/>
      <c r="I32" s="23"/>
      <c r="J32" s="24"/>
      <c r="N32" s="76"/>
      <c r="O32" s="76"/>
      <c r="P32" s="76" t="str">
        <f t="shared" si="4"/>
        <v>,shushoku_code6</v>
      </c>
      <c r="Q32" s="76" t="str">
        <f t="shared" si="0"/>
        <v>TEXT</v>
      </c>
      <c r="R32" s="76" t="str">
        <f t="shared" si="1"/>
        <v/>
      </c>
      <c r="S32" s="76" t="str">
        <f t="shared" si="5"/>
        <v/>
      </c>
      <c r="T32" s="76" t="str">
        <f t="shared" si="6"/>
        <v>-- 修飾語コード6</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milscm_2023_010.azn_202310_backup_merge_receiptc_sy.shushoku_code6 IS '修飾語コード6';</v>
      </c>
    </row>
    <row r="33" spans="2:45" s="25" customFormat="1">
      <c r="B33" s="21">
        <f t="shared" si="2"/>
        <v>21</v>
      </c>
      <c r="C33" s="13" t="s">
        <v>1078</v>
      </c>
      <c r="D33" s="13" t="s">
        <v>1079</v>
      </c>
      <c r="E33" s="7"/>
      <c r="F33" s="7" t="s">
        <v>863</v>
      </c>
      <c r="G33" s="7" t="str">
        <f t="shared" si="3"/>
        <v>text</v>
      </c>
      <c r="H33" s="58"/>
      <c r="I33" s="23"/>
      <c r="J33" s="24"/>
      <c r="N33" s="76"/>
      <c r="O33" s="76"/>
      <c r="P33" s="76" t="str">
        <f t="shared" si="4"/>
        <v>,shushoku_code7</v>
      </c>
      <c r="Q33" s="76" t="str">
        <f t="shared" si="0"/>
        <v>TEXT</v>
      </c>
      <c r="R33" s="76" t="str">
        <f t="shared" si="1"/>
        <v/>
      </c>
      <c r="S33" s="76" t="str">
        <f t="shared" si="5"/>
        <v/>
      </c>
      <c r="T33" s="76" t="str">
        <f t="shared" si="6"/>
        <v>-- 修飾語コード7</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milscm_2023_010.azn_202310_backup_merge_receiptc_sy.shushoku_code7 IS '修飾語コード7';</v>
      </c>
    </row>
    <row r="34" spans="2:45" s="25" customFormat="1">
      <c r="B34" s="21">
        <f t="shared" si="2"/>
        <v>22</v>
      </c>
      <c r="C34" s="13" t="s">
        <v>1080</v>
      </c>
      <c r="D34" s="13" t="s">
        <v>1081</v>
      </c>
      <c r="E34" s="7"/>
      <c r="F34" s="7" t="s">
        <v>863</v>
      </c>
      <c r="G34" s="7" t="str">
        <f t="shared" si="3"/>
        <v>text</v>
      </c>
      <c r="H34" s="58"/>
      <c r="I34" s="23"/>
      <c r="J34" s="24"/>
      <c r="N34" s="76"/>
      <c r="O34" s="76"/>
      <c r="P34" s="76" t="str">
        <f t="shared" si="4"/>
        <v>,shushoku_code8</v>
      </c>
      <c r="Q34" s="76" t="str">
        <f t="shared" si="0"/>
        <v>TEXT</v>
      </c>
      <c r="R34" s="76" t="str">
        <f t="shared" si="1"/>
        <v/>
      </c>
      <c r="S34" s="76" t="str">
        <f t="shared" si="5"/>
        <v/>
      </c>
      <c r="T34" s="76" t="str">
        <f t="shared" si="6"/>
        <v>-- 修飾語コード8</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milscm_2023_010.azn_202310_backup_merge_receiptc_sy.shushoku_code8 IS '修飾語コード8';</v>
      </c>
    </row>
    <row r="35" spans="2:45" s="25" customFormat="1">
      <c r="B35" s="21">
        <f t="shared" si="2"/>
        <v>23</v>
      </c>
      <c r="C35" s="13" t="s">
        <v>1082</v>
      </c>
      <c r="D35" s="13" t="s">
        <v>1083</v>
      </c>
      <c r="E35" s="7"/>
      <c r="F35" s="7" t="s">
        <v>863</v>
      </c>
      <c r="G35" s="7" t="str">
        <f t="shared" si="3"/>
        <v>text</v>
      </c>
      <c r="H35" s="58"/>
      <c r="I35" s="23"/>
      <c r="J35" s="24"/>
      <c r="N35" s="76"/>
      <c r="O35" s="76"/>
      <c r="P35" s="76" t="str">
        <f t="shared" si="4"/>
        <v>,shushoku_code9</v>
      </c>
      <c r="Q35" s="76" t="str">
        <f t="shared" si="0"/>
        <v>TEXT</v>
      </c>
      <c r="R35" s="76" t="str">
        <f t="shared" si="1"/>
        <v/>
      </c>
      <c r="S35" s="76" t="str">
        <f t="shared" si="5"/>
        <v/>
      </c>
      <c r="T35" s="76" t="str">
        <f t="shared" si="6"/>
        <v>-- 修飾語コード9</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milscm_2023_010.azn_202310_backup_merge_receiptc_sy.shushoku_code9 IS '修飾語コード9';</v>
      </c>
    </row>
    <row r="36" spans="2:45" s="25" customFormat="1">
      <c r="B36" s="21">
        <f t="shared" si="2"/>
        <v>24</v>
      </c>
      <c r="C36" s="13" t="s">
        <v>1084</v>
      </c>
      <c r="D36" s="13" t="s">
        <v>1085</v>
      </c>
      <c r="E36" s="7"/>
      <c r="F36" s="7" t="s">
        <v>863</v>
      </c>
      <c r="G36" s="7" t="str">
        <f t="shared" si="3"/>
        <v>text</v>
      </c>
      <c r="H36" s="58"/>
      <c r="I36" s="23"/>
      <c r="J36" s="24"/>
      <c r="N36" s="76"/>
      <c r="O36" s="76"/>
      <c r="P36" s="76" t="str">
        <f t="shared" si="4"/>
        <v>,shushoku_code10</v>
      </c>
      <c r="Q36" s="76" t="str">
        <f t="shared" si="0"/>
        <v>TEXT</v>
      </c>
      <c r="R36" s="76" t="str">
        <f t="shared" si="1"/>
        <v/>
      </c>
      <c r="S36" s="76" t="str">
        <f t="shared" si="5"/>
        <v/>
      </c>
      <c r="T36" s="76" t="str">
        <f t="shared" si="6"/>
        <v>-- 修飾語コード10</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milscm_2023_010.azn_202310_backup_merge_receiptc_sy.shushoku_code10 IS '修飾語コード10';</v>
      </c>
    </row>
    <row r="37" spans="2:45" s="25" customFormat="1">
      <c r="B37" s="21">
        <f t="shared" si="2"/>
        <v>25</v>
      </c>
      <c r="C37" s="13" t="s">
        <v>1086</v>
      </c>
      <c r="D37" s="13" t="s">
        <v>1087</v>
      </c>
      <c r="E37" s="7"/>
      <c r="F37" s="7" t="s">
        <v>863</v>
      </c>
      <c r="G37" s="7" t="str">
        <f t="shared" si="3"/>
        <v>text</v>
      </c>
      <c r="H37" s="58"/>
      <c r="I37" s="23"/>
      <c r="J37" s="24"/>
      <c r="N37" s="76"/>
      <c r="O37" s="76"/>
      <c r="P37" s="76" t="str">
        <f t="shared" si="4"/>
        <v>,shushoku_code11</v>
      </c>
      <c r="Q37" s="76" t="str">
        <f t="shared" si="0"/>
        <v>TEXT</v>
      </c>
      <c r="R37" s="76" t="str">
        <f t="shared" si="1"/>
        <v/>
      </c>
      <c r="S37" s="76" t="str">
        <f t="shared" si="5"/>
        <v/>
      </c>
      <c r="T37" s="76" t="str">
        <f t="shared" si="6"/>
        <v>-- 修飾語コード11</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milscm_2023_010.azn_202310_backup_merge_receiptc_sy.shushoku_code11 IS '修飾語コード11';</v>
      </c>
    </row>
    <row r="38" spans="2:45" s="25" customFormat="1">
      <c r="B38" s="21">
        <f t="shared" si="2"/>
        <v>26</v>
      </c>
      <c r="C38" s="13" t="s">
        <v>1088</v>
      </c>
      <c r="D38" s="13" t="s">
        <v>1089</v>
      </c>
      <c r="E38" s="7"/>
      <c r="F38" s="7" t="s">
        <v>863</v>
      </c>
      <c r="G38" s="7" t="str">
        <f t="shared" si="3"/>
        <v>text</v>
      </c>
      <c r="H38" s="58"/>
      <c r="I38" s="23"/>
      <c r="J38" s="24"/>
      <c r="N38" s="76"/>
      <c r="O38" s="76"/>
      <c r="P38" s="76" t="str">
        <f t="shared" si="4"/>
        <v>,shushoku_code12</v>
      </c>
      <c r="Q38" s="76" t="str">
        <f t="shared" si="0"/>
        <v>TEXT</v>
      </c>
      <c r="R38" s="76" t="str">
        <f t="shared" si="1"/>
        <v/>
      </c>
      <c r="S38" s="76" t="str">
        <f t="shared" si="5"/>
        <v/>
      </c>
      <c r="T38" s="76" t="str">
        <f t="shared" si="6"/>
        <v>-- 修飾語コード12</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milscm_2023_010.azn_202310_backup_merge_receiptc_sy.shushoku_code12 IS '修飾語コード12';</v>
      </c>
    </row>
    <row r="39" spans="2:45" s="25" customFormat="1">
      <c r="B39" s="21">
        <f t="shared" si="2"/>
        <v>27</v>
      </c>
      <c r="C39" s="13" t="s">
        <v>1090</v>
      </c>
      <c r="D39" s="13" t="s">
        <v>1091</v>
      </c>
      <c r="E39" s="7"/>
      <c r="F39" s="7" t="s">
        <v>863</v>
      </c>
      <c r="G39" s="7" t="str">
        <f t="shared" si="3"/>
        <v>text</v>
      </c>
      <c r="H39" s="58"/>
      <c r="I39" s="23"/>
      <c r="J39" s="24"/>
      <c r="N39" s="76"/>
      <c r="O39" s="76"/>
      <c r="P39" s="76" t="str">
        <f t="shared" si="4"/>
        <v>,shushoku_code13</v>
      </c>
      <c r="Q39" s="76" t="str">
        <f t="shared" si="0"/>
        <v>TEXT</v>
      </c>
      <c r="R39" s="76" t="str">
        <f t="shared" si="1"/>
        <v/>
      </c>
      <c r="S39" s="76" t="str">
        <f t="shared" si="5"/>
        <v/>
      </c>
      <c r="T39" s="76" t="str">
        <f t="shared" si="6"/>
        <v>-- 修飾語コード13</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milscm_2023_010.azn_202310_backup_merge_receiptc_sy.shushoku_code13 IS '修飾語コード13';</v>
      </c>
    </row>
    <row r="40" spans="2:45" s="25" customFormat="1">
      <c r="B40" s="21">
        <f t="shared" si="2"/>
        <v>28</v>
      </c>
      <c r="C40" s="13" t="s">
        <v>1092</v>
      </c>
      <c r="D40" s="13" t="s">
        <v>1093</v>
      </c>
      <c r="E40" s="7"/>
      <c r="F40" s="7" t="s">
        <v>863</v>
      </c>
      <c r="G40" s="7" t="str">
        <f t="shared" si="3"/>
        <v>text</v>
      </c>
      <c r="H40" s="58"/>
      <c r="I40" s="23"/>
      <c r="J40" s="24"/>
      <c r="N40" s="76"/>
      <c r="O40" s="76"/>
      <c r="P40" s="76" t="str">
        <f t="shared" si="4"/>
        <v>,shushoku_code14</v>
      </c>
      <c r="Q40" s="76" t="str">
        <f t="shared" si="0"/>
        <v>TEXT</v>
      </c>
      <c r="R40" s="76" t="str">
        <f t="shared" si="1"/>
        <v/>
      </c>
      <c r="S40" s="76" t="str">
        <f t="shared" si="5"/>
        <v/>
      </c>
      <c r="T40" s="76" t="str">
        <f t="shared" si="6"/>
        <v>-- 修飾語コード14</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milscm_2023_010.azn_202310_backup_merge_receiptc_sy.shushoku_code14 IS '修飾語コード14';</v>
      </c>
    </row>
    <row r="41" spans="2:45" s="25" customFormat="1">
      <c r="B41" s="21">
        <f t="shared" si="2"/>
        <v>29</v>
      </c>
      <c r="C41" s="13" t="s">
        <v>1094</v>
      </c>
      <c r="D41" s="13" t="s">
        <v>1095</v>
      </c>
      <c r="E41" s="7"/>
      <c r="F41" s="7" t="s">
        <v>863</v>
      </c>
      <c r="G41" s="7" t="str">
        <f t="shared" si="3"/>
        <v>text</v>
      </c>
      <c r="H41" s="58"/>
      <c r="I41" s="23"/>
      <c r="J41" s="24"/>
      <c r="N41" s="76"/>
      <c r="O41" s="76"/>
      <c r="P41" s="76" t="str">
        <f t="shared" si="4"/>
        <v>,shushoku_code15</v>
      </c>
      <c r="Q41" s="76" t="str">
        <f t="shared" si="0"/>
        <v>TEXT</v>
      </c>
      <c r="R41" s="76" t="str">
        <f t="shared" si="1"/>
        <v/>
      </c>
      <c r="S41" s="76" t="str">
        <f t="shared" si="5"/>
        <v/>
      </c>
      <c r="T41" s="76" t="str">
        <f t="shared" si="6"/>
        <v>-- 修飾語コード15</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milscm_2023_010.azn_202310_backup_merge_receiptc_sy.shushoku_code15 IS '修飾語コード15';</v>
      </c>
    </row>
    <row r="42" spans="2:45" s="25" customFormat="1">
      <c r="B42" s="21">
        <f t="shared" si="2"/>
        <v>30</v>
      </c>
      <c r="C42" s="13" t="s">
        <v>1096</v>
      </c>
      <c r="D42" s="13" t="s">
        <v>1097</v>
      </c>
      <c r="E42" s="7"/>
      <c r="F42" s="7" t="s">
        <v>863</v>
      </c>
      <c r="G42" s="7" t="str">
        <f t="shared" ref="G42:G47" si="7">IF(F42="フラグ","boolean",IF(F42="文字列","text",IF(F42="整数","integer",IF(F42="実数","numeric",""))))</f>
        <v>text</v>
      </c>
      <c r="H42" s="58"/>
      <c r="I42" s="23"/>
      <c r="J42" s="24"/>
      <c r="N42" s="76"/>
      <c r="O42" s="76"/>
      <c r="P42" s="76" t="str">
        <f t="shared" ref="P42:P47" si="8">IF(B42&lt;&gt;1,","&amp;D42,D42)</f>
        <v>,shushoku_code16</v>
      </c>
      <c r="Q42" s="76" t="str">
        <f t="shared" ref="Q42:Q47" si="9">UPPER(G42)</f>
        <v>TEXT</v>
      </c>
      <c r="R42" s="76" t="str">
        <f t="shared" ref="R42:R47" si="10">IF(H42&lt;&gt;"","default "&amp;IF(G42="text","'"&amp;H42&amp;"'",H42),"")</f>
        <v/>
      </c>
      <c r="S42" s="76" t="str">
        <f t="shared" ref="S42:S47" si="11">IF(I42="○","NOT NULL","")</f>
        <v/>
      </c>
      <c r="T42" s="76" t="str">
        <f t="shared" ref="T42:T47" si="12">"-- "&amp;C42</f>
        <v>-- 修飾語コード16</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milscm_2023_010.azn_202310_backup_merge_receiptc_sy.shushoku_code16 IS '修飾語コード16';</v>
      </c>
    </row>
    <row r="43" spans="2:45" s="25" customFormat="1">
      <c r="B43" s="21">
        <f t="shared" si="2"/>
        <v>31</v>
      </c>
      <c r="C43" s="13" t="s">
        <v>1098</v>
      </c>
      <c r="D43" s="13" t="s">
        <v>1099</v>
      </c>
      <c r="E43" s="7"/>
      <c r="F43" s="7" t="s">
        <v>863</v>
      </c>
      <c r="G43" s="7" t="str">
        <f t="shared" si="7"/>
        <v>text</v>
      </c>
      <c r="H43" s="58"/>
      <c r="I43" s="23"/>
      <c r="J43" s="24"/>
      <c r="N43" s="76"/>
      <c r="O43" s="76"/>
      <c r="P43" s="76" t="str">
        <f t="shared" si="8"/>
        <v>,shushoku_code17</v>
      </c>
      <c r="Q43" s="76" t="str">
        <f t="shared" si="9"/>
        <v>TEXT</v>
      </c>
      <c r="R43" s="76" t="str">
        <f t="shared" si="10"/>
        <v/>
      </c>
      <c r="S43" s="76" t="str">
        <f t="shared" si="11"/>
        <v/>
      </c>
      <c r="T43" s="76" t="str">
        <f t="shared" si="12"/>
        <v>-- 修飾語コード17</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milscm_2023_010.azn_202310_backup_merge_receiptc_sy.shushoku_code17 IS '修飾語コード17';</v>
      </c>
    </row>
    <row r="44" spans="2:45" s="25" customFormat="1">
      <c r="B44" s="21">
        <f t="shared" si="2"/>
        <v>32</v>
      </c>
      <c r="C44" s="13" t="s">
        <v>1100</v>
      </c>
      <c r="D44" s="13" t="s">
        <v>1101</v>
      </c>
      <c r="E44" s="7"/>
      <c r="F44" s="7" t="s">
        <v>863</v>
      </c>
      <c r="G44" s="7" t="str">
        <f t="shared" si="7"/>
        <v>text</v>
      </c>
      <c r="H44" s="58"/>
      <c r="I44" s="23"/>
      <c r="J44" s="24"/>
      <c r="N44" s="76"/>
      <c r="O44" s="76"/>
      <c r="P44" s="76" t="str">
        <f t="shared" si="8"/>
        <v>,shushoku_code18</v>
      </c>
      <c r="Q44" s="76" t="str">
        <f t="shared" si="9"/>
        <v>TEXT</v>
      </c>
      <c r="R44" s="76" t="str">
        <f t="shared" si="10"/>
        <v/>
      </c>
      <c r="S44" s="76" t="str">
        <f t="shared" si="11"/>
        <v/>
      </c>
      <c r="T44" s="76" t="str">
        <f t="shared" si="12"/>
        <v>-- 修飾語コード18</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milscm_2023_010.azn_202310_backup_merge_receiptc_sy.shushoku_code18 IS '修飾語コード18';</v>
      </c>
    </row>
    <row r="45" spans="2:45" s="25" customFormat="1">
      <c r="B45" s="21">
        <f t="shared" si="2"/>
        <v>33</v>
      </c>
      <c r="C45" s="13" t="s">
        <v>1102</v>
      </c>
      <c r="D45" s="13" t="s">
        <v>1103</v>
      </c>
      <c r="E45" s="7"/>
      <c r="F45" s="7" t="s">
        <v>863</v>
      </c>
      <c r="G45" s="7" t="str">
        <f t="shared" si="7"/>
        <v>text</v>
      </c>
      <c r="H45" s="58"/>
      <c r="I45" s="23"/>
      <c r="J45" s="24"/>
      <c r="N45" s="76"/>
      <c r="O45" s="76"/>
      <c r="P45" s="76" t="str">
        <f t="shared" si="8"/>
        <v>,shushoku_code19</v>
      </c>
      <c r="Q45" s="76" t="str">
        <f t="shared" si="9"/>
        <v>TEXT</v>
      </c>
      <c r="R45" s="76" t="str">
        <f t="shared" si="10"/>
        <v/>
      </c>
      <c r="S45" s="76" t="str">
        <f t="shared" si="11"/>
        <v/>
      </c>
      <c r="T45" s="76" t="str">
        <f t="shared" si="12"/>
        <v>-- 修飾語コード19</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milscm_2023_010.azn_202310_backup_merge_receiptc_sy.shushoku_code19 IS '修飾語コード19';</v>
      </c>
    </row>
    <row r="46" spans="2:45" s="25" customFormat="1">
      <c r="B46" s="21">
        <f t="shared" si="2"/>
        <v>34</v>
      </c>
      <c r="C46" s="13" t="s">
        <v>1104</v>
      </c>
      <c r="D46" s="13" t="s">
        <v>1105</v>
      </c>
      <c r="E46" s="7"/>
      <c r="F46" s="7" t="s">
        <v>863</v>
      </c>
      <c r="G46" s="7" t="str">
        <f t="shared" si="7"/>
        <v>text</v>
      </c>
      <c r="H46" s="58"/>
      <c r="I46" s="23"/>
      <c r="J46" s="24"/>
      <c r="N46" s="76"/>
      <c r="O46" s="76"/>
      <c r="P46" s="76" t="str">
        <f t="shared" si="8"/>
        <v>,shushoku_code20</v>
      </c>
      <c r="Q46" s="76" t="str">
        <f t="shared" si="9"/>
        <v>TEXT</v>
      </c>
      <c r="R46" s="76" t="str">
        <f t="shared" si="10"/>
        <v/>
      </c>
      <c r="S46" s="76" t="str">
        <f t="shared" si="11"/>
        <v/>
      </c>
      <c r="T46" s="76" t="str">
        <f t="shared" si="12"/>
        <v>-- 修飾語コード20</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milscm_2023_010.azn_202310_backup_merge_receiptc_sy.shushoku_code20 IS '修飾語コード20';</v>
      </c>
    </row>
    <row r="47" spans="2:45" s="25" customFormat="1">
      <c r="B47" s="21">
        <f t="shared" si="2"/>
        <v>35</v>
      </c>
      <c r="C47" s="13" t="s">
        <v>1106</v>
      </c>
      <c r="D47" s="13" t="s">
        <v>1107</v>
      </c>
      <c r="E47" s="7"/>
      <c r="F47" s="7" t="s">
        <v>863</v>
      </c>
      <c r="G47" s="7" t="str">
        <f t="shared" si="7"/>
        <v>text</v>
      </c>
      <c r="H47" s="58"/>
      <c r="I47" s="23"/>
      <c r="J47" s="24"/>
      <c r="N47" s="76"/>
      <c r="O47" s="76"/>
      <c r="P47" s="76" t="str">
        <f t="shared" si="8"/>
        <v>,shobyo_name</v>
      </c>
      <c r="Q47" s="76" t="str">
        <f t="shared" si="9"/>
        <v>TEXT</v>
      </c>
      <c r="R47" s="76" t="str">
        <f t="shared" si="10"/>
        <v/>
      </c>
      <c r="S47" s="76" t="str">
        <f t="shared" si="11"/>
        <v/>
      </c>
      <c r="T47" s="76" t="str">
        <f t="shared" si="12"/>
        <v>-- 傷病名称</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milscm_2023_010.azn_202310_backup_merge_receiptc_sy.shobyo_name IS '傷病名称';</v>
      </c>
    </row>
    <row r="48" spans="2:45" s="25" customFormat="1">
      <c r="B48" s="21">
        <f t="shared" si="2"/>
        <v>36</v>
      </c>
      <c r="C48" s="13" t="s">
        <v>1108</v>
      </c>
      <c r="D48" s="13" t="s">
        <v>1109</v>
      </c>
      <c r="E48" s="7"/>
      <c r="F48" s="7" t="s">
        <v>863</v>
      </c>
      <c r="G48" s="7" t="str">
        <f t="shared" si="3"/>
        <v>text</v>
      </c>
      <c r="H48" s="58"/>
      <c r="I48" s="23"/>
      <c r="J48" s="24"/>
      <c r="N48" s="76"/>
      <c r="O48" s="76"/>
      <c r="P48" s="76" t="str">
        <f t="shared" si="4"/>
        <v>,main_shobyo_code</v>
      </c>
      <c r="Q48" s="76" t="str">
        <f t="shared" si="0"/>
        <v>TEXT</v>
      </c>
      <c r="R48" s="76" t="str">
        <f t="shared" si="1"/>
        <v/>
      </c>
      <c r="S48" s="76" t="str">
        <f t="shared" si="5"/>
        <v/>
      </c>
      <c r="T48" s="76" t="str">
        <f t="shared" si="6"/>
        <v>-- 主傷病</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milscm_2023_010.azn_202310_backup_merge_receiptc_sy.main_shobyo_code IS '主傷病';</v>
      </c>
    </row>
    <row r="49" spans="1:52" s="25" customFormat="1" ht="19.5" thickBot="1">
      <c r="A49" s="4"/>
      <c r="B49" s="27">
        <f>ROW()-12</f>
        <v>37</v>
      </c>
      <c r="C49" s="57" t="s">
        <v>1110</v>
      </c>
      <c r="D49" s="57" t="s">
        <v>1111</v>
      </c>
      <c r="E49" s="56"/>
      <c r="F49" s="56" t="s">
        <v>863</v>
      </c>
      <c r="G49" s="56" t="str">
        <f t="shared" si="3"/>
        <v>text</v>
      </c>
      <c r="H49" s="59"/>
      <c r="I49" s="60"/>
      <c r="J49" s="63"/>
      <c r="N49" s="76"/>
      <c r="O49" s="76"/>
      <c r="P49" s="76" t="str">
        <f t="shared" si="4"/>
        <v>,hosoku_comment</v>
      </c>
      <c r="Q49" s="76" t="str">
        <f t="shared" si="0"/>
        <v>TEXT</v>
      </c>
      <c r="R49" s="76" t="str">
        <f t="shared" si="1"/>
        <v/>
      </c>
      <c r="S49" s="76" t="str">
        <f t="shared" si="5"/>
        <v/>
      </c>
      <c r="T49" s="76" t="str">
        <f t="shared" si="6"/>
        <v>-- 補足コメント</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milscm_2023_010.azn_202310_backup_merge_receiptc_sy.hosoku_comment IS '補足コメント';</v>
      </c>
    </row>
    <row r="50" spans="1:52">
      <c r="L50" s="25"/>
      <c r="M50" s="25"/>
      <c r="N50" s="76" t="s">
        <v>142</v>
      </c>
      <c r="O50" s="76"/>
      <c r="P50" s="76"/>
      <c r="Q50" s="76"/>
      <c r="R50" s="76"/>
      <c r="S50" s="76"/>
      <c r="T50" s="76"/>
      <c r="V50" s="25"/>
      <c r="W50" s="25"/>
      <c r="X50" s="25"/>
      <c r="Y50" s="25"/>
      <c r="Z50" s="25"/>
      <c r="AJ50" s="76" t="s">
        <v>142</v>
      </c>
      <c r="AT50" s="25"/>
      <c r="AU50" s="25"/>
      <c r="AV50" s="25"/>
      <c r="AW50" s="25"/>
      <c r="AX50" s="25"/>
      <c r="AY50" s="25"/>
      <c r="AZ50" s="25"/>
    </row>
    <row r="51" spans="1:52">
      <c r="L51" s="25"/>
      <c r="M51" s="25"/>
      <c r="V51" s="25"/>
      <c r="W51" s="25"/>
      <c r="X51" s="25"/>
      <c r="Y51" s="25"/>
      <c r="Z51" s="25"/>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V65" s="25"/>
      <c r="AW65" s="25"/>
      <c r="AX65" s="25"/>
      <c r="AY65" s="25"/>
      <c r="AZ65" s="25"/>
    </row>
    <row r="66" spans="12:52">
      <c r="M66" s="25"/>
    </row>
    <row r="67" spans="12:52">
      <c r="M67" s="25"/>
    </row>
    <row r="68" spans="12:52">
      <c r="M68" s="25"/>
    </row>
    <row r="69" spans="12:52">
      <c r="M69" s="25"/>
    </row>
    <row r="70" spans="12:52">
      <c r="M70" s="25"/>
    </row>
    <row r="71" spans="12:52">
      <c r="M7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ENT_01_C2-07</v>
      </c>
      <c r="E6" s="272"/>
      <c r="F6" s="272"/>
      <c r="G6" s="272"/>
      <c r="H6" s="272"/>
      <c r="I6" s="272"/>
      <c r="J6" s="273"/>
    </row>
    <row r="7" spans="1:45">
      <c r="B7" s="261" t="s">
        <v>115</v>
      </c>
      <c r="C7" s="262"/>
      <c r="D7" s="263" t="s">
        <v>1118</v>
      </c>
      <c r="E7" s="264"/>
      <c r="F7" s="264"/>
      <c r="G7" s="264"/>
      <c r="H7" s="264"/>
      <c r="I7" s="264"/>
      <c r="J7" s="265"/>
    </row>
    <row r="8" spans="1:45">
      <c r="B8" s="261" t="s">
        <v>116</v>
      </c>
      <c r="C8" s="262"/>
      <c r="D8" s="263" t="str">
        <f>エンティティ一覧!AE2&amp;"_"&amp;D5&amp;"_merge_receiptc_si"</f>
        <v>azn_202310_backup_merge_receiptc_si</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医科レセプト_診療行為レコードテーブルから組入れ条件の第一条件で絞り込んだ結果を格納するテーブル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milscm_2023_010.azn_202310_backup_merge_receiptc_si;</v>
      </c>
      <c r="O10" s="76"/>
      <c r="P10" s="76"/>
      <c r="Q10" s="76"/>
      <c r="R10" s="76"/>
      <c r="S10" s="76"/>
      <c r="T10" s="76"/>
      <c r="AJ10" s="76" t="str">
        <f>"ALTER TABLE ONLY "&amp;エンティティ一覧!$O$2&amp;"."&amp;D$8</f>
        <v>ALTER TABLE ONLY milscm_2023_010.azn_202310_backup_merge_receiptc_si</v>
      </c>
      <c r="AS10" s="76" t="str">
        <f>"ALTER TABLE "&amp;エンティティ一覧!$O$2&amp;"."&amp;D$8&amp;" OWNER TO pgmisgrp1;"</f>
        <v>ALTER TABLE milscm_2023_010.azn_202310_backup_merge_receiptc_si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milscm_2023_010.azn_202310_backup_merge_receiptc_si</v>
      </c>
      <c r="O11" s="76"/>
      <c r="P11" s="76"/>
      <c r="Q11" s="76"/>
      <c r="R11" s="76"/>
      <c r="S11" s="76"/>
      <c r="T11" s="76"/>
      <c r="AJ11" s="76" t="str">
        <f>"ADD CONSTRAINT "&amp;D$8&amp;"_pkey PRIMARY KEY"</f>
        <v>ADD CONSTRAINT azn_202310_backup_merge_receiptc_si_pkey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milscm_2023_010.azn_202310_backup_merge_receiptc_si IS 'バックアップ_医科レセプト_診療行為レコード';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5" si="0">UPPER(G13)</f>
        <v>TEXT</v>
      </c>
      <c r="R13" s="76" t="str">
        <f t="shared" ref="R13:R3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milscm_2023_010.azn_202310_backup_merge_receiptc_si.torikomi_ym IS '取込年月';</v>
      </c>
    </row>
    <row r="14" spans="1:45" s="25" customFormat="1">
      <c r="A14" s="4"/>
      <c r="B14" s="21">
        <f t="shared" ref="B14:B34" si="2">ROW()-12</f>
        <v>2</v>
      </c>
      <c r="C14" s="6" t="s">
        <v>201</v>
      </c>
      <c r="D14" s="6" t="s">
        <v>202</v>
      </c>
      <c r="E14" s="8"/>
      <c r="F14" s="7" t="s">
        <v>203</v>
      </c>
      <c r="G14" s="7" t="str">
        <f t="shared" ref="G14:G35" si="3">IF(F14="フラグ","boolean",IF(F14="文字列","text",IF(F14="整数","integer",IF(F14="実数","numeric",""))))</f>
        <v>integer</v>
      </c>
      <c r="H14" s="26"/>
      <c r="I14" s="10"/>
      <c r="J14" s="11" t="s">
        <v>256</v>
      </c>
      <c r="M14" s="4"/>
      <c r="N14" s="76"/>
      <c r="O14" s="76"/>
      <c r="P14" s="76" t="str">
        <f t="shared" ref="P14:P3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milscm_2023_010.azn_202310_backup_merge_receiptc_si.mil_karute_id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928</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milscm_2023_010.azn_202310_backup_merge_receiptc_si.facility_id IS '施設ID';</v>
      </c>
    </row>
    <row r="16" spans="1:45" s="25" customFormat="1">
      <c r="B16" s="21">
        <f t="shared" si="2"/>
        <v>4</v>
      </c>
      <c r="C16" s="6" t="s">
        <v>902</v>
      </c>
      <c r="D16" s="6" t="s">
        <v>903</v>
      </c>
      <c r="E16" s="8" t="s">
        <v>127</v>
      </c>
      <c r="F16" s="7" t="s">
        <v>863</v>
      </c>
      <c r="G16" s="7" t="str">
        <f t="shared" si="3"/>
        <v>text</v>
      </c>
      <c r="H16" s="26"/>
      <c r="I16" s="10" t="s">
        <v>127</v>
      </c>
      <c r="J16" s="53" t="s">
        <v>1053</v>
      </c>
      <c r="M16" s="4"/>
      <c r="N16" s="76"/>
      <c r="O16" s="76"/>
      <c r="P16" s="76" t="str">
        <f t="shared" si="4"/>
        <v>,seikyu_ym</v>
      </c>
      <c r="Q16" s="76" t="str">
        <f t="shared" si="0"/>
        <v>TEXT</v>
      </c>
      <c r="R16" s="76" t="str">
        <f t="shared" si="1"/>
        <v/>
      </c>
      <c r="S16" s="76" t="str">
        <f t="shared" ref="S16:S35" si="5">IF(I16="○","NOT NULL","")</f>
        <v>NOT NULL</v>
      </c>
      <c r="T16" s="76" t="str">
        <f t="shared" ref="T16:T35"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milscm_2023_010.azn_202310_backup_merge_receiptc_si.seikyu_ym IS '請求年月';</v>
      </c>
    </row>
    <row r="17" spans="2:45" s="25" customFormat="1">
      <c r="B17" s="21">
        <f t="shared" si="2"/>
        <v>5</v>
      </c>
      <c r="C17" s="13" t="s">
        <v>864</v>
      </c>
      <c r="D17" s="13" t="s">
        <v>205</v>
      </c>
      <c r="E17" s="7" t="s">
        <v>127</v>
      </c>
      <c r="F17" s="7" t="s">
        <v>863</v>
      </c>
      <c r="G17" s="7" t="str">
        <f t="shared" si="3"/>
        <v>text</v>
      </c>
      <c r="H17" s="58"/>
      <c r="I17" s="23" t="s">
        <v>127</v>
      </c>
      <c r="J17" s="24" t="s">
        <v>1112</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milscm_2023_010.azn_202310_backup_merge_receiptc_si.shinryo_ym IS '診療年月';</v>
      </c>
    </row>
    <row r="18" spans="2:45" s="25" customFormat="1">
      <c r="B18" s="21">
        <f t="shared" si="2"/>
        <v>6</v>
      </c>
      <c r="C18" s="13" t="s">
        <v>318</v>
      </c>
      <c r="D18" s="13" t="s">
        <v>207</v>
      </c>
      <c r="E18" s="7"/>
      <c r="F18" s="7" t="s">
        <v>863</v>
      </c>
      <c r="G18" s="7" t="str">
        <f t="shared" si="3"/>
        <v>text</v>
      </c>
      <c r="H18" s="58" t="s">
        <v>930</v>
      </c>
      <c r="I18" s="23" t="s">
        <v>127</v>
      </c>
      <c r="J18" s="24" t="s">
        <v>931</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milscm_2023_010.azn_202310_backup_merge_receiptc_si.data_type IS 'データ種別';</v>
      </c>
    </row>
    <row r="19" spans="2:45" s="25" customFormat="1">
      <c r="B19" s="21">
        <f t="shared" si="2"/>
        <v>7</v>
      </c>
      <c r="C19" s="13" t="s">
        <v>904</v>
      </c>
      <c r="D19" s="13" t="s">
        <v>905</v>
      </c>
      <c r="E19" s="7" t="s">
        <v>127</v>
      </c>
      <c r="F19" s="7" t="s">
        <v>863</v>
      </c>
      <c r="G19" s="7" t="str">
        <f t="shared" si="3"/>
        <v>text</v>
      </c>
      <c r="H19" s="58"/>
      <c r="I19" s="23" t="s">
        <v>127</v>
      </c>
      <c r="J19" s="24" t="s">
        <v>1055</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milscm_2023_010.azn_202310_backup_merge_receiptc_si.shinsa_kikan IS '審査支払機関';</v>
      </c>
    </row>
    <row r="20" spans="2:45" s="25" customFormat="1">
      <c r="B20" s="21">
        <f t="shared" si="2"/>
        <v>8</v>
      </c>
      <c r="C20" s="13" t="s">
        <v>906</v>
      </c>
      <c r="D20" s="13" t="s">
        <v>907</v>
      </c>
      <c r="E20" s="7"/>
      <c r="F20" s="7" t="s">
        <v>863</v>
      </c>
      <c r="G20" s="7" t="str">
        <f t="shared" si="3"/>
        <v>text</v>
      </c>
      <c r="H20" s="58" t="s">
        <v>1143</v>
      </c>
      <c r="I20" s="23" t="s">
        <v>127</v>
      </c>
      <c r="J20" s="24" t="s">
        <v>1144</v>
      </c>
      <c r="N20" s="76"/>
      <c r="O20" s="76"/>
      <c r="P20" s="76" t="str">
        <f t="shared" si="4"/>
        <v>,record_shikibetsu</v>
      </c>
      <c r="Q20" s="76" t="str">
        <f t="shared" si="0"/>
        <v>TEXT</v>
      </c>
      <c r="R20" s="76" t="str">
        <f t="shared" si="1"/>
        <v>default 'SI'</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milscm_2023_010.azn_202310_backup_merge_receiptc_si.record_shikibetsu IS 'レコード識別情報';</v>
      </c>
    </row>
    <row r="21" spans="2:45" s="25" customFormat="1">
      <c r="B21" s="21">
        <f t="shared" si="2"/>
        <v>9</v>
      </c>
      <c r="C21" s="13" t="s">
        <v>908</v>
      </c>
      <c r="D21" s="13" t="s">
        <v>909</v>
      </c>
      <c r="E21" s="7" t="s">
        <v>127</v>
      </c>
      <c r="F21" s="7" t="s">
        <v>203</v>
      </c>
      <c r="G21" s="7" t="str">
        <f t="shared" si="3"/>
        <v>integer</v>
      </c>
      <c r="H21" s="58"/>
      <c r="I21" s="23" t="s">
        <v>127</v>
      </c>
      <c r="J21" s="24" t="s">
        <v>1058</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milscm_2023_010.azn_202310_backup_merge_receiptc_si.receipt_no IS 'レセプト番号';</v>
      </c>
    </row>
    <row r="22" spans="2:45" s="25" customFormat="1">
      <c r="B22" s="21">
        <f t="shared" si="2"/>
        <v>10</v>
      </c>
      <c r="C22" s="13" t="s">
        <v>910</v>
      </c>
      <c r="D22" s="13" t="s">
        <v>911</v>
      </c>
      <c r="E22" s="7" t="s">
        <v>127</v>
      </c>
      <c r="F22" s="7" t="s">
        <v>203</v>
      </c>
      <c r="G22" s="7" t="str">
        <f t="shared" si="3"/>
        <v>integer</v>
      </c>
      <c r="H22" s="58"/>
      <c r="I22" s="23" t="s">
        <v>127</v>
      </c>
      <c r="J22" s="24" t="s">
        <v>1115</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milscm_2023_010.azn_202310_backup_merge_receiptc_si.gyo_no IS '行番号';</v>
      </c>
    </row>
    <row r="23" spans="2:45" s="25" customFormat="1">
      <c r="B23" s="21">
        <f t="shared" si="2"/>
        <v>11</v>
      </c>
      <c r="C23" s="13" t="s">
        <v>912</v>
      </c>
      <c r="D23" s="13" t="s">
        <v>913</v>
      </c>
      <c r="E23" s="7"/>
      <c r="F23" s="7" t="s">
        <v>863</v>
      </c>
      <c r="G23" s="7" t="str">
        <f t="shared" si="3"/>
        <v>text</v>
      </c>
      <c r="H23" s="58"/>
      <c r="I23" s="23"/>
      <c r="J23" s="24" t="s">
        <v>1060</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milscm_2023_010.azn_202310_backup_merge_receiptc_si.karute_no IS 'カルテ番号等';</v>
      </c>
    </row>
    <row r="24" spans="2:45" s="25" customFormat="1">
      <c r="B24" s="21">
        <f t="shared" si="2"/>
        <v>12</v>
      </c>
      <c r="C24" s="13" t="s">
        <v>1119</v>
      </c>
      <c r="D24" s="13" t="s">
        <v>1120</v>
      </c>
      <c r="E24" s="7"/>
      <c r="F24" s="7" t="s">
        <v>863</v>
      </c>
      <c r="G24" s="7" t="str">
        <f t="shared" si="3"/>
        <v>text</v>
      </c>
      <c r="H24" s="58"/>
      <c r="I24" s="23"/>
      <c r="J24" s="24"/>
      <c r="N24" s="76"/>
      <c r="O24" s="76"/>
      <c r="P24" s="76" t="str">
        <f t="shared" si="4"/>
        <v>,shinryo_shikibetsu</v>
      </c>
      <c r="Q24" s="76" t="str">
        <f t="shared" si="0"/>
        <v>TEXT</v>
      </c>
      <c r="R24" s="76" t="str">
        <f t="shared" si="1"/>
        <v/>
      </c>
      <c r="S24" s="76" t="str">
        <f t="shared" si="5"/>
        <v/>
      </c>
      <c r="T24" s="76" t="str">
        <f t="shared" si="6"/>
        <v>-- 診療識別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milscm_2023_010.azn_202310_backup_merge_receiptc_si.shinryo_shikibetsu IS '診療識別';</v>
      </c>
    </row>
    <row r="25" spans="2:45" s="25" customFormat="1">
      <c r="B25" s="21">
        <f t="shared" si="2"/>
        <v>13</v>
      </c>
      <c r="C25" s="13" t="s">
        <v>1121</v>
      </c>
      <c r="D25" s="13" t="s">
        <v>1122</v>
      </c>
      <c r="E25" s="7"/>
      <c r="F25" s="7" t="s">
        <v>863</v>
      </c>
      <c r="G25" s="7" t="str">
        <f t="shared" si="3"/>
        <v>text</v>
      </c>
      <c r="H25" s="58"/>
      <c r="I25" s="23"/>
      <c r="J25" s="24"/>
      <c r="N25" s="76"/>
      <c r="O25" s="76"/>
      <c r="P25" s="76" t="str">
        <f t="shared" si="4"/>
        <v>,futan_kubun</v>
      </c>
      <c r="Q25" s="76" t="str">
        <f t="shared" si="0"/>
        <v>TEXT</v>
      </c>
      <c r="R25" s="76" t="str">
        <f t="shared" si="1"/>
        <v/>
      </c>
      <c r="S25" s="76" t="str">
        <f t="shared" si="5"/>
        <v/>
      </c>
      <c r="T25" s="76" t="str">
        <f t="shared" si="6"/>
        <v>-- 負担区分</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milscm_2023_010.azn_202310_backup_merge_receiptc_si.futan_kubun IS '負担区分';</v>
      </c>
    </row>
    <row r="26" spans="2:45" s="25" customFormat="1">
      <c r="B26" s="21">
        <f t="shared" si="2"/>
        <v>14</v>
      </c>
      <c r="C26" s="13" t="s">
        <v>1123</v>
      </c>
      <c r="D26" s="13" t="s">
        <v>1124</v>
      </c>
      <c r="E26" s="7"/>
      <c r="F26" s="7" t="s">
        <v>863</v>
      </c>
      <c r="G26" s="7" t="str">
        <f t="shared" si="3"/>
        <v>text</v>
      </c>
      <c r="H26" s="58"/>
      <c r="I26" s="23"/>
      <c r="J26" s="24"/>
      <c r="N26" s="76"/>
      <c r="O26" s="76"/>
      <c r="P26" s="76" t="str">
        <f t="shared" si="4"/>
        <v>,shinryo_koi_code</v>
      </c>
      <c r="Q26" s="76" t="str">
        <f t="shared" si="0"/>
        <v>TEXT</v>
      </c>
      <c r="R26" s="76" t="str">
        <f t="shared" si="1"/>
        <v/>
      </c>
      <c r="S26" s="76" t="str">
        <f t="shared" si="5"/>
        <v/>
      </c>
      <c r="T26" s="76" t="str">
        <f t="shared" si="6"/>
        <v>-- 診療行為コード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milscm_2023_010.azn_202310_backup_merge_receiptc_si.shinryo_koi_code IS '診療行為コード';</v>
      </c>
    </row>
    <row r="27" spans="2:45" s="25" customFormat="1">
      <c r="B27" s="21">
        <f t="shared" si="2"/>
        <v>15</v>
      </c>
      <c r="C27" s="13" t="s">
        <v>1125</v>
      </c>
      <c r="D27" s="13" t="s">
        <v>1126</v>
      </c>
      <c r="E27" s="7"/>
      <c r="F27" s="7" t="s">
        <v>203</v>
      </c>
      <c r="G27" s="7" t="str">
        <f t="shared" si="3"/>
        <v>integer</v>
      </c>
      <c r="H27" s="58"/>
      <c r="I27" s="23"/>
      <c r="J27" s="24"/>
      <c r="N27" s="76"/>
      <c r="O27" s="76"/>
      <c r="P27" s="76" t="str">
        <f t="shared" si="4"/>
        <v>,suryo_data</v>
      </c>
      <c r="Q27" s="76" t="str">
        <f t="shared" si="0"/>
        <v>INTEGER</v>
      </c>
      <c r="R27" s="76" t="str">
        <f t="shared" si="1"/>
        <v/>
      </c>
      <c r="S27" s="76" t="str">
        <f t="shared" si="5"/>
        <v/>
      </c>
      <c r="T27" s="76" t="str">
        <f t="shared" si="6"/>
        <v>-- 数量データ</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milscm_2023_010.azn_202310_backup_merge_receiptc_si.suryo_data IS '数量データ';</v>
      </c>
    </row>
    <row r="28" spans="2:45" s="25" customFormat="1">
      <c r="B28" s="21">
        <f t="shared" si="2"/>
        <v>16</v>
      </c>
      <c r="C28" s="13" t="s">
        <v>1127</v>
      </c>
      <c r="D28" s="13" t="s">
        <v>1128</v>
      </c>
      <c r="E28" s="7"/>
      <c r="F28" s="7" t="s">
        <v>203</v>
      </c>
      <c r="G28" s="7" t="str">
        <f t="shared" si="3"/>
        <v>integer</v>
      </c>
      <c r="H28" s="58"/>
      <c r="I28" s="23"/>
      <c r="J28" s="24"/>
      <c r="N28" s="76"/>
      <c r="O28" s="76"/>
      <c r="P28" s="76" t="str">
        <f t="shared" si="4"/>
        <v>,tensu</v>
      </c>
      <c r="Q28" s="76" t="str">
        <f t="shared" si="0"/>
        <v>INTEGER</v>
      </c>
      <c r="R28" s="76" t="str">
        <f t="shared" si="1"/>
        <v/>
      </c>
      <c r="S28" s="76" t="str">
        <f t="shared" si="5"/>
        <v/>
      </c>
      <c r="T28" s="76" t="str">
        <f t="shared" si="6"/>
        <v>-- 点数</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milscm_2023_010.azn_202310_backup_merge_receiptc_si.tensu IS '点数';</v>
      </c>
    </row>
    <row r="29" spans="2:45" s="25" customFormat="1">
      <c r="B29" s="21">
        <f t="shared" si="2"/>
        <v>17</v>
      </c>
      <c r="C29" s="13" t="s">
        <v>1129</v>
      </c>
      <c r="D29" s="13" t="s">
        <v>1130</v>
      </c>
      <c r="E29" s="7"/>
      <c r="F29" s="7" t="s">
        <v>203</v>
      </c>
      <c r="G29" s="7" t="str">
        <f t="shared" si="3"/>
        <v>integer</v>
      </c>
      <c r="H29" s="58"/>
      <c r="I29" s="23"/>
      <c r="J29" s="24"/>
      <c r="N29" s="76"/>
      <c r="O29" s="76"/>
      <c r="P29" s="76" t="str">
        <f t="shared" si="4"/>
        <v>,times</v>
      </c>
      <c r="Q29" s="76" t="str">
        <f t="shared" si="0"/>
        <v>INTEGER</v>
      </c>
      <c r="R29" s="76" t="str">
        <f t="shared" si="1"/>
        <v/>
      </c>
      <c r="S29" s="76" t="str">
        <f t="shared" si="5"/>
        <v/>
      </c>
      <c r="T29" s="76" t="str">
        <f t="shared" si="6"/>
        <v>-- 回数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milscm_2023_010.azn_202310_backup_merge_receiptc_si.times IS '回数';</v>
      </c>
    </row>
    <row r="30" spans="2:45" s="25" customFormat="1">
      <c r="B30" s="21">
        <f t="shared" si="2"/>
        <v>18</v>
      </c>
      <c r="C30" s="13" t="s">
        <v>1131</v>
      </c>
      <c r="D30" s="13" t="s">
        <v>1132</v>
      </c>
      <c r="E30" s="7"/>
      <c r="F30" s="7" t="s">
        <v>863</v>
      </c>
      <c r="G30" s="7" t="str">
        <f t="shared" si="3"/>
        <v>text</v>
      </c>
      <c r="H30" s="58"/>
      <c r="I30" s="23"/>
      <c r="J30" s="24"/>
      <c r="N30" s="76"/>
      <c r="O30" s="76"/>
      <c r="P30" s="76" t="str">
        <f t="shared" si="4"/>
        <v>,comment_code1</v>
      </c>
      <c r="Q30" s="76" t="str">
        <f t="shared" si="0"/>
        <v>TEXT</v>
      </c>
      <c r="R30" s="76" t="str">
        <f t="shared" si="1"/>
        <v/>
      </c>
      <c r="S30" s="76" t="str">
        <f t="shared" si="5"/>
        <v/>
      </c>
      <c r="T30" s="76" t="str">
        <f t="shared" si="6"/>
        <v>-- コメントコード1</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milscm_2023_010.azn_202310_backup_merge_receiptc_si.comment_code1 IS 'コメントコード1';</v>
      </c>
    </row>
    <row r="31" spans="2:45" s="25" customFormat="1">
      <c r="B31" s="21">
        <f t="shared" si="2"/>
        <v>19</v>
      </c>
      <c r="C31" s="13" t="s">
        <v>1133</v>
      </c>
      <c r="D31" s="13" t="s">
        <v>1134</v>
      </c>
      <c r="E31" s="7"/>
      <c r="F31" s="7" t="s">
        <v>863</v>
      </c>
      <c r="G31" s="7" t="str">
        <f t="shared" si="3"/>
        <v>text</v>
      </c>
      <c r="H31" s="58"/>
      <c r="I31" s="23"/>
      <c r="J31" s="24"/>
      <c r="N31" s="76"/>
      <c r="O31" s="76"/>
      <c r="P31" s="76" t="str">
        <f t="shared" si="4"/>
        <v>,comment_data1</v>
      </c>
      <c r="Q31" s="76" t="str">
        <f t="shared" si="0"/>
        <v>TEXT</v>
      </c>
      <c r="R31" s="76" t="str">
        <f t="shared" si="1"/>
        <v/>
      </c>
      <c r="S31" s="76" t="str">
        <f t="shared" si="5"/>
        <v/>
      </c>
      <c r="T31" s="76" t="str">
        <f t="shared" si="6"/>
        <v>-- 文字データ1</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milscm_2023_010.azn_202310_backup_merge_receiptc_si.comment_data1 IS '文字データ1';</v>
      </c>
    </row>
    <row r="32" spans="2:45" s="25" customFormat="1">
      <c r="B32" s="21">
        <f t="shared" si="2"/>
        <v>20</v>
      </c>
      <c r="C32" s="13" t="s">
        <v>1135</v>
      </c>
      <c r="D32" s="13" t="s">
        <v>1136</v>
      </c>
      <c r="E32" s="7"/>
      <c r="F32" s="7" t="s">
        <v>863</v>
      </c>
      <c r="G32" s="7" t="str">
        <f t="shared" si="3"/>
        <v>text</v>
      </c>
      <c r="H32" s="58"/>
      <c r="I32" s="23"/>
      <c r="J32" s="24"/>
      <c r="N32" s="76"/>
      <c r="O32" s="76"/>
      <c r="P32" s="76" t="str">
        <f t="shared" si="4"/>
        <v>,comment_code2</v>
      </c>
      <c r="Q32" s="76" t="str">
        <f t="shared" si="0"/>
        <v>TEXT</v>
      </c>
      <c r="R32" s="76" t="str">
        <f t="shared" si="1"/>
        <v/>
      </c>
      <c r="S32" s="76" t="str">
        <f t="shared" si="5"/>
        <v/>
      </c>
      <c r="T32" s="76" t="str">
        <f t="shared" si="6"/>
        <v>-- コメントコード2</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milscm_2023_010.azn_202310_backup_merge_receiptc_si.comment_code2 IS 'コメントコード2';</v>
      </c>
    </row>
    <row r="33" spans="1:52" s="25" customFormat="1">
      <c r="B33" s="21">
        <f t="shared" si="2"/>
        <v>21</v>
      </c>
      <c r="C33" s="13" t="s">
        <v>1137</v>
      </c>
      <c r="D33" s="13" t="s">
        <v>1138</v>
      </c>
      <c r="E33" s="7"/>
      <c r="F33" s="7" t="s">
        <v>863</v>
      </c>
      <c r="G33" s="7" t="str">
        <f t="shared" si="3"/>
        <v>text</v>
      </c>
      <c r="H33" s="58"/>
      <c r="I33" s="23"/>
      <c r="J33" s="24"/>
      <c r="N33" s="76"/>
      <c r="O33" s="76"/>
      <c r="P33" s="76" t="str">
        <f t="shared" si="4"/>
        <v>,comment_data2</v>
      </c>
      <c r="Q33" s="76" t="str">
        <f t="shared" si="0"/>
        <v>TEXT</v>
      </c>
      <c r="R33" s="76" t="str">
        <f t="shared" si="1"/>
        <v/>
      </c>
      <c r="S33" s="76" t="str">
        <f t="shared" si="5"/>
        <v/>
      </c>
      <c r="T33" s="76" t="str">
        <f t="shared" si="6"/>
        <v>-- 文字データ2</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milscm_2023_010.azn_202310_backup_merge_receiptc_si.comment_data2 IS '文字データ2';</v>
      </c>
    </row>
    <row r="34" spans="1:52" s="25" customFormat="1">
      <c r="B34" s="21">
        <f t="shared" si="2"/>
        <v>22</v>
      </c>
      <c r="C34" s="13" t="s">
        <v>1139</v>
      </c>
      <c r="D34" s="13" t="s">
        <v>1140</v>
      </c>
      <c r="E34" s="7"/>
      <c r="F34" s="7" t="s">
        <v>863</v>
      </c>
      <c r="G34" s="7" t="str">
        <f t="shared" si="3"/>
        <v>text</v>
      </c>
      <c r="H34" s="58"/>
      <c r="I34" s="23"/>
      <c r="J34" s="24"/>
      <c r="N34" s="76"/>
      <c r="O34" s="76"/>
      <c r="P34" s="76" t="str">
        <f t="shared" si="4"/>
        <v>,comment_code3</v>
      </c>
      <c r="Q34" s="76" t="str">
        <f t="shared" si="0"/>
        <v>TEXT</v>
      </c>
      <c r="R34" s="76" t="str">
        <f t="shared" si="1"/>
        <v/>
      </c>
      <c r="S34" s="76" t="str">
        <f t="shared" si="5"/>
        <v/>
      </c>
      <c r="T34" s="76" t="str">
        <f t="shared" si="6"/>
        <v>-- コメントコード3</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milscm_2023_010.azn_202310_backup_merge_receiptc_si.comment_code3 IS 'コメントコード3';</v>
      </c>
    </row>
    <row r="35" spans="1:52" s="25" customFormat="1" ht="19.5" thickBot="1">
      <c r="A35" s="4"/>
      <c r="B35" s="27">
        <f>ROW()-12</f>
        <v>23</v>
      </c>
      <c r="C35" s="57" t="s">
        <v>1141</v>
      </c>
      <c r="D35" s="57" t="s">
        <v>1142</v>
      </c>
      <c r="E35" s="56"/>
      <c r="F35" s="56" t="s">
        <v>863</v>
      </c>
      <c r="G35" s="56" t="str">
        <f t="shared" si="3"/>
        <v>text</v>
      </c>
      <c r="H35" s="59"/>
      <c r="I35" s="60"/>
      <c r="J35" s="63"/>
      <c r="N35" s="76"/>
      <c r="O35" s="76"/>
      <c r="P35" s="76" t="str">
        <f t="shared" si="4"/>
        <v>,comment_data3</v>
      </c>
      <c r="Q35" s="76" t="str">
        <f t="shared" si="0"/>
        <v>TEXT</v>
      </c>
      <c r="R35" s="76" t="str">
        <f t="shared" si="1"/>
        <v/>
      </c>
      <c r="S35" s="76" t="str">
        <f t="shared" si="5"/>
        <v/>
      </c>
      <c r="T35" s="76" t="str">
        <f t="shared" si="6"/>
        <v>-- 文字データ3</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milscm_2023_010.azn_202310_backup_merge_receiptc_si.comment_data3 IS '文字データ3';</v>
      </c>
    </row>
    <row r="36" spans="1:52">
      <c r="L36" s="25"/>
      <c r="M36" s="25"/>
      <c r="N36" s="76" t="s">
        <v>142</v>
      </c>
      <c r="O36" s="76"/>
      <c r="P36" s="76"/>
      <c r="Q36" s="76"/>
      <c r="R36" s="76"/>
      <c r="S36" s="76"/>
      <c r="T36" s="76"/>
      <c r="V36" s="25"/>
      <c r="W36" s="25"/>
      <c r="X36" s="25"/>
      <c r="Y36" s="25"/>
      <c r="Z36" s="25"/>
      <c r="AJ36" s="76" t="s">
        <v>142</v>
      </c>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ENT_01_C2-08</v>
      </c>
      <c r="E6" s="272"/>
      <c r="F6" s="272"/>
      <c r="G6" s="272"/>
      <c r="H6" s="272"/>
      <c r="I6" s="272"/>
      <c r="J6" s="273"/>
    </row>
    <row r="7" spans="1:45">
      <c r="B7" s="261" t="s">
        <v>115</v>
      </c>
      <c r="C7" s="262"/>
      <c r="D7" s="263" t="s">
        <v>1146</v>
      </c>
      <c r="E7" s="264"/>
      <c r="F7" s="264"/>
      <c r="G7" s="264"/>
      <c r="H7" s="264"/>
      <c r="I7" s="264"/>
      <c r="J7" s="265"/>
    </row>
    <row r="8" spans="1:45">
      <c r="B8" s="261" t="s">
        <v>116</v>
      </c>
      <c r="C8" s="262"/>
      <c r="D8" s="263" t="str">
        <f>エンティティ一覧!AE2&amp;"_"&amp;D5&amp;"_merge_receiptc_si_day"</f>
        <v>azn_202310_backup_merge_receiptc_si_day</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医科レセプト_診療行為レコード_算定日情報テーブルから組入れ条件の第一条件で絞り込んだ結果を格納するテーブル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milscm_2023_010.azn_202310_backup_merge_receiptc_si_day;</v>
      </c>
      <c r="O10" s="76"/>
      <c r="P10" s="76"/>
      <c r="Q10" s="76"/>
      <c r="R10" s="76"/>
      <c r="S10" s="76"/>
      <c r="T10" s="76"/>
      <c r="AJ10" s="76" t="str">
        <f>"ALTER TABLE ONLY "&amp;エンティティ一覧!$O$2&amp;"."&amp;D$8</f>
        <v>ALTER TABLE ONLY milscm_2023_010.azn_202310_backup_merge_receiptc_si_day</v>
      </c>
      <c r="AS10" s="76" t="str">
        <f>"ALTER TABLE "&amp;エンティティ一覧!$O$2&amp;"."&amp;D$8&amp;" OWNER TO pgmisgrp1;"</f>
        <v>ALTER TABLE milscm_2023_010.azn_202310_backup_merge_receiptc_si_day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milscm_2023_010.azn_202310_backup_merge_receiptc_si_day</v>
      </c>
      <c r="O11" s="76"/>
      <c r="P11" s="76"/>
      <c r="Q11" s="76"/>
      <c r="R11" s="76"/>
      <c r="S11" s="76"/>
      <c r="T11" s="76"/>
      <c r="AJ11" s="76" t="str">
        <f>"ADD CONSTRAINT "&amp;D$8&amp;"_pkey PRIMARY KEY"</f>
        <v>ADD CONSTRAINT azn_202310_backup_merge_receiptc_si_day_pkey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milscm_2023_010.azn_202310_backup_merge_receiptc_si_day IS 'バックアップ_医科レセプト_診療行為レコード_算定日情報';</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milscm_2023_010.azn_202310_backup_merge_receiptc_si_day.torikomi_ym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256</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milscm_2023_010.azn_202310_backup_merge_receiptc_si_day.mil_karute_id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928</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milscm_2023_010.azn_202310_backup_merge_receiptc_si_day.facility_id IS '施設ID';</v>
      </c>
    </row>
    <row r="16" spans="1:45" s="25" customFormat="1">
      <c r="B16" s="21">
        <f t="shared" si="2"/>
        <v>4</v>
      </c>
      <c r="C16" s="6" t="s">
        <v>902</v>
      </c>
      <c r="D16" s="6" t="s">
        <v>903</v>
      </c>
      <c r="E16" s="8" t="s">
        <v>127</v>
      </c>
      <c r="F16" s="7" t="s">
        <v>863</v>
      </c>
      <c r="G16" s="7" t="str">
        <f t="shared" si="3"/>
        <v>text</v>
      </c>
      <c r="H16" s="26"/>
      <c r="I16" s="10" t="s">
        <v>127</v>
      </c>
      <c r="J16" s="53" t="s">
        <v>1053</v>
      </c>
      <c r="M16" s="4"/>
      <c r="N16" s="76"/>
      <c r="O16" s="76"/>
      <c r="P16" s="76" t="str">
        <f t="shared" si="4"/>
        <v>,seikyu_ym</v>
      </c>
      <c r="Q16" s="76" t="str">
        <f t="shared" si="0"/>
        <v>TEXT</v>
      </c>
      <c r="R16" s="76" t="str">
        <f t="shared" si="1"/>
        <v/>
      </c>
      <c r="S16" s="76" t="str">
        <f t="shared" ref="S16:S25" si="5">IF(I16="○","NOT NULL","")</f>
        <v>NOT NULL</v>
      </c>
      <c r="T16" s="76" t="str">
        <f t="shared" ref="T16:T25"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milscm_2023_010.azn_202310_backup_merge_receiptc_si_day.seikyu_ym IS '請求年月';</v>
      </c>
    </row>
    <row r="17" spans="1:52" s="25" customFormat="1">
      <c r="B17" s="21">
        <f t="shared" si="2"/>
        <v>5</v>
      </c>
      <c r="C17" s="13" t="s">
        <v>864</v>
      </c>
      <c r="D17" s="13" t="s">
        <v>205</v>
      </c>
      <c r="E17" s="7" t="s">
        <v>127</v>
      </c>
      <c r="F17" s="7" t="s">
        <v>863</v>
      </c>
      <c r="G17" s="7" t="str">
        <f t="shared" si="3"/>
        <v>text</v>
      </c>
      <c r="H17" s="58"/>
      <c r="I17" s="23" t="s">
        <v>127</v>
      </c>
      <c r="J17" s="24" t="s">
        <v>1112</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milscm_2023_010.azn_202310_backup_merge_receiptc_si_day.shinryo_ym IS '診療年月';</v>
      </c>
    </row>
    <row r="18" spans="1:52" s="25" customFormat="1">
      <c r="B18" s="21">
        <f t="shared" si="2"/>
        <v>6</v>
      </c>
      <c r="C18" s="13" t="s">
        <v>318</v>
      </c>
      <c r="D18" s="13" t="s">
        <v>207</v>
      </c>
      <c r="E18" s="7"/>
      <c r="F18" s="7" t="s">
        <v>863</v>
      </c>
      <c r="G18" s="7" t="str">
        <f t="shared" si="3"/>
        <v>text</v>
      </c>
      <c r="H18" s="58" t="s">
        <v>930</v>
      </c>
      <c r="I18" s="23" t="s">
        <v>127</v>
      </c>
      <c r="J18" s="24" t="s">
        <v>931</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milscm_2023_010.azn_202310_backup_merge_receiptc_si_day.data_type IS 'データ種別';</v>
      </c>
    </row>
    <row r="19" spans="1:52" s="25" customFormat="1">
      <c r="B19" s="21">
        <f t="shared" si="2"/>
        <v>7</v>
      </c>
      <c r="C19" s="13" t="s">
        <v>904</v>
      </c>
      <c r="D19" s="13" t="s">
        <v>905</v>
      </c>
      <c r="E19" s="7" t="s">
        <v>127</v>
      </c>
      <c r="F19" s="7" t="s">
        <v>863</v>
      </c>
      <c r="G19" s="7" t="str">
        <f t="shared" si="3"/>
        <v>text</v>
      </c>
      <c r="H19" s="58"/>
      <c r="I19" s="23" t="s">
        <v>127</v>
      </c>
      <c r="J19" s="24" t="s">
        <v>1055</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milscm_2023_010.azn_202310_backup_merge_receiptc_si_day.shinsa_kikan IS '審査支払機関';</v>
      </c>
    </row>
    <row r="20" spans="1:52" s="25" customFormat="1">
      <c r="B20" s="21">
        <f t="shared" si="2"/>
        <v>8</v>
      </c>
      <c r="C20" s="13" t="s">
        <v>906</v>
      </c>
      <c r="D20" s="13" t="s">
        <v>907</v>
      </c>
      <c r="E20" s="7"/>
      <c r="F20" s="7" t="s">
        <v>863</v>
      </c>
      <c r="G20" s="7" t="str">
        <f t="shared" si="3"/>
        <v>text</v>
      </c>
      <c r="H20" s="58" t="s">
        <v>1143</v>
      </c>
      <c r="I20" s="23" t="s">
        <v>127</v>
      </c>
      <c r="J20" s="24" t="s">
        <v>1144</v>
      </c>
      <c r="N20" s="76"/>
      <c r="O20" s="76"/>
      <c r="P20" s="76" t="str">
        <f t="shared" si="4"/>
        <v>,record_shikibetsu</v>
      </c>
      <c r="Q20" s="76" t="str">
        <f t="shared" si="0"/>
        <v>TEXT</v>
      </c>
      <c r="R20" s="76" t="str">
        <f t="shared" si="1"/>
        <v>default 'SI'</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milscm_2023_010.azn_202310_backup_merge_receiptc_si_day.record_shikibetsu IS 'レコード識別情報';</v>
      </c>
    </row>
    <row r="21" spans="1:52" s="25" customFormat="1">
      <c r="B21" s="21">
        <f t="shared" si="2"/>
        <v>9</v>
      </c>
      <c r="C21" s="13" t="s">
        <v>908</v>
      </c>
      <c r="D21" s="13" t="s">
        <v>909</v>
      </c>
      <c r="E21" s="7" t="s">
        <v>127</v>
      </c>
      <c r="F21" s="7" t="s">
        <v>203</v>
      </c>
      <c r="G21" s="7" t="str">
        <f t="shared" si="3"/>
        <v>integer</v>
      </c>
      <c r="H21" s="58"/>
      <c r="I21" s="23" t="s">
        <v>127</v>
      </c>
      <c r="J21" s="24" t="s">
        <v>1058</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milscm_2023_010.azn_202310_backup_merge_receiptc_si_day.receipt_no IS 'レセプト番号';</v>
      </c>
    </row>
    <row r="22" spans="1:52" s="25" customFormat="1">
      <c r="B22" s="21">
        <f t="shared" si="2"/>
        <v>10</v>
      </c>
      <c r="C22" s="13" t="s">
        <v>910</v>
      </c>
      <c r="D22" s="13" t="s">
        <v>911</v>
      </c>
      <c r="E22" s="7" t="s">
        <v>127</v>
      </c>
      <c r="F22" s="7" t="s">
        <v>203</v>
      </c>
      <c r="G22" s="7" t="str">
        <f t="shared" si="3"/>
        <v>integer</v>
      </c>
      <c r="H22" s="58"/>
      <c r="I22" s="23" t="s">
        <v>127</v>
      </c>
      <c r="J22" s="24" t="s">
        <v>1115</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milscm_2023_010.azn_202310_backup_merge_receiptc_si_day.gyo_no IS '行番号';</v>
      </c>
    </row>
    <row r="23" spans="1:52" s="25" customFormat="1">
      <c r="B23" s="21">
        <f t="shared" si="2"/>
        <v>11</v>
      </c>
      <c r="C23" s="13" t="s">
        <v>912</v>
      </c>
      <c r="D23" s="13" t="s">
        <v>913</v>
      </c>
      <c r="E23" s="7"/>
      <c r="F23" s="7" t="s">
        <v>863</v>
      </c>
      <c r="G23" s="7" t="str">
        <f t="shared" si="3"/>
        <v>text</v>
      </c>
      <c r="H23" s="58"/>
      <c r="I23" s="23"/>
      <c r="J23" s="24" t="s">
        <v>1060</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milscm_2023_010.azn_202310_backup_merge_receiptc_si_day.karute_no IS 'カルテ番号等';</v>
      </c>
    </row>
    <row r="24" spans="1:52" s="25" customFormat="1">
      <c r="B24" s="21">
        <f t="shared" si="2"/>
        <v>12</v>
      </c>
      <c r="C24" s="13" t="s">
        <v>1147</v>
      </c>
      <c r="D24" s="13" t="s">
        <v>1148</v>
      </c>
      <c r="E24" s="7" t="s">
        <v>127</v>
      </c>
      <c r="F24" s="7" t="s">
        <v>863</v>
      </c>
      <c r="G24" s="7" t="str">
        <f t="shared" si="3"/>
        <v>text</v>
      </c>
      <c r="H24" s="58"/>
      <c r="I24" s="23" t="s">
        <v>127</v>
      </c>
      <c r="J24" s="24" t="s">
        <v>1150</v>
      </c>
      <c r="N24" s="76"/>
      <c r="O24" s="76"/>
      <c r="P24" s="76" t="str">
        <f t="shared" si="4"/>
        <v>,santei_ymd</v>
      </c>
      <c r="Q24" s="76" t="str">
        <f t="shared" si="0"/>
        <v>TEXT</v>
      </c>
      <c r="R24" s="76" t="str">
        <f t="shared" si="1"/>
        <v/>
      </c>
      <c r="S24" s="76" t="str">
        <f t="shared" si="5"/>
        <v>NOT NULL</v>
      </c>
      <c r="T24" s="76" t="str">
        <f t="shared" si="6"/>
        <v>-- 算定日</v>
      </c>
      <c r="U24" s="4"/>
      <c r="AA24" s="4"/>
      <c r="AB24" s="4"/>
      <c r="AC24" s="4"/>
      <c r="AD24" s="4"/>
      <c r="AE24" s="4"/>
      <c r="AF24" s="4"/>
      <c r="AG24" s="4"/>
      <c r="AH24" s="4"/>
      <c r="AI24" s="4"/>
      <c r="AJ24" s="76" t="str">
        <f>IF(E24="○",IF(COUNTA(E$13:E24)=1,"",",")&amp;D24,"")</f>
        <v>,santei_ymd</v>
      </c>
      <c r="AK24" s="4"/>
      <c r="AL24" s="4"/>
      <c r="AM24" s="4"/>
      <c r="AN24" s="4"/>
      <c r="AO24" s="4"/>
      <c r="AP24" s="4"/>
      <c r="AQ24" s="4"/>
      <c r="AR24" s="4"/>
      <c r="AS24" s="76" t="str">
        <f>"COMMENT ON COLUMN "&amp;エンティティ一覧!$O$2&amp;"."&amp;D$8&amp;"."&amp;D24&amp;" IS '"&amp;C24&amp;"';"</f>
        <v>COMMENT ON COLUMN milscm_2023_010.azn_202310_backup_merge_receiptc_si_day.santei_ymd IS '算定日';</v>
      </c>
    </row>
    <row r="25" spans="1:52" s="25" customFormat="1" ht="19.5" thickBot="1">
      <c r="A25" s="4"/>
      <c r="B25" s="27">
        <f>ROW()-12</f>
        <v>13</v>
      </c>
      <c r="C25" s="57" t="s">
        <v>1149</v>
      </c>
      <c r="D25" s="57" t="s">
        <v>1130</v>
      </c>
      <c r="E25" s="56"/>
      <c r="F25" s="56" t="s">
        <v>203</v>
      </c>
      <c r="G25" s="56" t="str">
        <f t="shared" si="3"/>
        <v>integer</v>
      </c>
      <c r="H25" s="59"/>
      <c r="I25" s="60"/>
      <c r="J25" s="63"/>
      <c r="N25" s="76"/>
      <c r="O25" s="76"/>
      <c r="P25" s="76" t="str">
        <f t="shared" si="4"/>
        <v>,times</v>
      </c>
      <c r="Q25" s="76" t="str">
        <f t="shared" si="0"/>
        <v>INTEGER</v>
      </c>
      <c r="R25" s="76" t="str">
        <f t="shared" si="1"/>
        <v/>
      </c>
      <c r="S25" s="76" t="str">
        <f t="shared" si="5"/>
        <v/>
      </c>
      <c r="T25" s="76" t="str">
        <f t="shared" si="6"/>
        <v>-- 回数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milscm_2023_010.azn_202310_backup_merge_receiptc_si_day.times IS '回数';</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ENT_01_C2-09</v>
      </c>
      <c r="E6" s="272"/>
      <c r="F6" s="272"/>
      <c r="G6" s="272"/>
      <c r="H6" s="272"/>
      <c r="I6" s="272"/>
      <c r="J6" s="273"/>
    </row>
    <row r="7" spans="1:45">
      <c r="B7" s="261" t="s">
        <v>115</v>
      </c>
      <c r="C7" s="262"/>
      <c r="D7" s="263" t="s">
        <v>1154</v>
      </c>
      <c r="E7" s="264"/>
      <c r="F7" s="264"/>
      <c r="G7" s="264"/>
      <c r="H7" s="264"/>
      <c r="I7" s="264"/>
      <c r="J7" s="265"/>
    </row>
    <row r="8" spans="1:45">
      <c r="B8" s="261" t="s">
        <v>116</v>
      </c>
      <c r="C8" s="262"/>
      <c r="D8" s="263" t="str">
        <f>エンティティ一覧!AE2&amp;"_"&amp;D5&amp;"_merge_receiptc_iy"</f>
        <v>azn_202310_backup_merge_receiptc_iy</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医科レセプト_医薬品レコードテーブルから組入れ条件の第一条件で絞り込んだ結果を格納するテーブル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milscm_2023_010.azn_202310_backup_merge_receiptc_iy;</v>
      </c>
      <c r="O10" s="76"/>
      <c r="P10" s="76"/>
      <c r="Q10" s="76"/>
      <c r="R10" s="76"/>
      <c r="S10" s="76"/>
      <c r="T10" s="76"/>
      <c r="AJ10" s="76" t="str">
        <f>"ALTER TABLE ONLY "&amp;エンティティ一覧!$O$2&amp;"."&amp;D$8</f>
        <v>ALTER TABLE ONLY milscm_2023_010.azn_202310_backup_merge_receiptc_iy</v>
      </c>
      <c r="AS10" s="76" t="str">
        <f>"ALTER TABLE "&amp;エンティティ一覧!$O$2&amp;"."&amp;D$8&amp;" OWNER TO pgmisgrp1;"</f>
        <v>ALTER TABLE milscm_2023_010.azn_202310_backup_merge_receiptc_iy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milscm_2023_010.azn_202310_backup_merge_receiptc_iy</v>
      </c>
      <c r="O11" s="76"/>
      <c r="P11" s="76"/>
      <c r="Q11" s="76"/>
      <c r="R11" s="76"/>
      <c r="S11" s="76"/>
      <c r="T11" s="76"/>
      <c r="AJ11" s="76" t="str">
        <f>"ADD CONSTRAINT "&amp;D$8&amp;"_pkey PRIMARY KEY"</f>
        <v>ADD CONSTRAINT azn_202310_backup_merge_receiptc_iy_pkey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milscm_2023_010.azn_202310_backup_merge_receiptc_iy IS 'バックアップ_医科レセプト_医薬品レコード';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5" si="0">UPPER(G13)</f>
        <v>TEXT</v>
      </c>
      <c r="R13" s="76" t="str">
        <f t="shared" ref="R13:R3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milscm_2023_010.azn_202310_backup_merge_receiptc_iy.torikomi_ym IS '取込年月';</v>
      </c>
    </row>
    <row r="14" spans="1:45" s="25" customFormat="1">
      <c r="A14" s="4"/>
      <c r="B14" s="21">
        <f t="shared" ref="B14:B34" si="2">ROW()-12</f>
        <v>2</v>
      </c>
      <c r="C14" s="6" t="s">
        <v>201</v>
      </c>
      <c r="D14" s="6" t="s">
        <v>202</v>
      </c>
      <c r="E14" s="8"/>
      <c r="F14" s="7" t="s">
        <v>203</v>
      </c>
      <c r="G14" s="7" t="str">
        <f t="shared" ref="G14:G35" si="3">IF(F14="フラグ","boolean",IF(F14="文字列","text",IF(F14="整数","integer",IF(F14="実数","numeric",""))))</f>
        <v>integer</v>
      </c>
      <c r="H14" s="26"/>
      <c r="I14" s="10"/>
      <c r="J14" s="11" t="s">
        <v>256</v>
      </c>
      <c r="M14" s="4"/>
      <c r="N14" s="76"/>
      <c r="O14" s="76"/>
      <c r="P14" s="76" t="str">
        <f t="shared" ref="P14:P3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milscm_2023_010.azn_202310_backup_merge_receiptc_iy.mil_karute_id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928</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milscm_2023_010.azn_202310_backup_merge_receiptc_iy.facility_id IS '施設ID';</v>
      </c>
    </row>
    <row r="16" spans="1:45" s="25" customFormat="1">
      <c r="B16" s="21">
        <f t="shared" si="2"/>
        <v>4</v>
      </c>
      <c r="C16" s="6" t="s">
        <v>902</v>
      </c>
      <c r="D16" s="6" t="s">
        <v>903</v>
      </c>
      <c r="E16" s="8" t="s">
        <v>127</v>
      </c>
      <c r="F16" s="7" t="s">
        <v>863</v>
      </c>
      <c r="G16" s="7" t="str">
        <f t="shared" si="3"/>
        <v>text</v>
      </c>
      <c r="H16" s="26"/>
      <c r="I16" s="10" t="s">
        <v>127</v>
      </c>
      <c r="J16" s="53" t="s">
        <v>1053</v>
      </c>
      <c r="M16" s="4"/>
      <c r="N16" s="76"/>
      <c r="O16" s="76"/>
      <c r="P16" s="76" t="str">
        <f t="shared" si="4"/>
        <v>,seikyu_ym</v>
      </c>
      <c r="Q16" s="76" t="str">
        <f t="shared" si="0"/>
        <v>TEXT</v>
      </c>
      <c r="R16" s="76" t="str">
        <f t="shared" si="1"/>
        <v/>
      </c>
      <c r="S16" s="76" t="str">
        <f t="shared" ref="S16:S35" si="5">IF(I16="○","NOT NULL","")</f>
        <v>NOT NULL</v>
      </c>
      <c r="T16" s="76" t="str">
        <f t="shared" ref="T16:T35"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milscm_2023_010.azn_202310_backup_merge_receiptc_iy.seikyu_ym IS '請求年月';</v>
      </c>
    </row>
    <row r="17" spans="2:45" s="25" customFormat="1">
      <c r="B17" s="21">
        <f t="shared" si="2"/>
        <v>5</v>
      </c>
      <c r="C17" s="13" t="s">
        <v>864</v>
      </c>
      <c r="D17" s="13" t="s">
        <v>205</v>
      </c>
      <c r="E17" s="7" t="s">
        <v>127</v>
      </c>
      <c r="F17" s="7" t="s">
        <v>863</v>
      </c>
      <c r="G17" s="7" t="str">
        <f t="shared" si="3"/>
        <v>text</v>
      </c>
      <c r="H17" s="58"/>
      <c r="I17" s="23" t="s">
        <v>127</v>
      </c>
      <c r="J17" s="24" t="s">
        <v>1112</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milscm_2023_010.azn_202310_backup_merge_receiptc_iy.shinryo_ym IS '診療年月';</v>
      </c>
    </row>
    <row r="18" spans="2:45" s="25" customFormat="1">
      <c r="B18" s="21">
        <f t="shared" si="2"/>
        <v>6</v>
      </c>
      <c r="C18" s="13" t="s">
        <v>318</v>
      </c>
      <c r="D18" s="13" t="s">
        <v>207</v>
      </c>
      <c r="E18" s="7"/>
      <c r="F18" s="7" t="s">
        <v>863</v>
      </c>
      <c r="G18" s="7" t="str">
        <f t="shared" si="3"/>
        <v>text</v>
      </c>
      <c r="H18" s="58" t="s">
        <v>930</v>
      </c>
      <c r="I18" s="23" t="s">
        <v>127</v>
      </c>
      <c r="J18" s="24" t="s">
        <v>931</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milscm_2023_010.azn_202310_backup_merge_receiptc_iy.data_type IS 'データ種別';</v>
      </c>
    </row>
    <row r="19" spans="2:45" s="25" customFormat="1">
      <c r="B19" s="21">
        <f t="shared" si="2"/>
        <v>7</v>
      </c>
      <c r="C19" s="13" t="s">
        <v>904</v>
      </c>
      <c r="D19" s="13" t="s">
        <v>905</v>
      </c>
      <c r="E19" s="7" t="s">
        <v>127</v>
      </c>
      <c r="F19" s="7" t="s">
        <v>863</v>
      </c>
      <c r="G19" s="7" t="str">
        <f t="shared" si="3"/>
        <v>text</v>
      </c>
      <c r="H19" s="58"/>
      <c r="I19" s="23" t="s">
        <v>127</v>
      </c>
      <c r="J19" s="24" t="s">
        <v>1055</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milscm_2023_010.azn_202310_backup_merge_receiptc_iy.shinsa_kikan IS '審査支払機関';</v>
      </c>
    </row>
    <row r="20" spans="2:45" s="25" customFormat="1">
      <c r="B20" s="21">
        <f t="shared" si="2"/>
        <v>8</v>
      </c>
      <c r="C20" s="13" t="s">
        <v>906</v>
      </c>
      <c r="D20" s="13" t="s">
        <v>907</v>
      </c>
      <c r="E20" s="7"/>
      <c r="F20" s="7" t="s">
        <v>863</v>
      </c>
      <c r="G20" s="7" t="str">
        <f t="shared" si="3"/>
        <v>text</v>
      </c>
      <c r="H20" s="58" t="s">
        <v>1159</v>
      </c>
      <c r="I20" s="23" t="s">
        <v>127</v>
      </c>
      <c r="J20" s="24" t="s">
        <v>1160</v>
      </c>
      <c r="N20" s="76"/>
      <c r="O20" s="76"/>
      <c r="P20" s="76" t="str">
        <f t="shared" si="4"/>
        <v>,record_shikibetsu</v>
      </c>
      <c r="Q20" s="76" t="str">
        <f t="shared" si="0"/>
        <v>TEXT</v>
      </c>
      <c r="R20" s="76" t="str">
        <f t="shared" si="1"/>
        <v>default 'IY'</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milscm_2023_010.azn_202310_backup_merge_receiptc_iy.record_shikibetsu IS 'レコード識別情報';</v>
      </c>
    </row>
    <row r="21" spans="2:45" s="25" customFormat="1">
      <c r="B21" s="21">
        <f t="shared" si="2"/>
        <v>9</v>
      </c>
      <c r="C21" s="13" t="s">
        <v>908</v>
      </c>
      <c r="D21" s="13" t="s">
        <v>909</v>
      </c>
      <c r="E21" s="7" t="s">
        <v>127</v>
      </c>
      <c r="F21" s="7" t="s">
        <v>203</v>
      </c>
      <c r="G21" s="7" t="str">
        <f t="shared" si="3"/>
        <v>integer</v>
      </c>
      <c r="H21" s="58"/>
      <c r="I21" s="23" t="s">
        <v>127</v>
      </c>
      <c r="J21" s="24" t="s">
        <v>1058</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milscm_2023_010.azn_202310_backup_merge_receiptc_iy.receipt_no IS 'レセプト番号';</v>
      </c>
    </row>
    <row r="22" spans="2:45" s="25" customFormat="1">
      <c r="B22" s="21">
        <f t="shared" si="2"/>
        <v>10</v>
      </c>
      <c r="C22" s="13" t="s">
        <v>910</v>
      </c>
      <c r="D22" s="13" t="s">
        <v>911</v>
      </c>
      <c r="E22" s="7" t="s">
        <v>127</v>
      </c>
      <c r="F22" s="7" t="s">
        <v>203</v>
      </c>
      <c r="G22" s="7" t="str">
        <f t="shared" si="3"/>
        <v>integer</v>
      </c>
      <c r="H22" s="58"/>
      <c r="I22" s="23" t="s">
        <v>127</v>
      </c>
      <c r="J22" s="24" t="s">
        <v>1115</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milscm_2023_010.azn_202310_backup_merge_receiptc_iy.gyo_no IS '行番号';</v>
      </c>
    </row>
    <row r="23" spans="2:45" s="25" customFormat="1">
      <c r="B23" s="21">
        <f t="shared" si="2"/>
        <v>11</v>
      </c>
      <c r="C23" s="13" t="s">
        <v>912</v>
      </c>
      <c r="D23" s="13" t="s">
        <v>913</v>
      </c>
      <c r="E23" s="7"/>
      <c r="F23" s="7" t="s">
        <v>863</v>
      </c>
      <c r="G23" s="7" t="str">
        <f t="shared" si="3"/>
        <v>text</v>
      </c>
      <c r="H23" s="58"/>
      <c r="I23" s="23"/>
      <c r="J23" s="24" t="s">
        <v>1060</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milscm_2023_010.azn_202310_backup_merge_receiptc_iy.karute_no IS 'カルテ番号等';</v>
      </c>
    </row>
    <row r="24" spans="2:45" s="25" customFormat="1">
      <c r="B24" s="21">
        <f t="shared" si="2"/>
        <v>12</v>
      </c>
      <c r="C24" s="13" t="s">
        <v>1119</v>
      </c>
      <c r="D24" s="13" t="s">
        <v>1120</v>
      </c>
      <c r="E24" s="7"/>
      <c r="F24" s="7" t="s">
        <v>863</v>
      </c>
      <c r="G24" s="7" t="str">
        <f t="shared" si="3"/>
        <v>text</v>
      </c>
      <c r="H24" s="58"/>
      <c r="I24" s="23"/>
      <c r="J24" s="24"/>
      <c r="N24" s="76"/>
      <c r="O24" s="76"/>
      <c r="P24" s="76" t="str">
        <f t="shared" si="4"/>
        <v>,shinryo_shikibetsu</v>
      </c>
      <c r="Q24" s="76" t="str">
        <f t="shared" si="0"/>
        <v>TEXT</v>
      </c>
      <c r="R24" s="76" t="str">
        <f t="shared" si="1"/>
        <v/>
      </c>
      <c r="S24" s="76" t="str">
        <f t="shared" si="5"/>
        <v/>
      </c>
      <c r="T24" s="76" t="str">
        <f t="shared" si="6"/>
        <v>-- 診療識別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milscm_2023_010.azn_202310_backup_merge_receiptc_iy.shinryo_shikibetsu IS '診療識別';</v>
      </c>
    </row>
    <row r="25" spans="2:45" s="25" customFormat="1">
      <c r="B25" s="21">
        <f t="shared" si="2"/>
        <v>13</v>
      </c>
      <c r="C25" s="13" t="s">
        <v>1121</v>
      </c>
      <c r="D25" s="13" t="s">
        <v>1122</v>
      </c>
      <c r="E25" s="7"/>
      <c r="F25" s="7" t="s">
        <v>863</v>
      </c>
      <c r="G25" s="7" t="str">
        <f t="shared" si="3"/>
        <v>text</v>
      </c>
      <c r="H25" s="58"/>
      <c r="I25" s="23"/>
      <c r="J25" s="24"/>
      <c r="N25" s="76"/>
      <c r="O25" s="76"/>
      <c r="P25" s="76" t="str">
        <f t="shared" si="4"/>
        <v>,futan_kubun</v>
      </c>
      <c r="Q25" s="76" t="str">
        <f t="shared" si="0"/>
        <v>TEXT</v>
      </c>
      <c r="R25" s="76" t="str">
        <f t="shared" si="1"/>
        <v/>
      </c>
      <c r="S25" s="76" t="str">
        <f t="shared" si="5"/>
        <v/>
      </c>
      <c r="T25" s="76" t="str">
        <f t="shared" si="6"/>
        <v>-- 負担区分</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milscm_2023_010.azn_202310_backup_merge_receiptc_iy.futan_kubun IS '負担区分';</v>
      </c>
    </row>
    <row r="26" spans="2:45" s="25" customFormat="1">
      <c r="B26" s="21">
        <f t="shared" si="2"/>
        <v>14</v>
      </c>
      <c r="C26" s="13" t="s">
        <v>1155</v>
      </c>
      <c r="D26" s="13" t="s">
        <v>1156</v>
      </c>
      <c r="E26" s="7"/>
      <c r="F26" s="7" t="s">
        <v>863</v>
      </c>
      <c r="G26" s="7" t="str">
        <f t="shared" si="3"/>
        <v>text</v>
      </c>
      <c r="H26" s="58"/>
      <c r="I26" s="23"/>
      <c r="J26" s="24"/>
      <c r="N26" s="76"/>
      <c r="O26" s="76"/>
      <c r="P26" s="76" t="str">
        <f t="shared" si="4"/>
        <v>,iyakuhin_code</v>
      </c>
      <c r="Q26" s="76" t="str">
        <f t="shared" si="0"/>
        <v>TEXT</v>
      </c>
      <c r="R26" s="76" t="str">
        <f t="shared" si="1"/>
        <v/>
      </c>
      <c r="S26" s="76" t="str">
        <f t="shared" si="5"/>
        <v/>
      </c>
      <c r="T26" s="76" t="str">
        <f t="shared" si="6"/>
        <v>-- 医薬品コード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milscm_2023_010.azn_202310_backup_merge_receiptc_iy.iyakuhin_code IS '医薬品コード';</v>
      </c>
    </row>
    <row r="27" spans="2:45" s="25" customFormat="1" ht="37.5">
      <c r="B27" s="21">
        <f t="shared" si="2"/>
        <v>15</v>
      </c>
      <c r="C27" s="13" t="s">
        <v>1157</v>
      </c>
      <c r="D27" s="13" t="s">
        <v>129</v>
      </c>
      <c r="E27" s="7"/>
      <c r="F27" s="7" t="s">
        <v>1158</v>
      </c>
      <c r="G27" s="7" t="str">
        <f t="shared" si="3"/>
        <v>numeric</v>
      </c>
      <c r="H27" s="58"/>
      <c r="I27" s="23"/>
      <c r="J27" s="24" t="s">
        <v>1161</v>
      </c>
      <c r="N27" s="76"/>
      <c r="O27" s="76"/>
      <c r="P27" s="76" t="str">
        <f t="shared" si="4"/>
        <v>,shiyoryo</v>
      </c>
      <c r="Q27" s="76" t="str">
        <f t="shared" si="0"/>
        <v>NUMERIC</v>
      </c>
      <c r="R27" s="76" t="str">
        <f t="shared" si="1"/>
        <v/>
      </c>
      <c r="S27" s="76" t="str">
        <f t="shared" si="5"/>
        <v/>
      </c>
      <c r="T27" s="76" t="str">
        <f t="shared" si="6"/>
        <v>-- 使用量</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milscm_2023_010.azn_202310_backup_merge_receiptc_iy.shiyoryo IS '使用量';</v>
      </c>
    </row>
    <row r="28" spans="2:45" s="25" customFormat="1">
      <c r="B28" s="21">
        <f t="shared" si="2"/>
        <v>16</v>
      </c>
      <c r="C28" s="13" t="s">
        <v>1127</v>
      </c>
      <c r="D28" s="13" t="s">
        <v>1128</v>
      </c>
      <c r="E28" s="7"/>
      <c r="F28" s="7" t="s">
        <v>203</v>
      </c>
      <c r="G28" s="7" t="str">
        <f t="shared" si="3"/>
        <v>integer</v>
      </c>
      <c r="H28" s="58"/>
      <c r="I28" s="23"/>
      <c r="J28" s="24"/>
      <c r="N28" s="76"/>
      <c r="O28" s="76"/>
      <c r="P28" s="76" t="str">
        <f t="shared" si="4"/>
        <v>,tensu</v>
      </c>
      <c r="Q28" s="76" t="str">
        <f t="shared" si="0"/>
        <v>INTEGER</v>
      </c>
      <c r="R28" s="76" t="str">
        <f t="shared" si="1"/>
        <v/>
      </c>
      <c r="S28" s="76" t="str">
        <f t="shared" si="5"/>
        <v/>
      </c>
      <c r="T28" s="76" t="str">
        <f t="shared" si="6"/>
        <v>-- 点数</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milscm_2023_010.azn_202310_backup_merge_receiptc_iy.tensu IS '点数';</v>
      </c>
    </row>
    <row r="29" spans="2:45" s="25" customFormat="1">
      <c r="B29" s="21">
        <f t="shared" si="2"/>
        <v>17</v>
      </c>
      <c r="C29" s="13" t="s">
        <v>1129</v>
      </c>
      <c r="D29" s="13" t="s">
        <v>1130</v>
      </c>
      <c r="E29" s="7"/>
      <c r="F29" s="7" t="s">
        <v>203</v>
      </c>
      <c r="G29" s="7" t="str">
        <f t="shared" si="3"/>
        <v>integer</v>
      </c>
      <c r="H29" s="58"/>
      <c r="I29" s="23"/>
      <c r="J29" s="24"/>
      <c r="N29" s="76"/>
      <c r="O29" s="76"/>
      <c r="P29" s="76" t="str">
        <f t="shared" si="4"/>
        <v>,times</v>
      </c>
      <c r="Q29" s="76" t="str">
        <f t="shared" si="0"/>
        <v>INTEGER</v>
      </c>
      <c r="R29" s="76" t="str">
        <f t="shared" si="1"/>
        <v/>
      </c>
      <c r="S29" s="76" t="str">
        <f t="shared" si="5"/>
        <v/>
      </c>
      <c r="T29" s="76" t="str">
        <f t="shared" si="6"/>
        <v>-- 回数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milscm_2023_010.azn_202310_backup_merge_receiptc_iy.times IS '回数';</v>
      </c>
    </row>
    <row r="30" spans="2:45" s="25" customFormat="1">
      <c r="B30" s="21">
        <f t="shared" si="2"/>
        <v>18</v>
      </c>
      <c r="C30" s="13" t="s">
        <v>1131</v>
      </c>
      <c r="D30" s="13" t="s">
        <v>1132</v>
      </c>
      <c r="E30" s="7"/>
      <c r="F30" s="7" t="s">
        <v>863</v>
      </c>
      <c r="G30" s="7" t="str">
        <f t="shared" si="3"/>
        <v>text</v>
      </c>
      <c r="H30" s="58"/>
      <c r="I30" s="23"/>
      <c r="J30" s="24"/>
      <c r="N30" s="76"/>
      <c r="O30" s="76"/>
      <c r="P30" s="76" t="str">
        <f t="shared" si="4"/>
        <v>,comment_code1</v>
      </c>
      <c r="Q30" s="76" t="str">
        <f t="shared" si="0"/>
        <v>TEXT</v>
      </c>
      <c r="R30" s="76" t="str">
        <f t="shared" si="1"/>
        <v/>
      </c>
      <c r="S30" s="76" t="str">
        <f t="shared" si="5"/>
        <v/>
      </c>
      <c r="T30" s="76" t="str">
        <f t="shared" si="6"/>
        <v>-- コメントコード1</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milscm_2023_010.azn_202310_backup_merge_receiptc_iy.comment_code1 IS 'コメントコード1';</v>
      </c>
    </row>
    <row r="31" spans="2:45" s="25" customFormat="1">
      <c r="B31" s="21">
        <f t="shared" si="2"/>
        <v>19</v>
      </c>
      <c r="C31" s="13" t="s">
        <v>1133</v>
      </c>
      <c r="D31" s="13" t="s">
        <v>1134</v>
      </c>
      <c r="E31" s="7"/>
      <c r="F31" s="7" t="s">
        <v>863</v>
      </c>
      <c r="G31" s="7" t="str">
        <f t="shared" si="3"/>
        <v>text</v>
      </c>
      <c r="H31" s="58"/>
      <c r="I31" s="23"/>
      <c r="J31" s="24"/>
      <c r="N31" s="76"/>
      <c r="O31" s="76"/>
      <c r="P31" s="76" t="str">
        <f t="shared" si="4"/>
        <v>,comment_data1</v>
      </c>
      <c r="Q31" s="76" t="str">
        <f t="shared" si="0"/>
        <v>TEXT</v>
      </c>
      <c r="R31" s="76" t="str">
        <f t="shared" si="1"/>
        <v/>
      </c>
      <c r="S31" s="76" t="str">
        <f t="shared" si="5"/>
        <v/>
      </c>
      <c r="T31" s="76" t="str">
        <f t="shared" si="6"/>
        <v>-- 文字データ1</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milscm_2023_010.azn_202310_backup_merge_receiptc_iy.comment_data1 IS '文字データ1';</v>
      </c>
    </row>
    <row r="32" spans="2:45" s="25" customFormat="1">
      <c r="B32" s="21">
        <f t="shared" si="2"/>
        <v>20</v>
      </c>
      <c r="C32" s="13" t="s">
        <v>1135</v>
      </c>
      <c r="D32" s="13" t="s">
        <v>1136</v>
      </c>
      <c r="E32" s="7"/>
      <c r="F32" s="7" t="s">
        <v>863</v>
      </c>
      <c r="G32" s="7" t="str">
        <f t="shared" si="3"/>
        <v>text</v>
      </c>
      <c r="H32" s="58"/>
      <c r="I32" s="23"/>
      <c r="J32" s="24"/>
      <c r="N32" s="76"/>
      <c r="O32" s="76"/>
      <c r="P32" s="76" t="str">
        <f t="shared" si="4"/>
        <v>,comment_code2</v>
      </c>
      <c r="Q32" s="76" t="str">
        <f t="shared" si="0"/>
        <v>TEXT</v>
      </c>
      <c r="R32" s="76" t="str">
        <f t="shared" si="1"/>
        <v/>
      </c>
      <c r="S32" s="76" t="str">
        <f t="shared" si="5"/>
        <v/>
      </c>
      <c r="T32" s="76" t="str">
        <f t="shared" si="6"/>
        <v>-- コメントコード2</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milscm_2023_010.azn_202310_backup_merge_receiptc_iy.comment_code2 IS 'コメントコード2';</v>
      </c>
    </row>
    <row r="33" spans="1:52" s="25" customFormat="1">
      <c r="B33" s="21">
        <f t="shared" si="2"/>
        <v>21</v>
      </c>
      <c r="C33" s="13" t="s">
        <v>1137</v>
      </c>
      <c r="D33" s="13" t="s">
        <v>1138</v>
      </c>
      <c r="E33" s="7"/>
      <c r="F33" s="7" t="s">
        <v>863</v>
      </c>
      <c r="G33" s="7" t="str">
        <f t="shared" si="3"/>
        <v>text</v>
      </c>
      <c r="H33" s="58"/>
      <c r="I33" s="23"/>
      <c r="J33" s="24"/>
      <c r="N33" s="76"/>
      <c r="O33" s="76"/>
      <c r="P33" s="76" t="str">
        <f t="shared" si="4"/>
        <v>,comment_data2</v>
      </c>
      <c r="Q33" s="76" t="str">
        <f t="shared" si="0"/>
        <v>TEXT</v>
      </c>
      <c r="R33" s="76" t="str">
        <f t="shared" si="1"/>
        <v/>
      </c>
      <c r="S33" s="76" t="str">
        <f t="shared" si="5"/>
        <v/>
      </c>
      <c r="T33" s="76" t="str">
        <f t="shared" si="6"/>
        <v>-- 文字データ2</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milscm_2023_010.azn_202310_backup_merge_receiptc_iy.comment_data2 IS '文字データ2';</v>
      </c>
    </row>
    <row r="34" spans="1:52" s="25" customFormat="1">
      <c r="B34" s="21">
        <f t="shared" si="2"/>
        <v>22</v>
      </c>
      <c r="C34" s="13" t="s">
        <v>1139</v>
      </c>
      <c r="D34" s="13" t="s">
        <v>1140</v>
      </c>
      <c r="E34" s="7"/>
      <c r="F34" s="7" t="s">
        <v>863</v>
      </c>
      <c r="G34" s="7" t="str">
        <f t="shared" si="3"/>
        <v>text</v>
      </c>
      <c r="H34" s="58"/>
      <c r="I34" s="23"/>
      <c r="J34" s="24"/>
      <c r="N34" s="76"/>
      <c r="O34" s="76"/>
      <c r="P34" s="76" t="str">
        <f t="shared" si="4"/>
        <v>,comment_code3</v>
      </c>
      <c r="Q34" s="76" t="str">
        <f t="shared" si="0"/>
        <v>TEXT</v>
      </c>
      <c r="R34" s="76" t="str">
        <f t="shared" si="1"/>
        <v/>
      </c>
      <c r="S34" s="76" t="str">
        <f t="shared" si="5"/>
        <v/>
      </c>
      <c r="T34" s="76" t="str">
        <f t="shared" si="6"/>
        <v>-- コメントコード3</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milscm_2023_010.azn_202310_backup_merge_receiptc_iy.comment_code3 IS 'コメントコード3';</v>
      </c>
    </row>
    <row r="35" spans="1:52" s="25" customFormat="1" ht="19.5" thickBot="1">
      <c r="A35" s="4"/>
      <c r="B35" s="27">
        <f>ROW()-12</f>
        <v>23</v>
      </c>
      <c r="C35" s="57" t="s">
        <v>1141</v>
      </c>
      <c r="D35" s="57" t="s">
        <v>1142</v>
      </c>
      <c r="E35" s="56"/>
      <c r="F35" s="56" t="s">
        <v>863</v>
      </c>
      <c r="G35" s="56" t="str">
        <f t="shared" si="3"/>
        <v>text</v>
      </c>
      <c r="H35" s="59"/>
      <c r="I35" s="60"/>
      <c r="J35" s="63"/>
      <c r="N35" s="76"/>
      <c r="O35" s="76"/>
      <c r="P35" s="76" t="str">
        <f t="shared" si="4"/>
        <v>,comment_data3</v>
      </c>
      <c r="Q35" s="76" t="str">
        <f t="shared" si="0"/>
        <v>TEXT</v>
      </c>
      <c r="R35" s="76" t="str">
        <f t="shared" si="1"/>
        <v/>
      </c>
      <c r="S35" s="76" t="str">
        <f t="shared" si="5"/>
        <v/>
      </c>
      <c r="T35" s="76" t="str">
        <f t="shared" si="6"/>
        <v>-- 文字データ3</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milscm_2023_010.azn_202310_backup_merge_receiptc_iy.comment_data3 IS '文字データ3';</v>
      </c>
    </row>
    <row r="36" spans="1:52">
      <c r="L36" s="25"/>
      <c r="M36" s="25"/>
      <c r="N36" s="76" t="s">
        <v>142</v>
      </c>
      <c r="O36" s="76"/>
      <c r="P36" s="76"/>
      <c r="Q36" s="76"/>
      <c r="R36" s="76"/>
      <c r="S36" s="76"/>
      <c r="T36" s="76"/>
      <c r="V36" s="25"/>
      <c r="W36" s="25"/>
      <c r="X36" s="25"/>
      <c r="Y36" s="25"/>
      <c r="Z36" s="25"/>
      <c r="AJ36" s="76" t="s">
        <v>142</v>
      </c>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ENT_01_C2-10</v>
      </c>
      <c r="E6" s="272"/>
      <c r="F6" s="272"/>
      <c r="G6" s="272"/>
      <c r="H6" s="272"/>
      <c r="I6" s="272"/>
      <c r="J6" s="273"/>
    </row>
    <row r="7" spans="1:45">
      <c r="B7" s="261" t="s">
        <v>115</v>
      </c>
      <c r="C7" s="262"/>
      <c r="D7" s="263" t="s">
        <v>1162</v>
      </c>
      <c r="E7" s="264"/>
      <c r="F7" s="264"/>
      <c r="G7" s="264"/>
      <c r="H7" s="264"/>
      <c r="I7" s="264"/>
      <c r="J7" s="265"/>
    </row>
    <row r="8" spans="1:45">
      <c r="B8" s="261" t="s">
        <v>116</v>
      </c>
      <c r="C8" s="262"/>
      <c r="D8" s="263" t="str">
        <f>エンティティ一覧!AE2&amp;"_"&amp;D5&amp;"_merge_receiptc_iy_day"</f>
        <v>azn_202310_backup_merge_receiptc_iy_day</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医科レセプト_医薬品レコード_算定日情報テーブルから組入れ条件の第一条件で絞り込んだ結果を格納するテーブル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milscm_2023_010.azn_202310_backup_merge_receiptc_iy_day;</v>
      </c>
      <c r="O10" s="76"/>
      <c r="P10" s="76"/>
      <c r="Q10" s="76"/>
      <c r="R10" s="76"/>
      <c r="S10" s="76"/>
      <c r="T10" s="76"/>
      <c r="AJ10" s="76" t="str">
        <f>"ALTER TABLE ONLY "&amp;エンティティ一覧!$O$2&amp;"."&amp;D$8</f>
        <v>ALTER TABLE ONLY milscm_2023_010.azn_202310_backup_merge_receiptc_iy_day</v>
      </c>
      <c r="AS10" s="76" t="str">
        <f>"ALTER TABLE "&amp;エンティティ一覧!$O$2&amp;"."&amp;D$8&amp;" OWNER TO pgmisgrp1;"</f>
        <v>ALTER TABLE milscm_2023_010.azn_202310_backup_merge_receiptc_iy_day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milscm_2023_010.azn_202310_backup_merge_receiptc_iy_day</v>
      </c>
      <c r="O11" s="76"/>
      <c r="P11" s="76"/>
      <c r="Q11" s="76"/>
      <c r="R11" s="76"/>
      <c r="S11" s="76"/>
      <c r="T11" s="76"/>
      <c r="AJ11" s="76" t="str">
        <f>"ADD CONSTRAINT "&amp;D$8&amp;"_pkey PRIMARY KEY"</f>
        <v>ADD CONSTRAINT azn_202310_backup_merge_receiptc_iy_day_pkey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milscm_2023_010.azn_202310_backup_merge_receiptc_iy_day IS 'バックアップ_医科レセプト_医薬品レコード_算定日情報';</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milscm_2023_010.azn_202310_backup_merge_receiptc_iy_day.torikomi_ym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256</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milscm_2023_010.azn_202310_backup_merge_receiptc_iy_day.mil_karute_id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928</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milscm_2023_010.azn_202310_backup_merge_receiptc_iy_day.facility_id IS '施設ID';</v>
      </c>
    </row>
    <row r="16" spans="1:45" s="25" customFormat="1">
      <c r="B16" s="21">
        <f t="shared" si="2"/>
        <v>4</v>
      </c>
      <c r="C16" s="6" t="s">
        <v>902</v>
      </c>
      <c r="D16" s="6" t="s">
        <v>903</v>
      </c>
      <c r="E16" s="8" t="s">
        <v>127</v>
      </c>
      <c r="F16" s="7" t="s">
        <v>863</v>
      </c>
      <c r="G16" s="7" t="str">
        <f t="shared" si="3"/>
        <v>text</v>
      </c>
      <c r="H16" s="26"/>
      <c r="I16" s="10" t="s">
        <v>127</v>
      </c>
      <c r="J16" s="53" t="s">
        <v>1053</v>
      </c>
      <c r="M16" s="4"/>
      <c r="N16" s="76"/>
      <c r="O16" s="76"/>
      <c r="P16" s="76" t="str">
        <f t="shared" si="4"/>
        <v>,seikyu_ym</v>
      </c>
      <c r="Q16" s="76" t="str">
        <f t="shared" si="0"/>
        <v>TEXT</v>
      </c>
      <c r="R16" s="76" t="str">
        <f t="shared" si="1"/>
        <v/>
      </c>
      <c r="S16" s="76" t="str">
        <f t="shared" ref="S16:S25" si="5">IF(I16="○","NOT NULL","")</f>
        <v>NOT NULL</v>
      </c>
      <c r="T16" s="76" t="str">
        <f t="shared" ref="T16:T25"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milscm_2023_010.azn_202310_backup_merge_receiptc_iy_day.seikyu_ym IS '請求年月';</v>
      </c>
    </row>
    <row r="17" spans="1:52" s="25" customFormat="1">
      <c r="B17" s="21">
        <f t="shared" si="2"/>
        <v>5</v>
      </c>
      <c r="C17" s="13" t="s">
        <v>864</v>
      </c>
      <c r="D17" s="13" t="s">
        <v>205</v>
      </c>
      <c r="E17" s="7" t="s">
        <v>127</v>
      </c>
      <c r="F17" s="7" t="s">
        <v>863</v>
      </c>
      <c r="G17" s="7" t="str">
        <f t="shared" si="3"/>
        <v>text</v>
      </c>
      <c r="H17" s="58"/>
      <c r="I17" s="23" t="s">
        <v>127</v>
      </c>
      <c r="J17" s="24" t="s">
        <v>1112</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milscm_2023_010.azn_202310_backup_merge_receiptc_iy_day.shinryo_ym IS '診療年月';</v>
      </c>
    </row>
    <row r="18" spans="1:52" s="25" customFormat="1">
      <c r="B18" s="21">
        <f t="shared" si="2"/>
        <v>6</v>
      </c>
      <c r="C18" s="13" t="s">
        <v>318</v>
      </c>
      <c r="D18" s="13" t="s">
        <v>207</v>
      </c>
      <c r="E18" s="7"/>
      <c r="F18" s="7" t="s">
        <v>863</v>
      </c>
      <c r="G18" s="7" t="str">
        <f t="shared" si="3"/>
        <v>text</v>
      </c>
      <c r="H18" s="58" t="s">
        <v>930</v>
      </c>
      <c r="I18" s="23" t="s">
        <v>127</v>
      </c>
      <c r="J18" s="24" t="s">
        <v>931</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milscm_2023_010.azn_202310_backup_merge_receiptc_iy_day.data_type IS 'データ種別';</v>
      </c>
    </row>
    <row r="19" spans="1:52" s="25" customFormat="1">
      <c r="B19" s="21">
        <f t="shared" si="2"/>
        <v>7</v>
      </c>
      <c r="C19" s="13" t="s">
        <v>904</v>
      </c>
      <c r="D19" s="13" t="s">
        <v>905</v>
      </c>
      <c r="E19" s="7" t="s">
        <v>127</v>
      </c>
      <c r="F19" s="7" t="s">
        <v>863</v>
      </c>
      <c r="G19" s="7" t="str">
        <f t="shared" si="3"/>
        <v>text</v>
      </c>
      <c r="H19" s="58"/>
      <c r="I19" s="23" t="s">
        <v>127</v>
      </c>
      <c r="J19" s="24" t="s">
        <v>1055</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milscm_2023_010.azn_202310_backup_merge_receiptc_iy_day.shinsa_kikan IS '審査支払機関';</v>
      </c>
    </row>
    <row r="20" spans="1:52" s="25" customFormat="1">
      <c r="B20" s="21">
        <f t="shared" si="2"/>
        <v>8</v>
      </c>
      <c r="C20" s="13" t="s">
        <v>906</v>
      </c>
      <c r="D20" s="13" t="s">
        <v>907</v>
      </c>
      <c r="E20" s="7"/>
      <c r="F20" s="7" t="s">
        <v>863</v>
      </c>
      <c r="G20" s="7" t="str">
        <f t="shared" si="3"/>
        <v>text</v>
      </c>
      <c r="H20" s="58" t="s">
        <v>1143</v>
      </c>
      <c r="I20" s="23" t="s">
        <v>127</v>
      </c>
      <c r="J20" s="24" t="s">
        <v>1144</v>
      </c>
      <c r="N20" s="76"/>
      <c r="O20" s="76"/>
      <c r="P20" s="76" t="str">
        <f t="shared" si="4"/>
        <v>,record_shikibetsu</v>
      </c>
      <c r="Q20" s="76" t="str">
        <f t="shared" si="0"/>
        <v>TEXT</v>
      </c>
      <c r="R20" s="76" t="str">
        <f t="shared" si="1"/>
        <v>default 'SI'</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milscm_2023_010.azn_202310_backup_merge_receiptc_iy_day.record_shikibetsu IS 'レコード識別情報';</v>
      </c>
    </row>
    <row r="21" spans="1:52" s="25" customFormat="1">
      <c r="B21" s="21">
        <f t="shared" si="2"/>
        <v>9</v>
      </c>
      <c r="C21" s="13" t="s">
        <v>908</v>
      </c>
      <c r="D21" s="13" t="s">
        <v>909</v>
      </c>
      <c r="E21" s="7" t="s">
        <v>127</v>
      </c>
      <c r="F21" s="7" t="s">
        <v>203</v>
      </c>
      <c r="G21" s="7" t="str">
        <f t="shared" si="3"/>
        <v>integer</v>
      </c>
      <c r="H21" s="58"/>
      <c r="I21" s="23" t="s">
        <v>127</v>
      </c>
      <c r="J21" s="24" t="s">
        <v>1058</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milscm_2023_010.azn_202310_backup_merge_receiptc_iy_day.receipt_no IS 'レセプト番号';</v>
      </c>
    </row>
    <row r="22" spans="1:52" s="25" customFormat="1">
      <c r="B22" s="21">
        <f t="shared" si="2"/>
        <v>10</v>
      </c>
      <c r="C22" s="13" t="s">
        <v>910</v>
      </c>
      <c r="D22" s="13" t="s">
        <v>911</v>
      </c>
      <c r="E22" s="7" t="s">
        <v>127</v>
      </c>
      <c r="F22" s="7" t="s">
        <v>203</v>
      </c>
      <c r="G22" s="7" t="str">
        <f t="shared" si="3"/>
        <v>integer</v>
      </c>
      <c r="H22" s="58"/>
      <c r="I22" s="23" t="s">
        <v>127</v>
      </c>
      <c r="J22" s="24" t="s">
        <v>1115</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milscm_2023_010.azn_202310_backup_merge_receiptc_iy_day.gyo_no IS '行番号';</v>
      </c>
    </row>
    <row r="23" spans="1:52" s="25" customFormat="1">
      <c r="B23" s="21">
        <f t="shared" si="2"/>
        <v>11</v>
      </c>
      <c r="C23" s="13" t="s">
        <v>912</v>
      </c>
      <c r="D23" s="13" t="s">
        <v>913</v>
      </c>
      <c r="E23" s="7"/>
      <c r="F23" s="7" t="s">
        <v>863</v>
      </c>
      <c r="G23" s="7" t="str">
        <f t="shared" si="3"/>
        <v>text</v>
      </c>
      <c r="H23" s="58"/>
      <c r="I23" s="23"/>
      <c r="J23" s="24" t="s">
        <v>1060</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milscm_2023_010.azn_202310_backup_merge_receiptc_iy_day.karute_no IS 'カルテ番号等';</v>
      </c>
    </row>
    <row r="24" spans="1:52" s="25" customFormat="1">
      <c r="B24" s="21">
        <f t="shared" si="2"/>
        <v>12</v>
      </c>
      <c r="C24" s="13" t="s">
        <v>1147</v>
      </c>
      <c r="D24" s="13" t="s">
        <v>1148</v>
      </c>
      <c r="E24" s="7" t="s">
        <v>127</v>
      </c>
      <c r="F24" s="7" t="s">
        <v>863</v>
      </c>
      <c r="G24" s="7" t="str">
        <f t="shared" si="3"/>
        <v>text</v>
      </c>
      <c r="H24" s="58"/>
      <c r="I24" s="23" t="s">
        <v>127</v>
      </c>
      <c r="J24" s="24" t="s">
        <v>1150</v>
      </c>
      <c r="N24" s="76"/>
      <c r="O24" s="76"/>
      <c r="P24" s="76" t="str">
        <f t="shared" si="4"/>
        <v>,santei_ymd</v>
      </c>
      <c r="Q24" s="76" t="str">
        <f t="shared" si="0"/>
        <v>TEXT</v>
      </c>
      <c r="R24" s="76" t="str">
        <f t="shared" si="1"/>
        <v/>
      </c>
      <c r="S24" s="76" t="str">
        <f t="shared" si="5"/>
        <v>NOT NULL</v>
      </c>
      <c r="T24" s="76" t="str">
        <f t="shared" si="6"/>
        <v>-- 算定日</v>
      </c>
      <c r="U24" s="4"/>
      <c r="AA24" s="4"/>
      <c r="AB24" s="4"/>
      <c r="AC24" s="4"/>
      <c r="AD24" s="4"/>
      <c r="AE24" s="4"/>
      <c r="AF24" s="4"/>
      <c r="AG24" s="4"/>
      <c r="AH24" s="4"/>
      <c r="AI24" s="4"/>
      <c r="AJ24" s="76" t="str">
        <f>IF(E24="○",IF(COUNTA(E$13:E24)=1,"",",")&amp;D24,"")</f>
        <v>,santei_ymd</v>
      </c>
      <c r="AK24" s="4"/>
      <c r="AL24" s="4"/>
      <c r="AM24" s="4"/>
      <c r="AN24" s="4"/>
      <c r="AO24" s="4"/>
      <c r="AP24" s="4"/>
      <c r="AQ24" s="4"/>
      <c r="AR24" s="4"/>
      <c r="AS24" s="76" t="str">
        <f>"COMMENT ON COLUMN "&amp;エンティティ一覧!$O$2&amp;"."&amp;D$8&amp;"."&amp;D24&amp;" IS '"&amp;C24&amp;"';"</f>
        <v>COMMENT ON COLUMN milscm_2023_010.azn_202310_backup_merge_receiptc_iy_day.santei_ymd IS '算定日';</v>
      </c>
    </row>
    <row r="25" spans="1:52" s="25" customFormat="1" ht="19.5" thickBot="1">
      <c r="A25" s="4"/>
      <c r="B25" s="27">
        <f>ROW()-12</f>
        <v>13</v>
      </c>
      <c r="C25" s="57" t="s">
        <v>1149</v>
      </c>
      <c r="D25" s="57" t="s">
        <v>1130</v>
      </c>
      <c r="E25" s="56"/>
      <c r="F25" s="56" t="s">
        <v>203</v>
      </c>
      <c r="G25" s="56" t="str">
        <f t="shared" si="3"/>
        <v>integer</v>
      </c>
      <c r="H25" s="59"/>
      <c r="I25" s="60"/>
      <c r="J25" s="63"/>
      <c r="N25" s="76"/>
      <c r="O25" s="76"/>
      <c r="P25" s="76" t="str">
        <f t="shared" si="4"/>
        <v>,times</v>
      </c>
      <c r="Q25" s="76" t="str">
        <f t="shared" si="0"/>
        <v>INTEGER</v>
      </c>
      <c r="R25" s="76" t="str">
        <f t="shared" si="1"/>
        <v/>
      </c>
      <c r="S25" s="76" t="str">
        <f t="shared" si="5"/>
        <v/>
      </c>
      <c r="T25" s="76" t="str">
        <f t="shared" si="6"/>
        <v>-- 回数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milscm_2023_010.azn_202310_backup_merge_receiptc_iy_day.times IS '回数';</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ENT_01_C2-16</v>
      </c>
      <c r="E6" s="272"/>
      <c r="F6" s="272"/>
      <c r="G6" s="272"/>
      <c r="H6" s="272"/>
      <c r="I6" s="272"/>
      <c r="J6" s="273"/>
    </row>
    <row r="7" spans="1:45">
      <c r="B7" s="261" t="s">
        <v>115</v>
      </c>
      <c r="C7" s="262"/>
      <c r="D7" s="263" t="s">
        <v>1163</v>
      </c>
      <c r="E7" s="264"/>
      <c r="F7" s="264"/>
      <c r="G7" s="264"/>
      <c r="H7" s="264"/>
      <c r="I7" s="264"/>
      <c r="J7" s="265"/>
    </row>
    <row r="8" spans="1:45">
      <c r="B8" s="261" t="s">
        <v>116</v>
      </c>
      <c r="C8" s="262"/>
      <c r="D8" s="263" t="str">
        <f>エンティティ一覧!AE2&amp;"_"&amp;D5&amp;"_merge_receiptc_tr"</f>
        <v>azn_202310_backup_merge_receiptc_tr</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医科レセプト_臓器提供者レセプト情報レコードテーブルから組入れ条件の第一条件で絞り込んだ結果を格納するテーブル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milscm_2023_010.azn_202310_backup_merge_receiptc_tr;</v>
      </c>
      <c r="O10" s="76"/>
      <c r="P10" s="76"/>
      <c r="Q10" s="76"/>
      <c r="R10" s="76"/>
      <c r="S10" s="76"/>
      <c r="T10" s="76"/>
      <c r="AJ10" s="76" t="str">
        <f>"ALTER TABLE ONLY "&amp;エンティティ一覧!$O$2&amp;"."&amp;D$8</f>
        <v>ALTER TABLE ONLY milscm_2023_010.azn_202310_backup_merge_receiptc_tr</v>
      </c>
      <c r="AS10" s="76" t="str">
        <f>"ALTER TABLE "&amp;エンティティ一覧!$O$2&amp;"."&amp;D$8&amp;" OWNER TO pgmisgrp1;"</f>
        <v>ALTER TABLE milscm_2023_010.azn_202310_backup_merge_receiptc_tr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milscm_2023_010.azn_202310_backup_merge_receiptc_tr</v>
      </c>
      <c r="O11" s="76"/>
      <c r="P11" s="76"/>
      <c r="Q11" s="76"/>
      <c r="R11" s="76"/>
      <c r="S11" s="76"/>
      <c r="T11" s="76"/>
      <c r="AJ11" s="76" t="str">
        <f>"ADD CONSTRAINT "&amp;D$8&amp;"_pkey PRIMARY KEY"</f>
        <v>ADD CONSTRAINT azn_202310_backup_merge_receiptc_tr_pkey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milscm_2023_010.azn_202310_backup_merge_receiptc_tr IS 'バックアップ_医科レセプト_臓器提供者レセプト情報レコード';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47" si="0">UPPER(G13)</f>
        <v>TEXT</v>
      </c>
      <c r="R13" s="76" t="str">
        <f t="shared" ref="R13:R47"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milscm_2023_010.azn_202310_backup_merge_receiptc_tr.torikomi_ym IS '取込年月';</v>
      </c>
    </row>
    <row r="14" spans="1:45" s="25" customFormat="1">
      <c r="A14" s="4"/>
      <c r="B14" s="21">
        <f t="shared" ref="B14:B46" si="2">ROW()-12</f>
        <v>2</v>
      </c>
      <c r="C14" s="6" t="s">
        <v>201</v>
      </c>
      <c r="D14" s="6" t="s">
        <v>202</v>
      </c>
      <c r="E14" s="8"/>
      <c r="F14" s="7" t="s">
        <v>203</v>
      </c>
      <c r="G14" s="7" t="str">
        <f t="shared" ref="G14:G47" si="3">IF(F14="フラグ","boolean",IF(F14="文字列","text",IF(F14="整数","integer",IF(F14="実数","numeric",""))))</f>
        <v>integer</v>
      </c>
      <c r="H14" s="26"/>
      <c r="I14" s="10"/>
      <c r="J14" s="11" t="s">
        <v>256</v>
      </c>
      <c r="M14" s="4"/>
      <c r="N14" s="76"/>
      <c r="O14" s="76"/>
      <c r="P14" s="76" t="str">
        <f t="shared" ref="P14:P47"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milscm_2023_010.azn_202310_backup_merge_receiptc_tr.mil_karute_id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928</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milscm_2023_010.azn_202310_backup_merge_receiptc_tr.facility_id IS '施設ID';</v>
      </c>
    </row>
    <row r="16" spans="1:45" s="25" customFormat="1">
      <c r="B16" s="21">
        <f t="shared" si="2"/>
        <v>4</v>
      </c>
      <c r="C16" s="6" t="s">
        <v>902</v>
      </c>
      <c r="D16" s="6" t="s">
        <v>903</v>
      </c>
      <c r="E16" s="8" t="s">
        <v>127</v>
      </c>
      <c r="F16" s="7" t="s">
        <v>863</v>
      </c>
      <c r="G16" s="7" t="str">
        <f t="shared" si="3"/>
        <v>text</v>
      </c>
      <c r="H16" s="26"/>
      <c r="I16" s="10" t="s">
        <v>127</v>
      </c>
      <c r="J16" s="53" t="s">
        <v>1053</v>
      </c>
      <c r="M16" s="4"/>
      <c r="N16" s="76"/>
      <c r="O16" s="76"/>
      <c r="P16" s="76" t="str">
        <f t="shared" si="4"/>
        <v>,seikyu_ym</v>
      </c>
      <c r="Q16" s="76" t="str">
        <f t="shared" si="0"/>
        <v>TEXT</v>
      </c>
      <c r="R16" s="76" t="str">
        <f t="shared" si="1"/>
        <v/>
      </c>
      <c r="S16" s="76" t="str">
        <f t="shared" ref="S16:S47" si="5">IF(I16="○","NOT NULL","")</f>
        <v>NOT NULL</v>
      </c>
      <c r="T16" s="76" t="str">
        <f t="shared" ref="T16:T47"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milscm_2023_010.azn_202310_backup_merge_receiptc_tr.seikyu_ym IS '請求年月';</v>
      </c>
    </row>
    <row r="17" spans="2:45" s="25" customFormat="1">
      <c r="B17" s="21">
        <f t="shared" si="2"/>
        <v>5</v>
      </c>
      <c r="C17" s="13" t="s">
        <v>864</v>
      </c>
      <c r="D17" s="13" t="s">
        <v>205</v>
      </c>
      <c r="E17" s="7" t="s">
        <v>127</v>
      </c>
      <c r="F17" s="7" t="s">
        <v>863</v>
      </c>
      <c r="G17" s="7" t="str">
        <f t="shared" si="3"/>
        <v>text</v>
      </c>
      <c r="H17" s="58"/>
      <c r="I17" s="23" t="s">
        <v>127</v>
      </c>
      <c r="J17" s="24" t="s">
        <v>1112</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milscm_2023_010.azn_202310_backup_merge_receiptc_tr.shinryo_ym IS '診療年月';</v>
      </c>
    </row>
    <row r="18" spans="2:45" s="25" customFormat="1">
      <c r="B18" s="21">
        <f t="shared" si="2"/>
        <v>6</v>
      </c>
      <c r="C18" s="13" t="s">
        <v>318</v>
      </c>
      <c r="D18" s="13" t="s">
        <v>207</v>
      </c>
      <c r="E18" s="7"/>
      <c r="F18" s="7" t="s">
        <v>863</v>
      </c>
      <c r="G18" s="7" t="str">
        <f t="shared" si="3"/>
        <v>text</v>
      </c>
      <c r="H18" s="58" t="s">
        <v>930</v>
      </c>
      <c r="I18" s="23" t="s">
        <v>127</v>
      </c>
      <c r="J18" s="24" t="s">
        <v>931</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milscm_2023_010.azn_202310_backup_merge_receiptc_tr.data_type IS 'データ種別';</v>
      </c>
    </row>
    <row r="19" spans="2:45" s="25" customFormat="1">
      <c r="B19" s="21">
        <f t="shared" si="2"/>
        <v>7</v>
      </c>
      <c r="C19" s="13" t="s">
        <v>904</v>
      </c>
      <c r="D19" s="13" t="s">
        <v>905</v>
      </c>
      <c r="E19" s="7" t="s">
        <v>127</v>
      </c>
      <c r="F19" s="7" t="s">
        <v>863</v>
      </c>
      <c r="G19" s="7" t="str">
        <f t="shared" si="3"/>
        <v>text</v>
      </c>
      <c r="H19" s="58"/>
      <c r="I19" s="23" t="s">
        <v>127</v>
      </c>
      <c r="J19" s="24" t="s">
        <v>1055</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milscm_2023_010.azn_202310_backup_merge_receiptc_tr.shinsa_kikan IS '審査支払機関';</v>
      </c>
    </row>
    <row r="20" spans="2:45" s="25" customFormat="1">
      <c r="B20" s="21">
        <f t="shared" si="2"/>
        <v>8</v>
      </c>
      <c r="C20" s="13" t="s">
        <v>906</v>
      </c>
      <c r="D20" s="13" t="s">
        <v>907</v>
      </c>
      <c r="E20" s="7"/>
      <c r="F20" s="7" t="s">
        <v>863</v>
      </c>
      <c r="G20" s="7" t="str">
        <f t="shared" si="3"/>
        <v>text</v>
      </c>
      <c r="H20" s="58" t="s">
        <v>1191</v>
      </c>
      <c r="I20" s="23" t="s">
        <v>127</v>
      </c>
      <c r="J20" s="24" t="s">
        <v>1192</v>
      </c>
      <c r="N20" s="76"/>
      <c r="O20" s="76"/>
      <c r="P20" s="76" t="str">
        <f t="shared" si="4"/>
        <v>,record_shikibetsu</v>
      </c>
      <c r="Q20" s="76" t="str">
        <f t="shared" si="0"/>
        <v>TEXT</v>
      </c>
      <c r="R20" s="76" t="str">
        <f t="shared" si="1"/>
        <v>default 'TR'</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milscm_2023_010.azn_202310_backup_merge_receiptc_tr.record_shikibetsu IS 'レコード識別情報';</v>
      </c>
    </row>
    <row r="21" spans="2:45" s="25" customFormat="1">
      <c r="B21" s="21">
        <f t="shared" si="2"/>
        <v>9</v>
      </c>
      <c r="C21" s="13" t="s">
        <v>908</v>
      </c>
      <c r="D21" s="13" t="s">
        <v>909</v>
      </c>
      <c r="E21" s="7" t="s">
        <v>127</v>
      </c>
      <c r="F21" s="7" t="s">
        <v>203</v>
      </c>
      <c r="G21" s="7" t="str">
        <f t="shared" si="3"/>
        <v>integer</v>
      </c>
      <c r="H21" s="58"/>
      <c r="I21" s="23" t="s">
        <v>127</v>
      </c>
      <c r="J21" s="24" t="s">
        <v>1058</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milscm_2023_010.azn_202310_backup_merge_receiptc_tr.receipt_no IS 'レセプト番号';</v>
      </c>
    </row>
    <row r="22" spans="2:45" s="25" customFormat="1">
      <c r="B22" s="21">
        <f t="shared" si="2"/>
        <v>10</v>
      </c>
      <c r="C22" s="13" t="s">
        <v>910</v>
      </c>
      <c r="D22" s="13" t="s">
        <v>911</v>
      </c>
      <c r="E22" s="7" t="s">
        <v>127</v>
      </c>
      <c r="F22" s="7" t="s">
        <v>203</v>
      </c>
      <c r="G22" s="7" t="str">
        <f t="shared" si="3"/>
        <v>integer</v>
      </c>
      <c r="H22" s="58"/>
      <c r="I22" s="23" t="s">
        <v>127</v>
      </c>
      <c r="J22" s="24" t="s">
        <v>1115</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milscm_2023_010.azn_202310_backup_merge_receiptc_tr.gyo_no IS '行番号';</v>
      </c>
    </row>
    <row r="23" spans="2:45" s="25" customFormat="1">
      <c r="B23" s="21">
        <f t="shared" si="2"/>
        <v>11</v>
      </c>
      <c r="C23" s="13" t="s">
        <v>912</v>
      </c>
      <c r="D23" s="13" t="s">
        <v>913</v>
      </c>
      <c r="E23" s="7"/>
      <c r="F23" s="7" t="s">
        <v>863</v>
      </c>
      <c r="G23" s="7" t="str">
        <f t="shared" si="3"/>
        <v>text</v>
      </c>
      <c r="H23" s="58"/>
      <c r="I23" s="23"/>
      <c r="J23" s="24" t="s">
        <v>1060</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milscm_2023_010.azn_202310_backup_merge_receiptc_tr.karute_no IS 'カルテ番号等';</v>
      </c>
    </row>
    <row r="24" spans="2:45" s="25" customFormat="1" ht="31.5">
      <c r="B24" s="21">
        <f t="shared" si="2"/>
        <v>12</v>
      </c>
      <c r="C24" s="13" t="s">
        <v>1164</v>
      </c>
      <c r="D24" s="13" t="s">
        <v>1165</v>
      </c>
      <c r="E24" s="7"/>
      <c r="F24" s="7" t="s">
        <v>203</v>
      </c>
      <c r="G24" s="7" t="str">
        <f t="shared" si="3"/>
        <v>integer</v>
      </c>
      <c r="H24" s="58"/>
      <c r="I24" s="23"/>
      <c r="J24" s="24"/>
      <c r="N24" s="76"/>
      <c r="O24" s="76"/>
      <c r="P24" s="76" t="str">
        <f t="shared" si="4"/>
        <v>,receipt_no_tr</v>
      </c>
      <c r="Q24" s="76" t="str">
        <f t="shared" si="0"/>
        <v>INTEGER</v>
      </c>
      <c r="R24" s="76" t="str">
        <f t="shared" si="1"/>
        <v/>
      </c>
      <c r="S24" s="76" t="str">
        <f t="shared" si="5"/>
        <v/>
      </c>
      <c r="T24" s="76" t="str">
        <f t="shared" si="6"/>
        <v>-- レセプト番号（臓器提供者レセプト情報）</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milscm_2023_010.azn_202310_backup_merge_receiptc_tr.receipt_no_tr IS 'レセプト番号（臓器提供者レセプト情報）';</v>
      </c>
    </row>
    <row r="25" spans="2:45" s="25" customFormat="1">
      <c r="B25" s="21">
        <f t="shared" si="2"/>
        <v>13</v>
      </c>
      <c r="C25" s="13" t="s">
        <v>1166</v>
      </c>
      <c r="D25" s="13" t="s">
        <v>1167</v>
      </c>
      <c r="E25" s="7"/>
      <c r="F25" s="7" t="s">
        <v>863</v>
      </c>
      <c r="G25" s="7" t="str">
        <f t="shared" si="3"/>
        <v>text</v>
      </c>
      <c r="H25" s="58"/>
      <c r="I25" s="23"/>
      <c r="J25" s="24"/>
      <c r="N25" s="76"/>
      <c r="O25" s="76"/>
      <c r="P25" s="76" t="str">
        <f t="shared" si="4"/>
        <v>,zoki_receipt_type</v>
      </c>
      <c r="Q25" s="76" t="str">
        <f t="shared" si="0"/>
        <v>TEXT</v>
      </c>
      <c r="R25" s="76" t="str">
        <f t="shared" si="1"/>
        <v/>
      </c>
      <c r="S25" s="76" t="str">
        <f t="shared" si="5"/>
        <v/>
      </c>
      <c r="T25" s="76" t="str">
        <f t="shared" si="6"/>
        <v>-- 臓器提供者レセプト種別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milscm_2023_010.azn_202310_backup_merge_receiptc_tr.zoki_receipt_type IS '臓器提供者レセプト種別';</v>
      </c>
    </row>
    <row r="26" spans="2:45" s="25" customFormat="1" ht="56.25">
      <c r="B26" s="21">
        <f t="shared" si="2"/>
        <v>14</v>
      </c>
      <c r="C26" s="13" t="s">
        <v>1168</v>
      </c>
      <c r="D26" s="13" t="s">
        <v>1169</v>
      </c>
      <c r="E26" s="7"/>
      <c r="F26" s="7" t="s">
        <v>863</v>
      </c>
      <c r="G26" s="7" t="str">
        <f t="shared" si="3"/>
        <v>text</v>
      </c>
      <c r="H26" s="58"/>
      <c r="I26" s="23"/>
      <c r="J26" s="24" t="s">
        <v>929</v>
      </c>
      <c r="N26" s="76"/>
      <c r="O26" s="76"/>
      <c r="P26" s="76" t="str">
        <f t="shared" si="4"/>
        <v>,shinryo_ym_tr</v>
      </c>
      <c r="Q26" s="76" t="str">
        <f t="shared" si="0"/>
        <v>TEXT</v>
      </c>
      <c r="R26" s="76" t="str">
        <f t="shared" si="1"/>
        <v/>
      </c>
      <c r="S26" s="76" t="str">
        <f t="shared" si="5"/>
        <v/>
      </c>
      <c r="T26" s="76" t="str">
        <f t="shared" si="6"/>
        <v>-- 診療年月（臓器提供者レセプト情報）</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milscm_2023_010.azn_202310_backup_merge_receiptc_tr.shinryo_ym_tr IS '診療年月（臓器提供者レセプト情報）';</v>
      </c>
    </row>
    <row r="27" spans="2:45" s="25" customFormat="1">
      <c r="B27" s="21">
        <f t="shared" si="2"/>
        <v>15</v>
      </c>
      <c r="C27" s="13" t="s">
        <v>920</v>
      </c>
      <c r="D27" s="13" t="s">
        <v>921</v>
      </c>
      <c r="E27" s="7"/>
      <c r="F27" s="7" t="s">
        <v>863</v>
      </c>
      <c r="G27" s="7" t="str">
        <f t="shared" si="3"/>
        <v>text</v>
      </c>
      <c r="H27" s="58"/>
      <c r="I27" s="23"/>
      <c r="J27" s="24"/>
      <c r="N27" s="76"/>
      <c r="O27" s="76"/>
      <c r="P27" s="76" t="str">
        <f t="shared" si="4"/>
        <v>,reserve1</v>
      </c>
      <c r="Q27" s="76" t="str">
        <f t="shared" si="0"/>
        <v>TEXT</v>
      </c>
      <c r="R27" s="76" t="str">
        <f t="shared" si="1"/>
        <v/>
      </c>
      <c r="S27" s="76" t="str">
        <f t="shared" si="5"/>
        <v/>
      </c>
      <c r="T27" s="76" t="str">
        <f t="shared" si="6"/>
        <v>-- 予備1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milscm_2023_010.azn_202310_backup_merge_receiptc_tr.reserve1 IS '予備1';</v>
      </c>
    </row>
    <row r="28" spans="2:45" s="25" customFormat="1">
      <c r="B28" s="21">
        <f t="shared" si="2"/>
        <v>16</v>
      </c>
      <c r="C28" s="13" t="s">
        <v>1170</v>
      </c>
      <c r="D28" s="13" t="s">
        <v>943</v>
      </c>
      <c r="E28" s="7"/>
      <c r="F28" s="7" t="s">
        <v>863</v>
      </c>
      <c r="G28" s="7" t="str">
        <f t="shared" si="3"/>
        <v>text</v>
      </c>
      <c r="H28" s="58"/>
      <c r="I28" s="23"/>
      <c r="J28" s="24" t="s">
        <v>1062</v>
      </c>
      <c r="N28" s="76"/>
      <c r="O28" s="76"/>
      <c r="P28" s="76" t="str">
        <f t="shared" si="4"/>
        <v>,sex_kubun</v>
      </c>
      <c r="Q28" s="76" t="str">
        <f t="shared" si="0"/>
        <v>TEXT</v>
      </c>
      <c r="R28" s="76" t="str">
        <f t="shared" si="1"/>
        <v/>
      </c>
      <c r="S28" s="76" t="str">
        <f t="shared" si="5"/>
        <v/>
      </c>
      <c r="T28" s="76" t="str">
        <f t="shared" si="6"/>
        <v>-- 男女区分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milscm_2023_010.azn_202310_backup_merge_receiptc_tr.sex_kubun IS '男女区分';</v>
      </c>
    </row>
    <row r="29" spans="2:45" s="25" customFormat="1" ht="93.75">
      <c r="B29" s="21">
        <f t="shared" si="2"/>
        <v>17</v>
      </c>
      <c r="C29" s="13" t="s">
        <v>565</v>
      </c>
      <c r="D29" s="13" t="s">
        <v>321</v>
      </c>
      <c r="E29" s="7"/>
      <c r="F29" s="7" t="s">
        <v>863</v>
      </c>
      <c r="G29" s="7" t="str">
        <f t="shared" si="3"/>
        <v>text</v>
      </c>
      <c r="H29" s="58"/>
      <c r="I29" s="23"/>
      <c r="J29" s="24" t="s">
        <v>1193</v>
      </c>
      <c r="N29" s="76"/>
      <c r="O29" s="76"/>
      <c r="P29" s="76" t="str">
        <f t="shared" si="4"/>
        <v>,birthday</v>
      </c>
      <c r="Q29" s="76" t="str">
        <f t="shared" si="0"/>
        <v>TEXT</v>
      </c>
      <c r="R29" s="76" t="str">
        <f t="shared" si="1"/>
        <v/>
      </c>
      <c r="S29" s="76" t="str">
        <f t="shared" si="5"/>
        <v/>
      </c>
      <c r="T29" s="76" t="str">
        <f t="shared" si="6"/>
        <v>-- 生年月日</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milscm_2023_010.azn_202310_backup_merge_receiptc_tr.birthday IS '生年月日';</v>
      </c>
    </row>
    <row r="30" spans="2:45" s="25" customFormat="1">
      <c r="B30" s="21">
        <f t="shared" si="2"/>
        <v>18</v>
      </c>
      <c r="C30" s="13" t="s">
        <v>971</v>
      </c>
      <c r="D30" s="13" t="s">
        <v>972</v>
      </c>
      <c r="E30" s="7"/>
      <c r="F30" s="7" t="s">
        <v>863</v>
      </c>
      <c r="G30" s="7" t="str">
        <f t="shared" si="3"/>
        <v>text</v>
      </c>
      <c r="H30" s="58"/>
      <c r="I30" s="23"/>
      <c r="J30" s="24"/>
      <c r="N30" s="76"/>
      <c r="O30" s="76"/>
      <c r="P30" s="76" t="str">
        <f t="shared" si="4"/>
        <v>,reserve2</v>
      </c>
      <c r="Q30" s="76" t="str">
        <f t="shared" si="0"/>
        <v>TEXT</v>
      </c>
      <c r="R30" s="76" t="str">
        <f t="shared" si="1"/>
        <v/>
      </c>
      <c r="S30" s="76" t="str">
        <f t="shared" si="5"/>
        <v/>
      </c>
      <c r="T30" s="76" t="str">
        <f t="shared" si="6"/>
        <v>-- 予備2</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milscm_2023_010.azn_202310_backup_merge_receiptc_tr.reserve2 IS '予備2';</v>
      </c>
    </row>
    <row r="31" spans="2:45" s="25" customFormat="1" ht="75">
      <c r="B31" s="21">
        <f t="shared" si="2"/>
        <v>19</v>
      </c>
      <c r="C31" s="13" t="s">
        <v>143</v>
      </c>
      <c r="D31" s="13" t="s">
        <v>156</v>
      </c>
      <c r="E31" s="7"/>
      <c r="F31" s="7" t="s">
        <v>863</v>
      </c>
      <c r="G31" s="7" t="str">
        <f t="shared" si="3"/>
        <v>text</v>
      </c>
      <c r="H31" s="58"/>
      <c r="I31" s="23"/>
      <c r="J31" s="24" t="s">
        <v>1064</v>
      </c>
      <c r="N31" s="76"/>
      <c r="O31" s="76"/>
      <c r="P31" s="76" t="str">
        <f t="shared" si="4"/>
        <v>,nyuin_ymd</v>
      </c>
      <c r="Q31" s="76" t="str">
        <f t="shared" si="0"/>
        <v>TEXT</v>
      </c>
      <c r="R31" s="76" t="str">
        <f t="shared" si="1"/>
        <v/>
      </c>
      <c r="S31" s="76" t="str">
        <f t="shared" si="5"/>
        <v/>
      </c>
      <c r="T31" s="76" t="str">
        <f t="shared" si="6"/>
        <v>-- 入院年月日</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milscm_2023_010.azn_202310_backup_merge_receiptc_tr.nyuin_ymd IS '入院年月日';</v>
      </c>
    </row>
    <row r="32" spans="2:45" s="25" customFormat="1">
      <c r="B32" s="21">
        <f t="shared" si="2"/>
        <v>20</v>
      </c>
      <c r="C32" s="13" t="s">
        <v>1171</v>
      </c>
      <c r="D32" s="13" t="s">
        <v>948</v>
      </c>
      <c r="E32" s="7"/>
      <c r="F32" s="7" t="s">
        <v>863</v>
      </c>
      <c r="G32" s="7" t="str">
        <f t="shared" si="3"/>
        <v>text</v>
      </c>
      <c r="H32" s="58"/>
      <c r="I32" s="23"/>
      <c r="J32" s="24" t="s">
        <v>1065</v>
      </c>
      <c r="N32" s="76"/>
      <c r="O32" s="76"/>
      <c r="P32" s="76" t="str">
        <f t="shared" si="4"/>
        <v>,ward_kubun1</v>
      </c>
      <c r="Q32" s="76" t="str">
        <f t="shared" si="0"/>
        <v>TEXT</v>
      </c>
      <c r="R32" s="76" t="str">
        <f t="shared" si="1"/>
        <v/>
      </c>
      <c r="S32" s="76" t="str">
        <f t="shared" si="5"/>
        <v/>
      </c>
      <c r="T32" s="76" t="str">
        <f t="shared" si="6"/>
        <v>-- 病棟区分1</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milscm_2023_010.azn_202310_backup_merge_receiptc_tr.ward_kubun1 IS '病棟区分1';</v>
      </c>
    </row>
    <row r="33" spans="1:52" s="25" customFormat="1">
      <c r="B33" s="21">
        <f t="shared" si="2"/>
        <v>21</v>
      </c>
      <c r="C33" s="13" t="s">
        <v>1172</v>
      </c>
      <c r="D33" s="13" t="s">
        <v>950</v>
      </c>
      <c r="E33" s="7"/>
      <c r="F33" s="7" t="s">
        <v>863</v>
      </c>
      <c r="G33" s="7" t="str">
        <f t="shared" si="3"/>
        <v>text</v>
      </c>
      <c r="H33" s="58"/>
      <c r="I33" s="23"/>
      <c r="J33" s="24"/>
      <c r="N33" s="76"/>
      <c r="O33" s="76"/>
      <c r="P33" s="76" t="str">
        <f t="shared" si="4"/>
        <v>,ward_kubun2</v>
      </c>
      <c r="Q33" s="76" t="str">
        <f t="shared" si="0"/>
        <v>TEXT</v>
      </c>
      <c r="R33" s="76" t="str">
        <f t="shared" si="1"/>
        <v/>
      </c>
      <c r="S33" s="76" t="str">
        <f t="shared" si="5"/>
        <v/>
      </c>
      <c r="T33" s="76" t="str">
        <f t="shared" si="6"/>
        <v>-- 病棟区分2</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milscm_2023_010.azn_202310_backup_merge_receiptc_tr.ward_kubun2 IS '病棟区分2';</v>
      </c>
    </row>
    <row r="34" spans="1:52" s="25" customFormat="1">
      <c r="B34" s="21">
        <f t="shared" si="2"/>
        <v>22</v>
      </c>
      <c r="C34" s="13" t="s">
        <v>1173</v>
      </c>
      <c r="D34" s="13" t="s">
        <v>952</v>
      </c>
      <c r="E34" s="7"/>
      <c r="F34" s="7" t="s">
        <v>863</v>
      </c>
      <c r="G34" s="7" t="str">
        <f t="shared" si="3"/>
        <v>text</v>
      </c>
      <c r="H34" s="58"/>
      <c r="I34" s="23"/>
      <c r="J34" s="24"/>
      <c r="N34" s="76"/>
      <c r="O34" s="76"/>
      <c r="P34" s="76" t="str">
        <f t="shared" si="4"/>
        <v>,ward_kubun3</v>
      </c>
      <c r="Q34" s="76" t="str">
        <f t="shared" si="0"/>
        <v>TEXT</v>
      </c>
      <c r="R34" s="76" t="str">
        <f t="shared" si="1"/>
        <v/>
      </c>
      <c r="S34" s="76" t="str">
        <f t="shared" si="5"/>
        <v/>
      </c>
      <c r="T34" s="76" t="str">
        <f t="shared" si="6"/>
        <v>-- 病棟区分3</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milscm_2023_010.azn_202310_backup_merge_receiptc_tr.ward_kubun3 IS '病棟区分3';</v>
      </c>
    </row>
    <row r="35" spans="1:52" s="25" customFormat="1">
      <c r="B35" s="21">
        <f t="shared" si="2"/>
        <v>23</v>
      </c>
      <c r="C35" s="13" t="s">
        <v>1174</v>
      </c>
      <c r="D35" s="13" t="s">
        <v>954</v>
      </c>
      <c r="E35" s="7"/>
      <c r="F35" s="7" t="s">
        <v>863</v>
      </c>
      <c r="G35" s="7" t="str">
        <f t="shared" si="3"/>
        <v>text</v>
      </c>
      <c r="H35" s="58"/>
      <c r="I35" s="23"/>
      <c r="J35" s="24"/>
      <c r="N35" s="76"/>
      <c r="O35" s="76"/>
      <c r="P35" s="76" t="str">
        <f t="shared" si="4"/>
        <v>,ward_kubun4</v>
      </c>
      <c r="Q35" s="76" t="str">
        <f t="shared" si="0"/>
        <v>TEXT</v>
      </c>
      <c r="R35" s="76" t="str">
        <f t="shared" si="1"/>
        <v/>
      </c>
      <c r="S35" s="76" t="str">
        <f t="shared" si="5"/>
        <v/>
      </c>
      <c r="T35" s="76" t="str">
        <f t="shared" si="6"/>
        <v>-- 病棟区分4</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milscm_2023_010.azn_202310_backup_merge_receiptc_tr.ward_kubun4 IS '病棟区分4';</v>
      </c>
    </row>
    <row r="36" spans="1:52" s="25" customFormat="1">
      <c r="B36" s="21">
        <f t="shared" si="2"/>
        <v>24</v>
      </c>
      <c r="C36" s="13" t="s">
        <v>973</v>
      </c>
      <c r="D36" s="13" t="s">
        <v>974</v>
      </c>
      <c r="E36" s="7"/>
      <c r="F36" s="7" t="s">
        <v>863</v>
      </c>
      <c r="G36" s="7" t="str">
        <f t="shared" si="3"/>
        <v>text</v>
      </c>
      <c r="H36" s="58"/>
      <c r="I36" s="23"/>
      <c r="J36" s="24"/>
      <c r="N36" s="76"/>
      <c r="O36" s="76"/>
      <c r="P36" s="76" t="str">
        <f t="shared" si="4"/>
        <v>,reserve3</v>
      </c>
      <c r="Q36" s="76" t="str">
        <f t="shared" si="0"/>
        <v>TEXT</v>
      </c>
      <c r="R36" s="76" t="str">
        <f t="shared" si="1"/>
        <v/>
      </c>
      <c r="S36" s="76" t="str">
        <f t="shared" si="5"/>
        <v/>
      </c>
      <c r="T36" s="76" t="str">
        <f t="shared" si="6"/>
        <v>-- 予備3</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milscm_2023_010.azn_202310_backup_merge_receiptc_tr.reserve3 IS '予備3';</v>
      </c>
    </row>
    <row r="37" spans="1:52" s="25" customFormat="1">
      <c r="B37" s="21">
        <f t="shared" si="2"/>
        <v>25</v>
      </c>
      <c r="C37" s="13" t="s">
        <v>1175</v>
      </c>
      <c r="D37" s="13" t="s">
        <v>958</v>
      </c>
      <c r="E37" s="7"/>
      <c r="F37" s="7" t="s">
        <v>863</v>
      </c>
      <c r="G37" s="7" t="str">
        <f t="shared" si="3"/>
        <v>text</v>
      </c>
      <c r="H37" s="58"/>
      <c r="I37" s="23"/>
      <c r="J37" s="24" t="s">
        <v>1066</v>
      </c>
      <c r="N37" s="76"/>
      <c r="O37" s="76"/>
      <c r="P37" s="76" t="str">
        <f t="shared" si="4"/>
        <v>,receipt_tokki_code1</v>
      </c>
      <c r="Q37" s="76" t="str">
        <f t="shared" si="0"/>
        <v>TEXT</v>
      </c>
      <c r="R37" s="76" t="str">
        <f t="shared" si="1"/>
        <v/>
      </c>
      <c r="S37" s="76" t="str">
        <f t="shared" si="5"/>
        <v/>
      </c>
      <c r="T37" s="76" t="str">
        <f t="shared" si="6"/>
        <v>-- レセプト特記事項1</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milscm_2023_010.azn_202310_backup_merge_receiptc_tr.receipt_tokki_code1 IS 'レセプト特記事項1';</v>
      </c>
    </row>
    <row r="38" spans="1:52" s="25" customFormat="1">
      <c r="B38" s="21">
        <f t="shared" si="2"/>
        <v>26</v>
      </c>
      <c r="C38" s="13" t="s">
        <v>1176</v>
      </c>
      <c r="D38" s="13" t="s">
        <v>960</v>
      </c>
      <c r="E38" s="7"/>
      <c r="F38" s="7" t="s">
        <v>863</v>
      </c>
      <c r="G38" s="7" t="str">
        <f t="shared" si="3"/>
        <v>text</v>
      </c>
      <c r="H38" s="58"/>
      <c r="I38" s="23"/>
      <c r="J38" s="24"/>
      <c r="N38" s="76"/>
      <c r="O38" s="76"/>
      <c r="P38" s="76" t="str">
        <f t="shared" si="4"/>
        <v>,receipt_tokki_code2</v>
      </c>
      <c r="Q38" s="76" t="str">
        <f t="shared" si="0"/>
        <v>TEXT</v>
      </c>
      <c r="R38" s="76" t="str">
        <f t="shared" si="1"/>
        <v/>
      </c>
      <c r="S38" s="76" t="str">
        <f t="shared" si="5"/>
        <v/>
      </c>
      <c r="T38" s="76" t="str">
        <f t="shared" si="6"/>
        <v>-- レセプト特記事項2</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milscm_2023_010.azn_202310_backup_merge_receiptc_tr.receipt_tokki_code2 IS 'レセプト特記事項2';</v>
      </c>
    </row>
    <row r="39" spans="1:52" s="25" customFormat="1">
      <c r="B39" s="21">
        <f t="shared" si="2"/>
        <v>27</v>
      </c>
      <c r="C39" s="13" t="s">
        <v>1177</v>
      </c>
      <c r="D39" s="13" t="s">
        <v>962</v>
      </c>
      <c r="E39" s="7"/>
      <c r="F39" s="7" t="s">
        <v>863</v>
      </c>
      <c r="G39" s="7" t="str">
        <f t="shared" si="3"/>
        <v>text</v>
      </c>
      <c r="H39" s="58"/>
      <c r="I39" s="23"/>
      <c r="J39" s="24"/>
      <c r="N39" s="76"/>
      <c r="O39" s="76"/>
      <c r="P39" s="76" t="str">
        <f t="shared" si="4"/>
        <v>,receipt_tokki_code3</v>
      </c>
      <c r="Q39" s="76" t="str">
        <f t="shared" si="0"/>
        <v>TEXT</v>
      </c>
      <c r="R39" s="76" t="str">
        <f t="shared" si="1"/>
        <v/>
      </c>
      <c r="S39" s="76" t="str">
        <f t="shared" si="5"/>
        <v/>
      </c>
      <c r="T39" s="76" t="str">
        <f t="shared" si="6"/>
        <v>-- レセプト特記事項3</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milscm_2023_010.azn_202310_backup_merge_receiptc_tr.receipt_tokki_code3 IS 'レセプト特記事項3';</v>
      </c>
    </row>
    <row r="40" spans="1:52" s="25" customFormat="1">
      <c r="B40" s="21">
        <f t="shared" si="2"/>
        <v>28</v>
      </c>
      <c r="C40" s="13" t="s">
        <v>1178</v>
      </c>
      <c r="D40" s="13" t="s">
        <v>964</v>
      </c>
      <c r="E40" s="7"/>
      <c r="F40" s="7" t="s">
        <v>863</v>
      </c>
      <c r="G40" s="7" t="str">
        <f t="shared" si="3"/>
        <v>text</v>
      </c>
      <c r="H40" s="58"/>
      <c r="I40" s="23"/>
      <c r="J40" s="24"/>
      <c r="N40" s="76"/>
      <c r="O40" s="76"/>
      <c r="P40" s="76" t="str">
        <f t="shared" si="4"/>
        <v>,receipt_tokki_code4</v>
      </c>
      <c r="Q40" s="76" t="str">
        <f t="shared" si="0"/>
        <v>TEXT</v>
      </c>
      <c r="R40" s="76" t="str">
        <f t="shared" si="1"/>
        <v/>
      </c>
      <c r="S40" s="76" t="str">
        <f t="shared" si="5"/>
        <v/>
      </c>
      <c r="T40" s="76" t="str">
        <f t="shared" si="6"/>
        <v>-- レセプト特記事項4</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milscm_2023_010.azn_202310_backup_merge_receiptc_tr.receipt_tokki_code4 IS 'レセプト特記事項4';</v>
      </c>
    </row>
    <row r="41" spans="1:52" s="25" customFormat="1">
      <c r="B41" s="21">
        <f t="shared" si="2"/>
        <v>29</v>
      </c>
      <c r="C41" s="13" t="s">
        <v>1179</v>
      </c>
      <c r="D41" s="13" t="s">
        <v>966</v>
      </c>
      <c r="E41" s="7"/>
      <c r="F41" s="7" t="s">
        <v>863</v>
      </c>
      <c r="G41" s="7" t="str">
        <f t="shared" si="3"/>
        <v>text</v>
      </c>
      <c r="H41" s="58"/>
      <c r="I41" s="23"/>
      <c r="J41" s="24"/>
      <c r="N41" s="76"/>
      <c r="O41" s="76"/>
      <c r="P41" s="76" t="str">
        <f t="shared" si="4"/>
        <v>,receipt_tokki_code5</v>
      </c>
      <c r="Q41" s="76" t="str">
        <f t="shared" si="0"/>
        <v>TEXT</v>
      </c>
      <c r="R41" s="76" t="str">
        <f t="shared" si="1"/>
        <v/>
      </c>
      <c r="S41" s="76" t="str">
        <f t="shared" si="5"/>
        <v/>
      </c>
      <c r="T41" s="76" t="str">
        <f t="shared" si="6"/>
        <v>-- レセプト特記事項5</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milscm_2023_010.azn_202310_backup_merge_receiptc_tr.receipt_tokki_code5 IS 'レセプト特記事項5';</v>
      </c>
    </row>
    <row r="42" spans="1:52" s="25" customFormat="1">
      <c r="B42" s="21">
        <f t="shared" si="2"/>
        <v>30</v>
      </c>
      <c r="C42" s="13" t="s">
        <v>1180</v>
      </c>
      <c r="D42" s="13" t="s">
        <v>1181</v>
      </c>
      <c r="E42" s="7"/>
      <c r="F42" s="7" t="s">
        <v>863</v>
      </c>
      <c r="G42" s="7" t="str">
        <f t="shared" si="3"/>
        <v>text</v>
      </c>
      <c r="H42" s="58"/>
      <c r="I42" s="23"/>
      <c r="J42" s="24"/>
      <c r="N42" s="76"/>
      <c r="O42" s="76"/>
      <c r="P42" s="76" t="str">
        <f t="shared" si="4"/>
        <v>,reserve4</v>
      </c>
      <c r="Q42" s="76" t="str">
        <f t="shared" si="0"/>
        <v>TEXT</v>
      </c>
      <c r="R42" s="76" t="str">
        <f t="shared" si="1"/>
        <v/>
      </c>
      <c r="S42" s="76" t="str">
        <f t="shared" si="5"/>
        <v/>
      </c>
      <c r="T42" s="76" t="str">
        <f t="shared" si="6"/>
        <v>-- 予備4</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milscm_2023_010.azn_202310_backup_merge_receiptc_tr.reserve4 IS '予備4';</v>
      </c>
    </row>
    <row r="43" spans="1:52" s="25" customFormat="1" ht="31.5">
      <c r="B43" s="21">
        <f t="shared" si="2"/>
        <v>31</v>
      </c>
      <c r="C43" s="13" t="s">
        <v>1182</v>
      </c>
      <c r="D43" s="13" t="s">
        <v>1183</v>
      </c>
      <c r="E43" s="7"/>
      <c r="F43" s="7" t="s">
        <v>863</v>
      </c>
      <c r="G43" s="7" t="str">
        <f t="shared" si="3"/>
        <v>text</v>
      </c>
      <c r="H43" s="58"/>
      <c r="I43" s="23"/>
      <c r="J43" s="24"/>
      <c r="N43" s="76"/>
      <c r="O43" s="76"/>
      <c r="P43" s="76" t="str">
        <f t="shared" si="4"/>
        <v>,karute_no_tr</v>
      </c>
      <c r="Q43" s="76" t="str">
        <f t="shared" si="0"/>
        <v>TEXT</v>
      </c>
      <c r="R43" s="76" t="str">
        <f t="shared" si="1"/>
        <v/>
      </c>
      <c r="S43" s="76" t="str">
        <f t="shared" si="5"/>
        <v/>
      </c>
      <c r="T43" s="76" t="str">
        <f t="shared" si="6"/>
        <v>-- カルテ番号等（臓器提供者レセプト情報）</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milscm_2023_010.azn_202310_backup_merge_receiptc_tr.karute_no_tr IS 'カルテ番号等（臓器提供者レセプト情報）';</v>
      </c>
    </row>
    <row r="44" spans="1:52" s="25" customFormat="1">
      <c r="B44" s="21">
        <f t="shared" si="2"/>
        <v>32</v>
      </c>
      <c r="C44" s="13" t="s">
        <v>1184</v>
      </c>
      <c r="D44" s="13" t="s">
        <v>970</v>
      </c>
      <c r="E44" s="7"/>
      <c r="F44" s="7" t="s">
        <v>203</v>
      </c>
      <c r="G44" s="7" t="str">
        <f t="shared" si="3"/>
        <v>integer</v>
      </c>
      <c r="H44" s="58"/>
      <c r="I44" s="23"/>
      <c r="J44" s="24"/>
      <c r="N44" s="76"/>
      <c r="O44" s="76"/>
      <c r="P44" s="76" t="str">
        <f t="shared" si="4"/>
        <v>,waribiki_tensu</v>
      </c>
      <c r="Q44" s="76" t="str">
        <f t="shared" si="0"/>
        <v>INTEGER</v>
      </c>
      <c r="R44" s="76" t="str">
        <f t="shared" si="1"/>
        <v/>
      </c>
      <c r="S44" s="76" t="str">
        <f t="shared" si="5"/>
        <v/>
      </c>
      <c r="T44" s="76" t="str">
        <f t="shared" si="6"/>
        <v>-- 割引点数単価</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milscm_2023_010.azn_202310_backup_merge_receiptc_tr.waribiki_tensu IS '割引点数単価';</v>
      </c>
    </row>
    <row r="45" spans="1:52" s="25" customFormat="1">
      <c r="B45" s="21">
        <f t="shared" si="2"/>
        <v>33</v>
      </c>
      <c r="C45" s="13" t="s">
        <v>1185</v>
      </c>
      <c r="D45" s="13" t="s">
        <v>1186</v>
      </c>
      <c r="E45" s="7"/>
      <c r="F45" s="7" t="s">
        <v>863</v>
      </c>
      <c r="G45" s="7" t="str">
        <f t="shared" si="3"/>
        <v>text</v>
      </c>
      <c r="H45" s="58"/>
      <c r="I45" s="23"/>
      <c r="J45" s="24"/>
      <c r="N45" s="76"/>
      <c r="O45" s="76"/>
      <c r="P45" s="76" t="str">
        <f t="shared" si="4"/>
        <v>,reserve5</v>
      </c>
      <c r="Q45" s="76" t="str">
        <f t="shared" si="0"/>
        <v>TEXT</v>
      </c>
      <c r="R45" s="76" t="str">
        <f t="shared" si="1"/>
        <v/>
      </c>
      <c r="S45" s="76" t="str">
        <f t="shared" si="5"/>
        <v/>
      </c>
      <c r="T45" s="76" t="str">
        <f t="shared" si="6"/>
        <v>-- 予備5</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milscm_2023_010.azn_202310_backup_merge_receiptc_tr.reserve5 IS '予備5';</v>
      </c>
    </row>
    <row r="46" spans="1:52" s="25" customFormat="1">
      <c r="B46" s="21">
        <f t="shared" si="2"/>
        <v>34</v>
      </c>
      <c r="C46" s="13" t="s">
        <v>1187</v>
      </c>
      <c r="D46" s="13" t="s">
        <v>1188</v>
      </c>
      <c r="E46" s="7"/>
      <c r="F46" s="7" t="s">
        <v>863</v>
      </c>
      <c r="G46" s="7" t="str">
        <f t="shared" si="3"/>
        <v>text</v>
      </c>
      <c r="H46" s="58"/>
      <c r="I46" s="23"/>
      <c r="J46" s="24"/>
      <c r="N46" s="76"/>
      <c r="O46" s="76"/>
      <c r="P46" s="76" t="str">
        <f t="shared" si="4"/>
        <v>,reserve6</v>
      </c>
      <c r="Q46" s="76" t="str">
        <f t="shared" si="0"/>
        <v>TEXT</v>
      </c>
      <c r="R46" s="76" t="str">
        <f t="shared" si="1"/>
        <v/>
      </c>
      <c r="S46" s="76" t="str">
        <f t="shared" si="5"/>
        <v/>
      </c>
      <c r="T46" s="76" t="str">
        <f t="shared" si="6"/>
        <v>-- 予備6</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milscm_2023_010.azn_202310_backup_merge_receiptc_tr.reserve6 IS '予備6';</v>
      </c>
    </row>
    <row r="47" spans="1:52" s="25" customFormat="1" ht="19.5" thickBot="1">
      <c r="A47" s="4"/>
      <c r="B47" s="27">
        <f>ROW()-12</f>
        <v>35</v>
      </c>
      <c r="C47" s="57" t="s">
        <v>1189</v>
      </c>
      <c r="D47" s="57" t="s">
        <v>1190</v>
      </c>
      <c r="E47" s="56"/>
      <c r="F47" s="56" t="s">
        <v>863</v>
      </c>
      <c r="G47" s="56" t="str">
        <f t="shared" si="3"/>
        <v>text</v>
      </c>
      <c r="H47" s="59"/>
      <c r="I47" s="60"/>
      <c r="J47" s="63"/>
      <c r="N47" s="76"/>
      <c r="O47" s="76"/>
      <c r="P47" s="76" t="str">
        <f t="shared" si="4"/>
        <v>,reserve7</v>
      </c>
      <c r="Q47" s="76" t="str">
        <f t="shared" si="0"/>
        <v>TEXT</v>
      </c>
      <c r="R47" s="76" t="str">
        <f t="shared" si="1"/>
        <v/>
      </c>
      <c r="S47" s="76" t="str">
        <f t="shared" si="5"/>
        <v/>
      </c>
      <c r="T47" s="76" t="str">
        <f t="shared" si="6"/>
        <v>-- 予備7</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milscm_2023_010.azn_202310_backup_merge_receiptc_tr.reserve7 IS '予備7';</v>
      </c>
    </row>
    <row r="48" spans="1:52">
      <c r="L48" s="25"/>
      <c r="M48" s="25"/>
      <c r="N48" s="76" t="s">
        <v>142</v>
      </c>
      <c r="O48" s="76"/>
      <c r="P48" s="76"/>
      <c r="Q48" s="76"/>
      <c r="R48" s="76"/>
      <c r="S48" s="76"/>
      <c r="T48" s="76"/>
      <c r="V48" s="25"/>
      <c r="W48" s="25"/>
      <c r="X48" s="25"/>
      <c r="Y48" s="25"/>
      <c r="Z48" s="25"/>
      <c r="AJ48" s="76" t="s">
        <v>142</v>
      </c>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V51" s="25"/>
      <c r="W51" s="25"/>
      <c r="X51" s="25"/>
      <c r="Y51" s="25"/>
      <c r="Z51" s="25"/>
      <c r="AT51" s="25"/>
      <c r="AU51" s="25"/>
      <c r="AV51" s="25"/>
      <c r="AW51" s="25"/>
      <c r="AX51" s="25"/>
      <c r="AY51" s="25"/>
      <c r="AZ51" s="25"/>
    </row>
    <row r="52" spans="12:52">
      <c r="L52" s="25"/>
      <c r="M52" s="25"/>
      <c r="V52" s="25"/>
      <c r="W52" s="25"/>
      <c r="X52" s="25"/>
      <c r="Y52" s="25"/>
      <c r="Z52" s="25"/>
      <c r="AT52" s="25"/>
      <c r="AU52" s="25"/>
      <c r="AV52" s="25"/>
      <c r="AW52" s="25"/>
      <c r="AX52" s="25"/>
      <c r="AY52" s="25"/>
      <c r="AZ52" s="25"/>
    </row>
    <row r="53" spans="12:52">
      <c r="L53" s="25"/>
      <c r="M53" s="25"/>
      <c r="V53" s="25"/>
      <c r="W53" s="25"/>
      <c r="X53" s="25"/>
      <c r="Y53" s="25"/>
      <c r="Z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T60" s="25"/>
      <c r="AU60" s="25"/>
      <c r="AV60" s="25"/>
      <c r="AW60" s="25"/>
      <c r="AX60" s="25"/>
      <c r="AY60" s="25"/>
      <c r="AZ60" s="25"/>
    </row>
    <row r="61" spans="12:52">
      <c r="L61" s="25"/>
      <c r="M61" s="25"/>
      <c r="AT61" s="25"/>
      <c r="AU61" s="25"/>
      <c r="AV61" s="25"/>
      <c r="AW61" s="25"/>
      <c r="AX61" s="25"/>
      <c r="AY61" s="25"/>
      <c r="AZ61" s="25"/>
    </row>
    <row r="62" spans="12:52">
      <c r="L62" s="25"/>
      <c r="M62" s="25"/>
      <c r="AT62" s="25"/>
      <c r="AU62" s="25"/>
      <c r="AV62" s="25"/>
      <c r="AW62" s="25"/>
      <c r="AX62" s="25"/>
      <c r="AY62" s="25"/>
      <c r="AZ62" s="25"/>
    </row>
    <row r="63" spans="12:52">
      <c r="L63" s="25"/>
      <c r="M63" s="25"/>
      <c r="AV63" s="25"/>
      <c r="AW63" s="25"/>
      <c r="AX63" s="25"/>
      <c r="AY63" s="25"/>
      <c r="AZ63" s="25"/>
    </row>
    <row r="64" spans="12:52">
      <c r="M64" s="25"/>
    </row>
    <row r="65" spans="13:13">
      <c r="M65" s="25"/>
    </row>
    <row r="66" spans="13:13">
      <c r="M66" s="25"/>
    </row>
    <row r="67" spans="13:13">
      <c r="M67" s="25"/>
    </row>
    <row r="68" spans="13:13">
      <c r="M68" s="25"/>
    </row>
    <row r="69" spans="13:13">
      <c r="M6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ENT_01_C3-01</v>
      </c>
      <c r="E6" s="272"/>
      <c r="F6" s="272"/>
      <c r="G6" s="272"/>
      <c r="H6" s="272"/>
      <c r="I6" s="272"/>
      <c r="J6" s="273"/>
    </row>
    <row r="7" spans="1:45">
      <c r="B7" s="261" t="s">
        <v>115</v>
      </c>
      <c r="C7" s="262"/>
      <c r="D7" s="263" t="s">
        <v>1195</v>
      </c>
      <c r="E7" s="264"/>
      <c r="F7" s="264"/>
      <c r="G7" s="264"/>
      <c r="H7" s="264"/>
      <c r="I7" s="264"/>
      <c r="J7" s="265"/>
    </row>
    <row r="8" spans="1:45">
      <c r="B8" s="261" t="s">
        <v>116</v>
      </c>
      <c r="C8" s="262"/>
      <c r="D8" s="263" t="str">
        <f>エンティティ一覧!AE2&amp;"_"&amp;D5&amp;"_merge_receiptd_ir"</f>
        <v>azn_202310_backup_merge_receiptd_ir</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DPCレセプト_医療機関情報レコードテーブルから組入れ条件の第一条件で絞り込んだ結果を格納するテーブル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milscm_2023_010.azn_202310_backup_merge_receiptd_ir;</v>
      </c>
      <c r="O10" s="76"/>
      <c r="P10" s="76"/>
      <c r="Q10" s="76"/>
      <c r="R10" s="76"/>
      <c r="S10" s="76"/>
      <c r="T10" s="76"/>
      <c r="AJ10" s="76" t="str">
        <f>"ALTER TABLE ONLY "&amp;エンティティ一覧!$O$2&amp;"."&amp;D$8</f>
        <v>ALTER TABLE ONLY milscm_2023_010.azn_202310_backup_merge_receiptd_ir</v>
      </c>
      <c r="AS10" s="76" t="str">
        <f>"ALTER TABLE "&amp;エンティティ一覧!$O$2&amp;"."&amp;D$8&amp;" OWNER TO pgmisgrp1;"</f>
        <v>ALTER TABLE milscm_2023_010.azn_202310_backup_merge_receiptd_ir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milscm_2023_010.azn_202310_backup_merge_receiptd_ir</v>
      </c>
      <c r="O11" s="76"/>
      <c r="P11" s="76"/>
      <c r="Q11" s="76"/>
      <c r="R11" s="76"/>
      <c r="S11" s="76"/>
      <c r="T11" s="76"/>
      <c r="AJ11" s="76" t="str">
        <f>"ADD CONSTRAINT "&amp;D$8&amp;"_pkey PRIMARY KEY"</f>
        <v>ADD CONSTRAINT azn_202310_backup_merge_receiptd_ir_pkey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milscm_2023_010.azn_202310_backup_merge_receiptd_ir IS 'バックアップ_DPCレセプト_医療機関情報レコード';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1" si="0">UPPER(G13)</f>
        <v>TEXT</v>
      </c>
      <c r="R13" s="76" t="str">
        <f t="shared" ref="R13:R31"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milscm_2023_010.azn_202310_backup_merge_receiptd_ir.torikomi_ym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6"/>
      <c r="O14" s="76"/>
      <c r="P14" s="76" t="str">
        <f t="shared" ref="P14:P31"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milscm_2023_010.azn_202310_backup_merge_receiptd_ir.mil_karute_id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1198</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milscm_2023_010.azn_202310_backup_merge_receiptd_ir.facility_id IS '施設ID';</v>
      </c>
    </row>
    <row r="16" spans="1:45" s="25" customFormat="1" ht="56.25">
      <c r="B16" s="21">
        <f t="shared" si="2"/>
        <v>4</v>
      </c>
      <c r="C16" s="6" t="s">
        <v>902</v>
      </c>
      <c r="D16" s="6" t="s">
        <v>903</v>
      </c>
      <c r="E16" s="8" t="s">
        <v>127</v>
      </c>
      <c r="F16" s="7" t="s">
        <v>863</v>
      </c>
      <c r="G16" s="7" t="str">
        <f t="shared" si="3"/>
        <v>text</v>
      </c>
      <c r="H16" s="26"/>
      <c r="I16" s="10" t="s">
        <v>127</v>
      </c>
      <c r="J16" s="53" t="s">
        <v>929</v>
      </c>
      <c r="M16" s="4"/>
      <c r="N16" s="76"/>
      <c r="O16" s="76"/>
      <c r="P16" s="76" t="str">
        <f t="shared" si="4"/>
        <v>,seikyu_ym</v>
      </c>
      <c r="Q16" s="76" t="str">
        <f t="shared" si="0"/>
        <v>TEXT</v>
      </c>
      <c r="R16" s="76" t="str">
        <f t="shared" si="1"/>
        <v/>
      </c>
      <c r="S16" s="76" t="str">
        <f t="shared" ref="S16:S31" si="5">IF(I16="○","NOT NULL","")</f>
        <v>NOT NULL</v>
      </c>
      <c r="T16" s="76" t="str">
        <f t="shared" ref="T16:T31"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milscm_2023_010.azn_202310_backup_merge_receiptd_ir.seikyu_ym IS '請求年月';</v>
      </c>
    </row>
    <row r="17" spans="1:52" s="25" customFormat="1" ht="75">
      <c r="B17" s="21">
        <f t="shared" si="2"/>
        <v>5</v>
      </c>
      <c r="C17" s="13" t="s">
        <v>864</v>
      </c>
      <c r="D17" s="13" t="s">
        <v>205</v>
      </c>
      <c r="E17" s="7" t="s">
        <v>127</v>
      </c>
      <c r="F17" s="7" t="s">
        <v>863</v>
      </c>
      <c r="G17" s="7" t="str">
        <f t="shared" si="3"/>
        <v>text</v>
      </c>
      <c r="H17" s="58"/>
      <c r="I17" s="23" t="s">
        <v>127</v>
      </c>
      <c r="J17" s="24" t="s">
        <v>935</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milscm_2023_010.azn_202310_backup_merge_receiptd_ir.shinryo_ym IS '診療年月';</v>
      </c>
    </row>
    <row r="18" spans="1:52" s="25" customFormat="1">
      <c r="B18" s="21">
        <f t="shared" si="2"/>
        <v>6</v>
      </c>
      <c r="C18" s="13" t="s">
        <v>318</v>
      </c>
      <c r="D18" s="13" t="s">
        <v>207</v>
      </c>
      <c r="E18" s="7"/>
      <c r="F18" s="7" t="s">
        <v>863</v>
      </c>
      <c r="G18" s="7" t="str">
        <f t="shared" si="3"/>
        <v>text</v>
      </c>
      <c r="H18" s="58" t="s">
        <v>930</v>
      </c>
      <c r="I18" s="23" t="s">
        <v>127</v>
      </c>
      <c r="J18" s="24" t="s">
        <v>931</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milscm_2023_010.azn_202310_backup_merge_receiptd_ir.data_type IS 'データ種別';</v>
      </c>
    </row>
    <row r="19" spans="1:52" s="25" customFormat="1">
      <c r="B19" s="21">
        <f t="shared" si="2"/>
        <v>7</v>
      </c>
      <c r="C19" s="13" t="s">
        <v>904</v>
      </c>
      <c r="D19" s="13" t="s">
        <v>905</v>
      </c>
      <c r="E19" s="7" t="s">
        <v>127</v>
      </c>
      <c r="F19" s="7" t="s">
        <v>863</v>
      </c>
      <c r="G19" s="7" t="str">
        <f t="shared" si="3"/>
        <v>text</v>
      </c>
      <c r="H19" s="58"/>
      <c r="I19" s="23" t="s">
        <v>127</v>
      </c>
      <c r="J19" s="2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milscm_2023_010.azn_202310_backup_merge_receiptd_ir.shinsa_kikan IS '審査支払機関';</v>
      </c>
    </row>
    <row r="20" spans="1:52" s="25" customFormat="1">
      <c r="B20" s="21">
        <f t="shared" si="2"/>
        <v>8</v>
      </c>
      <c r="C20" s="13" t="s">
        <v>906</v>
      </c>
      <c r="D20" s="13" t="s">
        <v>907</v>
      </c>
      <c r="E20" s="7"/>
      <c r="F20" s="7" t="s">
        <v>863</v>
      </c>
      <c r="G20" s="7" t="str">
        <f t="shared" si="3"/>
        <v>text</v>
      </c>
      <c r="H20" s="58" t="s">
        <v>932</v>
      </c>
      <c r="I20" s="23" t="s">
        <v>127</v>
      </c>
      <c r="J20" s="24" t="s">
        <v>933</v>
      </c>
      <c r="N20" s="76"/>
      <c r="O20" s="76"/>
      <c r="P20" s="76" t="str">
        <f t="shared" si="4"/>
        <v>,record_shikibetsu</v>
      </c>
      <c r="Q20" s="76" t="str">
        <f t="shared" si="0"/>
        <v>TEXT</v>
      </c>
      <c r="R20" s="76" t="str">
        <f t="shared" si="1"/>
        <v>default 'IR'</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milscm_2023_010.azn_202310_backup_merge_receiptd_ir.record_shikibetsu IS 'レコード識別情報';</v>
      </c>
    </row>
    <row r="21" spans="1:52" s="25" customFormat="1">
      <c r="B21" s="21">
        <f t="shared" si="2"/>
        <v>9</v>
      </c>
      <c r="C21" s="13" t="s">
        <v>908</v>
      </c>
      <c r="D21" s="13" t="s">
        <v>909</v>
      </c>
      <c r="E21" s="7" t="s">
        <v>127</v>
      </c>
      <c r="F21" s="7" t="s">
        <v>203</v>
      </c>
      <c r="G21" s="7" t="str">
        <f t="shared" si="3"/>
        <v>integer</v>
      </c>
      <c r="H21" s="58">
        <v>0</v>
      </c>
      <c r="I21" s="23" t="s">
        <v>127</v>
      </c>
      <c r="J21" s="24" t="s">
        <v>934</v>
      </c>
      <c r="N21" s="76"/>
      <c r="O21" s="76"/>
      <c r="P21" s="76" t="str">
        <f t="shared" si="4"/>
        <v>,receipt_no</v>
      </c>
      <c r="Q21" s="76" t="str">
        <f t="shared" si="0"/>
        <v>INTEGER</v>
      </c>
      <c r="R21" s="76" t="str">
        <f t="shared" si="1"/>
        <v>default 0</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milscm_2023_010.azn_202310_backup_merge_receiptd_ir.receipt_no IS 'レセプト番号';</v>
      </c>
    </row>
    <row r="22" spans="1:52" s="25" customFormat="1">
      <c r="B22" s="21">
        <f t="shared" si="2"/>
        <v>10</v>
      </c>
      <c r="C22" s="13" t="s">
        <v>910</v>
      </c>
      <c r="D22" s="13" t="s">
        <v>911</v>
      </c>
      <c r="E22" s="7" t="s">
        <v>127</v>
      </c>
      <c r="F22" s="7" t="s">
        <v>203</v>
      </c>
      <c r="G22" s="7" t="str">
        <f t="shared" si="3"/>
        <v>integer</v>
      </c>
      <c r="H22" s="58">
        <v>0</v>
      </c>
      <c r="I22" s="23" t="s">
        <v>127</v>
      </c>
      <c r="J22" s="24" t="s">
        <v>934</v>
      </c>
      <c r="N22" s="76"/>
      <c r="O22" s="76"/>
      <c r="P22" s="76" t="str">
        <f t="shared" si="4"/>
        <v>,gyo_no</v>
      </c>
      <c r="Q22" s="76" t="str">
        <f t="shared" si="0"/>
        <v>INTEGER</v>
      </c>
      <c r="R22" s="76" t="str">
        <f t="shared" si="1"/>
        <v>default 0</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milscm_2023_010.azn_202310_backup_merge_receiptd_ir.gyo_no IS '行番号';</v>
      </c>
    </row>
    <row r="23" spans="1:52" s="25" customFormat="1">
      <c r="B23" s="21">
        <f t="shared" si="2"/>
        <v>11</v>
      </c>
      <c r="C23" s="13" t="s">
        <v>912</v>
      </c>
      <c r="D23" s="13" t="s">
        <v>913</v>
      </c>
      <c r="E23" s="7"/>
      <c r="F23" s="7" t="s">
        <v>863</v>
      </c>
      <c r="G23" s="7" t="str">
        <f t="shared" si="3"/>
        <v>text</v>
      </c>
      <c r="H23" s="58"/>
      <c r="I23" s="23"/>
      <c r="J23" s="24" t="s">
        <v>861</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milscm_2023_010.azn_202310_backup_merge_receiptd_ir.karute_no IS 'カルテ番号等';</v>
      </c>
    </row>
    <row r="24" spans="1:52" s="25" customFormat="1">
      <c r="B24" s="21">
        <f t="shared" si="2"/>
        <v>12</v>
      </c>
      <c r="C24" s="13" t="s">
        <v>1196</v>
      </c>
      <c r="D24" s="13" t="s">
        <v>1197</v>
      </c>
      <c r="E24" s="7"/>
      <c r="F24" s="7" t="s">
        <v>863</v>
      </c>
      <c r="G24" s="7" t="str">
        <f t="shared" si="3"/>
        <v>text</v>
      </c>
      <c r="H24" s="58"/>
      <c r="I24" s="23"/>
      <c r="J24" s="24" t="s">
        <v>861</v>
      </c>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milscm_2023_010.azn_202310_backup_merge_receiptd_ir.receipt_sokatsu_kubun IS 'レセプト総括区分';</v>
      </c>
    </row>
    <row r="25" spans="1:52" s="25" customFormat="1">
      <c r="B25" s="21">
        <f t="shared" si="2"/>
        <v>13</v>
      </c>
      <c r="C25" s="13" t="s">
        <v>914</v>
      </c>
      <c r="D25" s="13" t="s">
        <v>915</v>
      </c>
      <c r="E25" s="7"/>
      <c r="F25" s="7" t="s">
        <v>863</v>
      </c>
      <c r="G25" s="7" t="str">
        <f t="shared" si="3"/>
        <v>text</v>
      </c>
      <c r="H25" s="58"/>
      <c r="I25" s="23"/>
      <c r="J25" s="24"/>
      <c r="N25" s="76"/>
      <c r="O25" s="76"/>
      <c r="P25" s="76" t="str">
        <f t="shared" si="4"/>
        <v>,prefecture</v>
      </c>
      <c r="Q25" s="76" t="str">
        <f t="shared" si="0"/>
        <v>TEXT</v>
      </c>
      <c r="R25" s="76" t="str">
        <f t="shared" si="1"/>
        <v/>
      </c>
      <c r="S25" s="76" t="str">
        <f t="shared" si="5"/>
        <v/>
      </c>
      <c r="T25" s="76" t="str">
        <f t="shared" si="6"/>
        <v>-- 都道府県</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milscm_2023_010.azn_202310_backup_merge_receiptd_ir.prefecture IS '都道府県';</v>
      </c>
    </row>
    <row r="26" spans="1:52" s="25" customFormat="1">
      <c r="B26" s="21">
        <f t="shared" si="2"/>
        <v>14</v>
      </c>
      <c r="C26" s="13" t="s">
        <v>916</v>
      </c>
      <c r="D26" s="13" t="s">
        <v>917</v>
      </c>
      <c r="E26" s="7"/>
      <c r="F26" s="7" t="s">
        <v>863</v>
      </c>
      <c r="G26" s="7" t="str">
        <f t="shared" si="3"/>
        <v>text</v>
      </c>
      <c r="H26" s="58"/>
      <c r="I26" s="23"/>
      <c r="J26" s="24"/>
      <c r="N26" s="76"/>
      <c r="O26" s="76"/>
      <c r="P26" s="76" t="str">
        <f t="shared" si="4"/>
        <v>,tensuhyo</v>
      </c>
      <c r="Q26" s="76" t="str">
        <f t="shared" si="0"/>
        <v>TEXT</v>
      </c>
      <c r="R26" s="76" t="str">
        <f t="shared" si="1"/>
        <v/>
      </c>
      <c r="S26" s="76" t="str">
        <f t="shared" si="5"/>
        <v/>
      </c>
      <c r="T26" s="76" t="str">
        <f t="shared" si="6"/>
        <v>-- 点数表</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milscm_2023_010.azn_202310_backup_merge_receiptd_ir.tensuhyo IS '点数表';</v>
      </c>
    </row>
    <row r="27" spans="1:52" s="25" customFormat="1">
      <c r="B27" s="21">
        <f t="shared" si="2"/>
        <v>15</v>
      </c>
      <c r="C27" s="13" t="s">
        <v>918</v>
      </c>
      <c r="D27" s="13" t="s">
        <v>919</v>
      </c>
      <c r="E27" s="7"/>
      <c r="F27" s="7" t="s">
        <v>863</v>
      </c>
      <c r="G27" s="7" t="str">
        <f t="shared" si="3"/>
        <v>text</v>
      </c>
      <c r="H27" s="58"/>
      <c r="I27" s="23"/>
      <c r="J27" s="24"/>
      <c r="N27" s="76"/>
      <c r="O27" s="76"/>
      <c r="P27" s="76" t="str">
        <f t="shared" si="4"/>
        <v>,hospital_code</v>
      </c>
      <c r="Q27" s="76" t="str">
        <f t="shared" si="0"/>
        <v>TEXT</v>
      </c>
      <c r="R27" s="76" t="str">
        <f t="shared" si="1"/>
        <v/>
      </c>
      <c r="S27" s="76" t="str">
        <f t="shared" si="5"/>
        <v/>
      </c>
      <c r="T27" s="76" t="str">
        <f t="shared" si="6"/>
        <v>-- 医療機関コード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milscm_2023_010.azn_202310_backup_merge_receiptd_ir.hospital_code IS '医療機関コード';</v>
      </c>
    </row>
    <row r="28" spans="1:52" s="25" customFormat="1">
      <c r="B28" s="21">
        <f t="shared" si="2"/>
        <v>16</v>
      </c>
      <c r="C28" s="13" t="s">
        <v>920</v>
      </c>
      <c r="D28" s="13" t="s">
        <v>921</v>
      </c>
      <c r="E28" s="7"/>
      <c r="F28" s="7" t="s">
        <v>863</v>
      </c>
      <c r="G28" s="7" t="str">
        <f t="shared" si="3"/>
        <v>text</v>
      </c>
      <c r="H28" s="58"/>
      <c r="I28" s="23"/>
      <c r="J28" s="24"/>
      <c r="N28" s="76"/>
      <c r="O28" s="76"/>
      <c r="P28" s="76" t="str">
        <f t="shared" si="4"/>
        <v>,reserve1</v>
      </c>
      <c r="Q28" s="76" t="str">
        <f t="shared" si="0"/>
        <v>TEXT</v>
      </c>
      <c r="R28" s="76" t="str">
        <f t="shared" si="1"/>
        <v/>
      </c>
      <c r="S28" s="76" t="str">
        <f t="shared" si="5"/>
        <v/>
      </c>
      <c r="T28" s="76" t="str">
        <f t="shared" si="6"/>
        <v>-- 予備1</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milscm_2023_010.azn_202310_backup_merge_receiptd_ir.reserve1 IS '予備1';</v>
      </c>
    </row>
    <row r="29" spans="1:52" s="25" customFormat="1">
      <c r="B29" s="21">
        <f t="shared" si="2"/>
        <v>17</v>
      </c>
      <c r="C29" s="13" t="s">
        <v>922</v>
      </c>
      <c r="D29" s="13" t="s">
        <v>923</v>
      </c>
      <c r="E29" s="7"/>
      <c r="F29" s="7" t="s">
        <v>863</v>
      </c>
      <c r="G29" s="7" t="str">
        <f t="shared" si="3"/>
        <v>text</v>
      </c>
      <c r="H29" s="58"/>
      <c r="I29" s="23"/>
      <c r="J29" s="24"/>
      <c r="N29" s="76"/>
      <c r="O29" s="76"/>
      <c r="P29" s="76" t="str">
        <f t="shared" si="4"/>
        <v>,hospital_name</v>
      </c>
      <c r="Q29" s="76" t="str">
        <f t="shared" si="0"/>
        <v>TEXT</v>
      </c>
      <c r="R29" s="76" t="str">
        <f t="shared" si="1"/>
        <v/>
      </c>
      <c r="S29" s="76" t="str">
        <f t="shared" si="5"/>
        <v/>
      </c>
      <c r="T29" s="76" t="str">
        <f t="shared" si="6"/>
        <v>-- 医療機関名称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milscm_2023_010.azn_202310_backup_merge_receiptd_ir.hospital_name IS '医療機関名称';</v>
      </c>
    </row>
    <row r="30" spans="1:52" s="25" customFormat="1">
      <c r="B30" s="21">
        <f t="shared" si="2"/>
        <v>18</v>
      </c>
      <c r="C30" s="13" t="s">
        <v>924</v>
      </c>
      <c r="D30" s="13" t="s">
        <v>925</v>
      </c>
      <c r="E30" s="7"/>
      <c r="F30" s="7" t="s">
        <v>863</v>
      </c>
      <c r="G30" s="7" t="str">
        <f t="shared" si="3"/>
        <v>text</v>
      </c>
      <c r="H30" s="58"/>
      <c r="I30" s="23"/>
      <c r="J30" s="24"/>
      <c r="N30" s="76"/>
      <c r="O30" s="76"/>
      <c r="P30" s="76" t="str">
        <f t="shared" si="4"/>
        <v>,multi_volume_shikibetsu</v>
      </c>
      <c r="Q30" s="76" t="str">
        <f t="shared" si="0"/>
        <v>TEXT</v>
      </c>
      <c r="R30" s="76" t="str">
        <f t="shared" si="1"/>
        <v/>
      </c>
      <c r="S30" s="76" t="str">
        <f t="shared" si="5"/>
        <v/>
      </c>
      <c r="T30" s="76" t="str">
        <f t="shared" si="6"/>
        <v>-- マルチボリューム識別情報</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milscm_2023_010.azn_202310_backup_merge_receiptd_ir.multi_volume_shikibetsu IS 'マルチボリューム識別情報';</v>
      </c>
    </row>
    <row r="31" spans="1:52" s="25" customFormat="1" ht="19.5" thickBot="1">
      <c r="A31" s="4"/>
      <c r="B31" s="27">
        <f>ROW()-12</f>
        <v>19</v>
      </c>
      <c r="C31" s="57" t="s">
        <v>926</v>
      </c>
      <c r="D31" s="57" t="s">
        <v>927</v>
      </c>
      <c r="E31" s="56"/>
      <c r="F31" s="56" t="s">
        <v>863</v>
      </c>
      <c r="G31" s="56" t="str">
        <f t="shared" si="3"/>
        <v>text</v>
      </c>
      <c r="H31" s="59"/>
      <c r="I31" s="60"/>
      <c r="J31" s="63"/>
      <c r="N31" s="76"/>
      <c r="O31" s="76"/>
      <c r="P31" s="76" t="str">
        <f t="shared" si="4"/>
        <v>,phone_no</v>
      </c>
      <c r="Q31" s="76" t="str">
        <f t="shared" si="0"/>
        <v>TEXT</v>
      </c>
      <c r="R31" s="76" t="str">
        <f t="shared" si="1"/>
        <v/>
      </c>
      <c r="S31" s="76" t="str">
        <f t="shared" si="5"/>
        <v/>
      </c>
      <c r="T31" s="76" t="str">
        <f t="shared" si="6"/>
        <v>-- 電話番号</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milscm_2023_010.azn_202310_backup_merge_receiptd_ir.phone_no IS '電話番号';</v>
      </c>
    </row>
    <row r="32" spans="1:52">
      <c r="L32" s="25"/>
      <c r="M32" s="25"/>
      <c r="N32" s="76" t="s">
        <v>142</v>
      </c>
      <c r="O32" s="76"/>
      <c r="P32" s="76"/>
      <c r="Q32" s="76"/>
      <c r="R32" s="76"/>
      <c r="S32" s="76"/>
      <c r="T32" s="76"/>
      <c r="V32" s="25"/>
      <c r="W32" s="25"/>
      <c r="X32" s="25"/>
      <c r="Y32" s="25"/>
      <c r="Z32" s="25"/>
      <c r="AJ32" s="76"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9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ENT_01_C3-02</v>
      </c>
      <c r="E6" s="272"/>
      <c r="F6" s="272"/>
      <c r="G6" s="272"/>
      <c r="H6" s="272"/>
      <c r="I6" s="272"/>
      <c r="J6" s="273"/>
    </row>
    <row r="7" spans="1:45">
      <c r="B7" s="261" t="s">
        <v>115</v>
      </c>
      <c r="C7" s="262"/>
      <c r="D7" s="263" t="s">
        <v>1200</v>
      </c>
      <c r="E7" s="264"/>
      <c r="F7" s="264"/>
      <c r="G7" s="264"/>
      <c r="H7" s="264"/>
      <c r="I7" s="264"/>
      <c r="J7" s="265"/>
    </row>
    <row r="8" spans="1:45">
      <c r="B8" s="261" t="s">
        <v>116</v>
      </c>
      <c r="C8" s="262"/>
      <c r="D8" s="263" t="str">
        <f>エンティティ一覧!AE2&amp;"_"&amp;D5&amp;"_merge_receiptd_re"</f>
        <v>azn_202310_backup_merge_receiptd_re</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DPCレセプト_レセプト共通レコードテーブルから組入れ条件の第一条件で絞り込んだ結果を格納するテーブル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milscm_2023_010.azn_202310_backup_merge_receiptd_re;</v>
      </c>
      <c r="O10" s="76"/>
      <c r="P10" s="76"/>
      <c r="Q10" s="76"/>
      <c r="R10" s="76"/>
      <c r="S10" s="76"/>
      <c r="T10" s="76"/>
      <c r="AJ10" s="76" t="str">
        <f>"ALTER TABLE ONLY "&amp;エンティティ一覧!$O$2&amp;"."&amp;D$8</f>
        <v>ALTER TABLE ONLY milscm_2023_010.azn_202310_backup_merge_receiptd_re</v>
      </c>
      <c r="AS10" s="76" t="str">
        <f>"ALTER TABLE "&amp;エンティティ一覧!$O$2&amp;"."&amp;D$8&amp;" OWNER TO pgmisgrp1;"</f>
        <v>ALTER TABLE milscm_2023_010.azn_202310_backup_merge_receiptd_re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milscm_2023_010.azn_202310_backup_merge_receiptd_re</v>
      </c>
      <c r="O11" s="76"/>
      <c r="P11" s="76"/>
      <c r="Q11" s="76"/>
      <c r="R11" s="76"/>
      <c r="S11" s="76"/>
      <c r="T11" s="76"/>
      <c r="AJ11" s="76" t="str">
        <f>"ADD CONSTRAINT "&amp;D$8&amp;"_pkey PRIMARY KEY"</f>
        <v>ADD CONSTRAINT azn_202310_backup_merge_receiptd_re_pkey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milscm_2023_010.azn_202310_backup_merge_receiptd_re IS 'バックアップ_DPCレセプト_レセプト共通レコード';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75" si="0">UPPER(G13)</f>
        <v>TEXT</v>
      </c>
      <c r="R13" s="76" t="str">
        <f t="shared" ref="R13:R7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milscm_2023_010.azn_202310_backup_merge_receiptd_re.torikomi_ym IS '取込年月';</v>
      </c>
    </row>
    <row r="14" spans="1:45" s="25" customFormat="1">
      <c r="A14" s="4"/>
      <c r="B14" s="21">
        <f t="shared" ref="B14:B74" si="2">ROW()-12</f>
        <v>2</v>
      </c>
      <c r="C14" s="6" t="s">
        <v>201</v>
      </c>
      <c r="D14" s="6" t="s">
        <v>202</v>
      </c>
      <c r="E14" s="8"/>
      <c r="F14" s="7" t="s">
        <v>203</v>
      </c>
      <c r="G14" s="7" t="str">
        <f t="shared" ref="G14:G75" si="3">IF(F14="フラグ","boolean",IF(F14="文字列","text",IF(F14="整数","integer",IF(F14="実数","numeric",""))))</f>
        <v>integer</v>
      </c>
      <c r="H14" s="26"/>
      <c r="I14" s="10"/>
      <c r="J14" s="11" t="s">
        <v>256</v>
      </c>
      <c r="M14" s="4"/>
      <c r="N14" s="76"/>
      <c r="O14" s="76"/>
      <c r="P14" s="76" t="str">
        <f t="shared" ref="P14:P7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milscm_2023_010.azn_202310_backup_merge_receiptd_re.mil_karute_id IS '千年カルテID';</v>
      </c>
    </row>
    <row r="15" spans="1:45" s="25" customFormat="1" ht="37.5">
      <c r="A15" s="4"/>
      <c r="B15" s="21">
        <f t="shared" si="2"/>
        <v>3</v>
      </c>
      <c r="C15" s="13" t="s">
        <v>137</v>
      </c>
      <c r="D15" s="13" t="s">
        <v>128</v>
      </c>
      <c r="E15" s="7" t="s">
        <v>127</v>
      </c>
      <c r="F15" s="7" t="s">
        <v>863</v>
      </c>
      <c r="G15" s="7" t="str">
        <f t="shared" ref="G15:G74" si="5">IF(F15="フラグ","boolean",IF(F15="文字列","text",IF(F15="整数","integer",IF(F15="実数","numeric",""))))</f>
        <v>text</v>
      </c>
      <c r="H15" s="58"/>
      <c r="I15" s="23" t="s">
        <v>127</v>
      </c>
      <c r="J15" s="24" t="s">
        <v>1198</v>
      </c>
      <c r="M15" s="4"/>
      <c r="N15" s="76"/>
      <c r="O15" s="76"/>
      <c r="P15" s="76" t="str">
        <f t="shared" ref="P15:P74" si="6">IF(B15&lt;&gt;1,","&amp;D15,D15)</f>
        <v>,facility_id</v>
      </c>
      <c r="Q15" s="76" t="str">
        <f t="shared" ref="Q15:Q74" si="7">UPPER(G15)</f>
        <v>TEXT</v>
      </c>
      <c r="R15" s="76" t="str">
        <f t="shared" ref="R15:R74" si="8">IF(H15&lt;&gt;"","default "&amp;IF(G15="text","'"&amp;H15&amp;"'",H15),"")</f>
        <v/>
      </c>
      <c r="S15" s="76" t="str">
        <f t="shared" ref="S15:S74" si="9">IF(I15="○","NOT NULL","")</f>
        <v>NOT NULL</v>
      </c>
      <c r="T15" s="76" t="str">
        <f t="shared" ref="T15:T74" si="10">"--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milscm_2023_010.azn_202310_backup_merge_receiptd_re.facility_id IS '施設ID';</v>
      </c>
    </row>
    <row r="16" spans="1:45" s="25" customFormat="1">
      <c r="A16" s="4"/>
      <c r="B16" s="21">
        <f t="shared" si="2"/>
        <v>4</v>
      </c>
      <c r="C16" s="13" t="s">
        <v>902</v>
      </c>
      <c r="D16" s="13" t="s">
        <v>903</v>
      </c>
      <c r="E16" s="7" t="s">
        <v>127</v>
      </c>
      <c r="F16" s="7" t="s">
        <v>863</v>
      </c>
      <c r="G16" s="7" t="str">
        <f t="shared" si="5"/>
        <v>text</v>
      </c>
      <c r="H16" s="58"/>
      <c r="I16" s="23" t="s">
        <v>127</v>
      </c>
      <c r="J16" s="24" t="s">
        <v>1053</v>
      </c>
      <c r="M16" s="4"/>
      <c r="N16" s="76"/>
      <c r="O16" s="76"/>
      <c r="P16" s="76" t="str">
        <f t="shared" si="6"/>
        <v>,seikyu_ym</v>
      </c>
      <c r="Q16" s="76" t="str">
        <f t="shared" si="7"/>
        <v>TEXT</v>
      </c>
      <c r="R16" s="76" t="str">
        <f t="shared" si="8"/>
        <v/>
      </c>
      <c r="S16" s="76" t="str">
        <f t="shared" si="9"/>
        <v>NOT NULL</v>
      </c>
      <c r="T16" s="76" t="str">
        <f t="shared" si="10"/>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milscm_2023_010.azn_202310_backup_merge_receiptd_re.seikyu_ym IS '請求年月';</v>
      </c>
    </row>
    <row r="17" spans="1:45" s="25" customFormat="1" ht="75">
      <c r="A17" s="4"/>
      <c r="B17" s="21">
        <f t="shared" si="2"/>
        <v>5</v>
      </c>
      <c r="C17" s="13" t="s">
        <v>864</v>
      </c>
      <c r="D17" s="13" t="s">
        <v>205</v>
      </c>
      <c r="E17" s="7" t="s">
        <v>127</v>
      </c>
      <c r="F17" s="7" t="s">
        <v>863</v>
      </c>
      <c r="G17" s="7" t="str">
        <f t="shared" si="5"/>
        <v>text</v>
      </c>
      <c r="H17" s="58"/>
      <c r="I17" s="23" t="s">
        <v>127</v>
      </c>
      <c r="J17" s="24" t="s">
        <v>1054</v>
      </c>
      <c r="M17" s="4"/>
      <c r="N17" s="76"/>
      <c r="O17" s="76"/>
      <c r="P17" s="76" t="str">
        <f t="shared" si="6"/>
        <v>,shinryo_ym</v>
      </c>
      <c r="Q17" s="76" t="str">
        <f t="shared" si="7"/>
        <v>TEXT</v>
      </c>
      <c r="R17" s="76" t="str">
        <f t="shared" si="8"/>
        <v/>
      </c>
      <c r="S17" s="76" t="str">
        <f t="shared" si="9"/>
        <v>NOT NULL</v>
      </c>
      <c r="T17" s="76" t="str">
        <f t="shared" si="10"/>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milscm_2023_010.azn_202310_backup_merge_receiptd_re.shinryo_ym IS '診療年月';</v>
      </c>
    </row>
    <row r="18" spans="1:45" s="25" customFormat="1">
      <c r="A18" s="4"/>
      <c r="B18" s="21">
        <f t="shared" si="2"/>
        <v>6</v>
      </c>
      <c r="C18" s="13" t="s">
        <v>318</v>
      </c>
      <c r="D18" s="13" t="s">
        <v>207</v>
      </c>
      <c r="E18" s="7"/>
      <c r="F18" s="7" t="s">
        <v>863</v>
      </c>
      <c r="G18" s="7" t="str">
        <f t="shared" si="5"/>
        <v>text</v>
      </c>
      <c r="H18" s="58" t="s">
        <v>930</v>
      </c>
      <c r="I18" s="23" t="s">
        <v>127</v>
      </c>
      <c r="J18" s="24" t="s">
        <v>931</v>
      </c>
      <c r="M18" s="4"/>
      <c r="N18" s="76"/>
      <c r="O18" s="76"/>
      <c r="P18" s="76" t="str">
        <f t="shared" si="6"/>
        <v>,data_type</v>
      </c>
      <c r="Q18" s="76" t="str">
        <f t="shared" si="7"/>
        <v>TEXT</v>
      </c>
      <c r="R18" s="76" t="str">
        <f t="shared" si="8"/>
        <v>default 'RCP'</v>
      </c>
      <c r="S18" s="76" t="str">
        <f t="shared" si="9"/>
        <v>NOT NULL</v>
      </c>
      <c r="T18" s="76" t="str">
        <f t="shared" si="10"/>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milscm_2023_010.azn_202310_backup_merge_receiptd_re.data_type IS 'データ種別';</v>
      </c>
    </row>
    <row r="19" spans="1:45" s="25" customFormat="1">
      <c r="A19" s="4"/>
      <c r="B19" s="21">
        <f t="shared" si="2"/>
        <v>7</v>
      </c>
      <c r="C19" s="13" t="s">
        <v>904</v>
      </c>
      <c r="D19" s="13" t="s">
        <v>905</v>
      </c>
      <c r="E19" s="7" t="s">
        <v>127</v>
      </c>
      <c r="F19" s="7" t="s">
        <v>863</v>
      </c>
      <c r="G19" s="7" t="str">
        <f t="shared" si="5"/>
        <v>text</v>
      </c>
      <c r="H19" s="58"/>
      <c r="I19" s="23" t="s">
        <v>127</v>
      </c>
      <c r="J19" s="24" t="s">
        <v>1055</v>
      </c>
      <c r="M19" s="4"/>
      <c r="N19" s="76"/>
      <c r="O19" s="76"/>
      <c r="P19" s="76" t="str">
        <f t="shared" si="6"/>
        <v>,shinsa_kikan</v>
      </c>
      <c r="Q19" s="76" t="str">
        <f t="shared" si="7"/>
        <v>TEXT</v>
      </c>
      <c r="R19" s="76" t="str">
        <f t="shared" si="8"/>
        <v/>
      </c>
      <c r="S19" s="76" t="str">
        <f t="shared" si="9"/>
        <v>NOT NULL</v>
      </c>
      <c r="T19" s="76" t="str">
        <f t="shared" si="10"/>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milscm_2023_010.azn_202310_backup_merge_receiptd_re.shinsa_kikan IS '審査支払機関';</v>
      </c>
    </row>
    <row r="20" spans="1:45" s="25" customFormat="1">
      <c r="A20" s="4"/>
      <c r="B20" s="21">
        <f t="shared" si="2"/>
        <v>8</v>
      </c>
      <c r="C20" s="13" t="s">
        <v>906</v>
      </c>
      <c r="D20" s="13" t="s">
        <v>907</v>
      </c>
      <c r="E20" s="7"/>
      <c r="F20" s="7" t="s">
        <v>863</v>
      </c>
      <c r="G20" s="7" t="str">
        <f t="shared" si="5"/>
        <v>text</v>
      </c>
      <c r="H20" s="58" t="s">
        <v>1056</v>
      </c>
      <c r="I20" s="23" t="s">
        <v>127</v>
      </c>
      <c r="J20" s="24" t="s">
        <v>1057</v>
      </c>
      <c r="M20" s="4"/>
      <c r="N20" s="76"/>
      <c r="O20" s="76"/>
      <c r="P20" s="76" t="str">
        <f t="shared" si="6"/>
        <v>,record_shikibetsu</v>
      </c>
      <c r="Q20" s="76" t="str">
        <f t="shared" si="7"/>
        <v>TEXT</v>
      </c>
      <c r="R20" s="76" t="str">
        <f t="shared" si="8"/>
        <v>default 'RE'</v>
      </c>
      <c r="S20" s="76" t="str">
        <f t="shared" si="9"/>
        <v>NOT NULL</v>
      </c>
      <c r="T20" s="76" t="str">
        <f t="shared" si="10"/>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milscm_2023_010.azn_202310_backup_merge_receiptd_re.record_shikibetsu IS 'レコード識別情報';</v>
      </c>
    </row>
    <row r="21" spans="1:45" s="25" customFormat="1">
      <c r="A21" s="4"/>
      <c r="B21" s="21">
        <f t="shared" si="2"/>
        <v>9</v>
      </c>
      <c r="C21" s="13" t="s">
        <v>908</v>
      </c>
      <c r="D21" s="13" t="s">
        <v>909</v>
      </c>
      <c r="E21" s="7" t="s">
        <v>127</v>
      </c>
      <c r="F21" s="7" t="s">
        <v>203</v>
      </c>
      <c r="G21" s="7" t="str">
        <f t="shared" si="5"/>
        <v>integer</v>
      </c>
      <c r="H21" s="58"/>
      <c r="I21" s="23" t="s">
        <v>127</v>
      </c>
      <c r="J21" s="24" t="s">
        <v>1058</v>
      </c>
      <c r="M21" s="4"/>
      <c r="N21" s="76"/>
      <c r="O21" s="76"/>
      <c r="P21" s="76" t="str">
        <f t="shared" si="6"/>
        <v>,receipt_no</v>
      </c>
      <c r="Q21" s="76" t="str">
        <f t="shared" si="7"/>
        <v>INTEGER</v>
      </c>
      <c r="R21" s="76" t="str">
        <f t="shared" si="8"/>
        <v/>
      </c>
      <c r="S21" s="76" t="str">
        <f t="shared" si="9"/>
        <v>NOT NULL</v>
      </c>
      <c r="T21" s="76" t="str">
        <f t="shared" si="10"/>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milscm_2023_010.azn_202310_backup_merge_receiptd_re.receipt_no IS 'レセプト番号';</v>
      </c>
    </row>
    <row r="22" spans="1:45" s="25" customFormat="1">
      <c r="A22" s="4"/>
      <c r="B22" s="21">
        <f t="shared" si="2"/>
        <v>10</v>
      </c>
      <c r="C22" s="13" t="s">
        <v>910</v>
      </c>
      <c r="D22" s="13" t="s">
        <v>911</v>
      </c>
      <c r="E22" s="7" t="s">
        <v>127</v>
      </c>
      <c r="F22" s="7" t="s">
        <v>203</v>
      </c>
      <c r="G22" s="7" t="str">
        <f t="shared" si="5"/>
        <v>integer</v>
      </c>
      <c r="H22" s="58"/>
      <c r="I22" s="23" t="s">
        <v>127</v>
      </c>
      <c r="J22" s="24" t="s">
        <v>1203</v>
      </c>
      <c r="M22" s="4"/>
      <c r="N22" s="76"/>
      <c r="O22" s="76"/>
      <c r="P22" s="76" t="str">
        <f t="shared" si="6"/>
        <v>,gyo_no</v>
      </c>
      <c r="Q22" s="76" t="str">
        <f t="shared" si="7"/>
        <v>INTEGER</v>
      </c>
      <c r="R22" s="76" t="str">
        <f t="shared" si="8"/>
        <v/>
      </c>
      <c r="S22" s="76" t="str">
        <f t="shared" si="9"/>
        <v>NOT NULL</v>
      </c>
      <c r="T22" s="76" t="str">
        <f t="shared" si="10"/>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milscm_2023_010.azn_202310_backup_merge_receiptd_re.gyo_no IS '行番号';</v>
      </c>
    </row>
    <row r="23" spans="1:45" s="25" customFormat="1">
      <c r="A23" s="4"/>
      <c r="B23" s="21">
        <f t="shared" si="2"/>
        <v>11</v>
      </c>
      <c r="C23" s="13" t="s">
        <v>912</v>
      </c>
      <c r="D23" s="13" t="s">
        <v>913</v>
      </c>
      <c r="E23" s="7"/>
      <c r="F23" s="7" t="s">
        <v>863</v>
      </c>
      <c r="G23" s="7" t="str">
        <f t="shared" si="5"/>
        <v>text</v>
      </c>
      <c r="H23" s="58"/>
      <c r="I23" s="23"/>
      <c r="J23" s="24" t="s">
        <v>1060</v>
      </c>
      <c r="M23" s="4"/>
      <c r="N23" s="76"/>
      <c r="O23" s="76"/>
      <c r="P23" s="76" t="str">
        <f t="shared" si="6"/>
        <v>,karute_no</v>
      </c>
      <c r="Q23" s="76" t="str">
        <f t="shared" si="7"/>
        <v>TEXT</v>
      </c>
      <c r="R23" s="76" t="str">
        <f t="shared" si="8"/>
        <v/>
      </c>
      <c r="S23" s="76" t="str">
        <f t="shared" si="9"/>
        <v/>
      </c>
      <c r="T23" s="76" t="str">
        <f t="shared" si="10"/>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milscm_2023_010.azn_202310_backup_merge_receiptd_re.karute_no IS 'カルテ番号等';</v>
      </c>
    </row>
    <row r="24" spans="1:45" s="25" customFormat="1">
      <c r="A24" s="4"/>
      <c r="B24" s="21">
        <f t="shared" si="2"/>
        <v>12</v>
      </c>
      <c r="C24" s="13" t="s">
        <v>1196</v>
      </c>
      <c r="D24" s="13" t="s">
        <v>1197</v>
      </c>
      <c r="E24" s="7"/>
      <c r="F24" s="7" t="s">
        <v>863</v>
      </c>
      <c r="G24" s="7" t="str">
        <f t="shared" si="5"/>
        <v>text</v>
      </c>
      <c r="H24" s="58"/>
      <c r="I24" s="23"/>
      <c r="J24" s="24"/>
      <c r="M24" s="4"/>
      <c r="N24" s="76"/>
      <c r="O24" s="76"/>
      <c r="P24" s="76" t="str">
        <f t="shared" si="6"/>
        <v>,receipt_sokatsu_kubun</v>
      </c>
      <c r="Q24" s="76" t="str">
        <f t="shared" si="7"/>
        <v>TEXT</v>
      </c>
      <c r="R24" s="76" t="str">
        <f t="shared" si="8"/>
        <v/>
      </c>
      <c r="S24" s="76" t="str">
        <f t="shared" si="9"/>
        <v/>
      </c>
      <c r="T24" s="76" t="str">
        <f t="shared" si="10"/>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milscm_2023_010.azn_202310_backup_merge_receiptd_re.receipt_sokatsu_kubun IS 'レセプト総括区分';</v>
      </c>
    </row>
    <row r="25" spans="1:45" s="25" customFormat="1">
      <c r="A25" s="4"/>
      <c r="B25" s="21">
        <f t="shared" si="2"/>
        <v>13</v>
      </c>
      <c r="C25" s="13" t="s">
        <v>938</v>
      </c>
      <c r="D25" s="13" t="s">
        <v>939</v>
      </c>
      <c r="E25" s="7"/>
      <c r="F25" s="7" t="s">
        <v>863</v>
      </c>
      <c r="G25" s="7" t="str">
        <f t="shared" si="5"/>
        <v>text</v>
      </c>
      <c r="H25" s="58"/>
      <c r="I25" s="23"/>
      <c r="J25" s="24"/>
      <c r="M25" s="4"/>
      <c r="N25" s="76"/>
      <c r="O25" s="76"/>
      <c r="P25" s="76" t="str">
        <f t="shared" si="6"/>
        <v>,receipt_type</v>
      </c>
      <c r="Q25" s="76" t="str">
        <f t="shared" si="7"/>
        <v>TEXT</v>
      </c>
      <c r="R25" s="76" t="str">
        <f t="shared" si="8"/>
        <v/>
      </c>
      <c r="S25" s="76" t="str">
        <f t="shared" si="9"/>
        <v/>
      </c>
      <c r="T25" s="76" t="str">
        <f t="shared" si="10"/>
        <v>-- レセプト種別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milscm_2023_010.azn_202310_backup_merge_receiptd_re.receipt_type IS 'レセプト種別';</v>
      </c>
    </row>
    <row r="26" spans="1:45" s="25" customFormat="1">
      <c r="A26" s="4"/>
      <c r="B26" s="21">
        <f t="shared" si="2"/>
        <v>14</v>
      </c>
      <c r="C26" s="13" t="s">
        <v>940</v>
      </c>
      <c r="D26" s="13" t="s">
        <v>941</v>
      </c>
      <c r="E26" s="7"/>
      <c r="F26" s="7" t="s">
        <v>863</v>
      </c>
      <c r="G26" s="7" t="str">
        <f t="shared" si="5"/>
        <v>text</v>
      </c>
      <c r="H26" s="58"/>
      <c r="I26" s="23"/>
      <c r="J26" s="24" t="s">
        <v>1061</v>
      </c>
      <c r="M26" s="4"/>
      <c r="N26" s="76"/>
      <c r="O26" s="76"/>
      <c r="P26" s="76" t="str">
        <f t="shared" si="6"/>
        <v>,name</v>
      </c>
      <c r="Q26" s="76" t="str">
        <f t="shared" si="7"/>
        <v>TEXT</v>
      </c>
      <c r="R26" s="76" t="str">
        <f t="shared" si="8"/>
        <v/>
      </c>
      <c r="S26" s="76" t="str">
        <f t="shared" si="9"/>
        <v/>
      </c>
      <c r="T26" s="76" t="str">
        <f t="shared" si="10"/>
        <v>-- 氏名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milscm_2023_010.azn_202310_backup_merge_receiptd_re.name IS '氏名';</v>
      </c>
    </row>
    <row r="27" spans="1:45" s="25" customFormat="1">
      <c r="A27" s="4"/>
      <c r="B27" s="21">
        <f t="shared" si="2"/>
        <v>15</v>
      </c>
      <c r="C27" s="13" t="s">
        <v>942</v>
      </c>
      <c r="D27" s="13" t="s">
        <v>943</v>
      </c>
      <c r="E27" s="7"/>
      <c r="F27" s="7" t="s">
        <v>863</v>
      </c>
      <c r="G27" s="7" t="str">
        <f t="shared" si="5"/>
        <v>text</v>
      </c>
      <c r="H27" s="58"/>
      <c r="I27" s="23"/>
      <c r="J27" s="24" t="s">
        <v>1062</v>
      </c>
      <c r="M27" s="4"/>
      <c r="N27" s="76"/>
      <c r="O27" s="76"/>
      <c r="P27" s="76" t="str">
        <f t="shared" si="6"/>
        <v>,sex_kubun</v>
      </c>
      <c r="Q27" s="76" t="str">
        <f t="shared" si="7"/>
        <v>TEXT</v>
      </c>
      <c r="R27" s="76" t="str">
        <f t="shared" si="8"/>
        <v/>
      </c>
      <c r="S27" s="76" t="str">
        <f t="shared" si="9"/>
        <v/>
      </c>
      <c r="T27" s="76" t="str">
        <f t="shared" si="10"/>
        <v>-- 男女区分</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milscm_2023_010.azn_202310_backup_merge_receiptd_re.sex_kubun IS '男女区分';</v>
      </c>
    </row>
    <row r="28" spans="1:45" s="25" customFormat="1" ht="93.75">
      <c r="A28" s="4"/>
      <c r="B28" s="21">
        <f t="shared" si="2"/>
        <v>16</v>
      </c>
      <c r="C28" s="13" t="s">
        <v>944</v>
      </c>
      <c r="D28" s="13" t="s">
        <v>321</v>
      </c>
      <c r="E28" s="7"/>
      <c r="F28" s="7" t="s">
        <v>863</v>
      </c>
      <c r="G28" s="7" t="str">
        <f t="shared" si="5"/>
        <v>text</v>
      </c>
      <c r="H28" s="58"/>
      <c r="I28" s="23"/>
      <c r="J28" s="24" t="s">
        <v>1193</v>
      </c>
      <c r="M28" s="4"/>
      <c r="N28" s="76"/>
      <c r="O28" s="76"/>
      <c r="P28" s="76" t="str">
        <f t="shared" si="6"/>
        <v>,birthday</v>
      </c>
      <c r="Q28" s="76" t="str">
        <f t="shared" si="7"/>
        <v>TEXT</v>
      </c>
      <c r="R28" s="76" t="str">
        <f t="shared" si="8"/>
        <v/>
      </c>
      <c r="S28" s="76" t="str">
        <f t="shared" si="9"/>
        <v/>
      </c>
      <c r="T28" s="76" t="str">
        <f t="shared" si="10"/>
        <v>-- 生年月日</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milscm_2023_010.azn_202310_backup_merge_receiptd_re.birthday IS '生年月日';</v>
      </c>
    </row>
    <row r="29" spans="1:45" s="25" customFormat="1">
      <c r="A29" s="4"/>
      <c r="B29" s="21">
        <f t="shared" si="2"/>
        <v>17</v>
      </c>
      <c r="C29" s="13" t="s">
        <v>945</v>
      </c>
      <c r="D29" s="13" t="s">
        <v>946</v>
      </c>
      <c r="E29" s="7"/>
      <c r="F29" s="7" t="s">
        <v>203</v>
      </c>
      <c r="G29" s="7" t="str">
        <f t="shared" si="5"/>
        <v>integer</v>
      </c>
      <c r="H29" s="58"/>
      <c r="I29" s="23"/>
      <c r="J29" s="24"/>
      <c r="M29" s="4"/>
      <c r="N29" s="76"/>
      <c r="O29" s="76"/>
      <c r="P29" s="76" t="str">
        <f t="shared" si="6"/>
        <v>,kyufu_wariai</v>
      </c>
      <c r="Q29" s="76" t="str">
        <f t="shared" si="7"/>
        <v>INTEGER</v>
      </c>
      <c r="R29" s="76" t="str">
        <f t="shared" si="8"/>
        <v/>
      </c>
      <c r="S29" s="76" t="str">
        <f t="shared" si="9"/>
        <v/>
      </c>
      <c r="T29" s="76" t="str">
        <f t="shared" si="10"/>
        <v>-- 給付割合</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milscm_2023_010.azn_202310_backup_merge_receiptd_re.kyufu_wariai IS '給付割合';</v>
      </c>
    </row>
    <row r="30" spans="1:45" s="25" customFormat="1" ht="75">
      <c r="A30" s="4"/>
      <c r="B30" s="21">
        <f t="shared" si="2"/>
        <v>18</v>
      </c>
      <c r="C30" s="13" t="s">
        <v>866</v>
      </c>
      <c r="D30" s="13" t="s">
        <v>156</v>
      </c>
      <c r="E30" s="7"/>
      <c r="F30" s="7" t="s">
        <v>863</v>
      </c>
      <c r="G30" s="7" t="str">
        <f t="shared" si="5"/>
        <v>text</v>
      </c>
      <c r="H30" s="58"/>
      <c r="I30" s="23"/>
      <c r="J30" s="24" t="s">
        <v>1064</v>
      </c>
      <c r="M30" s="4"/>
      <c r="N30" s="76"/>
      <c r="O30" s="76"/>
      <c r="P30" s="76" t="str">
        <f t="shared" si="6"/>
        <v>,nyuin_ymd</v>
      </c>
      <c r="Q30" s="76" t="str">
        <f t="shared" si="7"/>
        <v>TEXT</v>
      </c>
      <c r="R30" s="76" t="str">
        <f t="shared" si="8"/>
        <v/>
      </c>
      <c r="S30" s="76" t="str">
        <f t="shared" si="9"/>
        <v/>
      </c>
      <c r="T30" s="76" t="str">
        <f t="shared" si="10"/>
        <v>-- 入院年月日</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milscm_2023_010.azn_202310_backup_merge_receiptd_re.nyuin_ymd IS '入院年月日';</v>
      </c>
    </row>
    <row r="31" spans="1:45" s="25" customFormat="1">
      <c r="A31" s="4"/>
      <c r="B31" s="21">
        <f t="shared" si="2"/>
        <v>19</v>
      </c>
      <c r="C31" s="13" t="s">
        <v>947</v>
      </c>
      <c r="D31" s="13" t="s">
        <v>948</v>
      </c>
      <c r="E31" s="7"/>
      <c r="F31" s="7" t="s">
        <v>863</v>
      </c>
      <c r="G31" s="7" t="str">
        <f t="shared" si="5"/>
        <v>text</v>
      </c>
      <c r="H31" s="58"/>
      <c r="I31" s="23"/>
      <c r="J31" s="24" t="s">
        <v>1065</v>
      </c>
      <c r="M31" s="4"/>
      <c r="N31" s="76"/>
      <c r="O31" s="76"/>
      <c r="P31" s="76" t="str">
        <f t="shared" si="6"/>
        <v>,ward_kubun1</v>
      </c>
      <c r="Q31" s="76" t="str">
        <f t="shared" si="7"/>
        <v>TEXT</v>
      </c>
      <c r="R31" s="76" t="str">
        <f t="shared" si="8"/>
        <v/>
      </c>
      <c r="S31" s="76" t="str">
        <f t="shared" si="9"/>
        <v/>
      </c>
      <c r="T31" s="76" t="str">
        <f t="shared" si="10"/>
        <v>-- 病棟区分1</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milscm_2023_010.azn_202310_backup_merge_receiptd_re.ward_kubun1 IS '病棟区分1';</v>
      </c>
    </row>
    <row r="32" spans="1:45" s="25" customFormat="1">
      <c r="A32" s="4"/>
      <c r="B32" s="21">
        <f t="shared" si="2"/>
        <v>20</v>
      </c>
      <c r="C32" s="13" t="s">
        <v>949</v>
      </c>
      <c r="D32" s="13" t="s">
        <v>950</v>
      </c>
      <c r="E32" s="7"/>
      <c r="F32" s="7" t="s">
        <v>863</v>
      </c>
      <c r="G32" s="7" t="str">
        <f t="shared" si="5"/>
        <v>text</v>
      </c>
      <c r="H32" s="58"/>
      <c r="I32" s="23"/>
      <c r="J32" s="24"/>
      <c r="M32" s="4"/>
      <c r="N32" s="76"/>
      <c r="O32" s="76"/>
      <c r="P32" s="76" t="str">
        <f t="shared" si="6"/>
        <v>,ward_kubun2</v>
      </c>
      <c r="Q32" s="76" t="str">
        <f t="shared" si="7"/>
        <v>TEXT</v>
      </c>
      <c r="R32" s="76" t="str">
        <f t="shared" si="8"/>
        <v/>
      </c>
      <c r="S32" s="76" t="str">
        <f t="shared" si="9"/>
        <v/>
      </c>
      <c r="T32" s="76" t="str">
        <f t="shared" si="10"/>
        <v>-- 病棟区分2</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milscm_2023_010.azn_202310_backup_merge_receiptd_re.ward_kubun2 IS '病棟区分2';</v>
      </c>
    </row>
    <row r="33" spans="1:45" s="25" customFormat="1">
      <c r="A33" s="4"/>
      <c r="B33" s="21">
        <f t="shared" si="2"/>
        <v>21</v>
      </c>
      <c r="C33" s="13" t="s">
        <v>951</v>
      </c>
      <c r="D33" s="13" t="s">
        <v>952</v>
      </c>
      <c r="E33" s="7"/>
      <c r="F33" s="7" t="s">
        <v>863</v>
      </c>
      <c r="G33" s="7" t="str">
        <f t="shared" si="5"/>
        <v>text</v>
      </c>
      <c r="H33" s="58"/>
      <c r="I33" s="23"/>
      <c r="J33" s="24"/>
      <c r="M33" s="4"/>
      <c r="N33" s="76"/>
      <c r="O33" s="76"/>
      <c r="P33" s="76" t="str">
        <f t="shared" si="6"/>
        <v>,ward_kubun3</v>
      </c>
      <c r="Q33" s="76" t="str">
        <f t="shared" si="7"/>
        <v>TEXT</v>
      </c>
      <c r="R33" s="76" t="str">
        <f t="shared" si="8"/>
        <v/>
      </c>
      <c r="S33" s="76" t="str">
        <f t="shared" si="9"/>
        <v/>
      </c>
      <c r="T33" s="76" t="str">
        <f t="shared" si="10"/>
        <v>-- 病棟区分3</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milscm_2023_010.azn_202310_backup_merge_receiptd_re.ward_kubun3 IS '病棟区分3';</v>
      </c>
    </row>
    <row r="34" spans="1:45" s="25" customFormat="1">
      <c r="A34" s="4"/>
      <c r="B34" s="21">
        <f t="shared" si="2"/>
        <v>22</v>
      </c>
      <c r="C34" s="13" t="s">
        <v>953</v>
      </c>
      <c r="D34" s="13" t="s">
        <v>954</v>
      </c>
      <c r="E34" s="7"/>
      <c r="F34" s="7" t="s">
        <v>863</v>
      </c>
      <c r="G34" s="7" t="str">
        <f t="shared" si="5"/>
        <v>text</v>
      </c>
      <c r="H34" s="58"/>
      <c r="I34" s="23"/>
      <c r="J34" s="24"/>
      <c r="M34" s="4"/>
      <c r="N34" s="76"/>
      <c r="O34" s="76"/>
      <c r="P34" s="76" t="str">
        <f t="shared" si="6"/>
        <v>,ward_kubun4</v>
      </c>
      <c r="Q34" s="76" t="str">
        <f t="shared" si="7"/>
        <v>TEXT</v>
      </c>
      <c r="R34" s="76" t="str">
        <f t="shared" si="8"/>
        <v/>
      </c>
      <c r="S34" s="76" t="str">
        <f t="shared" si="9"/>
        <v/>
      </c>
      <c r="T34" s="76" t="str">
        <f t="shared" si="10"/>
        <v>-- 病棟区分4</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milscm_2023_010.azn_202310_backup_merge_receiptd_re.ward_kubun4 IS '病棟区分4';</v>
      </c>
    </row>
    <row r="35" spans="1:45" s="25" customFormat="1" ht="31.5">
      <c r="A35" s="4"/>
      <c r="B35" s="21">
        <f t="shared" si="2"/>
        <v>23</v>
      </c>
      <c r="C35" s="13" t="s">
        <v>955</v>
      </c>
      <c r="D35" s="13" t="s">
        <v>956</v>
      </c>
      <c r="E35" s="7"/>
      <c r="F35" s="7" t="s">
        <v>863</v>
      </c>
      <c r="G35" s="7" t="str">
        <f t="shared" si="5"/>
        <v>text</v>
      </c>
      <c r="H35" s="58"/>
      <c r="I35" s="23"/>
      <c r="J35" s="24"/>
      <c r="M35" s="4"/>
      <c r="N35" s="76"/>
      <c r="O35" s="76"/>
      <c r="P35" s="76" t="str">
        <f t="shared" si="6"/>
        <v>,ichibu_futankin_kubun</v>
      </c>
      <c r="Q35" s="76" t="str">
        <f t="shared" si="7"/>
        <v>TEXT</v>
      </c>
      <c r="R35" s="76" t="str">
        <f t="shared" si="8"/>
        <v/>
      </c>
      <c r="S35" s="76" t="str">
        <f t="shared" si="9"/>
        <v/>
      </c>
      <c r="T35" s="76" t="str">
        <f t="shared" si="10"/>
        <v>-- 一部負担金・食事療養費・生活療養費標準負担額区分</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milscm_2023_010.azn_202310_backup_merge_receiptd_re.ichibu_futankin_kubun IS '一部負担金・食事療養費・生活療養費標準負担額区分';</v>
      </c>
    </row>
    <row r="36" spans="1:45" s="25" customFormat="1">
      <c r="A36" s="4"/>
      <c r="B36" s="21">
        <f t="shared" si="2"/>
        <v>24</v>
      </c>
      <c r="C36" s="13" t="s">
        <v>957</v>
      </c>
      <c r="D36" s="13" t="s">
        <v>958</v>
      </c>
      <c r="E36" s="7"/>
      <c r="F36" s="7" t="s">
        <v>863</v>
      </c>
      <c r="G36" s="7" t="str">
        <f t="shared" si="5"/>
        <v>text</v>
      </c>
      <c r="H36" s="58"/>
      <c r="I36" s="23"/>
      <c r="J36" s="24" t="s">
        <v>1066</v>
      </c>
      <c r="M36" s="4"/>
      <c r="N36" s="76"/>
      <c r="O36" s="76"/>
      <c r="P36" s="76" t="str">
        <f t="shared" si="6"/>
        <v>,receipt_tokki_code1</v>
      </c>
      <c r="Q36" s="76" t="str">
        <f t="shared" si="7"/>
        <v>TEXT</v>
      </c>
      <c r="R36" s="76" t="str">
        <f t="shared" si="8"/>
        <v/>
      </c>
      <c r="S36" s="76" t="str">
        <f t="shared" si="9"/>
        <v/>
      </c>
      <c r="T36" s="76" t="str">
        <f t="shared" si="10"/>
        <v>-- レセプト特記事項1</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milscm_2023_010.azn_202310_backup_merge_receiptd_re.receipt_tokki_code1 IS 'レセプト特記事項1';</v>
      </c>
    </row>
    <row r="37" spans="1:45" s="25" customFormat="1">
      <c r="A37" s="4"/>
      <c r="B37" s="21">
        <f t="shared" si="2"/>
        <v>25</v>
      </c>
      <c r="C37" s="13" t="s">
        <v>959</v>
      </c>
      <c r="D37" s="13" t="s">
        <v>960</v>
      </c>
      <c r="E37" s="7"/>
      <c r="F37" s="7" t="s">
        <v>863</v>
      </c>
      <c r="G37" s="7" t="str">
        <f t="shared" si="5"/>
        <v>text</v>
      </c>
      <c r="H37" s="58"/>
      <c r="I37" s="23"/>
      <c r="J37" s="24"/>
      <c r="M37" s="4"/>
      <c r="N37" s="76"/>
      <c r="O37" s="76"/>
      <c r="P37" s="76" t="str">
        <f t="shared" si="6"/>
        <v>,receipt_tokki_code2</v>
      </c>
      <c r="Q37" s="76" t="str">
        <f t="shared" si="7"/>
        <v>TEXT</v>
      </c>
      <c r="R37" s="76" t="str">
        <f t="shared" si="8"/>
        <v/>
      </c>
      <c r="S37" s="76" t="str">
        <f t="shared" si="9"/>
        <v/>
      </c>
      <c r="T37" s="76" t="str">
        <f t="shared" si="10"/>
        <v>-- レセプト特記事項2</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milscm_2023_010.azn_202310_backup_merge_receiptd_re.receipt_tokki_code2 IS 'レセプト特記事項2';</v>
      </c>
    </row>
    <row r="38" spans="1:45" s="25" customFormat="1">
      <c r="A38" s="4"/>
      <c r="B38" s="21">
        <f t="shared" si="2"/>
        <v>26</v>
      </c>
      <c r="C38" s="13" t="s">
        <v>961</v>
      </c>
      <c r="D38" s="13" t="s">
        <v>962</v>
      </c>
      <c r="E38" s="7"/>
      <c r="F38" s="7" t="s">
        <v>863</v>
      </c>
      <c r="G38" s="7" t="str">
        <f t="shared" si="5"/>
        <v>text</v>
      </c>
      <c r="H38" s="58"/>
      <c r="I38" s="23"/>
      <c r="J38" s="24"/>
      <c r="M38" s="4"/>
      <c r="N38" s="76"/>
      <c r="O38" s="76"/>
      <c r="P38" s="76" t="str">
        <f t="shared" si="6"/>
        <v>,receipt_tokki_code3</v>
      </c>
      <c r="Q38" s="76" t="str">
        <f t="shared" si="7"/>
        <v>TEXT</v>
      </c>
      <c r="R38" s="76" t="str">
        <f t="shared" si="8"/>
        <v/>
      </c>
      <c r="S38" s="76" t="str">
        <f t="shared" si="9"/>
        <v/>
      </c>
      <c r="T38" s="76" t="str">
        <f t="shared" si="10"/>
        <v>-- レセプト特記事項3</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milscm_2023_010.azn_202310_backup_merge_receiptd_re.receipt_tokki_code3 IS 'レセプト特記事項3';</v>
      </c>
    </row>
    <row r="39" spans="1:45" s="25" customFormat="1">
      <c r="A39" s="4"/>
      <c r="B39" s="21">
        <f t="shared" si="2"/>
        <v>27</v>
      </c>
      <c r="C39" s="13" t="s">
        <v>963</v>
      </c>
      <c r="D39" s="13" t="s">
        <v>964</v>
      </c>
      <c r="E39" s="7"/>
      <c r="F39" s="7" t="s">
        <v>863</v>
      </c>
      <c r="G39" s="7" t="str">
        <f t="shared" si="5"/>
        <v>text</v>
      </c>
      <c r="H39" s="58"/>
      <c r="I39" s="23"/>
      <c r="J39" s="24"/>
      <c r="M39" s="4"/>
      <c r="N39" s="76"/>
      <c r="O39" s="76"/>
      <c r="P39" s="76" t="str">
        <f t="shared" si="6"/>
        <v>,receipt_tokki_code4</v>
      </c>
      <c r="Q39" s="76" t="str">
        <f t="shared" si="7"/>
        <v>TEXT</v>
      </c>
      <c r="R39" s="76" t="str">
        <f t="shared" si="8"/>
        <v/>
      </c>
      <c r="S39" s="76" t="str">
        <f t="shared" si="9"/>
        <v/>
      </c>
      <c r="T39" s="76" t="str">
        <f t="shared" si="10"/>
        <v>-- レセプト特記事項4</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milscm_2023_010.azn_202310_backup_merge_receiptd_re.receipt_tokki_code4 IS 'レセプト特記事項4';</v>
      </c>
    </row>
    <row r="40" spans="1:45" s="25" customFormat="1">
      <c r="A40" s="4"/>
      <c r="B40" s="21">
        <f t="shared" si="2"/>
        <v>28</v>
      </c>
      <c r="C40" s="13" t="s">
        <v>965</v>
      </c>
      <c r="D40" s="13" t="s">
        <v>966</v>
      </c>
      <c r="E40" s="7"/>
      <c r="F40" s="7" t="s">
        <v>863</v>
      </c>
      <c r="G40" s="7" t="str">
        <f t="shared" si="5"/>
        <v>text</v>
      </c>
      <c r="H40" s="58"/>
      <c r="I40" s="23"/>
      <c r="J40" s="24"/>
      <c r="M40" s="4"/>
      <c r="N40" s="76"/>
      <c r="O40" s="76"/>
      <c r="P40" s="76" t="str">
        <f t="shared" si="6"/>
        <v>,receipt_tokki_code5</v>
      </c>
      <c r="Q40" s="76" t="str">
        <f t="shared" si="7"/>
        <v>TEXT</v>
      </c>
      <c r="R40" s="76" t="str">
        <f t="shared" si="8"/>
        <v/>
      </c>
      <c r="S40" s="76" t="str">
        <f t="shared" si="9"/>
        <v/>
      </c>
      <c r="T40" s="76" t="str">
        <f t="shared" si="10"/>
        <v>-- レセプト特記事項5</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milscm_2023_010.azn_202310_backup_merge_receiptd_re.receipt_tokki_code5 IS 'レセプト特記事項5';</v>
      </c>
    </row>
    <row r="41" spans="1:45" s="25" customFormat="1">
      <c r="A41" s="4"/>
      <c r="B41" s="21">
        <f t="shared" si="2"/>
        <v>29</v>
      </c>
      <c r="C41" s="13" t="s">
        <v>920</v>
      </c>
      <c r="D41" s="13" t="s">
        <v>921</v>
      </c>
      <c r="E41" s="7"/>
      <c r="F41" s="7" t="s">
        <v>863</v>
      </c>
      <c r="G41" s="7" t="str">
        <f t="shared" si="5"/>
        <v>text</v>
      </c>
      <c r="H41" s="58"/>
      <c r="I41" s="23"/>
      <c r="J41" s="24"/>
      <c r="M41" s="4"/>
      <c r="N41" s="76"/>
      <c r="O41" s="76"/>
      <c r="P41" s="76" t="str">
        <f t="shared" si="6"/>
        <v>,reserve1</v>
      </c>
      <c r="Q41" s="76" t="str">
        <f t="shared" si="7"/>
        <v>TEXT</v>
      </c>
      <c r="R41" s="76" t="str">
        <f t="shared" si="8"/>
        <v/>
      </c>
      <c r="S41" s="76" t="str">
        <f t="shared" si="9"/>
        <v/>
      </c>
      <c r="T41" s="76" t="str">
        <f t="shared" si="10"/>
        <v>-- 予備1</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milscm_2023_010.azn_202310_backup_merge_receiptd_re.reserve1 IS '予備1';</v>
      </c>
    </row>
    <row r="42" spans="1:45" s="25" customFormat="1">
      <c r="A42" s="4"/>
      <c r="B42" s="21">
        <f t="shared" si="2"/>
        <v>30</v>
      </c>
      <c r="C42" s="13" t="s">
        <v>969</v>
      </c>
      <c r="D42" s="13" t="s">
        <v>970</v>
      </c>
      <c r="E42" s="7"/>
      <c r="F42" s="7" t="s">
        <v>203</v>
      </c>
      <c r="G42" s="7" t="str">
        <f t="shared" si="5"/>
        <v>integer</v>
      </c>
      <c r="H42" s="58"/>
      <c r="I42" s="23"/>
      <c r="J42" s="24"/>
      <c r="M42" s="4"/>
      <c r="N42" s="76"/>
      <c r="O42" s="76"/>
      <c r="P42" s="76" t="str">
        <f t="shared" si="6"/>
        <v>,waribiki_tensu</v>
      </c>
      <c r="Q42" s="76" t="str">
        <f t="shared" si="7"/>
        <v>INTEGER</v>
      </c>
      <c r="R42" s="76" t="str">
        <f t="shared" si="8"/>
        <v/>
      </c>
      <c r="S42" s="76" t="str">
        <f t="shared" si="9"/>
        <v/>
      </c>
      <c r="T42" s="76" t="str">
        <f t="shared" si="10"/>
        <v>-- 割引点数単価</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milscm_2023_010.azn_202310_backup_merge_receiptd_re.waribiki_tensu IS '割引点数単価';</v>
      </c>
    </row>
    <row r="43" spans="1:45" s="25" customFormat="1">
      <c r="A43" s="4"/>
      <c r="B43" s="21">
        <f t="shared" si="2"/>
        <v>31</v>
      </c>
      <c r="C43" s="13" t="s">
        <v>971</v>
      </c>
      <c r="D43" s="13" t="s">
        <v>972</v>
      </c>
      <c r="E43" s="7"/>
      <c r="F43" s="7" t="s">
        <v>863</v>
      </c>
      <c r="G43" s="7" t="str">
        <f t="shared" si="5"/>
        <v>text</v>
      </c>
      <c r="H43" s="58"/>
      <c r="I43" s="23"/>
      <c r="J43" s="24"/>
      <c r="M43" s="4"/>
      <c r="N43" s="76"/>
      <c r="O43" s="76"/>
      <c r="P43" s="76" t="str">
        <f t="shared" si="6"/>
        <v>,reserve2</v>
      </c>
      <c r="Q43" s="76" t="str">
        <f t="shared" si="7"/>
        <v>TEXT</v>
      </c>
      <c r="R43" s="76" t="str">
        <f t="shared" si="8"/>
        <v/>
      </c>
      <c r="S43" s="76" t="str">
        <f t="shared" si="9"/>
        <v/>
      </c>
      <c r="T43" s="76" t="str">
        <f t="shared" si="10"/>
        <v>-- 予備2</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milscm_2023_010.azn_202310_backup_merge_receiptd_re.reserve2 IS '予備2';</v>
      </c>
    </row>
    <row r="44" spans="1:45" s="25" customFormat="1">
      <c r="A44" s="4"/>
      <c r="B44" s="21">
        <f t="shared" si="2"/>
        <v>32</v>
      </c>
      <c r="C44" s="13" t="s">
        <v>973</v>
      </c>
      <c r="D44" s="13" t="s">
        <v>974</v>
      </c>
      <c r="E44" s="7"/>
      <c r="F44" s="7" t="s">
        <v>863</v>
      </c>
      <c r="G44" s="7" t="str">
        <f t="shared" si="5"/>
        <v>text</v>
      </c>
      <c r="H44" s="58"/>
      <c r="I44" s="23"/>
      <c r="J44" s="24"/>
      <c r="M44" s="4"/>
      <c r="N44" s="76"/>
      <c r="O44" s="76"/>
      <c r="P44" s="76" t="str">
        <f t="shared" si="6"/>
        <v>,reserve3</v>
      </c>
      <c r="Q44" s="76" t="str">
        <f t="shared" si="7"/>
        <v>TEXT</v>
      </c>
      <c r="R44" s="76" t="str">
        <f t="shared" si="8"/>
        <v/>
      </c>
      <c r="S44" s="76" t="str">
        <f t="shared" si="9"/>
        <v/>
      </c>
      <c r="T44" s="76" t="str">
        <f t="shared" si="10"/>
        <v>-- 予備3</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milscm_2023_010.azn_202310_backup_merge_receiptd_re.reserve3 IS '予備3';</v>
      </c>
    </row>
    <row r="45" spans="1:45" s="25" customFormat="1">
      <c r="A45" s="4"/>
      <c r="B45" s="21">
        <f t="shared" si="2"/>
        <v>33</v>
      </c>
      <c r="C45" s="13" t="s">
        <v>1180</v>
      </c>
      <c r="D45" s="13" t="s">
        <v>1181</v>
      </c>
      <c r="E45" s="7"/>
      <c r="F45" s="7" t="s">
        <v>863</v>
      </c>
      <c r="G45" s="7" t="str">
        <f t="shared" si="5"/>
        <v>text</v>
      </c>
      <c r="H45" s="58"/>
      <c r="I45" s="23"/>
      <c r="J45" s="24"/>
      <c r="M45" s="4"/>
      <c r="N45" s="76"/>
      <c r="O45" s="76"/>
      <c r="P45" s="76" t="str">
        <f t="shared" si="6"/>
        <v>,reserve4</v>
      </c>
      <c r="Q45" s="76" t="str">
        <f t="shared" si="7"/>
        <v>TEXT</v>
      </c>
      <c r="R45" s="76" t="str">
        <f t="shared" si="8"/>
        <v/>
      </c>
      <c r="S45" s="76" t="str">
        <f t="shared" si="9"/>
        <v/>
      </c>
      <c r="T45" s="76" t="str">
        <f t="shared" si="10"/>
        <v>-- 予備4</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milscm_2023_010.azn_202310_backup_merge_receiptd_re.reserve4 IS '予備4';</v>
      </c>
    </row>
    <row r="46" spans="1:45" s="25" customFormat="1">
      <c r="A46" s="4"/>
      <c r="B46" s="21">
        <f t="shared" si="2"/>
        <v>34</v>
      </c>
      <c r="C46" s="13" t="s">
        <v>1201</v>
      </c>
      <c r="D46" s="13" t="s">
        <v>1202</v>
      </c>
      <c r="E46" s="7"/>
      <c r="F46" s="7" t="s">
        <v>203</v>
      </c>
      <c r="G46" s="7" t="str">
        <f t="shared" si="5"/>
        <v>integer</v>
      </c>
      <c r="H46" s="58"/>
      <c r="I46" s="23"/>
      <c r="J46" s="24"/>
      <c r="M46" s="4"/>
      <c r="N46" s="76"/>
      <c r="O46" s="76"/>
      <c r="P46" s="76" t="str">
        <f t="shared" si="6"/>
        <v>,meisai_su</v>
      </c>
      <c r="Q46" s="76" t="str">
        <f t="shared" si="7"/>
        <v>INTEGER</v>
      </c>
      <c r="R46" s="76" t="str">
        <f t="shared" si="8"/>
        <v/>
      </c>
      <c r="S46" s="76" t="str">
        <f t="shared" si="9"/>
        <v/>
      </c>
      <c r="T46" s="76" t="str">
        <f t="shared" si="10"/>
        <v>-- 明細情報数</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milscm_2023_010.azn_202310_backup_merge_receiptd_re.meisai_su IS '明細情報数';</v>
      </c>
    </row>
    <row r="47" spans="1:45" s="25" customFormat="1">
      <c r="A47" s="4"/>
      <c r="B47" s="21">
        <f t="shared" si="2"/>
        <v>35</v>
      </c>
      <c r="C47" s="13" t="s">
        <v>975</v>
      </c>
      <c r="D47" s="13" t="s">
        <v>976</v>
      </c>
      <c r="E47" s="7"/>
      <c r="F47" s="7" t="s">
        <v>863</v>
      </c>
      <c r="G47" s="7" t="str">
        <f t="shared" si="5"/>
        <v>text</v>
      </c>
      <c r="H47" s="58"/>
      <c r="I47" s="23"/>
      <c r="J47" s="24"/>
      <c r="M47" s="4"/>
      <c r="N47" s="76"/>
      <c r="O47" s="76"/>
      <c r="P47" s="76" t="str">
        <f t="shared" si="6"/>
        <v>,kensaku_no</v>
      </c>
      <c r="Q47" s="76" t="str">
        <f t="shared" si="7"/>
        <v>TEXT</v>
      </c>
      <c r="R47" s="76" t="str">
        <f t="shared" si="8"/>
        <v/>
      </c>
      <c r="S47" s="76" t="str">
        <f t="shared" si="9"/>
        <v/>
      </c>
      <c r="T47" s="76" t="str">
        <f t="shared" si="10"/>
        <v>-- 検索番号</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milscm_2023_010.azn_202310_backup_merge_receiptd_re.kensaku_no IS '検索番号';</v>
      </c>
    </row>
    <row r="48" spans="1:45" s="25" customFormat="1" ht="56.25">
      <c r="A48" s="4"/>
      <c r="B48" s="21">
        <f t="shared" si="2"/>
        <v>36</v>
      </c>
      <c r="C48" s="13" t="s">
        <v>977</v>
      </c>
      <c r="D48" s="13" t="s">
        <v>978</v>
      </c>
      <c r="E48" s="7"/>
      <c r="F48" s="7" t="s">
        <v>863</v>
      </c>
      <c r="G48" s="7" t="str">
        <f t="shared" si="5"/>
        <v>text</v>
      </c>
      <c r="H48" s="58"/>
      <c r="I48" s="23"/>
      <c r="J48" s="24" t="s">
        <v>929</v>
      </c>
      <c r="M48" s="4"/>
      <c r="N48" s="76"/>
      <c r="O48" s="76"/>
      <c r="P48" s="76" t="str">
        <f t="shared" si="6"/>
        <v>,kiroku_ym</v>
      </c>
      <c r="Q48" s="76" t="str">
        <f t="shared" si="7"/>
        <v>TEXT</v>
      </c>
      <c r="R48" s="76" t="str">
        <f t="shared" si="8"/>
        <v/>
      </c>
      <c r="S48" s="76" t="str">
        <f t="shared" si="9"/>
        <v/>
      </c>
      <c r="T48" s="76" t="str">
        <f t="shared" si="10"/>
        <v>-- 記録条件仕様年月情報</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milscm_2023_010.azn_202310_backup_merge_receiptd_re.kiroku_ym IS '記録条件仕様年月情報';</v>
      </c>
    </row>
    <row r="49" spans="1:45" s="25" customFormat="1">
      <c r="A49" s="4"/>
      <c r="B49" s="21">
        <f t="shared" si="2"/>
        <v>37</v>
      </c>
      <c r="C49" s="13" t="s">
        <v>979</v>
      </c>
      <c r="D49" s="13" t="s">
        <v>980</v>
      </c>
      <c r="E49" s="7"/>
      <c r="F49" s="7" t="s">
        <v>863</v>
      </c>
      <c r="G49" s="7" t="str">
        <f t="shared" si="5"/>
        <v>text</v>
      </c>
      <c r="H49" s="58"/>
      <c r="I49" s="23"/>
      <c r="J49" s="24"/>
      <c r="M49" s="4"/>
      <c r="N49" s="76"/>
      <c r="O49" s="76"/>
      <c r="P49" s="76" t="str">
        <f t="shared" si="6"/>
        <v>,seikyu_info</v>
      </c>
      <c r="Q49" s="76" t="str">
        <f t="shared" si="7"/>
        <v>TEXT</v>
      </c>
      <c r="R49" s="76" t="str">
        <f t="shared" si="8"/>
        <v/>
      </c>
      <c r="S49" s="76" t="str">
        <f t="shared" si="9"/>
        <v/>
      </c>
      <c r="T49" s="76" t="str">
        <f t="shared" si="10"/>
        <v>-- 請求情報</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milscm_2023_010.azn_202310_backup_merge_receiptd_re.seikyu_info IS '請求情報';</v>
      </c>
    </row>
    <row r="50" spans="1:45" s="25" customFormat="1">
      <c r="A50" s="4"/>
      <c r="B50" s="21">
        <f t="shared" si="2"/>
        <v>38</v>
      </c>
      <c r="C50" s="13" t="s">
        <v>981</v>
      </c>
      <c r="D50" s="13" t="s">
        <v>982</v>
      </c>
      <c r="E50" s="7"/>
      <c r="F50" s="7" t="s">
        <v>863</v>
      </c>
      <c r="G50" s="7" t="str">
        <f t="shared" si="5"/>
        <v>text</v>
      </c>
      <c r="H50" s="58"/>
      <c r="I50" s="23"/>
      <c r="J50" s="24"/>
      <c r="M50" s="4"/>
      <c r="N50" s="76"/>
      <c r="O50" s="76"/>
      <c r="P50" s="76" t="str">
        <f t="shared" si="6"/>
        <v>,department1_name</v>
      </c>
      <c r="Q50" s="76" t="str">
        <f t="shared" si="7"/>
        <v>TEXT</v>
      </c>
      <c r="R50" s="76" t="str">
        <f t="shared" si="8"/>
        <v/>
      </c>
      <c r="S50" s="76" t="str">
        <f t="shared" si="9"/>
        <v/>
      </c>
      <c r="T50" s="76" t="str">
        <f t="shared" si="10"/>
        <v>-- 診療科1診療科名</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milscm_2023_010.azn_202310_backup_merge_receiptd_re.department1_name IS '診療科1診療科名';</v>
      </c>
    </row>
    <row r="51" spans="1:45" s="25" customFormat="1">
      <c r="A51" s="4"/>
      <c r="B51" s="21">
        <f t="shared" si="2"/>
        <v>39</v>
      </c>
      <c r="C51" s="13" t="s">
        <v>983</v>
      </c>
      <c r="D51" s="13" t="s">
        <v>984</v>
      </c>
      <c r="E51" s="7"/>
      <c r="F51" s="7" t="s">
        <v>863</v>
      </c>
      <c r="G51" s="7" t="str">
        <f t="shared" si="5"/>
        <v>text</v>
      </c>
      <c r="H51" s="58"/>
      <c r="I51" s="23"/>
      <c r="J51" s="24"/>
      <c r="M51" s="4"/>
      <c r="N51" s="76"/>
      <c r="O51" s="76"/>
      <c r="P51" s="76" t="str">
        <f t="shared" si="6"/>
        <v>,department1_jintai</v>
      </c>
      <c r="Q51" s="76" t="str">
        <f t="shared" si="7"/>
        <v>TEXT</v>
      </c>
      <c r="R51" s="76" t="str">
        <f t="shared" si="8"/>
        <v/>
      </c>
      <c r="S51" s="76" t="str">
        <f t="shared" si="9"/>
        <v/>
      </c>
      <c r="T51" s="76" t="str">
        <f t="shared" si="10"/>
        <v>-- 診療科1人体の部位等</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milscm_2023_010.azn_202310_backup_merge_receiptd_re.department1_jintai IS '診療科1人体の部位等';</v>
      </c>
    </row>
    <row r="52" spans="1:45" s="25" customFormat="1">
      <c r="A52" s="4"/>
      <c r="B52" s="21">
        <f t="shared" si="2"/>
        <v>40</v>
      </c>
      <c r="C52" s="13" t="s">
        <v>985</v>
      </c>
      <c r="D52" s="13" t="s">
        <v>986</v>
      </c>
      <c r="E52" s="7"/>
      <c r="F52" s="7" t="s">
        <v>863</v>
      </c>
      <c r="G52" s="7" t="str">
        <f t="shared" si="5"/>
        <v>text</v>
      </c>
      <c r="H52" s="58"/>
      <c r="I52" s="23"/>
      <c r="J52" s="24"/>
      <c r="M52" s="4"/>
      <c r="N52" s="76"/>
      <c r="O52" s="76"/>
      <c r="P52" s="76" t="str">
        <f t="shared" si="6"/>
        <v>,department1_sex</v>
      </c>
      <c r="Q52" s="76" t="str">
        <f t="shared" si="7"/>
        <v>TEXT</v>
      </c>
      <c r="R52" s="76" t="str">
        <f t="shared" si="8"/>
        <v/>
      </c>
      <c r="S52" s="76" t="str">
        <f t="shared" si="9"/>
        <v/>
      </c>
      <c r="T52" s="76" t="str">
        <f t="shared" si="10"/>
        <v>-- 診療科1性別等</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milscm_2023_010.azn_202310_backup_merge_receiptd_re.department1_sex IS '診療科1性別等';</v>
      </c>
    </row>
    <row r="53" spans="1:45" s="25" customFormat="1">
      <c r="A53" s="4"/>
      <c r="B53" s="21">
        <f t="shared" si="2"/>
        <v>41</v>
      </c>
      <c r="C53" s="13" t="s">
        <v>987</v>
      </c>
      <c r="D53" s="13" t="s">
        <v>988</v>
      </c>
      <c r="E53" s="7"/>
      <c r="F53" s="7" t="s">
        <v>863</v>
      </c>
      <c r="G53" s="7" t="str">
        <f t="shared" si="5"/>
        <v>text</v>
      </c>
      <c r="H53" s="58"/>
      <c r="I53" s="23"/>
      <c r="J53" s="24"/>
      <c r="M53" s="4"/>
      <c r="N53" s="76"/>
      <c r="O53" s="76"/>
      <c r="P53" s="76" t="str">
        <f t="shared" si="6"/>
        <v>,department1_igaku</v>
      </c>
      <c r="Q53" s="76" t="str">
        <f t="shared" si="7"/>
        <v>TEXT</v>
      </c>
      <c r="R53" s="76" t="str">
        <f t="shared" si="8"/>
        <v/>
      </c>
      <c r="S53" s="76" t="str">
        <f t="shared" si="9"/>
        <v/>
      </c>
      <c r="T53" s="76" t="str">
        <f t="shared" si="10"/>
        <v>-- 診療科1医学的処置</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milscm_2023_010.azn_202310_backup_merge_receiptd_re.department1_igaku IS '診療科1医学的処置';</v>
      </c>
    </row>
    <row r="54" spans="1:45" s="25" customFormat="1">
      <c r="A54" s="4"/>
      <c r="B54" s="21">
        <f t="shared" si="2"/>
        <v>42</v>
      </c>
      <c r="C54" s="13" t="s">
        <v>989</v>
      </c>
      <c r="D54" s="13" t="s">
        <v>990</v>
      </c>
      <c r="E54" s="7"/>
      <c r="F54" s="7" t="s">
        <v>863</v>
      </c>
      <c r="G54" s="7" t="str">
        <f t="shared" si="5"/>
        <v>text</v>
      </c>
      <c r="H54" s="58"/>
      <c r="I54" s="23"/>
      <c r="J54" s="24"/>
      <c r="M54" s="4"/>
      <c r="N54" s="76"/>
      <c r="O54" s="76"/>
      <c r="P54" s="76" t="str">
        <f t="shared" si="6"/>
        <v>,department1_shippei</v>
      </c>
      <c r="Q54" s="76" t="str">
        <f t="shared" si="7"/>
        <v>TEXT</v>
      </c>
      <c r="R54" s="76" t="str">
        <f t="shared" si="8"/>
        <v/>
      </c>
      <c r="S54" s="76" t="str">
        <f t="shared" si="9"/>
        <v/>
      </c>
      <c r="T54" s="76" t="str">
        <f t="shared" si="10"/>
        <v>-- 診療科1特定疾病</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milscm_2023_010.azn_202310_backup_merge_receiptd_re.department1_shippei IS '診療科1特定疾病';</v>
      </c>
    </row>
    <row r="55" spans="1:45" s="25" customFormat="1">
      <c r="A55" s="4"/>
      <c r="B55" s="21">
        <f t="shared" si="2"/>
        <v>43</v>
      </c>
      <c r="C55" s="13" t="s">
        <v>1011</v>
      </c>
      <c r="D55" s="13" t="s">
        <v>1012</v>
      </c>
      <c r="E55" s="7"/>
      <c r="F55" s="7" t="s">
        <v>863</v>
      </c>
      <c r="G55" s="7" t="str">
        <f t="shared" si="5"/>
        <v>text</v>
      </c>
      <c r="H55" s="58"/>
      <c r="I55" s="23"/>
      <c r="J55" s="24" t="s">
        <v>1061</v>
      </c>
      <c r="M55" s="4"/>
      <c r="N55" s="76"/>
      <c r="O55" s="76"/>
      <c r="P55" s="76" t="str">
        <f t="shared" si="6"/>
        <v>,kana_name</v>
      </c>
      <c r="Q55" s="76" t="str">
        <f t="shared" si="7"/>
        <v>TEXT</v>
      </c>
      <c r="R55" s="76" t="str">
        <f t="shared" si="8"/>
        <v/>
      </c>
      <c r="S55" s="76" t="str">
        <f t="shared" si="9"/>
        <v/>
      </c>
      <c r="T55" s="76" t="str">
        <f t="shared" si="10"/>
        <v>-- カタカナ（氏名）</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milscm_2023_010.azn_202310_backup_merge_receiptd_re.kana_name IS 'カタカナ（氏名）';</v>
      </c>
    </row>
    <row r="56" spans="1:45" s="25" customFormat="1">
      <c r="A56" s="4"/>
      <c r="B56" s="21">
        <f t="shared" si="2"/>
        <v>44</v>
      </c>
      <c r="C56" s="13" t="s">
        <v>1013</v>
      </c>
      <c r="D56" s="13" t="s">
        <v>1014</v>
      </c>
      <c r="E56" s="7"/>
      <c r="F56" s="7" t="s">
        <v>863</v>
      </c>
      <c r="G56" s="7" t="str">
        <f t="shared" si="5"/>
        <v>text</v>
      </c>
      <c r="H56" s="58"/>
      <c r="I56" s="23"/>
      <c r="J56" s="24" t="s">
        <v>1067</v>
      </c>
      <c r="M56" s="4"/>
      <c r="N56" s="76"/>
      <c r="O56" s="76"/>
      <c r="P56" s="76" t="str">
        <f t="shared" si="6"/>
        <v>,patient_state1</v>
      </c>
      <c r="Q56" s="76" t="str">
        <f t="shared" si="7"/>
        <v>TEXT</v>
      </c>
      <c r="R56" s="76" t="str">
        <f t="shared" si="8"/>
        <v/>
      </c>
      <c r="S56" s="76" t="str">
        <f t="shared" si="9"/>
        <v/>
      </c>
      <c r="T56" s="76" t="str">
        <f t="shared" si="10"/>
        <v>-- 患者の状態1</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milscm_2023_010.azn_202310_backup_merge_receiptd_re.patient_state1 IS '患者の状態1';</v>
      </c>
    </row>
    <row r="57" spans="1:45" s="25" customFormat="1">
      <c r="A57" s="4"/>
      <c r="B57" s="21">
        <f t="shared" si="2"/>
        <v>45</v>
      </c>
      <c r="C57" s="13" t="s">
        <v>1015</v>
      </c>
      <c r="D57" s="13" t="s">
        <v>1016</v>
      </c>
      <c r="E57" s="7"/>
      <c r="F57" s="7" t="s">
        <v>863</v>
      </c>
      <c r="G57" s="7" t="str">
        <f t="shared" si="5"/>
        <v>text</v>
      </c>
      <c r="H57" s="58"/>
      <c r="I57" s="23"/>
      <c r="J57" s="24"/>
      <c r="M57" s="4"/>
      <c r="N57" s="76"/>
      <c r="O57" s="76"/>
      <c r="P57" s="76" t="str">
        <f t="shared" si="6"/>
        <v>,patient_state2</v>
      </c>
      <c r="Q57" s="76" t="str">
        <f t="shared" si="7"/>
        <v>TEXT</v>
      </c>
      <c r="R57" s="76" t="str">
        <f t="shared" si="8"/>
        <v/>
      </c>
      <c r="S57" s="76" t="str">
        <f t="shared" si="9"/>
        <v/>
      </c>
      <c r="T57" s="76" t="str">
        <f t="shared" si="10"/>
        <v>-- 患者の状態2</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milscm_2023_010.azn_202310_backup_merge_receiptd_re.patient_state2 IS '患者の状態2';</v>
      </c>
    </row>
    <row r="58" spans="1:45" s="25" customFormat="1">
      <c r="A58" s="4"/>
      <c r="B58" s="21">
        <f t="shared" si="2"/>
        <v>46</v>
      </c>
      <c r="C58" s="13" t="s">
        <v>1017</v>
      </c>
      <c r="D58" s="13" t="s">
        <v>1018</v>
      </c>
      <c r="E58" s="7"/>
      <c r="F58" s="7" t="s">
        <v>863</v>
      </c>
      <c r="G58" s="7" t="str">
        <f t="shared" si="5"/>
        <v>text</v>
      </c>
      <c r="H58" s="58"/>
      <c r="I58" s="23"/>
      <c r="J58" s="24"/>
      <c r="M58" s="4"/>
      <c r="N58" s="76"/>
      <c r="O58" s="76"/>
      <c r="P58" s="76" t="str">
        <f t="shared" si="6"/>
        <v>,patient_state3</v>
      </c>
      <c r="Q58" s="76" t="str">
        <f t="shared" si="7"/>
        <v>TEXT</v>
      </c>
      <c r="R58" s="76" t="str">
        <f t="shared" si="8"/>
        <v/>
      </c>
      <c r="S58" s="76" t="str">
        <f t="shared" si="9"/>
        <v/>
      </c>
      <c r="T58" s="76" t="str">
        <f t="shared" si="10"/>
        <v>-- 患者の状態3</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milscm_2023_010.azn_202310_backup_merge_receiptd_re.patient_state3 IS '患者の状態3';</v>
      </c>
    </row>
    <row r="59" spans="1:45" s="25" customFormat="1">
      <c r="A59" s="4"/>
      <c r="B59" s="21">
        <f t="shared" si="2"/>
        <v>47</v>
      </c>
      <c r="C59" s="13" t="s">
        <v>1019</v>
      </c>
      <c r="D59" s="13" t="s">
        <v>1020</v>
      </c>
      <c r="E59" s="7"/>
      <c r="F59" s="7" t="s">
        <v>863</v>
      </c>
      <c r="G59" s="7" t="str">
        <f t="shared" si="5"/>
        <v>text</v>
      </c>
      <c r="H59" s="58"/>
      <c r="I59" s="23"/>
      <c r="J59" s="24"/>
      <c r="M59" s="4"/>
      <c r="N59" s="76"/>
      <c r="O59" s="76"/>
      <c r="P59" s="76" t="str">
        <f t="shared" si="6"/>
        <v>,patient_state4</v>
      </c>
      <c r="Q59" s="76" t="str">
        <f t="shared" si="7"/>
        <v>TEXT</v>
      </c>
      <c r="R59" s="76" t="str">
        <f t="shared" si="8"/>
        <v/>
      </c>
      <c r="S59" s="76" t="str">
        <f t="shared" si="9"/>
        <v/>
      </c>
      <c r="T59" s="76" t="str">
        <f t="shared" si="10"/>
        <v>-- 患者の状態4</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milscm_2023_010.azn_202310_backup_merge_receiptd_re.patient_state4 IS '患者の状態4';</v>
      </c>
    </row>
    <row r="60" spans="1:45" s="25" customFormat="1">
      <c r="A60" s="4"/>
      <c r="B60" s="21">
        <f t="shared" si="2"/>
        <v>48</v>
      </c>
      <c r="C60" s="13" t="s">
        <v>1021</v>
      </c>
      <c r="D60" s="13" t="s">
        <v>1022</v>
      </c>
      <c r="E60" s="7"/>
      <c r="F60" s="7" t="s">
        <v>863</v>
      </c>
      <c r="G60" s="7" t="str">
        <f t="shared" si="5"/>
        <v>text</v>
      </c>
      <c r="H60" s="58"/>
      <c r="I60" s="23"/>
      <c r="J60" s="24"/>
      <c r="M60" s="4"/>
      <c r="N60" s="76"/>
      <c r="O60" s="76"/>
      <c r="P60" s="76" t="str">
        <f t="shared" si="6"/>
        <v>,patient_state5</v>
      </c>
      <c r="Q60" s="76" t="str">
        <f t="shared" si="7"/>
        <v>TEXT</v>
      </c>
      <c r="R60" s="76" t="str">
        <f t="shared" si="8"/>
        <v/>
      </c>
      <c r="S60" s="76" t="str">
        <f t="shared" si="9"/>
        <v/>
      </c>
      <c r="T60" s="76" t="str">
        <f t="shared" si="10"/>
        <v>-- 患者の状態5</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milscm_2023_010.azn_202310_backup_merge_receiptd_re.patient_state5 IS '患者の状態5';</v>
      </c>
    </row>
    <row r="61" spans="1:45" s="25" customFormat="1">
      <c r="A61" s="4"/>
      <c r="B61" s="21">
        <f t="shared" si="2"/>
        <v>49</v>
      </c>
      <c r="C61" s="13" t="s">
        <v>1023</v>
      </c>
      <c r="D61" s="13" t="s">
        <v>1024</v>
      </c>
      <c r="E61" s="7"/>
      <c r="F61" s="7" t="s">
        <v>863</v>
      </c>
      <c r="G61" s="7" t="str">
        <f t="shared" si="5"/>
        <v>text</v>
      </c>
      <c r="H61" s="58"/>
      <c r="I61" s="23"/>
      <c r="J61" s="24"/>
      <c r="M61" s="4"/>
      <c r="N61" s="76"/>
      <c r="O61" s="76"/>
      <c r="P61" s="76" t="str">
        <f t="shared" si="6"/>
        <v>,patient_state6</v>
      </c>
      <c r="Q61" s="76" t="str">
        <f t="shared" si="7"/>
        <v>TEXT</v>
      </c>
      <c r="R61" s="76" t="str">
        <f t="shared" si="8"/>
        <v/>
      </c>
      <c r="S61" s="76" t="str">
        <f t="shared" si="9"/>
        <v/>
      </c>
      <c r="T61" s="76" t="str">
        <f t="shared" si="10"/>
        <v>-- 患者の状態6</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milscm_2023_010.azn_202310_backup_merge_receiptd_re.patient_state6 IS '患者の状態6';</v>
      </c>
    </row>
    <row r="62" spans="1:45" s="25" customFormat="1">
      <c r="A62" s="4"/>
      <c r="B62" s="21">
        <f t="shared" si="2"/>
        <v>50</v>
      </c>
      <c r="C62" s="13" t="s">
        <v>1025</v>
      </c>
      <c r="D62" s="13" t="s">
        <v>1026</v>
      </c>
      <c r="E62" s="7"/>
      <c r="F62" s="7" t="s">
        <v>863</v>
      </c>
      <c r="G62" s="7" t="str">
        <f t="shared" si="5"/>
        <v>text</v>
      </c>
      <c r="H62" s="58"/>
      <c r="I62" s="23"/>
      <c r="J62" s="24"/>
      <c r="M62" s="4"/>
      <c r="N62" s="76"/>
      <c r="O62" s="76"/>
      <c r="P62" s="76" t="str">
        <f t="shared" si="6"/>
        <v>,patient_state7</v>
      </c>
      <c r="Q62" s="76" t="str">
        <f t="shared" si="7"/>
        <v>TEXT</v>
      </c>
      <c r="R62" s="76" t="str">
        <f t="shared" si="8"/>
        <v/>
      </c>
      <c r="S62" s="76" t="str">
        <f t="shared" si="9"/>
        <v/>
      </c>
      <c r="T62" s="76" t="str">
        <f t="shared" si="10"/>
        <v>-- 患者の状態7</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milscm_2023_010.azn_202310_backup_merge_receiptd_re.patient_state7 IS '患者の状態7';</v>
      </c>
    </row>
    <row r="63" spans="1:45" s="25" customFormat="1">
      <c r="A63" s="4"/>
      <c r="B63" s="21">
        <f t="shared" si="2"/>
        <v>51</v>
      </c>
      <c r="C63" s="13" t="s">
        <v>1027</v>
      </c>
      <c r="D63" s="13" t="s">
        <v>1028</v>
      </c>
      <c r="E63" s="7"/>
      <c r="F63" s="7" t="s">
        <v>863</v>
      </c>
      <c r="G63" s="7" t="str">
        <f t="shared" si="5"/>
        <v>text</v>
      </c>
      <c r="H63" s="58"/>
      <c r="I63" s="23"/>
      <c r="J63" s="24"/>
      <c r="M63" s="4"/>
      <c r="N63" s="76"/>
      <c r="O63" s="76"/>
      <c r="P63" s="76" t="str">
        <f t="shared" si="6"/>
        <v>,patient_state8</v>
      </c>
      <c r="Q63" s="76" t="str">
        <f t="shared" si="7"/>
        <v>TEXT</v>
      </c>
      <c r="R63" s="76" t="str">
        <f t="shared" si="8"/>
        <v/>
      </c>
      <c r="S63" s="76" t="str">
        <f t="shared" si="9"/>
        <v/>
      </c>
      <c r="T63" s="76" t="str">
        <f t="shared" si="10"/>
        <v>-- 患者の状態8</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milscm_2023_010.azn_202310_backup_merge_receiptd_re.patient_state8 IS '患者の状態8';</v>
      </c>
    </row>
    <row r="64" spans="1:45" s="25" customFormat="1">
      <c r="A64" s="4"/>
      <c r="B64" s="21">
        <f t="shared" si="2"/>
        <v>52</v>
      </c>
      <c r="C64" s="13" t="s">
        <v>1029</v>
      </c>
      <c r="D64" s="13" t="s">
        <v>1030</v>
      </c>
      <c r="E64" s="7"/>
      <c r="F64" s="7" t="s">
        <v>863</v>
      </c>
      <c r="G64" s="7" t="str">
        <f t="shared" si="5"/>
        <v>text</v>
      </c>
      <c r="H64" s="58"/>
      <c r="I64" s="23"/>
      <c r="J64" s="24"/>
      <c r="M64" s="4"/>
      <c r="N64" s="76"/>
      <c r="O64" s="76"/>
      <c r="P64" s="76" t="str">
        <f t="shared" si="6"/>
        <v>,patient_state9</v>
      </c>
      <c r="Q64" s="76" t="str">
        <f t="shared" si="7"/>
        <v>TEXT</v>
      </c>
      <c r="R64" s="76" t="str">
        <f t="shared" si="8"/>
        <v/>
      </c>
      <c r="S64" s="76" t="str">
        <f t="shared" si="9"/>
        <v/>
      </c>
      <c r="T64" s="76" t="str">
        <f t="shared" si="10"/>
        <v>-- 患者の状態9</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milscm_2023_010.azn_202310_backup_merge_receiptd_re.patient_state9 IS '患者の状態9';</v>
      </c>
    </row>
    <row r="65" spans="1:52" s="25" customFormat="1">
      <c r="A65" s="4"/>
      <c r="B65" s="21">
        <f t="shared" si="2"/>
        <v>53</v>
      </c>
      <c r="C65" s="13" t="s">
        <v>1031</v>
      </c>
      <c r="D65" s="13" t="s">
        <v>1032</v>
      </c>
      <c r="E65" s="7"/>
      <c r="F65" s="7" t="s">
        <v>863</v>
      </c>
      <c r="G65" s="7" t="str">
        <f t="shared" si="5"/>
        <v>text</v>
      </c>
      <c r="H65" s="58"/>
      <c r="I65" s="23"/>
      <c r="J65" s="24"/>
      <c r="M65" s="4"/>
      <c r="N65" s="76"/>
      <c r="O65" s="76"/>
      <c r="P65" s="76" t="str">
        <f t="shared" si="6"/>
        <v>,patient_state10</v>
      </c>
      <c r="Q65" s="76" t="str">
        <f t="shared" si="7"/>
        <v>TEXT</v>
      </c>
      <c r="R65" s="76" t="str">
        <f t="shared" si="8"/>
        <v/>
      </c>
      <c r="S65" s="76" t="str">
        <f t="shared" si="9"/>
        <v/>
      </c>
      <c r="T65" s="76" t="str">
        <f t="shared" si="10"/>
        <v>-- 患者の状態10</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milscm_2023_010.azn_202310_backup_merge_receiptd_re.patient_state10 IS '患者の状態10';</v>
      </c>
    </row>
    <row r="66" spans="1:52" s="25" customFormat="1">
      <c r="A66" s="4"/>
      <c r="B66" s="21">
        <f t="shared" si="2"/>
        <v>54</v>
      </c>
      <c r="C66" s="13" t="s">
        <v>1033</v>
      </c>
      <c r="D66" s="13" t="s">
        <v>1034</v>
      </c>
      <c r="E66" s="7"/>
      <c r="F66" s="7" t="s">
        <v>863</v>
      </c>
      <c r="G66" s="7" t="str">
        <f t="shared" si="5"/>
        <v>text</v>
      </c>
      <c r="H66" s="58"/>
      <c r="I66" s="23"/>
      <c r="J66" s="24"/>
      <c r="M66" s="4"/>
      <c r="N66" s="76"/>
      <c r="O66" s="76"/>
      <c r="P66" s="76" t="str">
        <f t="shared" si="6"/>
        <v>,patient_state11</v>
      </c>
      <c r="Q66" s="76" t="str">
        <f t="shared" si="7"/>
        <v>TEXT</v>
      </c>
      <c r="R66" s="76" t="str">
        <f t="shared" si="8"/>
        <v/>
      </c>
      <c r="S66" s="76" t="str">
        <f t="shared" si="9"/>
        <v/>
      </c>
      <c r="T66" s="76" t="str">
        <f t="shared" si="10"/>
        <v>-- 患者の状態11</v>
      </c>
      <c r="U66" s="4"/>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milscm_2023_010.azn_202310_backup_merge_receiptd_re.patient_state11 IS '患者の状態11';</v>
      </c>
    </row>
    <row r="67" spans="1:52" s="25" customFormat="1">
      <c r="A67" s="4"/>
      <c r="B67" s="21">
        <f t="shared" si="2"/>
        <v>55</v>
      </c>
      <c r="C67" s="13" t="s">
        <v>1035</v>
      </c>
      <c r="D67" s="13" t="s">
        <v>1036</v>
      </c>
      <c r="E67" s="7"/>
      <c r="F67" s="7" t="s">
        <v>863</v>
      </c>
      <c r="G67" s="7" t="str">
        <f t="shared" si="5"/>
        <v>text</v>
      </c>
      <c r="H67" s="58"/>
      <c r="I67" s="23"/>
      <c r="J67" s="24"/>
      <c r="M67" s="4"/>
      <c r="N67" s="76"/>
      <c r="O67" s="76"/>
      <c r="P67" s="76" t="str">
        <f t="shared" si="6"/>
        <v>,patient_state12</v>
      </c>
      <c r="Q67" s="76" t="str">
        <f t="shared" si="7"/>
        <v>TEXT</v>
      </c>
      <c r="R67" s="76" t="str">
        <f t="shared" si="8"/>
        <v/>
      </c>
      <c r="S67" s="76" t="str">
        <f t="shared" si="9"/>
        <v/>
      </c>
      <c r="T67" s="76" t="str">
        <f t="shared" si="10"/>
        <v>-- 患者の状態12</v>
      </c>
      <c r="U67" s="4"/>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milscm_2023_010.azn_202310_backup_merge_receiptd_re.patient_state12 IS '患者の状態12';</v>
      </c>
    </row>
    <row r="68" spans="1:52" s="25" customFormat="1">
      <c r="A68" s="4"/>
      <c r="B68" s="21">
        <f t="shared" si="2"/>
        <v>56</v>
      </c>
      <c r="C68" s="13" t="s">
        <v>1037</v>
      </c>
      <c r="D68" s="13" t="s">
        <v>1038</v>
      </c>
      <c r="E68" s="7"/>
      <c r="F68" s="7" t="s">
        <v>863</v>
      </c>
      <c r="G68" s="7" t="str">
        <f t="shared" si="5"/>
        <v>text</v>
      </c>
      <c r="H68" s="58"/>
      <c r="I68" s="23"/>
      <c r="J68" s="24"/>
      <c r="M68" s="4"/>
      <c r="N68" s="76"/>
      <c r="O68" s="76"/>
      <c r="P68" s="76" t="str">
        <f t="shared" si="6"/>
        <v>,patient_state13</v>
      </c>
      <c r="Q68" s="76" t="str">
        <f t="shared" si="7"/>
        <v>TEXT</v>
      </c>
      <c r="R68" s="76" t="str">
        <f t="shared" si="8"/>
        <v/>
      </c>
      <c r="S68" s="76" t="str">
        <f t="shared" si="9"/>
        <v/>
      </c>
      <c r="T68" s="76" t="str">
        <f t="shared" si="10"/>
        <v>-- 患者の状態13</v>
      </c>
      <c r="U68" s="4"/>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milscm_2023_010.azn_202310_backup_merge_receiptd_re.patient_state13 IS '患者の状態13';</v>
      </c>
    </row>
    <row r="69" spans="1:52" s="25" customFormat="1">
      <c r="A69" s="4"/>
      <c r="B69" s="21">
        <f t="shared" si="2"/>
        <v>57</v>
      </c>
      <c r="C69" s="13" t="s">
        <v>1039</v>
      </c>
      <c r="D69" s="13" t="s">
        <v>1040</v>
      </c>
      <c r="E69" s="7"/>
      <c r="F69" s="7" t="s">
        <v>863</v>
      </c>
      <c r="G69" s="7" t="str">
        <f t="shared" si="5"/>
        <v>text</v>
      </c>
      <c r="H69" s="58"/>
      <c r="I69" s="23"/>
      <c r="J69" s="24"/>
      <c r="M69" s="4"/>
      <c r="N69" s="76"/>
      <c r="O69" s="76"/>
      <c r="P69" s="76" t="str">
        <f t="shared" si="6"/>
        <v>,patient_state14</v>
      </c>
      <c r="Q69" s="76" t="str">
        <f t="shared" si="7"/>
        <v>TEXT</v>
      </c>
      <c r="R69" s="76" t="str">
        <f t="shared" si="8"/>
        <v/>
      </c>
      <c r="S69" s="76" t="str">
        <f t="shared" si="9"/>
        <v/>
      </c>
      <c r="T69" s="76" t="str">
        <f t="shared" si="10"/>
        <v>-- 患者の状態14</v>
      </c>
      <c r="U69" s="4"/>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milscm_2023_010.azn_202310_backup_merge_receiptd_re.patient_state14 IS '患者の状態14';</v>
      </c>
    </row>
    <row r="70" spans="1:52" s="25" customFormat="1">
      <c r="A70" s="4"/>
      <c r="B70" s="21">
        <f t="shared" si="2"/>
        <v>58</v>
      </c>
      <c r="C70" s="13" t="s">
        <v>1041</v>
      </c>
      <c r="D70" s="13" t="s">
        <v>1042</v>
      </c>
      <c r="E70" s="7"/>
      <c r="F70" s="7" t="s">
        <v>863</v>
      </c>
      <c r="G70" s="7" t="str">
        <f t="shared" si="5"/>
        <v>text</v>
      </c>
      <c r="H70" s="58"/>
      <c r="I70" s="23"/>
      <c r="J70" s="24"/>
      <c r="M70" s="4"/>
      <c r="N70" s="76"/>
      <c r="O70" s="76"/>
      <c r="P70" s="76" t="str">
        <f t="shared" si="6"/>
        <v>,patient_state15</v>
      </c>
      <c r="Q70" s="76" t="str">
        <f t="shared" si="7"/>
        <v>TEXT</v>
      </c>
      <c r="R70" s="76" t="str">
        <f t="shared" si="8"/>
        <v/>
      </c>
      <c r="S70" s="76" t="str">
        <f t="shared" si="9"/>
        <v/>
      </c>
      <c r="T70" s="76" t="str">
        <f t="shared" si="10"/>
        <v>-- 患者の状態15</v>
      </c>
      <c r="U70" s="4"/>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milscm_2023_010.azn_202310_backup_merge_receiptd_re.patient_state15 IS '患者の状態15';</v>
      </c>
    </row>
    <row r="71" spans="1:52" s="25" customFormat="1">
      <c r="A71" s="4"/>
      <c r="B71" s="21">
        <f t="shared" si="2"/>
        <v>59</v>
      </c>
      <c r="C71" s="13" t="s">
        <v>1043</v>
      </c>
      <c r="D71" s="13" t="s">
        <v>1044</v>
      </c>
      <c r="E71" s="7"/>
      <c r="F71" s="7" t="s">
        <v>863</v>
      </c>
      <c r="G71" s="7" t="str">
        <f t="shared" si="5"/>
        <v>text</v>
      </c>
      <c r="H71" s="58"/>
      <c r="I71" s="23"/>
      <c r="J71" s="24"/>
      <c r="M71" s="4"/>
      <c r="N71" s="76"/>
      <c r="O71" s="76"/>
      <c r="P71" s="76" t="str">
        <f t="shared" si="6"/>
        <v>,patient_state16</v>
      </c>
      <c r="Q71" s="76" t="str">
        <f t="shared" si="7"/>
        <v>TEXT</v>
      </c>
      <c r="R71" s="76" t="str">
        <f t="shared" si="8"/>
        <v/>
      </c>
      <c r="S71" s="76" t="str">
        <f t="shared" si="9"/>
        <v/>
      </c>
      <c r="T71" s="76" t="str">
        <f t="shared" si="10"/>
        <v>-- 患者の状態16</v>
      </c>
      <c r="U71" s="4"/>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milscm_2023_010.azn_202310_backup_merge_receiptd_re.patient_state16 IS '患者の状態16';</v>
      </c>
    </row>
    <row r="72" spans="1:52" s="25" customFormat="1">
      <c r="A72" s="4"/>
      <c r="B72" s="21">
        <f t="shared" si="2"/>
        <v>60</v>
      </c>
      <c r="C72" s="13" t="s">
        <v>1045</v>
      </c>
      <c r="D72" s="13" t="s">
        <v>1046</v>
      </c>
      <c r="E72" s="7"/>
      <c r="F72" s="7" t="s">
        <v>863</v>
      </c>
      <c r="G72" s="7" t="str">
        <f t="shared" si="5"/>
        <v>text</v>
      </c>
      <c r="H72" s="58"/>
      <c r="I72" s="23"/>
      <c r="J72" s="24"/>
      <c r="M72" s="4"/>
      <c r="N72" s="76"/>
      <c r="O72" s="76"/>
      <c r="P72" s="76" t="str">
        <f t="shared" si="6"/>
        <v>,patient_state17</v>
      </c>
      <c r="Q72" s="76" t="str">
        <f t="shared" si="7"/>
        <v>TEXT</v>
      </c>
      <c r="R72" s="76" t="str">
        <f t="shared" si="8"/>
        <v/>
      </c>
      <c r="S72" s="76" t="str">
        <f t="shared" si="9"/>
        <v/>
      </c>
      <c r="T72" s="76" t="str">
        <f t="shared" si="10"/>
        <v>-- 患者の状態17</v>
      </c>
      <c r="U72" s="4"/>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milscm_2023_010.azn_202310_backup_merge_receiptd_re.patient_state17 IS '患者の状態17';</v>
      </c>
    </row>
    <row r="73" spans="1:52" s="25" customFormat="1">
      <c r="A73" s="4"/>
      <c r="B73" s="21">
        <f t="shared" si="2"/>
        <v>61</v>
      </c>
      <c r="C73" s="13" t="s">
        <v>1047</v>
      </c>
      <c r="D73" s="13" t="s">
        <v>1048</v>
      </c>
      <c r="E73" s="7"/>
      <c r="F73" s="7" t="s">
        <v>863</v>
      </c>
      <c r="G73" s="7" t="str">
        <f t="shared" si="5"/>
        <v>text</v>
      </c>
      <c r="H73" s="58"/>
      <c r="I73" s="23"/>
      <c r="J73" s="24"/>
      <c r="M73" s="4"/>
      <c r="N73" s="76"/>
      <c r="O73" s="76"/>
      <c r="P73" s="76" t="str">
        <f t="shared" si="6"/>
        <v>,patient_state18</v>
      </c>
      <c r="Q73" s="76" t="str">
        <f t="shared" si="7"/>
        <v>TEXT</v>
      </c>
      <c r="R73" s="76" t="str">
        <f t="shared" si="8"/>
        <v/>
      </c>
      <c r="S73" s="76" t="str">
        <f t="shared" si="9"/>
        <v/>
      </c>
      <c r="T73" s="76" t="str">
        <f t="shared" si="10"/>
        <v>-- 患者の状態18</v>
      </c>
      <c r="U73" s="4"/>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milscm_2023_010.azn_202310_backup_merge_receiptd_re.patient_state18 IS '患者の状態18';</v>
      </c>
    </row>
    <row r="74" spans="1:52" s="25" customFormat="1">
      <c r="A74" s="4"/>
      <c r="B74" s="21">
        <f t="shared" si="2"/>
        <v>62</v>
      </c>
      <c r="C74" s="13" t="s">
        <v>1049</v>
      </c>
      <c r="D74" s="13" t="s">
        <v>1050</v>
      </c>
      <c r="E74" s="7"/>
      <c r="F74" s="7" t="s">
        <v>863</v>
      </c>
      <c r="G74" s="7" t="str">
        <f t="shared" si="5"/>
        <v>text</v>
      </c>
      <c r="H74" s="58"/>
      <c r="I74" s="23"/>
      <c r="J74" s="24"/>
      <c r="M74" s="4"/>
      <c r="N74" s="76"/>
      <c r="O74" s="76"/>
      <c r="P74" s="76" t="str">
        <f t="shared" si="6"/>
        <v>,patient_state19</v>
      </c>
      <c r="Q74" s="76" t="str">
        <f t="shared" si="7"/>
        <v>TEXT</v>
      </c>
      <c r="R74" s="76" t="str">
        <f t="shared" si="8"/>
        <v/>
      </c>
      <c r="S74" s="76" t="str">
        <f t="shared" si="9"/>
        <v/>
      </c>
      <c r="T74" s="76" t="str">
        <f t="shared" si="10"/>
        <v>-- 患者の状態19</v>
      </c>
      <c r="U74" s="4"/>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milscm_2023_010.azn_202310_backup_merge_receiptd_re.patient_state19 IS '患者の状態19';</v>
      </c>
    </row>
    <row r="75" spans="1:52" s="25" customFormat="1" ht="19.5" thickBot="1">
      <c r="A75" s="4"/>
      <c r="B75" s="27">
        <f>ROW()-12</f>
        <v>63</v>
      </c>
      <c r="C75" s="57" t="s">
        <v>1051</v>
      </c>
      <c r="D75" s="57" t="s">
        <v>1052</v>
      </c>
      <c r="E75" s="56"/>
      <c r="F75" s="56" t="s">
        <v>863</v>
      </c>
      <c r="G75" s="56" t="str">
        <f t="shared" si="3"/>
        <v>text</v>
      </c>
      <c r="H75" s="59"/>
      <c r="I75" s="60"/>
      <c r="J75" s="63"/>
      <c r="N75" s="76"/>
      <c r="O75" s="76"/>
      <c r="P75" s="76" t="str">
        <f t="shared" si="4"/>
        <v>,patient_state20</v>
      </c>
      <c r="Q75" s="76" t="str">
        <f t="shared" si="0"/>
        <v>TEXT</v>
      </c>
      <c r="R75" s="76" t="str">
        <f t="shared" si="1"/>
        <v/>
      </c>
      <c r="S75" s="76" t="str">
        <f t="shared" ref="S75" si="11">IF(I75="○","NOT NULL","")</f>
        <v/>
      </c>
      <c r="T75" s="76" t="str">
        <f t="shared" ref="T75" si="12">"-- "&amp;C75</f>
        <v>-- 患者の状態20</v>
      </c>
      <c r="U75" s="4"/>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milscm_2023_010.azn_202310_backup_merge_receiptd_re.patient_state20 IS '患者の状態20';</v>
      </c>
    </row>
    <row r="76" spans="1:52">
      <c r="L76" s="25"/>
      <c r="M76" s="25"/>
      <c r="N76" s="76" t="s">
        <v>142</v>
      </c>
      <c r="O76" s="76"/>
      <c r="P76" s="76"/>
      <c r="Q76" s="76"/>
      <c r="R76" s="76"/>
      <c r="S76" s="76"/>
      <c r="T76" s="76"/>
      <c r="V76" s="25"/>
      <c r="W76" s="25"/>
      <c r="X76" s="25"/>
      <c r="Y76" s="25"/>
      <c r="Z76" s="25"/>
      <c r="AJ76" s="76" t="s">
        <v>142</v>
      </c>
      <c r="AT76" s="25"/>
      <c r="AU76" s="25"/>
      <c r="AV76" s="25"/>
      <c r="AW76" s="25"/>
      <c r="AX76" s="25"/>
      <c r="AY76" s="25"/>
      <c r="AZ76" s="25"/>
    </row>
    <row r="77" spans="1:52">
      <c r="L77" s="25"/>
      <c r="M77" s="25"/>
      <c r="V77" s="25"/>
      <c r="W77" s="25"/>
      <c r="X77" s="25"/>
      <c r="Y77" s="25"/>
      <c r="Z77" s="25"/>
      <c r="AT77" s="25"/>
      <c r="AU77" s="25"/>
      <c r="AV77" s="25"/>
      <c r="AW77" s="25"/>
      <c r="AX77" s="25"/>
      <c r="AY77" s="25"/>
      <c r="AZ77" s="25"/>
    </row>
    <row r="78" spans="1:52">
      <c r="L78" s="25"/>
      <c r="M78" s="25"/>
      <c r="V78" s="25"/>
      <c r="W78" s="25"/>
      <c r="X78" s="25"/>
      <c r="Y78" s="25"/>
      <c r="Z78" s="25"/>
      <c r="AT78" s="25"/>
      <c r="AU78" s="25"/>
      <c r="AV78" s="25"/>
      <c r="AW78" s="25"/>
      <c r="AX78" s="25"/>
      <c r="AY78" s="25"/>
      <c r="AZ78" s="25"/>
    </row>
    <row r="79" spans="1:52">
      <c r="L79" s="25"/>
      <c r="M79" s="25"/>
      <c r="V79" s="25"/>
      <c r="W79" s="25"/>
      <c r="X79" s="25"/>
      <c r="Y79" s="25"/>
      <c r="Z79" s="25"/>
      <c r="AT79" s="25"/>
      <c r="AU79" s="25"/>
      <c r="AV79" s="25"/>
      <c r="AW79" s="25"/>
      <c r="AX79" s="25"/>
      <c r="AY79" s="25"/>
      <c r="AZ79" s="25"/>
    </row>
    <row r="80" spans="1:52">
      <c r="L80" s="25"/>
      <c r="M80" s="25"/>
      <c r="V80" s="25"/>
      <c r="W80" s="25"/>
      <c r="X80" s="25"/>
      <c r="Y80" s="25"/>
      <c r="Z80" s="25"/>
      <c r="AT80" s="25"/>
      <c r="AU80" s="25"/>
      <c r="AV80" s="25"/>
      <c r="AW80" s="25"/>
      <c r="AX80" s="25"/>
      <c r="AY80" s="25"/>
      <c r="AZ80" s="25"/>
    </row>
    <row r="81" spans="12:52">
      <c r="L81" s="25"/>
      <c r="M81" s="25"/>
      <c r="V81" s="25"/>
      <c r="W81" s="25"/>
      <c r="X81" s="25"/>
      <c r="Y81" s="25"/>
      <c r="Z81" s="25"/>
      <c r="AT81" s="25"/>
      <c r="AU81" s="25"/>
      <c r="AV81" s="25"/>
      <c r="AW81" s="25"/>
      <c r="AX81" s="25"/>
      <c r="AY81" s="25"/>
      <c r="AZ81" s="25"/>
    </row>
    <row r="82" spans="12:52">
      <c r="L82" s="25"/>
      <c r="M82" s="25"/>
      <c r="AT82" s="25"/>
      <c r="AU82" s="25"/>
      <c r="AV82" s="25"/>
      <c r="AW82" s="25"/>
      <c r="AX82" s="25"/>
      <c r="AY82" s="25"/>
      <c r="AZ82" s="25"/>
    </row>
    <row r="83" spans="12:52">
      <c r="L83" s="25"/>
      <c r="M83" s="25"/>
      <c r="AT83" s="25"/>
      <c r="AU83" s="25"/>
      <c r="AV83" s="25"/>
      <c r="AW83" s="25"/>
      <c r="AX83" s="25"/>
      <c r="AY83" s="25"/>
      <c r="AZ83" s="25"/>
    </row>
    <row r="84" spans="12:52">
      <c r="L84" s="25"/>
      <c r="M84" s="25"/>
      <c r="AT84" s="25"/>
      <c r="AU84" s="25"/>
      <c r="AV84" s="25"/>
      <c r="AW84" s="25"/>
      <c r="AX84" s="25"/>
      <c r="AY84" s="25"/>
      <c r="AZ84" s="25"/>
    </row>
    <row r="85" spans="12:52">
      <c r="L85" s="25"/>
      <c r="M85" s="25"/>
      <c r="AT85" s="25"/>
      <c r="AU85" s="25"/>
      <c r="AV85" s="25"/>
      <c r="AW85" s="25"/>
      <c r="AX85" s="25"/>
      <c r="AY85" s="25"/>
      <c r="AZ85" s="25"/>
    </row>
    <row r="86" spans="12:52">
      <c r="L86" s="25"/>
      <c r="M86" s="25"/>
      <c r="AT86" s="25"/>
      <c r="AU86" s="25"/>
      <c r="AV86" s="25"/>
      <c r="AW86" s="25"/>
      <c r="AX86" s="25"/>
      <c r="AY86" s="25"/>
      <c r="AZ86" s="25"/>
    </row>
    <row r="87" spans="12:52">
      <c r="L87" s="25"/>
      <c r="M87" s="25"/>
      <c r="AT87" s="25"/>
      <c r="AU87" s="25"/>
      <c r="AV87" s="25"/>
      <c r="AW87" s="25"/>
      <c r="AX87" s="25"/>
      <c r="AY87" s="25"/>
      <c r="AZ87" s="25"/>
    </row>
    <row r="88" spans="12:52">
      <c r="L88" s="25"/>
      <c r="M88" s="25"/>
      <c r="AT88" s="25"/>
      <c r="AU88" s="25"/>
      <c r="AV88" s="25"/>
      <c r="AW88" s="25"/>
      <c r="AX88" s="25"/>
      <c r="AY88" s="25"/>
      <c r="AZ88" s="25"/>
    </row>
    <row r="89" spans="12:52">
      <c r="L89" s="25"/>
      <c r="M89" s="25"/>
      <c r="AT89" s="25"/>
      <c r="AU89" s="25"/>
      <c r="AV89" s="25"/>
      <c r="AW89" s="25"/>
      <c r="AX89" s="25"/>
      <c r="AY89" s="25"/>
      <c r="AZ89" s="25"/>
    </row>
    <row r="90" spans="12:52">
      <c r="L90" s="25"/>
      <c r="M90" s="25"/>
      <c r="AT90" s="25"/>
      <c r="AU90" s="25"/>
      <c r="AV90" s="25"/>
      <c r="AW90" s="25"/>
      <c r="AX90" s="25"/>
      <c r="AY90" s="25"/>
      <c r="AZ90" s="25"/>
    </row>
    <row r="91" spans="12:52">
      <c r="L91" s="25"/>
      <c r="M91" s="25"/>
      <c r="AV91" s="25"/>
      <c r="AW91" s="25"/>
      <c r="AX91" s="25"/>
      <c r="AY91" s="25"/>
      <c r="AZ91" s="25"/>
    </row>
    <row r="92" spans="12:52">
      <c r="M92" s="25"/>
    </row>
    <row r="93" spans="12:52">
      <c r="M93" s="25"/>
    </row>
    <row r="94" spans="12:52">
      <c r="M94" s="25"/>
    </row>
    <row r="95" spans="12:52">
      <c r="M95" s="25"/>
    </row>
    <row r="96" spans="12:52">
      <c r="M96" s="25"/>
    </row>
    <row r="97" spans="13:13">
      <c r="M9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ENT_01_C3-08</v>
      </c>
      <c r="E6" s="272"/>
      <c r="F6" s="272"/>
      <c r="G6" s="272"/>
      <c r="H6" s="272"/>
      <c r="I6" s="272"/>
      <c r="J6" s="273"/>
    </row>
    <row r="7" spans="1:45">
      <c r="B7" s="261" t="s">
        <v>115</v>
      </c>
      <c r="C7" s="262"/>
      <c r="D7" s="263" t="s">
        <v>1205</v>
      </c>
      <c r="E7" s="264"/>
      <c r="F7" s="264"/>
      <c r="G7" s="264"/>
      <c r="H7" s="264"/>
      <c r="I7" s="264"/>
      <c r="J7" s="265"/>
    </row>
    <row r="8" spans="1:45">
      <c r="B8" s="261" t="s">
        <v>116</v>
      </c>
      <c r="C8" s="262"/>
      <c r="D8" s="263" t="str">
        <f>エンティティ一覧!AE2&amp;"_"&amp;D5&amp;"_merge_receiptd_bu"</f>
        <v>azn_202310_backup_merge_receiptd_bu</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DPCレセプト_診断群分類レコードテーブルから組入れ条件の第一条件で絞り込んだ結果を格納するテーブル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milscm_2023_010.azn_202310_backup_merge_receiptd_bu;</v>
      </c>
      <c r="O10" s="76"/>
      <c r="P10" s="76"/>
      <c r="Q10" s="76"/>
      <c r="R10" s="76"/>
      <c r="S10" s="76"/>
      <c r="T10" s="76"/>
      <c r="AJ10" s="76" t="str">
        <f>"ALTER TABLE ONLY "&amp;エンティティ一覧!$O$2&amp;"."&amp;D$8</f>
        <v>ALTER TABLE ONLY milscm_2023_010.azn_202310_backup_merge_receiptd_bu</v>
      </c>
      <c r="AS10" s="76" t="str">
        <f>"ALTER TABLE "&amp;エンティティ一覧!$O$2&amp;"."&amp;D$8&amp;" OWNER TO pgmisgrp1;"</f>
        <v>ALTER TABLE milscm_2023_010.azn_202310_backup_merge_receiptd_bu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milscm_2023_010.azn_202310_backup_merge_receiptd_bu</v>
      </c>
      <c r="O11" s="76"/>
      <c r="P11" s="76"/>
      <c r="Q11" s="76"/>
      <c r="R11" s="76"/>
      <c r="S11" s="76"/>
      <c r="T11" s="76"/>
      <c r="AJ11" s="76" t="str">
        <f>"ADD CONSTRAINT "&amp;D$8&amp;"_pkey PRIMARY KEY"</f>
        <v>ADD CONSTRAINT azn_202310_backup_merge_receiptd_bu_pkey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milscm_2023_010.azn_202310_backup_merge_receiptd_bu IS 'バックアップ_DPCレセプト_診断群分類レコード';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9" si="0">UPPER(G13)</f>
        <v>TEXT</v>
      </c>
      <c r="R13" s="76" t="str">
        <f t="shared" ref="R13:R29"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milscm_2023_010.azn_202310_backup_merge_receiptd_bu.torikomi_ym IS '取込年月';</v>
      </c>
    </row>
    <row r="14" spans="1:45" s="25" customFormat="1">
      <c r="A14" s="4"/>
      <c r="B14" s="21">
        <f t="shared" ref="B14:B28" si="2">ROW()-12</f>
        <v>2</v>
      </c>
      <c r="C14" s="6" t="s">
        <v>201</v>
      </c>
      <c r="D14" s="6" t="s">
        <v>202</v>
      </c>
      <c r="E14" s="8"/>
      <c r="F14" s="7" t="s">
        <v>203</v>
      </c>
      <c r="G14" s="7" t="str">
        <f t="shared" ref="G14:G29" si="3">IF(F14="フラグ","boolean",IF(F14="文字列","text",IF(F14="整数","integer",IF(F14="実数","numeric",""))))</f>
        <v>integer</v>
      </c>
      <c r="H14" s="26"/>
      <c r="I14" s="10"/>
      <c r="J14" s="11" t="s">
        <v>256</v>
      </c>
      <c r="M14" s="4"/>
      <c r="N14" s="76"/>
      <c r="O14" s="76"/>
      <c r="P14" s="76" t="str">
        <f t="shared" ref="P14:P29"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milscm_2023_010.azn_202310_backup_merge_receiptd_bu.mil_karute_id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1198</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milscm_2023_010.azn_202310_backup_merge_receiptd_bu.facility_id IS '施設ID';</v>
      </c>
    </row>
    <row r="16" spans="1:45" s="25" customFormat="1">
      <c r="B16" s="21">
        <f t="shared" si="2"/>
        <v>4</v>
      </c>
      <c r="C16" s="6" t="s">
        <v>902</v>
      </c>
      <c r="D16" s="6" t="s">
        <v>903</v>
      </c>
      <c r="E16" s="8" t="s">
        <v>127</v>
      </c>
      <c r="F16" s="7" t="s">
        <v>863</v>
      </c>
      <c r="G16" s="7" t="str">
        <f t="shared" si="3"/>
        <v>text</v>
      </c>
      <c r="H16" s="26"/>
      <c r="I16" s="10" t="s">
        <v>127</v>
      </c>
      <c r="J16" s="53" t="s">
        <v>1053</v>
      </c>
      <c r="M16" s="4"/>
      <c r="N16" s="76"/>
      <c r="O16" s="76"/>
      <c r="P16" s="76" t="str">
        <f t="shared" si="4"/>
        <v>,seikyu_ym</v>
      </c>
      <c r="Q16" s="76" t="str">
        <f t="shared" si="0"/>
        <v>TEXT</v>
      </c>
      <c r="R16" s="76" t="str">
        <f t="shared" si="1"/>
        <v/>
      </c>
      <c r="S16" s="76" t="str">
        <f t="shared" ref="S16:S29" si="5">IF(I16="○","NOT NULL","")</f>
        <v>NOT NULL</v>
      </c>
      <c r="T16" s="76" t="str">
        <f t="shared" ref="T16:T29"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milscm_2023_010.azn_202310_backup_merge_receiptd_bu.seikyu_ym IS '請求年月';</v>
      </c>
    </row>
    <row r="17" spans="1:52" s="25" customFormat="1">
      <c r="B17" s="21">
        <f t="shared" si="2"/>
        <v>5</v>
      </c>
      <c r="C17" s="13" t="s">
        <v>864</v>
      </c>
      <c r="D17" s="13" t="s">
        <v>205</v>
      </c>
      <c r="E17" s="7" t="s">
        <v>127</v>
      </c>
      <c r="F17" s="7" t="s">
        <v>863</v>
      </c>
      <c r="G17" s="7" t="str">
        <f t="shared" si="3"/>
        <v>text</v>
      </c>
      <c r="H17" s="58"/>
      <c r="I17" s="23" t="s">
        <v>127</v>
      </c>
      <c r="J17" s="24" t="s">
        <v>1112</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milscm_2023_010.azn_202310_backup_merge_receiptd_bu.shinryo_ym IS '診療年月';</v>
      </c>
    </row>
    <row r="18" spans="1:52" s="25" customFormat="1">
      <c r="B18" s="21">
        <f t="shared" si="2"/>
        <v>6</v>
      </c>
      <c r="C18" s="13" t="s">
        <v>318</v>
      </c>
      <c r="D18" s="13" t="s">
        <v>207</v>
      </c>
      <c r="E18" s="7"/>
      <c r="F18" s="7" t="s">
        <v>863</v>
      </c>
      <c r="G18" s="7" t="str">
        <f t="shared" si="3"/>
        <v>text</v>
      </c>
      <c r="H18" s="58" t="s">
        <v>930</v>
      </c>
      <c r="I18" s="23" t="s">
        <v>127</v>
      </c>
      <c r="J18" s="24" t="s">
        <v>931</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milscm_2023_010.azn_202310_backup_merge_receiptd_bu.data_type IS 'データ種別';</v>
      </c>
    </row>
    <row r="19" spans="1:52" s="25" customFormat="1">
      <c r="B19" s="21">
        <f t="shared" si="2"/>
        <v>7</v>
      </c>
      <c r="C19" s="13" t="s">
        <v>904</v>
      </c>
      <c r="D19" s="13" t="s">
        <v>905</v>
      </c>
      <c r="E19" s="7" t="s">
        <v>127</v>
      </c>
      <c r="F19" s="7" t="s">
        <v>863</v>
      </c>
      <c r="G19" s="7" t="str">
        <f t="shared" si="3"/>
        <v>text</v>
      </c>
      <c r="H19" s="58"/>
      <c r="I19" s="23" t="s">
        <v>127</v>
      </c>
      <c r="J19" s="24" t="s">
        <v>1055</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milscm_2023_010.azn_202310_backup_merge_receiptd_bu.shinsa_kikan IS '審査支払機関';</v>
      </c>
    </row>
    <row r="20" spans="1:52" s="25" customFormat="1">
      <c r="B20" s="21">
        <f t="shared" si="2"/>
        <v>8</v>
      </c>
      <c r="C20" s="13" t="s">
        <v>906</v>
      </c>
      <c r="D20" s="13" t="s">
        <v>907</v>
      </c>
      <c r="E20" s="7"/>
      <c r="F20" s="7" t="s">
        <v>863</v>
      </c>
      <c r="G20" s="7" t="str">
        <f t="shared" si="3"/>
        <v>text</v>
      </c>
      <c r="H20" s="58" t="s">
        <v>1216</v>
      </c>
      <c r="I20" s="23" t="s">
        <v>127</v>
      </c>
      <c r="J20" s="24" t="s">
        <v>1217</v>
      </c>
      <c r="N20" s="76"/>
      <c r="O20" s="76"/>
      <c r="P20" s="76" t="str">
        <f t="shared" si="4"/>
        <v>,record_shikibetsu</v>
      </c>
      <c r="Q20" s="76" t="str">
        <f t="shared" si="0"/>
        <v>TEXT</v>
      </c>
      <c r="R20" s="76" t="str">
        <f t="shared" si="1"/>
        <v>default 'BU'</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milscm_2023_010.azn_202310_backup_merge_receiptd_bu.record_shikibetsu IS 'レコード識別情報';</v>
      </c>
    </row>
    <row r="21" spans="1:52" s="25" customFormat="1">
      <c r="B21" s="21">
        <f t="shared" si="2"/>
        <v>9</v>
      </c>
      <c r="C21" s="13" t="s">
        <v>908</v>
      </c>
      <c r="D21" s="13" t="s">
        <v>909</v>
      </c>
      <c r="E21" s="7" t="s">
        <v>127</v>
      </c>
      <c r="F21" s="7" t="s">
        <v>203</v>
      </c>
      <c r="G21" s="7" t="str">
        <f t="shared" si="3"/>
        <v>integer</v>
      </c>
      <c r="H21" s="58"/>
      <c r="I21" s="23" t="s">
        <v>127</v>
      </c>
      <c r="J21" s="24" t="s">
        <v>1058</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milscm_2023_010.azn_202310_backup_merge_receiptd_bu.receipt_no IS 'レセプト番号';</v>
      </c>
    </row>
    <row r="22" spans="1:52" s="25" customFormat="1">
      <c r="B22" s="21">
        <f t="shared" si="2"/>
        <v>10</v>
      </c>
      <c r="C22" s="13" t="s">
        <v>910</v>
      </c>
      <c r="D22" s="13" t="s">
        <v>911</v>
      </c>
      <c r="E22" s="7" t="s">
        <v>127</v>
      </c>
      <c r="F22" s="7" t="s">
        <v>203</v>
      </c>
      <c r="G22" s="7" t="str">
        <f t="shared" si="3"/>
        <v>integer</v>
      </c>
      <c r="H22" s="58"/>
      <c r="I22" s="23" t="s">
        <v>127</v>
      </c>
      <c r="J22" s="24" t="s">
        <v>1203</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milscm_2023_010.azn_202310_backup_merge_receiptd_bu.gyo_no IS '行番号';</v>
      </c>
    </row>
    <row r="23" spans="1:52" s="25" customFormat="1">
      <c r="B23" s="21">
        <f t="shared" si="2"/>
        <v>11</v>
      </c>
      <c r="C23" s="13" t="s">
        <v>912</v>
      </c>
      <c r="D23" s="13" t="s">
        <v>913</v>
      </c>
      <c r="E23" s="7"/>
      <c r="F23" s="7" t="s">
        <v>863</v>
      </c>
      <c r="G23" s="7" t="str">
        <f t="shared" si="3"/>
        <v>text</v>
      </c>
      <c r="H23" s="58"/>
      <c r="I23" s="23"/>
      <c r="J23" s="24" t="s">
        <v>1060</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milscm_2023_010.azn_202310_backup_merge_receiptd_bu.karute_no IS 'カルテ番号等';</v>
      </c>
    </row>
    <row r="24" spans="1:52" s="25" customFormat="1">
      <c r="B24" s="21">
        <f t="shared" si="2"/>
        <v>12</v>
      </c>
      <c r="C24" s="13" t="s">
        <v>1196</v>
      </c>
      <c r="D24" s="13" t="s">
        <v>1197</v>
      </c>
      <c r="E24" s="7"/>
      <c r="F24" s="7" t="s">
        <v>863</v>
      </c>
      <c r="G24" s="7" t="str">
        <f t="shared" si="3"/>
        <v>text</v>
      </c>
      <c r="H24" s="58"/>
      <c r="I24" s="23"/>
      <c r="J24" s="24" t="s">
        <v>1218</v>
      </c>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milscm_2023_010.azn_202310_backup_merge_receiptd_bu.receipt_sokatsu_kubun IS 'レセプト総括区分';</v>
      </c>
    </row>
    <row r="25" spans="1:52" s="25" customFormat="1">
      <c r="B25" s="21">
        <f t="shared" si="2"/>
        <v>13</v>
      </c>
      <c r="C25" s="13" t="s">
        <v>1206</v>
      </c>
      <c r="D25" s="13" t="s">
        <v>1207</v>
      </c>
      <c r="E25" s="7"/>
      <c r="F25" s="7" t="s">
        <v>863</v>
      </c>
      <c r="G25" s="7" t="str">
        <f t="shared" si="3"/>
        <v>text</v>
      </c>
      <c r="H25" s="58"/>
      <c r="I25" s="23"/>
      <c r="J25" s="24"/>
      <c r="N25" s="76"/>
      <c r="O25" s="76"/>
      <c r="P25" s="76" t="str">
        <f t="shared" si="4"/>
        <v>,shindangun_no</v>
      </c>
      <c r="Q25" s="76" t="str">
        <f t="shared" si="0"/>
        <v>TEXT</v>
      </c>
      <c r="R25" s="76" t="str">
        <f t="shared" si="1"/>
        <v/>
      </c>
      <c r="S25" s="76" t="str">
        <f t="shared" si="5"/>
        <v/>
      </c>
      <c r="T25" s="76" t="str">
        <f t="shared" si="6"/>
        <v>-- 診断群分類番号</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milscm_2023_010.azn_202310_backup_merge_receiptd_bu.shindangun_no IS '診断群分類番号';</v>
      </c>
    </row>
    <row r="26" spans="1:52" s="25" customFormat="1" ht="75">
      <c r="B26" s="21">
        <f t="shared" si="2"/>
        <v>14</v>
      </c>
      <c r="C26" s="13" t="s">
        <v>1208</v>
      </c>
      <c r="D26" s="13" t="s">
        <v>1209</v>
      </c>
      <c r="E26" s="7"/>
      <c r="F26" s="7" t="s">
        <v>863</v>
      </c>
      <c r="G26" s="7" t="str">
        <f t="shared" si="3"/>
        <v>text</v>
      </c>
      <c r="H26" s="58"/>
      <c r="I26" s="23"/>
      <c r="J26" s="24" t="s">
        <v>1064</v>
      </c>
      <c r="N26" s="76"/>
      <c r="O26" s="76"/>
      <c r="P26" s="76" t="str">
        <f t="shared" si="4"/>
        <v>,konnyuin_ymd</v>
      </c>
      <c r="Q26" s="76" t="str">
        <f t="shared" si="0"/>
        <v>TEXT</v>
      </c>
      <c r="R26" s="76" t="str">
        <f t="shared" si="1"/>
        <v/>
      </c>
      <c r="S26" s="76" t="str">
        <f t="shared" si="5"/>
        <v/>
      </c>
      <c r="T26" s="76" t="str">
        <f t="shared" si="6"/>
        <v xml:space="preserve">-- 今回入院年月日 </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milscm_2023_010.azn_202310_backup_merge_receiptd_bu.konnyuin_ymd IS '今回入院年月日 ';</v>
      </c>
    </row>
    <row r="27" spans="1:52" s="25" customFormat="1" ht="75">
      <c r="B27" s="21">
        <f t="shared" si="2"/>
        <v>15</v>
      </c>
      <c r="C27" s="13" t="s">
        <v>1210</v>
      </c>
      <c r="D27" s="13" t="s">
        <v>1211</v>
      </c>
      <c r="E27" s="7"/>
      <c r="F27" s="7" t="s">
        <v>863</v>
      </c>
      <c r="G27" s="7" t="str">
        <f t="shared" si="3"/>
        <v>text</v>
      </c>
      <c r="H27" s="58"/>
      <c r="I27" s="23"/>
      <c r="J27" s="24" t="s">
        <v>1064</v>
      </c>
      <c r="N27" s="76"/>
      <c r="O27" s="76"/>
      <c r="P27" s="76" t="str">
        <f t="shared" si="4"/>
        <v>,kontaiin_ymd</v>
      </c>
      <c r="Q27" s="76" t="str">
        <f t="shared" si="0"/>
        <v>TEXT</v>
      </c>
      <c r="R27" s="76" t="str">
        <f t="shared" si="1"/>
        <v/>
      </c>
      <c r="S27" s="76" t="str">
        <f t="shared" si="5"/>
        <v/>
      </c>
      <c r="T27" s="76" t="str">
        <f t="shared" si="6"/>
        <v>-- 今回退院年月日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milscm_2023_010.azn_202310_backup_merge_receiptd_bu.kontaiin_ymd IS '今回退院年月日';</v>
      </c>
    </row>
    <row r="28" spans="1:52" s="25" customFormat="1">
      <c r="B28" s="21">
        <f t="shared" si="2"/>
        <v>16</v>
      </c>
      <c r="C28" s="13" t="s">
        <v>1212</v>
      </c>
      <c r="D28" s="13" t="s">
        <v>1213</v>
      </c>
      <c r="E28" s="7"/>
      <c r="F28" s="7" t="s">
        <v>863</v>
      </c>
      <c r="G28" s="7" t="str">
        <f t="shared" si="3"/>
        <v>text</v>
      </c>
      <c r="H28" s="58"/>
      <c r="I28" s="23"/>
      <c r="J28" s="24"/>
      <c r="N28" s="76"/>
      <c r="O28" s="76"/>
      <c r="P28" s="76" t="str">
        <f t="shared" si="4"/>
        <v>,dpc_tenki_code</v>
      </c>
      <c r="Q28" s="76" t="str">
        <f t="shared" si="0"/>
        <v>TEXT</v>
      </c>
      <c r="R28" s="76" t="str">
        <f t="shared" si="1"/>
        <v/>
      </c>
      <c r="S28" s="76" t="str">
        <f t="shared" si="5"/>
        <v/>
      </c>
      <c r="T28" s="76" t="str">
        <f t="shared" si="6"/>
        <v>-- DPC転帰区分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milscm_2023_010.azn_202310_backup_merge_receiptd_bu.dpc_tenki_code IS 'DPC転帰区分';</v>
      </c>
    </row>
    <row r="29" spans="1:52" s="25" customFormat="1" ht="19.5" thickBot="1">
      <c r="A29" s="4"/>
      <c r="B29" s="27">
        <f>ROW()-12</f>
        <v>17</v>
      </c>
      <c r="C29" s="57" t="s">
        <v>1214</v>
      </c>
      <c r="D29" s="57" t="s">
        <v>1215</v>
      </c>
      <c r="E29" s="56"/>
      <c r="F29" s="56" t="s">
        <v>863</v>
      </c>
      <c r="G29" s="56" t="str">
        <f t="shared" si="3"/>
        <v>text</v>
      </c>
      <c r="H29" s="59"/>
      <c r="I29" s="60"/>
      <c r="J29" s="63"/>
      <c r="N29" s="76"/>
      <c r="O29" s="76"/>
      <c r="P29" s="76" t="str">
        <f t="shared" si="4"/>
        <v>,death_cause</v>
      </c>
      <c r="Q29" s="76" t="str">
        <f t="shared" si="0"/>
        <v>TEXT</v>
      </c>
      <c r="R29" s="76" t="str">
        <f t="shared" si="1"/>
        <v/>
      </c>
      <c r="S29" s="76" t="str">
        <f t="shared" si="5"/>
        <v/>
      </c>
      <c r="T29" s="76" t="str">
        <f t="shared" si="6"/>
        <v>-- 死因</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milscm_2023_010.azn_202310_backup_merge_receiptd_bu.death_cause IS '死因';</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ENT_01_C3-09</v>
      </c>
      <c r="E6" s="272"/>
      <c r="F6" s="272"/>
      <c r="G6" s="272"/>
      <c r="H6" s="272"/>
      <c r="I6" s="272"/>
      <c r="J6" s="273"/>
    </row>
    <row r="7" spans="1:45">
      <c r="B7" s="261" t="s">
        <v>115</v>
      </c>
      <c r="C7" s="262"/>
      <c r="D7" s="263" t="s">
        <v>1220</v>
      </c>
      <c r="E7" s="264"/>
      <c r="F7" s="264"/>
      <c r="G7" s="264"/>
      <c r="H7" s="264"/>
      <c r="I7" s="264"/>
      <c r="J7" s="265"/>
    </row>
    <row r="8" spans="1:45">
      <c r="B8" s="261" t="s">
        <v>116</v>
      </c>
      <c r="C8" s="262"/>
      <c r="D8" s="263" t="str">
        <f>エンティティ一覧!AE2&amp;"_"&amp;D5&amp;"_merge_receiptd_sb"</f>
        <v>azn_202310_backup_merge_receiptd_sb</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DPCレセプト_傷病レコードテーブルから組入れ条件の第一条件で絞り込んだ結果を格納するテーブル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milscm_2023_010.azn_202310_backup_merge_receiptd_sb;</v>
      </c>
      <c r="O10" s="76"/>
      <c r="P10" s="76"/>
      <c r="Q10" s="76"/>
      <c r="R10" s="76"/>
      <c r="S10" s="76"/>
      <c r="T10" s="76"/>
      <c r="AJ10" s="76" t="str">
        <f>"ALTER TABLE ONLY "&amp;エンティティ一覧!$O$2&amp;"."&amp;D$8</f>
        <v>ALTER TABLE ONLY milscm_2023_010.azn_202310_backup_merge_receiptd_sb</v>
      </c>
      <c r="AS10" s="76" t="str">
        <f>"ALTER TABLE "&amp;エンティティ一覧!$O$2&amp;"."&amp;D$8&amp;" OWNER TO pgmisgrp1;"</f>
        <v>ALTER TABLE milscm_2023_010.azn_202310_backup_merge_receiptd_sb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milscm_2023_010.azn_202310_backup_merge_receiptd_sb</v>
      </c>
      <c r="O11" s="76"/>
      <c r="P11" s="76"/>
      <c r="Q11" s="76"/>
      <c r="R11" s="76"/>
      <c r="S11" s="76"/>
      <c r="T11" s="76"/>
      <c r="AJ11" s="76" t="str">
        <f>"ADD CONSTRAINT "&amp;D$8&amp;"_pkey PRIMARY KEY"</f>
        <v>ADD CONSTRAINT azn_202310_backup_merge_receiptd_sb_pkey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milscm_2023_010.azn_202310_backup_merge_receiptd_sb IS 'バックアップ_DPCレセプト_傷病レコード';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50" si="0">UPPER(G13)</f>
        <v>TEXT</v>
      </c>
      <c r="R13" s="76" t="str">
        <f t="shared" ref="R13:R5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milscm_2023_010.azn_202310_backup_merge_receiptd_sb.torikomi_ym IS '取込年月';</v>
      </c>
    </row>
    <row r="14" spans="1:45" s="25" customFormat="1">
      <c r="A14" s="4"/>
      <c r="B14" s="21">
        <f t="shared" ref="B14:B49" si="2">ROW()-12</f>
        <v>2</v>
      </c>
      <c r="C14" s="6" t="s">
        <v>201</v>
      </c>
      <c r="D14" s="6" t="s">
        <v>202</v>
      </c>
      <c r="E14" s="8"/>
      <c r="F14" s="7" t="s">
        <v>203</v>
      </c>
      <c r="G14" s="7" t="str">
        <f t="shared" ref="G14:G50" si="3">IF(F14="フラグ","boolean",IF(F14="文字列","text",IF(F14="整数","integer",IF(F14="実数","numeric",""))))</f>
        <v>integer</v>
      </c>
      <c r="H14" s="26"/>
      <c r="I14" s="10"/>
      <c r="J14" s="11" t="s">
        <v>256</v>
      </c>
      <c r="M14" s="4"/>
      <c r="N14" s="76"/>
      <c r="O14" s="76"/>
      <c r="P14" s="76" t="str">
        <f t="shared" ref="P14:P5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milscm_2023_010.azn_202310_backup_merge_receiptd_sb.mil_karute_id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1198</v>
      </c>
      <c r="M15" s="4"/>
      <c r="N15" s="76"/>
      <c r="O15" s="76"/>
      <c r="P15" s="76" t="str">
        <f t="shared" si="4"/>
        <v>,facility_id</v>
      </c>
      <c r="Q15" s="76" t="str">
        <f t="shared" si="0"/>
        <v>TEXT</v>
      </c>
      <c r="R15" s="76" t="str">
        <f t="shared" si="1"/>
        <v/>
      </c>
      <c r="S15" s="76" t="str">
        <f t="shared" ref="S15:S50" si="5">IF(I15="○","NOT NULL","")</f>
        <v>NOT NULL</v>
      </c>
      <c r="T15" s="76" t="str">
        <f t="shared" ref="T15:T50"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milscm_2023_010.azn_202310_backup_merge_receiptd_sb.facility_id IS '施設ID';</v>
      </c>
    </row>
    <row r="16" spans="1:45" s="25" customFormat="1">
      <c r="A16" s="4"/>
      <c r="B16" s="21">
        <f t="shared" si="2"/>
        <v>4</v>
      </c>
      <c r="C16" s="13" t="s">
        <v>902</v>
      </c>
      <c r="D16" s="13" t="s">
        <v>903</v>
      </c>
      <c r="E16" s="7" t="s">
        <v>127</v>
      </c>
      <c r="F16" s="7" t="s">
        <v>863</v>
      </c>
      <c r="G16" s="7" t="str">
        <f t="shared" si="3"/>
        <v>text</v>
      </c>
      <c r="H16" s="58"/>
      <c r="I16" s="23" t="s">
        <v>127</v>
      </c>
      <c r="J16" s="24" t="s">
        <v>1053</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milscm_2023_010.azn_202310_backup_merge_receiptd_sb.seikyu_ym IS '請求年月';</v>
      </c>
    </row>
    <row r="17" spans="1:45" s="25" customFormat="1">
      <c r="A17" s="4"/>
      <c r="B17" s="21">
        <f t="shared" si="2"/>
        <v>5</v>
      </c>
      <c r="C17" s="13" t="s">
        <v>864</v>
      </c>
      <c r="D17" s="13" t="s">
        <v>205</v>
      </c>
      <c r="E17" s="7" t="s">
        <v>127</v>
      </c>
      <c r="F17" s="7" t="s">
        <v>863</v>
      </c>
      <c r="G17" s="7" t="str">
        <f t="shared" si="3"/>
        <v>text</v>
      </c>
      <c r="H17" s="58"/>
      <c r="I17" s="23" t="s">
        <v>127</v>
      </c>
      <c r="J17" s="24" t="s">
        <v>1112</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milscm_2023_010.azn_202310_backup_merge_receiptd_sb.shinryo_ym IS '診療年月';</v>
      </c>
    </row>
    <row r="18" spans="1:45" s="25" customFormat="1">
      <c r="A18" s="4"/>
      <c r="B18" s="21">
        <f t="shared" si="2"/>
        <v>6</v>
      </c>
      <c r="C18" s="13" t="s">
        <v>318</v>
      </c>
      <c r="D18" s="13" t="s">
        <v>207</v>
      </c>
      <c r="E18" s="7"/>
      <c r="F18" s="7" t="s">
        <v>863</v>
      </c>
      <c r="G18" s="7" t="str">
        <f t="shared" si="3"/>
        <v>text</v>
      </c>
      <c r="H18" s="58" t="s">
        <v>930</v>
      </c>
      <c r="I18" s="23" t="s">
        <v>127</v>
      </c>
      <c r="J18" s="24" t="s">
        <v>931</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milscm_2023_010.azn_202310_backup_merge_receiptd_sb.data_type IS 'データ種別';</v>
      </c>
    </row>
    <row r="19" spans="1:45" s="25" customFormat="1">
      <c r="A19" s="4"/>
      <c r="B19" s="21">
        <f t="shared" si="2"/>
        <v>7</v>
      </c>
      <c r="C19" s="13" t="s">
        <v>904</v>
      </c>
      <c r="D19" s="13" t="s">
        <v>905</v>
      </c>
      <c r="E19" s="7" t="s">
        <v>127</v>
      </c>
      <c r="F19" s="7" t="s">
        <v>863</v>
      </c>
      <c r="G19" s="7" t="str">
        <f t="shared" si="3"/>
        <v>text</v>
      </c>
      <c r="H19" s="58"/>
      <c r="I19" s="23" t="s">
        <v>127</v>
      </c>
      <c r="J19" s="24" t="s">
        <v>1055</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milscm_2023_010.azn_202310_backup_merge_receiptd_sb.shinsa_kikan IS '審査支払機関';</v>
      </c>
    </row>
    <row r="20" spans="1:45" s="25" customFormat="1">
      <c r="A20" s="4"/>
      <c r="B20" s="21">
        <f t="shared" si="2"/>
        <v>8</v>
      </c>
      <c r="C20" s="13" t="s">
        <v>906</v>
      </c>
      <c r="D20" s="13" t="s">
        <v>907</v>
      </c>
      <c r="E20" s="7"/>
      <c r="F20" s="7" t="s">
        <v>863</v>
      </c>
      <c r="G20" s="7" t="str">
        <f t="shared" si="3"/>
        <v>text</v>
      </c>
      <c r="H20" s="58" t="s">
        <v>1223</v>
      </c>
      <c r="I20" s="23" t="s">
        <v>127</v>
      </c>
      <c r="J20" s="24" t="s">
        <v>1224</v>
      </c>
      <c r="M20" s="4"/>
      <c r="N20" s="76"/>
      <c r="O20" s="76"/>
      <c r="P20" s="76" t="str">
        <f t="shared" si="4"/>
        <v>,record_shikibetsu</v>
      </c>
      <c r="Q20" s="76" t="str">
        <f t="shared" si="0"/>
        <v>TEXT</v>
      </c>
      <c r="R20" s="76" t="str">
        <f t="shared" si="1"/>
        <v>default 'SB'</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milscm_2023_010.azn_202310_backup_merge_receiptd_sb.record_shikibetsu IS 'レコード識別情報';</v>
      </c>
    </row>
    <row r="21" spans="1:45" s="25" customFormat="1">
      <c r="A21" s="4"/>
      <c r="B21" s="21">
        <f t="shared" si="2"/>
        <v>9</v>
      </c>
      <c r="C21" s="13" t="s">
        <v>908</v>
      </c>
      <c r="D21" s="13" t="s">
        <v>909</v>
      </c>
      <c r="E21" s="7" t="s">
        <v>127</v>
      </c>
      <c r="F21" s="7" t="s">
        <v>203</v>
      </c>
      <c r="G21" s="7" t="str">
        <f t="shared" si="3"/>
        <v>integer</v>
      </c>
      <c r="H21" s="58"/>
      <c r="I21" s="23" t="s">
        <v>127</v>
      </c>
      <c r="J21" s="24" t="s">
        <v>1058</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milscm_2023_010.azn_202310_backup_merge_receiptd_sb.receipt_no IS 'レセプト番号';</v>
      </c>
    </row>
    <row r="22" spans="1:45" s="25" customFormat="1">
      <c r="A22" s="4"/>
      <c r="B22" s="21">
        <f t="shared" si="2"/>
        <v>10</v>
      </c>
      <c r="C22" s="13" t="s">
        <v>910</v>
      </c>
      <c r="D22" s="13" t="s">
        <v>911</v>
      </c>
      <c r="E22" s="7" t="s">
        <v>127</v>
      </c>
      <c r="F22" s="7" t="s">
        <v>203</v>
      </c>
      <c r="G22" s="7" t="str">
        <f t="shared" si="3"/>
        <v>integer</v>
      </c>
      <c r="H22" s="58"/>
      <c r="I22" s="23" t="s">
        <v>127</v>
      </c>
      <c r="J22" s="24" t="s">
        <v>1203</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milscm_2023_010.azn_202310_backup_merge_receiptd_sb.gyo_no IS '行番号';</v>
      </c>
    </row>
    <row r="23" spans="1:45" s="25" customFormat="1">
      <c r="A23" s="4"/>
      <c r="B23" s="21">
        <f t="shared" si="2"/>
        <v>11</v>
      </c>
      <c r="C23" s="13" t="s">
        <v>912</v>
      </c>
      <c r="D23" s="13" t="s">
        <v>913</v>
      </c>
      <c r="E23" s="7"/>
      <c r="F23" s="7" t="s">
        <v>863</v>
      </c>
      <c r="G23" s="7" t="str">
        <f t="shared" si="3"/>
        <v>text</v>
      </c>
      <c r="H23" s="58"/>
      <c r="I23" s="23"/>
      <c r="J23" s="24" t="s">
        <v>1060</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milscm_2023_010.azn_202310_backup_merge_receiptd_sb.karute_no IS 'カルテ番号等';</v>
      </c>
    </row>
    <row r="24" spans="1:45" s="25" customFormat="1">
      <c r="A24" s="4"/>
      <c r="B24" s="21">
        <f t="shared" si="2"/>
        <v>12</v>
      </c>
      <c r="C24" s="13" t="s">
        <v>1196</v>
      </c>
      <c r="D24" s="13" t="s">
        <v>1197</v>
      </c>
      <c r="E24" s="7"/>
      <c r="F24" s="7" t="s">
        <v>863</v>
      </c>
      <c r="G24" s="7" t="str">
        <f t="shared" si="3"/>
        <v>text</v>
      </c>
      <c r="H24" s="58"/>
      <c r="I24" s="23"/>
      <c r="J24" s="24" t="s">
        <v>1218</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milscm_2023_010.azn_202310_backup_merge_receiptd_sb.receipt_sokatsu_kubun IS 'レセプト総括区分';</v>
      </c>
    </row>
    <row r="25" spans="1:45" s="25" customFormat="1">
      <c r="A25" s="4"/>
      <c r="B25" s="21">
        <f t="shared" si="2"/>
        <v>13</v>
      </c>
      <c r="C25" s="13" t="s">
        <v>663</v>
      </c>
      <c r="D25" s="13" t="s">
        <v>870</v>
      </c>
      <c r="E25" s="7"/>
      <c r="F25" s="7" t="s">
        <v>863</v>
      </c>
      <c r="G25" s="7" t="str">
        <f t="shared" si="3"/>
        <v>text</v>
      </c>
      <c r="H25" s="58"/>
      <c r="I25" s="23"/>
      <c r="J25" s="24"/>
      <c r="M25" s="4"/>
      <c r="N25" s="76"/>
      <c r="O25" s="76"/>
      <c r="P25" s="76" t="str">
        <f t="shared" si="4"/>
        <v>,shobyo_code</v>
      </c>
      <c r="Q25" s="76" t="str">
        <f t="shared" si="0"/>
        <v>TEXT</v>
      </c>
      <c r="R25" s="76" t="str">
        <f t="shared" si="1"/>
        <v/>
      </c>
      <c r="S25" s="76" t="str">
        <f t="shared" si="5"/>
        <v/>
      </c>
      <c r="T25" s="76" t="str">
        <f t="shared" si="6"/>
        <v>-- 傷病名コード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milscm_2023_010.azn_202310_backup_merge_receiptd_sb.shobyo_code IS '傷病名コード';</v>
      </c>
    </row>
    <row r="26" spans="1:45" s="25" customFormat="1">
      <c r="A26" s="4"/>
      <c r="B26" s="21">
        <f t="shared" si="2"/>
        <v>14</v>
      </c>
      <c r="C26" s="13" t="s">
        <v>665</v>
      </c>
      <c r="D26" s="13" t="s">
        <v>871</v>
      </c>
      <c r="E26" s="7"/>
      <c r="F26" s="7" t="s">
        <v>863</v>
      </c>
      <c r="G26" s="7" t="str">
        <f t="shared" si="3"/>
        <v>text</v>
      </c>
      <c r="H26" s="58"/>
      <c r="I26" s="23"/>
      <c r="J26" s="24" t="s">
        <v>1116</v>
      </c>
      <c r="M26" s="4"/>
      <c r="N26" s="76"/>
      <c r="O26" s="76"/>
      <c r="P26" s="76" t="str">
        <f t="shared" si="4"/>
        <v>,shushoku_code1</v>
      </c>
      <c r="Q26" s="76" t="str">
        <f t="shared" si="0"/>
        <v>TEXT</v>
      </c>
      <c r="R26" s="76" t="str">
        <f t="shared" si="1"/>
        <v/>
      </c>
      <c r="S26" s="76" t="str">
        <f t="shared" si="5"/>
        <v/>
      </c>
      <c r="T26" s="76" t="str">
        <f t="shared" si="6"/>
        <v>-- 修飾語コード1</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milscm_2023_010.azn_202310_backup_merge_receiptd_sb.shushoku_code1 IS '修飾語コード1';</v>
      </c>
    </row>
    <row r="27" spans="1:45" s="25" customFormat="1">
      <c r="A27" s="4"/>
      <c r="B27" s="21">
        <f t="shared" si="2"/>
        <v>15</v>
      </c>
      <c r="C27" s="13" t="s">
        <v>667</v>
      </c>
      <c r="D27" s="13" t="s">
        <v>872</v>
      </c>
      <c r="E27" s="7"/>
      <c r="F27" s="7" t="s">
        <v>863</v>
      </c>
      <c r="G27" s="7" t="str">
        <f t="shared" si="3"/>
        <v>text</v>
      </c>
      <c r="H27" s="58"/>
      <c r="I27" s="23"/>
      <c r="J27" s="24"/>
      <c r="M27" s="4"/>
      <c r="N27" s="76"/>
      <c r="O27" s="76"/>
      <c r="P27" s="76" t="str">
        <f t="shared" si="4"/>
        <v>,shushoku_code2</v>
      </c>
      <c r="Q27" s="76" t="str">
        <f t="shared" si="0"/>
        <v>TEXT</v>
      </c>
      <c r="R27" s="76" t="str">
        <f t="shared" si="1"/>
        <v/>
      </c>
      <c r="S27" s="76" t="str">
        <f t="shared" si="5"/>
        <v/>
      </c>
      <c r="T27" s="76" t="str">
        <f t="shared" si="6"/>
        <v>-- 修飾語コード2</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milscm_2023_010.azn_202310_backup_merge_receiptd_sb.shushoku_code2 IS '修飾語コード2';</v>
      </c>
    </row>
    <row r="28" spans="1:45" s="25" customFormat="1">
      <c r="A28" s="4"/>
      <c r="B28" s="21">
        <f t="shared" si="2"/>
        <v>16</v>
      </c>
      <c r="C28" s="13" t="s">
        <v>669</v>
      </c>
      <c r="D28" s="13" t="s">
        <v>873</v>
      </c>
      <c r="E28" s="7"/>
      <c r="F28" s="7" t="s">
        <v>863</v>
      </c>
      <c r="G28" s="7" t="str">
        <f t="shared" si="3"/>
        <v>text</v>
      </c>
      <c r="H28" s="58"/>
      <c r="I28" s="23"/>
      <c r="J28" s="24"/>
      <c r="M28" s="4"/>
      <c r="N28" s="76"/>
      <c r="O28" s="76"/>
      <c r="P28" s="76" t="str">
        <f t="shared" si="4"/>
        <v>,shushoku_code3</v>
      </c>
      <c r="Q28" s="76" t="str">
        <f t="shared" si="0"/>
        <v>TEXT</v>
      </c>
      <c r="R28" s="76" t="str">
        <f t="shared" si="1"/>
        <v/>
      </c>
      <c r="S28" s="76" t="str">
        <f t="shared" si="5"/>
        <v/>
      </c>
      <c r="T28" s="76" t="str">
        <f t="shared" si="6"/>
        <v>-- 修飾語コード3</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milscm_2023_010.azn_202310_backup_merge_receiptd_sb.shushoku_code3 IS '修飾語コード3';</v>
      </c>
    </row>
    <row r="29" spans="1:45" s="25" customFormat="1">
      <c r="A29" s="4"/>
      <c r="B29" s="21">
        <f t="shared" si="2"/>
        <v>17</v>
      </c>
      <c r="C29" s="13" t="s">
        <v>671</v>
      </c>
      <c r="D29" s="13" t="s">
        <v>874</v>
      </c>
      <c r="E29" s="7"/>
      <c r="F29" s="7" t="s">
        <v>863</v>
      </c>
      <c r="G29" s="7" t="str">
        <f t="shared" si="3"/>
        <v>text</v>
      </c>
      <c r="H29" s="58"/>
      <c r="I29" s="23"/>
      <c r="J29" s="24"/>
      <c r="M29" s="4"/>
      <c r="N29" s="76"/>
      <c r="O29" s="76"/>
      <c r="P29" s="76" t="str">
        <f t="shared" si="4"/>
        <v>,shushoku_code4</v>
      </c>
      <c r="Q29" s="76" t="str">
        <f t="shared" si="0"/>
        <v>TEXT</v>
      </c>
      <c r="R29" s="76" t="str">
        <f t="shared" si="1"/>
        <v/>
      </c>
      <c r="S29" s="76" t="str">
        <f t="shared" si="5"/>
        <v/>
      </c>
      <c r="T29" s="76" t="str">
        <f t="shared" si="6"/>
        <v>-- 修飾語コード4</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milscm_2023_010.azn_202310_backup_merge_receiptd_sb.shushoku_code4 IS '修飾語コード4';</v>
      </c>
    </row>
    <row r="30" spans="1:45" s="25" customFormat="1">
      <c r="A30" s="4"/>
      <c r="B30" s="21">
        <f t="shared" si="2"/>
        <v>18</v>
      </c>
      <c r="C30" s="13" t="s">
        <v>1074</v>
      </c>
      <c r="D30" s="13" t="s">
        <v>1075</v>
      </c>
      <c r="E30" s="7"/>
      <c r="F30" s="7" t="s">
        <v>863</v>
      </c>
      <c r="G30" s="7" t="str">
        <f t="shared" si="3"/>
        <v>text</v>
      </c>
      <c r="H30" s="58"/>
      <c r="I30" s="23"/>
      <c r="J30" s="24"/>
      <c r="M30" s="4"/>
      <c r="N30" s="76"/>
      <c r="O30" s="76"/>
      <c r="P30" s="76" t="str">
        <f t="shared" si="4"/>
        <v>,shushoku_code5</v>
      </c>
      <c r="Q30" s="76" t="str">
        <f t="shared" si="0"/>
        <v>TEXT</v>
      </c>
      <c r="R30" s="76" t="str">
        <f t="shared" si="1"/>
        <v/>
      </c>
      <c r="S30" s="76" t="str">
        <f t="shared" si="5"/>
        <v/>
      </c>
      <c r="T30" s="76" t="str">
        <f t="shared" si="6"/>
        <v>-- 修飾語コード5</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milscm_2023_010.azn_202310_backup_merge_receiptd_sb.shushoku_code5 IS '修飾語コード5';</v>
      </c>
    </row>
    <row r="31" spans="1:45" s="25" customFormat="1">
      <c r="A31" s="4"/>
      <c r="B31" s="21">
        <f t="shared" si="2"/>
        <v>19</v>
      </c>
      <c r="C31" s="13" t="s">
        <v>1076</v>
      </c>
      <c r="D31" s="13" t="s">
        <v>1077</v>
      </c>
      <c r="E31" s="7"/>
      <c r="F31" s="7" t="s">
        <v>863</v>
      </c>
      <c r="G31" s="7" t="str">
        <f t="shared" si="3"/>
        <v>text</v>
      </c>
      <c r="H31" s="58"/>
      <c r="I31" s="23"/>
      <c r="J31" s="24"/>
      <c r="M31" s="4"/>
      <c r="N31" s="76"/>
      <c r="O31" s="76"/>
      <c r="P31" s="76" t="str">
        <f t="shared" si="4"/>
        <v>,shushoku_code6</v>
      </c>
      <c r="Q31" s="76" t="str">
        <f t="shared" si="0"/>
        <v>TEXT</v>
      </c>
      <c r="R31" s="76" t="str">
        <f t="shared" si="1"/>
        <v/>
      </c>
      <c r="S31" s="76" t="str">
        <f t="shared" si="5"/>
        <v/>
      </c>
      <c r="T31" s="76" t="str">
        <f t="shared" si="6"/>
        <v>-- 修飾語コード6</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milscm_2023_010.azn_202310_backup_merge_receiptd_sb.shushoku_code6 IS '修飾語コード6';</v>
      </c>
    </row>
    <row r="32" spans="1:45" s="25" customFormat="1">
      <c r="A32" s="4"/>
      <c r="B32" s="21">
        <f t="shared" si="2"/>
        <v>20</v>
      </c>
      <c r="C32" s="13" t="s">
        <v>1078</v>
      </c>
      <c r="D32" s="13" t="s">
        <v>1079</v>
      </c>
      <c r="E32" s="7"/>
      <c r="F32" s="7" t="s">
        <v>863</v>
      </c>
      <c r="G32" s="7" t="str">
        <f t="shared" si="3"/>
        <v>text</v>
      </c>
      <c r="H32" s="58"/>
      <c r="I32" s="23"/>
      <c r="J32" s="24"/>
      <c r="M32" s="4"/>
      <c r="N32" s="76"/>
      <c r="O32" s="76"/>
      <c r="P32" s="76" t="str">
        <f t="shared" si="4"/>
        <v>,shushoku_code7</v>
      </c>
      <c r="Q32" s="76" t="str">
        <f t="shared" si="0"/>
        <v>TEXT</v>
      </c>
      <c r="R32" s="76" t="str">
        <f t="shared" si="1"/>
        <v/>
      </c>
      <c r="S32" s="76" t="str">
        <f t="shared" si="5"/>
        <v/>
      </c>
      <c r="T32" s="76" t="str">
        <f t="shared" si="6"/>
        <v>-- 修飾語コード7</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milscm_2023_010.azn_202310_backup_merge_receiptd_sb.shushoku_code7 IS '修飾語コード7';</v>
      </c>
    </row>
    <row r="33" spans="1:45" s="25" customFormat="1">
      <c r="A33" s="4"/>
      <c r="B33" s="21">
        <f t="shared" si="2"/>
        <v>21</v>
      </c>
      <c r="C33" s="13" t="s">
        <v>1080</v>
      </c>
      <c r="D33" s="13" t="s">
        <v>1081</v>
      </c>
      <c r="E33" s="7"/>
      <c r="F33" s="7" t="s">
        <v>863</v>
      </c>
      <c r="G33" s="7" t="str">
        <f t="shared" si="3"/>
        <v>text</v>
      </c>
      <c r="H33" s="58"/>
      <c r="I33" s="23"/>
      <c r="J33" s="24"/>
      <c r="M33" s="4"/>
      <c r="N33" s="76"/>
      <c r="O33" s="76"/>
      <c r="P33" s="76" t="str">
        <f t="shared" si="4"/>
        <v>,shushoku_code8</v>
      </c>
      <c r="Q33" s="76" t="str">
        <f t="shared" si="0"/>
        <v>TEXT</v>
      </c>
      <c r="R33" s="76" t="str">
        <f t="shared" si="1"/>
        <v/>
      </c>
      <c r="S33" s="76" t="str">
        <f t="shared" si="5"/>
        <v/>
      </c>
      <c r="T33" s="76" t="str">
        <f t="shared" si="6"/>
        <v>-- 修飾語コード8</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milscm_2023_010.azn_202310_backup_merge_receiptd_sb.shushoku_code8 IS '修飾語コード8';</v>
      </c>
    </row>
    <row r="34" spans="1:45" s="25" customFormat="1">
      <c r="A34" s="4"/>
      <c r="B34" s="21">
        <f t="shared" si="2"/>
        <v>22</v>
      </c>
      <c r="C34" s="13" t="s">
        <v>1082</v>
      </c>
      <c r="D34" s="13" t="s">
        <v>1083</v>
      </c>
      <c r="E34" s="7"/>
      <c r="F34" s="7" t="s">
        <v>863</v>
      </c>
      <c r="G34" s="7" t="str">
        <f t="shared" si="3"/>
        <v>text</v>
      </c>
      <c r="H34" s="58"/>
      <c r="I34" s="23"/>
      <c r="J34" s="24"/>
      <c r="M34" s="4"/>
      <c r="N34" s="76"/>
      <c r="O34" s="76"/>
      <c r="P34" s="76" t="str">
        <f t="shared" si="4"/>
        <v>,shushoku_code9</v>
      </c>
      <c r="Q34" s="76" t="str">
        <f t="shared" si="0"/>
        <v>TEXT</v>
      </c>
      <c r="R34" s="76" t="str">
        <f t="shared" si="1"/>
        <v/>
      </c>
      <c r="S34" s="76" t="str">
        <f t="shared" si="5"/>
        <v/>
      </c>
      <c r="T34" s="76" t="str">
        <f t="shared" si="6"/>
        <v>-- 修飾語コード9</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milscm_2023_010.azn_202310_backup_merge_receiptd_sb.shushoku_code9 IS '修飾語コード9';</v>
      </c>
    </row>
    <row r="35" spans="1:45" s="25" customFormat="1">
      <c r="A35" s="4"/>
      <c r="B35" s="21">
        <f t="shared" si="2"/>
        <v>23</v>
      </c>
      <c r="C35" s="13" t="s">
        <v>1084</v>
      </c>
      <c r="D35" s="13" t="s">
        <v>1085</v>
      </c>
      <c r="E35" s="7"/>
      <c r="F35" s="7" t="s">
        <v>863</v>
      </c>
      <c r="G35" s="7" t="str">
        <f t="shared" si="3"/>
        <v>text</v>
      </c>
      <c r="H35" s="58"/>
      <c r="I35" s="23"/>
      <c r="J35" s="24"/>
      <c r="M35" s="4"/>
      <c r="N35" s="76"/>
      <c r="O35" s="76"/>
      <c r="P35" s="76" t="str">
        <f t="shared" si="4"/>
        <v>,shushoku_code10</v>
      </c>
      <c r="Q35" s="76" t="str">
        <f t="shared" si="0"/>
        <v>TEXT</v>
      </c>
      <c r="R35" s="76" t="str">
        <f t="shared" si="1"/>
        <v/>
      </c>
      <c r="S35" s="76" t="str">
        <f t="shared" si="5"/>
        <v/>
      </c>
      <c r="T35" s="76" t="str">
        <f t="shared" si="6"/>
        <v>-- 修飾語コード10</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milscm_2023_010.azn_202310_backup_merge_receiptd_sb.shushoku_code10 IS '修飾語コード10';</v>
      </c>
    </row>
    <row r="36" spans="1:45" s="25" customFormat="1">
      <c r="A36" s="4"/>
      <c r="B36" s="21">
        <f t="shared" si="2"/>
        <v>24</v>
      </c>
      <c r="C36" s="13" t="s">
        <v>1086</v>
      </c>
      <c r="D36" s="13" t="s">
        <v>1087</v>
      </c>
      <c r="E36" s="7"/>
      <c r="F36" s="7" t="s">
        <v>863</v>
      </c>
      <c r="G36" s="7" t="str">
        <f t="shared" si="3"/>
        <v>text</v>
      </c>
      <c r="H36" s="58"/>
      <c r="I36" s="23"/>
      <c r="J36" s="24"/>
      <c r="M36" s="4"/>
      <c r="N36" s="76"/>
      <c r="O36" s="76"/>
      <c r="P36" s="76" t="str">
        <f t="shared" si="4"/>
        <v>,shushoku_code11</v>
      </c>
      <c r="Q36" s="76" t="str">
        <f t="shared" si="0"/>
        <v>TEXT</v>
      </c>
      <c r="R36" s="76" t="str">
        <f t="shared" si="1"/>
        <v/>
      </c>
      <c r="S36" s="76" t="str">
        <f t="shared" si="5"/>
        <v/>
      </c>
      <c r="T36" s="76" t="str">
        <f t="shared" si="6"/>
        <v>-- 修飾語コード11</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milscm_2023_010.azn_202310_backup_merge_receiptd_sb.shushoku_code11 IS '修飾語コード11';</v>
      </c>
    </row>
    <row r="37" spans="1:45" s="25" customFormat="1">
      <c r="A37" s="4"/>
      <c r="B37" s="21">
        <f t="shared" si="2"/>
        <v>25</v>
      </c>
      <c r="C37" s="13" t="s">
        <v>1088</v>
      </c>
      <c r="D37" s="13" t="s">
        <v>1089</v>
      </c>
      <c r="E37" s="7"/>
      <c r="F37" s="7" t="s">
        <v>863</v>
      </c>
      <c r="G37" s="7" t="str">
        <f t="shared" si="3"/>
        <v>text</v>
      </c>
      <c r="H37" s="58"/>
      <c r="I37" s="23"/>
      <c r="J37" s="24"/>
      <c r="M37" s="4"/>
      <c r="N37" s="76"/>
      <c r="O37" s="76"/>
      <c r="P37" s="76" t="str">
        <f t="shared" si="4"/>
        <v>,shushoku_code12</v>
      </c>
      <c r="Q37" s="76" t="str">
        <f t="shared" si="0"/>
        <v>TEXT</v>
      </c>
      <c r="R37" s="76" t="str">
        <f t="shared" si="1"/>
        <v/>
      </c>
      <c r="S37" s="76" t="str">
        <f t="shared" si="5"/>
        <v/>
      </c>
      <c r="T37" s="76" t="str">
        <f t="shared" si="6"/>
        <v>-- 修飾語コード12</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milscm_2023_010.azn_202310_backup_merge_receiptd_sb.shushoku_code12 IS '修飾語コード12';</v>
      </c>
    </row>
    <row r="38" spans="1:45" s="25" customFormat="1">
      <c r="A38" s="4"/>
      <c r="B38" s="21">
        <f t="shared" si="2"/>
        <v>26</v>
      </c>
      <c r="C38" s="13" t="s">
        <v>1090</v>
      </c>
      <c r="D38" s="13" t="s">
        <v>1091</v>
      </c>
      <c r="E38" s="7"/>
      <c r="F38" s="7" t="s">
        <v>863</v>
      </c>
      <c r="G38" s="7" t="str">
        <f t="shared" si="3"/>
        <v>text</v>
      </c>
      <c r="H38" s="58"/>
      <c r="I38" s="23"/>
      <c r="J38" s="24"/>
      <c r="M38" s="4"/>
      <c r="N38" s="76"/>
      <c r="O38" s="76"/>
      <c r="P38" s="76" t="str">
        <f t="shared" si="4"/>
        <v>,shushoku_code13</v>
      </c>
      <c r="Q38" s="76" t="str">
        <f t="shared" si="0"/>
        <v>TEXT</v>
      </c>
      <c r="R38" s="76" t="str">
        <f t="shared" si="1"/>
        <v/>
      </c>
      <c r="S38" s="76" t="str">
        <f t="shared" si="5"/>
        <v/>
      </c>
      <c r="T38" s="76" t="str">
        <f t="shared" si="6"/>
        <v>-- 修飾語コード13</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milscm_2023_010.azn_202310_backup_merge_receiptd_sb.shushoku_code13 IS '修飾語コード13';</v>
      </c>
    </row>
    <row r="39" spans="1:45" s="25" customFormat="1">
      <c r="A39" s="4"/>
      <c r="B39" s="21">
        <f t="shared" si="2"/>
        <v>27</v>
      </c>
      <c r="C39" s="13" t="s">
        <v>1092</v>
      </c>
      <c r="D39" s="13" t="s">
        <v>1093</v>
      </c>
      <c r="E39" s="7"/>
      <c r="F39" s="7" t="s">
        <v>863</v>
      </c>
      <c r="G39" s="7" t="str">
        <f t="shared" si="3"/>
        <v>text</v>
      </c>
      <c r="H39" s="58"/>
      <c r="I39" s="23"/>
      <c r="J39" s="24"/>
      <c r="M39" s="4"/>
      <c r="N39" s="76"/>
      <c r="O39" s="76"/>
      <c r="P39" s="76" t="str">
        <f t="shared" si="4"/>
        <v>,shushoku_code14</v>
      </c>
      <c r="Q39" s="76" t="str">
        <f t="shared" si="0"/>
        <v>TEXT</v>
      </c>
      <c r="R39" s="76" t="str">
        <f t="shared" si="1"/>
        <v/>
      </c>
      <c r="S39" s="76" t="str">
        <f t="shared" si="5"/>
        <v/>
      </c>
      <c r="T39" s="76" t="str">
        <f t="shared" si="6"/>
        <v>-- 修飾語コード14</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milscm_2023_010.azn_202310_backup_merge_receiptd_sb.shushoku_code14 IS '修飾語コード14';</v>
      </c>
    </row>
    <row r="40" spans="1:45" s="25" customFormat="1">
      <c r="A40" s="4"/>
      <c r="B40" s="21">
        <f t="shared" si="2"/>
        <v>28</v>
      </c>
      <c r="C40" s="13" t="s">
        <v>1094</v>
      </c>
      <c r="D40" s="13" t="s">
        <v>1095</v>
      </c>
      <c r="E40" s="7"/>
      <c r="F40" s="7" t="s">
        <v>863</v>
      </c>
      <c r="G40" s="7" t="str">
        <f t="shared" si="3"/>
        <v>text</v>
      </c>
      <c r="H40" s="58"/>
      <c r="I40" s="23"/>
      <c r="J40" s="24"/>
      <c r="M40" s="4"/>
      <c r="N40" s="76"/>
      <c r="O40" s="76"/>
      <c r="P40" s="76" t="str">
        <f t="shared" si="4"/>
        <v>,shushoku_code15</v>
      </c>
      <c r="Q40" s="76" t="str">
        <f t="shared" si="0"/>
        <v>TEXT</v>
      </c>
      <c r="R40" s="76" t="str">
        <f t="shared" si="1"/>
        <v/>
      </c>
      <c r="S40" s="76" t="str">
        <f t="shared" si="5"/>
        <v/>
      </c>
      <c r="T40" s="76" t="str">
        <f t="shared" si="6"/>
        <v>-- 修飾語コード15</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milscm_2023_010.azn_202310_backup_merge_receiptd_sb.shushoku_code15 IS '修飾語コード15';</v>
      </c>
    </row>
    <row r="41" spans="1:45" s="25" customFormat="1">
      <c r="A41" s="4"/>
      <c r="B41" s="21">
        <f t="shared" si="2"/>
        <v>29</v>
      </c>
      <c r="C41" s="13" t="s">
        <v>1096</v>
      </c>
      <c r="D41" s="13" t="s">
        <v>1097</v>
      </c>
      <c r="E41" s="7"/>
      <c r="F41" s="7" t="s">
        <v>863</v>
      </c>
      <c r="G41" s="7" t="str">
        <f t="shared" si="3"/>
        <v>text</v>
      </c>
      <c r="H41" s="58"/>
      <c r="I41" s="23"/>
      <c r="J41" s="24"/>
      <c r="M41" s="4"/>
      <c r="N41" s="76"/>
      <c r="O41" s="76"/>
      <c r="P41" s="76" t="str">
        <f t="shared" si="4"/>
        <v>,shushoku_code16</v>
      </c>
      <c r="Q41" s="76" t="str">
        <f t="shared" si="0"/>
        <v>TEXT</v>
      </c>
      <c r="R41" s="76" t="str">
        <f t="shared" si="1"/>
        <v/>
      </c>
      <c r="S41" s="76" t="str">
        <f t="shared" si="5"/>
        <v/>
      </c>
      <c r="T41" s="76" t="str">
        <f t="shared" si="6"/>
        <v>-- 修飾語コード16</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milscm_2023_010.azn_202310_backup_merge_receiptd_sb.shushoku_code16 IS '修飾語コード16';</v>
      </c>
    </row>
    <row r="42" spans="1:45" s="25" customFormat="1">
      <c r="A42" s="4"/>
      <c r="B42" s="21">
        <f t="shared" si="2"/>
        <v>30</v>
      </c>
      <c r="C42" s="13" t="s">
        <v>1098</v>
      </c>
      <c r="D42" s="13" t="s">
        <v>1099</v>
      </c>
      <c r="E42" s="7"/>
      <c r="F42" s="7" t="s">
        <v>863</v>
      </c>
      <c r="G42" s="7" t="str">
        <f t="shared" si="3"/>
        <v>text</v>
      </c>
      <c r="H42" s="58"/>
      <c r="I42" s="23"/>
      <c r="J42" s="24"/>
      <c r="M42" s="4"/>
      <c r="N42" s="76"/>
      <c r="O42" s="76"/>
      <c r="P42" s="76" t="str">
        <f t="shared" si="4"/>
        <v>,shushoku_code17</v>
      </c>
      <c r="Q42" s="76" t="str">
        <f t="shared" si="0"/>
        <v>TEXT</v>
      </c>
      <c r="R42" s="76" t="str">
        <f t="shared" si="1"/>
        <v/>
      </c>
      <c r="S42" s="76" t="str">
        <f t="shared" si="5"/>
        <v/>
      </c>
      <c r="T42" s="76" t="str">
        <f t="shared" si="6"/>
        <v>-- 修飾語コード17</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milscm_2023_010.azn_202310_backup_merge_receiptd_sb.shushoku_code17 IS '修飾語コード17';</v>
      </c>
    </row>
    <row r="43" spans="1:45" s="25" customFormat="1">
      <c r="A43" s="4"/>
      <c r="B43" s="21">
        <f t="shared" si="2"/>
        <v>31</v>
      </c>
      <c r="C43" s="13" t="s">
        <v>1100</v>
      </c>
      <c r="D43" s="13" t="s">
        <v>1101</v>
      </c>
      <c r="E43" s="7"/>
      <c r="F43" s="7" t="s">
        <v>863</v>
      </c>
      <c r="G43" s="7" t="str">
        <f t="shared" si="3"/>
        <v>text</v>
      </c>
      <c r="H43" s="58"/>
      <c r="I43" s="23"/>
      <c r="J43" s="24"/>
      <c r="M43" s="4"/>
      <c r="N43" s="76"/>
      <c r="O43" s="76"/>
      <c r="P43" s="76" t="str">
        <f t="shared" si="4"/>
        <v>,shushoku_code18</v>
      </c>
      <c r="Q43" s="76" t="str">
        <f t="shared" si="0"/>
        <v>TEXT</v>
      </c>
      <c r="R43" s="76" t="str">
        <f t="shared" si="1"/>
        <v/>
      </c>
      <c r="S43" s="76" t="str">
        <f t="shared" si="5"/>
        <v/>
      </c>
      <c r="T43" s="76" t="str">
        <f t="shared" si="6"/>
        <v>-- 修飾語コード18</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milscm_2023_010.azn_202310_backup_merge_receiptd_sb.shushoku_code18 IS '修飾語コード18';</v>
      </c>
    </row>
    <row r="44" spans="1:45" s="25" customFormat="1">
      <c r="A44" s="4"/>
      <c r="B44" s="21">
        <f t="shared" si="2"/>
        <v>32</v>
      </c>
      <c r="C44" s="13" t="s">
        <v>1102</v>
      </c>
      <c r="D44" s="13" t="s">
        <v>1103</v>
      </c>
      <c r="E44" s="7"/>
      <c r="F44" s="7" t="s">
        <v>863</v>
      </c>
      <c r="G44" s="7" t="str">
        <f t="shared" si="3"/>
        <v>text</v>
      </c>
      <c r="H44" s="58"/>
      <c r="I44" s="23"/>
      <c r="J44" s="24"/>
      <c r="M44" s="4"/>
      <c r="N44" s="76"/>
      <c r="O44" s="76"/>
      <c r="P44" s="76" t="str">
        <f t="shared" si="4"/>
        <v>,shushoku_code19</v>
      </c>
      <c r="Q44" s="76" t="str">
        <f t="shared" si="0"/>
        <v>TEXT</v>
      </c>
      <c r="R44" s="76" t="str">
        <f t="shared" si="1"/>
        <v/>
      </c>
      <c r="S44" s="76" t="str">
        <f t="shared" si="5"/>
        <v/>
      </c>
      <c r="T44" s="76" t="str">
        <f t="shared" si="6"/>
        <v>-- 修飾語コード19</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milscm_2023_010.azn_202310_backup_merge_receiptd_sb.shushoku_code19 IS '修飾語コード19';</v>
      </c>
    </row>
    <row r="45" spans="1:45" s="25" customFormat="1">
      <c r="A45" s="4"/>
      <c r="B45" s="21">
        <f t="shared" si="2"/>
        <v>33</v>
      </c>
      <c r="C45" s="13" t="s">
        <v>1104</v>
      </c>
      <c r="D45" s="13" t="s">
        <v>1105</v>
      </c>
      <c r="E45" s="7"/>
      <c r="F45" s="7" t="s">
        <v>863</v>
      </c>
      <c r="G45" s="7" t="str">
        <f t="shared" si="3"/>
        <v>text</v>
      </c>
      <c r="H45" s="58"/>
      <c r="I45" s="23"/>
      <c r="J45" s="24"/>
      <c r="M45" s="4"/>
      <c r="N45" s="76"/>
      <c r="O45" s="76"/>
      <c r="P45" s="76" t="str">
        <f t="shared" si="4"/>
        <v>,shushoku_code20</v>
      </c>
      <c r="Q45" s="76" t="str">
        <f t="shared" si="0"/>
        <v>TEXT</v>
      </c>
      <c r="R45" s="76" t="str">
        <f t="shared" si="1"/>
        <v/>
      </c>
      <c r="S45" s="76" t="str">
        <f t="shared" si="5"/>
        <v/>
      </c>
      <c r="T45" s="76" t="str">
        <f t="shared" si="6"/>
        <v>-- 修飾語コード20</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milscm_2023_010.azn_202310_backup_merge_receiptd_sb.shushoku_code20 IS '修飾語コード20';</v>
      </c>
    </row>
    <row r="46" spans="1:45" s="25" customFormat="1">
      <c r="A46" s="4"/>
      <c r="B46" s="21">
        <f t="shared" si="2"/>
        <v>34</v>
      </c>
      <c r="C46" s="13" t="s">
        <v>1106</v>
      </c>
      <c r="D46" s="13" t="s">
        <v>1107</v>
      </c>
      <c r="E46" s="7"/>
      <c r="F46" s="7" t="s">
        <v>863</v>
      </c>
      <c r="G46" s="7" t="str">
        <f t="shared" si="3"/>
        <v>text</v>
      </c>
      <c r="H46" s="58"/>
      <c r="I46" s="23"/>
      <c r="J46" s="24"/>
      <c r="M46" s="4"/>
      <c r="N46" s="76"/>
      <c r="O46" s="76"/>
      <c r="P46" s="76" t="str">
        <f t="shared" si="4"/>
        <v>,shobyo_name</v>
      </c>
      <c r="Q46" s="76" t="str">
        <f t="shared" si="0"/>
        <v>TEXT</v>
      </c>
      <c r="R46" s="76" t="str">
        <f t="shared" si="1"/>
        <v/>
      </c>
      <c r="S46" s="76" t="str">
        <f t="shared" si="5"/>
        <v/>
      </c>
      <c r="T46" s="76" t="str">
        <f t="shared" si="6"/>
        <v>-- 傷病名称</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milscm_2023_010.azn_202310_backup_merge_receiptd_sb.shobyo_name IS '傷病名称';</v>
      </c>
    </row>
    <row r="47" spans="1:45" s="25" customFormat="1">
      <c r="A47" s="4"/>
      <c r="B47" s="21">
        <f t="shared" si="2"/>
        <v>35</v>
      </c>
      <c r="C47" s="13" t="s">
        <v>661</v>
      </c>
      <c r="D47" s="13" t="s">
        <v>869</v>
      </c>
      <c r="E47" s="7"/>
      <c r="F47" s="7" t="s">
        <v>863</v>
      </c>
      <c r="G47" s="7" t="str">
        <f t="shared" si="3"/>
        <v>text</v>
      </c>
      <c r="H47" s="58"/>
      <c r="I47" s="23"/>
      <c r="J47" s="24"/>
      <c r="M47" s="4"/>
      <c r="N47" s="76"/>
      <c r="O47" s="76"/>
      <c r="P47" s="76" t="str">
        <f t="shared" si="4"/>
        <v>,icd10_code</v>
      </c>
      <c r="Q47" s="76" t="str">
        <f t="shared" si="0"/>
        <v>TEXT</v>
      </c>
      <c r="R47" s="76" t="str">
        <f t="shared" si="1"/>
        <v/>
      </c>
      <c r="S47" s="76" t="str">
        <f t="shared" si="5"/>
        <v/>
      </c>
      <c r="T47" s="76" t="str">
        <f t="shared" si="6"/>
        <v>-- ICD10コード</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milscm_2023_010.azn_202310_backup_merge_receiptd_sb.icd10_code IS 'ICD10コード';</v>
      </c>
    </row>
    <row r="48" spans="1:45" s="25" customFormat="1">
      <c r="A48" s="4"/>
      <c r="B48" s="21">
        <f t="shared" si="2"/>
        <v>36</v>
      </c>
      <c r="C48" s="13" t="s">
        <v>1221</v>
      </c>
      <c r="D48" s="13" t="s">
        <v>1222</v>
      </c>
      <c r="E48" s="7"/>
      <c r="F48" s="7" t="s">
        <v>863</v>
      </c>
      <c r="G48" s="7" t="str">
        <f t="shared" si="3"/>
        <v>text</v>
      </c>
      <c r="H48" s="58"/>
      <c r="I48" s="23"/>
      <c r="J48" s="24"/>
      <c r="M48" s="4"/>
      <c r="N48" s="76"/>
      <c r="O48" s="76"/>
      <c r="P48" s="76" t="str">
        <f t="shared" si="4"/>
        <v>,shobyo_kubun</v>
      </c>
      <c r="Q48" s="76" t="str">
        <f t="shared" si="0"/>
        <v>TEXT</v>
      </c>
      <c r="R48" s="76" t="str">
        <f t="shared" si="1"/>
        <v/>
      </c>
      <c r="S48" s="76" t="str">
        <f t="shared" si="5"/>
        <v/>
      </c>
      <c r="T48" s="76" t="str">
        <f t="shared" si="6"/>
        <v>-- 傷病名区分</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milscm_2023_010.azn_202310_backup_merge_receiptd_sb.shobyo_kubun IS '傷病名区分';</v>
      </c>
    </row>
    <row r="49" spans="1:52" s="25" customFormat="1">
      <c r="A49" s="4"/>
      <c r="B49" s="21">
        <f t="shared" si="2"/>
        <v>37</v>
      </c>
      <c r="C49" s="13" t="s">
        <v>1214</v>
      </c>
      <c r="D49" s="13" t="s">
        <v>1215</v>
      </c>
      <c r="E49" s="7"/>
      <c r="F49" s="7" t="s">
        <v>863</v>
      </c>
      <c r="G49" s="7" t="str">
        <f t="shared" si="3"/>
        <v>text</v>
      </c>
      <c r="H49" s="58"/>
      <c r="I49" s="23"/>
      <c r="J49" s="24"/>
      <c r="M49" s="4"/>
      <c r="N49" s="76"/>
      <c r="O49" s="76"/>
      <c r="P49" s="76" t="str">
        <f t="shared" si="4"/>
        <v>,death_cause</v>
      </c>
      <c r="Q49" s="76" t="str">
        <f t="shared" si="0"/>
        <v>TEXT</v>
      </c>
      <c r="R49" s="76" t="str">
        <f t="shared" si="1"/>
        <v/>
      </c>
      <c r="S49" s="76" t="str">
        <f t="shared" si="5"/>
        <v/>
      </c>
      <c r="T49" s="76" t="str">
        <f t="shared" si="6"/>
        <v>-- 死因</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milscm_2023_010.azn_202310_backup_merge_receiptd_sb.death_cause IS '死因';</v>
      </c>
    </row>
    <row r="50" spans="1:52" s="25" customFormat="1" ht="19.5" thickBot="1">
      <c r="A50" s="4"/>
      <c r="B50" s="27">
        <f>ROW()-12</f>
        <v>38</v>
      </c>
      <c r="C50" s="57" t="s">
        <v>1110</v>
      </c>
      <c r="D50" s="57" t="s">
        <v>1111</v>
      </c>
      <c r="E50" s="56"/>
      <c r="F50" s="56" t="s">
        <v>863</v>
      </c>
      <c r="G50" s="56" t="str">
        <f t="shared" si="3"/>
        <v>text</v>
      </c>
      <c r="H50" s="59"/>
      <c r="I50" s="60"/>
      <c r="J50" s="63"/>
      <c r="N50" s="76"/>
      <c r="O50" s="76"/>
      <c r="P50" s="76" t="str">
        <f t="shared" si="4"/>
        <v>,hosoku_comment</v>
      </c>
      <c r="Q50" s="76" t="str">
        <f t="shared" si="0"/>
        <v>TEXT</v>
      </c>
      <c r="R50" s="76" t="str">
        <f t="shared" si="1"/>
        <v/>
      </c>
      <c r="S50" s="76" t="str">
        <f t="shared" si="5"/>
        <v/>
      </c>
      <c r="T50" s="76" t="str">
        <f t="shared" si="6"/>
        <v>-- 補足コメント</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milscm_2023_010.azn_202310_backup_merge_receiptd_sb.hosoku_comment IS '補足コメント';</v>
      </c>
    </row>
    <row r="51" spans="1:52">
      <c r="L51" s="25"/>
      <c r="M51" s="25"/>
      <c r="N51" s="76" t="s">
        <v>142</v>
      </c>
      <c r="O51" s="76"/>
      <c r="P51" s="76"/>
      <c r="Q51" s="76"/>
      <c r="R51" s="76"/>
      <c r="S51" s="76"/>
      <c r="T51" s="76"/>
      <c r="V51" s="25"/>
      <c r="W51" s="25"/>
      <c r="X51" s="25"/>
      <c r="Y51" s="25"/>
      <c r="Z51" s="25"/>
      <c r="AJ51" s="76" t="s">
        <v>142</v>
      </c>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V56" s="25"/>
      <c r="W56" s="25"/>
      <c r="X56" s="25"/>
      <c r="Y56" s="25"/>
      <c r="Z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T65" s="25"/>
      <c r="AU65" s="25"/>
      <c r="AV65" s="25"/>
      <c r="AW65" s="25"/>
      <c r="AX65" s="25"/>
      <c r="AY65" s="25"/>
      <c r="AZ65" s="25"/>
    </row>
    <row r="66" spans="12:52">
      <c r="L66" s="25"/>
      <c r="M66" s="25"/>
      <c r="AV66" s="25"/>
      <c r="AW66" s="25"/>
      <c r="AX66" s="25"/>
      <c r="AY66" s="25"/>
      <c r="AZ66" s="25"/>
    </row>
    <row r="67" spans="12:52">
      <c r="M67" s="25"/>
    </row>
    <row r="68" spans="12:52">
      <c r="M68" s="25"/>
    </row>
    <row r="69" spans="12:52">
      <c r="M69" s="25"/>
    </row>
    <row r="70" spans="12:52">
      <c r="M70" s="25"/>
    </row>
    <row r="71" spans="12:52">
      <c r="M71" s="25"/>
    </row>
    <row r="72" spans="12:52">
      <c r="M7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ENT_01_C3-10</v>
      </c>
      <c r="E6" s="272"/>
      <c r="F6" s="272"/>
      <c r="G6" s="272"/>
      <c r="H6" s="272"/>
      <c r="I6" s="272"/>
      <c r="J6" s="273"/>
    </row>
    <row r="7" spans="1:45">
      <c r="B7" s="261" t="s">
        <v>115</v>
      </c>
      <c r="C7" s="262"/>
      <c r="D7" s="263" t="s">
        <v>1226</v>
      </c>
      <c r="E7" s="264"/>
      <c r="F7" s="264"/>
      <c r="G7" s="264"/>
      <c r="H7" s="264"/>
      <c r="I7" s="264"/>
      <c r="J7" s="265"/>
    </row>
    <row r="8" spans="1:45">
      <c r="B8" s="261" t="s">
        <v>116</v>
      </c>
      <c r="C8" s="262"/>
      <c r="D8" s="263" t="str">
        <f>エンティティ一覧!AE2&amp;"_"&amp;D5&amp;"_merge_receiptd_sy"</f>
        <v>azn_202310_backup_merge_receiptd_sy</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DPCレセプト_傷病名レコードテーブルから組入れ条件の第一条件で絞り込んだ結果を格納するテーブル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milscm_2023_010.azn_202310_backup_merge_receiptd_sy;</v>
      </c>
      <c r="O10" s="76"/>
      <c r="P10" s="76"/>
      <c r="Q10" s="76"/>
      <c r="R10" s="76"/>
      <c r="S10" s="76"/>
      <c r="T10" s="76"/>
      <c r="AJ10" s="76" t="str">
        <f>"ALTER TABLE ONLY "&amp;エンティティ一覧!$O$2&amp;"."&amp;D$8</f>
        <v>ALTER TABLE ONLY milscm_2023_010.azn_202310_backup_merge_receiptd_sy</v>
      </c>
      <c r="AS10" s="76" t="str">
        <f>"ALTER TABLE "&amp;エンティティ一覧!$O$2&amp;"."&amp;D$8&amp;" OWNER TO pgmisgrp1;"</f>
        <v>ALTER TABLE milscm_2023_010.azn_202310_backup_merge_receiptd_sy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milscm_2023_010.azn_202310_backup_merge_receiptd_sy</v>
      </c>
      <c r="O11" s="76"/>
      <c r="P11" s="76"/>
      <c r="Q11" s="76"/>
      <c r="R11" s="76"/>
      <c r="S11" s="76"/>
      <c r="T11" s="76"/>
      <c r="AJ11" s="76" t="str">
        <f>"ADD CONSTRAINT "&amp;D$8&amp;"_pkey PRIMARY KEY"</f>
        <v>ADD CONSTRAINT azn_202310_backup_merge_receiptd_sy_pkey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milscm_2023_010.azn_202310_backup_merge_receiptd_sy IS 'バックアップ_DPCレセプト_傷病名レコード';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50" si="0">UPPER(G13)</f>
        <v>TEXT</v>
      </c>
      <c r="R13" s="76" t="str">
        <f t="shared" ref="R13:R5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milscm_2023_010.azn_202310_backup_merge_receiptd_sy.torikomi_ym IS '取込年月';</v>
      </c>
    </row>
    <row r="14" spans="1:45" s="25" customFormat="1">
      <c r="A14" s="4"/>
      <c r="B14" s="21">
        <f t="shared" ref="B14:B49" si="2">ROW()-12</f>
        <v>2</v>
      </c>
      <c r="C14" s="6" t="s">
        <v>201</v>
      </c>
      <c r="D14" s="6" t="s">
        <v>202</v>
      </c>
      <c r="E14" s="8"/>
      <c r="F14" s="7" t="s">
        <v>203</v>
      </c>
      <c r="G14" s="7" t="str">
        <f t="shared" ref="G14:G50" si="3">IF(F14="フラグ","boolean",IF(F14="文字列","text",IF(F14="整数","integer",IF(F14="実数","numeric",""))))</f>
        <v>integer</v>
      </c>
      <c r="H14" s="26"/>
      <c r="I14" s="10"/>
      <c r="J14" s="11" t="s">
        <v>256</v>
      </c>
      <c r="M14" s="4"/>
      <c r="N14" s="76"/>
      <c r="O14" s="76"/>
      <c r="P14" s="76" t="str">
        <f t="shared" ref="P14:P5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milscm_2023_010.azn_202310_backup_merge_receiptd_sy.mil_karute_id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1198</v>
      </c>
      <c r="M15" s="4"/>
      <c r="N15" s="76"/>
      <c r="O15" s="76"/>
      <c r="P15" s="76" t="str">
        <f t="shared" si="4"/>
        <v>,facility_id</v>
      </c>
      <c r="Q15" s="76" t="str">
        <f t="shared" si="0"/>
        <v>TEXT</v>
      </c>
      <c r="R15" s="76" t="str">
        <f t="shared" si="1"/>
        <v/>
      </c>
      <c r="S15" s="76" t="str">
        <f t="shared" ref="S15:S50" si="5">IF(I15="○","NOT NULL","")</f>
        <v>NOT NULL</v>
      </c>
      <c r="T15" s="76" t="str">
        <f t="shared" ref="T15:T50"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milscm_2023_010.azn_202310_backup_merge_receiptd_sy.facility_id IS '施設ID';</v>
      </c>
    </row>
    <row r="16" spans="1:45" s="25" customFormat="1">
      <c r="A16" s="4"/>
      <c r="B16" s="21">
        <f t="shared" si="2"/>
        <v>4</v>
      </c>
      <c r="C16" s="13" t="s">
        <v>902</v>
      </c>
      <c r="D16" s="13" t="s">
        <v>903</v>
      </c>
      <c r="E16" s="7" t="s">
        <v>127</v>
      </c>
      <c r="F16" s="7" t="s">
        <v>863</v>
      </c>
      <c r="G16" s="7" t="str">
        <f t="shared" si="3"/>
        <v>text</v>
      </c>
      <c r="H16" s="58"/>
      <c r="I16" s="23" t="s">
        <v>127</v>
      </c>
      <c r="J16" s="24" t="s">
        <v>1053</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milscm_2023_010.azn_202310_backup_merge_receiptd_sy.seikyu_ym IS '請求年月';</v>
      </c>
    </row>
    <row r="17" spans="1:45" s="25" customFormat="1">
      <c r="A17" s="4"/>
      <c r="B17" s="21">
        <f t="shared" si="2"/>
        <v>5</v>
      </c>
      <c r="C17" s="13" t="s">
        <v>864</v>
      </c>
      <c r="D17" s="13" t="s">
        <v>205</v>
      </c>
      <c r="E17" s="7" t="s">
        <v>127</v>
      </c>
      <c r="F17" s="7" t="s">
        <v>863</v>
      </c>
      <c r="G17" s="7" t="str">
        <f t="shared" si="3"/>
        <v>text</v>
      </c>
      <c r="H17" s="58"/>
      <c r="I17" s="23" t="s">
        <v>127</v>
      </c>
      <c r="J17" s="24" t="s">
        <v>1112</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milscm_2023_010.azn_202310_backup_merge_receiptd_sy.shinryo_ym IS '診療年月';</v>
      </c>
    </row>
    <row r="18" spans="1:45" s="25" customFormat="1">
      <c r="A18" s="4"/>
      <c r="B18" s="21">
        <f t="shared" si="2"/>
        <v>6</v>
      </c>
      <c r="C18" s="13" t="s">
        <v>318</v>
      </c>
      <c r="D18" s="13" t="s">
        <v>207</v>
      </c>
      <c r="E18" s="7"/>
      <c r="F18" s="7" t="s">
        <v>863</v>
      </c>
      <c r="G18" s="7" t="str">
        <f t="shared" si="3"/>
        <v>text</v>
      </c>
      <c r="H18" s="58" t="s">
        <v>930</v>
      </c>
      <c r="I18" s="23" t="s">
        <v>127</v>
      </c>
      <c r="J18" s="24" t="s">
        <v>931</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milscm_2023_010.azn_202310_backup_merge_receiptd_sy.data_type IS 'データ種別';</v>
      </c>
    </row>
    <row r="19" spans="1:45" s="25" customFormat="1">
      <c r="A19" s="4"/>
      <c r="B19" s="21">
        <f t="shared" si="2"/>
        <v>7</v>
      </c>
      <c r="C19" s="13" t="s">
        <v>904</v>
      </c>
      <c r="D19" s="13" t="s">
        <v>905</v>
      </c>
      <c r="E19" s="7" t="s">
        <v>127</v>
      </c>
      <c r="F19" s="7" t="s">
        <v>863</v>
      </c>
      <c r="G19" s="7" t="str">
        <f t="shared" si="3"/>
        <v>text</v>
      </c>
      <c r="H19" s="58"/>
      <c r="I19" s="23" t="s">
        <v>127</v>
      </c>
      <c r="J19" s="24" t="s">
        <v>1055</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milscm_2023_010.azn_202310_backup_merge_receiptd_sy.shinsa_kikan IS '審査支払機関';</v>
      </c>
    </row>
    <row r="20" spans="1:45" s="25" customFormat="1">
      <c r="A20" s="4"/>
      <c r="B20" s="21">
        <f t="shared" si="2"/>
        <v>8</v>
      </c>
      <c r="C20" s="13" t="s">
        <v>906</v>
      </c>
      <c r="D20" s="13" t="s">
        <v>907</v>
      </c>
      <c r="E20" s="7"/>
      <c r="F20" s="7" t="s">
        <v>863</v>
      </c>
      <c r="G20" s="7" t="str">
        <f t="shared" si="3"/>
        <v>text</v>
      </c>
      <c r="H20" s="58" t="s">
        <v>1113</v>
      </c>
      <c r="I20" s="23" t="s">
        <v>127</v>
      </c>
      <c r="J20" s="24" t="s">
        <v>1114</v>
      </c>
      <c r="M20" s="4"/>
      <c r="N20" s="76"/>
      <c r="O20" s="76"/>
      <c r="P20" s="76" t="str">
        <f t="shared" si="4"/>
        <v>,record_shikibetsu</v>
      </c>
      <c r="Q20" s="76" t="str">
        <f t="shared" si="0"/>
        <v>TEXT</v>
      </c>
      <c r="R20" s="76" t="str">
        <f t="shared" si="1"/>
        <v>default 'SY'</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milscm_2023_010.azn_202310_backup_merge_receiptd_sy.record_shikibetsu IS 'レコード識別情報';</v>
      </c>
    </row>
    <row r="21" spans="1:45" s="25" customFormat="1">
      <c r="A21" s="4"/>
      <c r="B21" s="21">
        <f t="shared" si="2"/>
        <v>9</v>
      </c>
      <c r="C21" s="13" t="s">
        <v>908</v>
      </c>
      <c r="D21" s="13" t="s">
        <v>909</v>
      </c>
      <c r="E21" s="7" t="s">
        <v>127</v>
      </c>
      <c r="F21" s="7" t="s">
        <v>203</v>
      </c>
      <c r="G21" s="7" t="str">
        <f t="shared" si="3"/>
        <v>integer</v>
      </c>
      <c r="H21" s="58"/>
      <c r="I21" s="23" t="s">
        <v>127</v>
      </c>
      <c r="J21" s="24" t="s">
        <v>1058</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milscm_2023_010.azn_202310_backup_merge_receiptd_sy.receipt_no IS 'レセプト番号';</v>
      </c>
    </row>
    <row r="22" spans="1:45" s="25" customFormat="1">
      <c r="A22" s="4"/>
      <c r="B22" s="21">
        <f t="shared" si="2"/>
        <v>10</v>
      </c>
      <c r="C22" s="13" t="s">
        <v>910</v>
      </c>
      <c r="D22" s="13" t="s">
        <v>911</v>
      </c>
      <c r="E22" s="7" t="s">
        <v>127</v>
      </c>
      <c r="F22" s="7" t="s">
        <v>203</v>
      </c>
      <c r="G22" s="7" t="str">
        <f t="shared" si="3"/>
        <v>integer</v>
      </c>
      <c r="H22" s="58"/>
      <c r="I22" s="23" t="s">
        <v>127</v>
      </c>
      <c r="J22" s="24" t="s">
        <v>1203</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milscm_2023_010.azn_202310_backup_merge_receiptd_sy.gyo_no IS '行番号';</v>
      </c>
    </row>
    <row r="23" spans="1:45" s="25" customFormat="1">
      <c r="A23" s="4"/>
      <c r="B23" s="21">
        <f t="shared" si="2"/>
        <v>11</v>
      </c>
      <c r="C23" s="13" t="s">
        <v>912</v>
      </c>
      <c r="D23" s="13" t="s">
        <v>913</v>
      </c>
      <c r="E23" s="7"/>
      <c r="F23" s="7" t="s">
        <v>863</v>
      </c>
      <c r="G23" s="7" t="str">
        <f t="shared" si="3"/>
        <v>text</v>
      </c>
      <c r="H23" s="58"/>
      <c r="I23" s="23"/>
      <c r="J23" s="24" t="s">
        <v>1060</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milscm_2023_010.azn_202310_backup_merge_receiptd_sy.karute_no IS 'カルテ番号等';</v>
      </c>
    </row>
    <row r="24" spans="1:45" s="25" customFormat="1">
      <c r="A24" s="4"/>
      <c r="B24" s="21">
        <f t="shared" si="2"/>
        <v>12</v>
      </c>
      <c r="C24" s="13" t="s">
        <v>1196</v>
      </c>
      <c r="D24" s="13" t="s">
        <v>1197</v>
      </c>
      <c r="E24" s="7"/>
      <c r="F24" s="7" t="s">
        <v>863</v>
      </c>
      <c r="G24" s="7" t="str">
        <f t="shared" si="3"/>
        <v>text</v>
      </c>
      <c r="H24" s="58"/>
      <c r="I24" s="23"/>
      <c r="J24" s="24" t="s">
        <v>1218</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milscm_2023_010.azn_202310_backup_merge_receiptd_sy.receipt_sokatsu_kubun IS 'レセプト総括区分';</v>
      </c>
    </row>
    <row r="25" spans="1:45" s="25" customFormat="1">
      <c r="A25" s="4"/>
      <c r="B25" s="21">
        <f t="shared" si="2"/>
        <v>13</v>
      </c>
      <c r="C25" s="13" t="s">
        <v>663</v>
      </c>
      <c r="D25" s="13" t="s">
        <v>870</v>
      </c>
      <c r="E25" s="7"/>
      <c r="F25" s="7" t="s">
        <v>863</v>
      </c>
      <c r="G25" s="7" t="str">
        <f t="shared" si="3"/>
        <v>text</v>
      </c>
      <c r="H25" s="58"/>
      <c r="I25" s="23"/>
      <c r="J25" s="24"/>
      <c r="M25" s="4"/>
      <c r="N25" s="76"/>
      <c r="O25" s="76"/>
      <c r="P25" s="76" t="str">
        <f t="shared" si="4"/>
        <v>,shobyo_code</v>
      </c>
      <c r="Q25" s="76" t="str">
        <f t="shared" si="0"/>
        <v>TEXT</v>
      </c>
      <c r="R25" s="76" t="str">
        <f t="shared" si="1"/>
        <v/>
      </c>
      <c r="S25" s="76" t="str">
        <f t="shared" si="5"/>
        <v/>
      </c>
      <c r="T25" s="76" t="str">
        <f t="shared" si="6"/>
        <v>-- 傷病名コード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milscm_2023_010.azn_202310_backup_merge_receiptd_sy.shobyo_code IS '傷病名コード';</v>
      </c>
    </row>
    <row r="26" spans="1:45" s="25" customFormat="1" ht="75">
      <c r="A26" s="4"/>
      <c r="B26" s="21">
        <f t="shared" si="2"/>
        <v>14</v>
      </c>
      <c r="C26" s="13" t="s">
        <v>1070</v>
      </c>
      <c r="D26" s="13" t="s">
        <v>1071</v>
      </c>
      <c r="E26" s="7"/>
      <c r="F26" s="7" t="s">
        <v>863</v>
      </c>
      <c r="G26" s="7" t="str">
        <f t="shared" si="3"/>
        <v>text</v>
      </c>
      <c r="H26" s="58"/>
      <c r="I26" s="23"/>
      <c r="J26" s="24" t="s">
        <v>1064</v>
      </c>
      <c r="M26" s="4"/>
      <c r="N26" s="76"/>
      <c r="O26" s="76"/>
      <c r="P26" s="76" t="str">
        <f t="shared" si="4"/>
        <v>,shinryo_start_date</v>
      </c>
      <c r="Q26" s="76" t="str">
        <f t="shared" si="0"/>
        <v>TEXT</v>
      </c>
      <c r="R26" s="76" t="str">
        <f t="shared" si="1"/>
        <v/>
      </c>
      <c r="S26" s="76" t="str">
        <f t="shared" si="5"/>
        <v/>
      </c>
      <c r="T26" s="76" t="str">
        <f t="shared" si="6"/>
        <v>-- 診療開始日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milscm_2023_010.azn_202310_backup_merge_receiptd_sy.shinryo_start_date IS '診療開始日';</v>
      </c>
    </row>
    <row r="27" spans="1:45" s="25" customFormat="1">
      <c r="A27" s="4"/>
      <c r="B27" s="21">
        <f t="shared" si="2"/>
        <v>15</v>
      </c>
      <c r="C27" s="13" t="s">
        <v>1072</v>
      </c>
      <c r="D27" s="13" t="s">
        <v>1073</v>
      </c>
      <c r="E27" s="7"/>
      <c r="F27" s="7" t="s">
        <v>863</v>
      </c>
      <c r="G27" s="7" t="str">
        <f t="shared" si="3"/>
        <v>text</v>
      </c>
      <c r="H27" s="58"/>
      <c r="I27" s="23"/>
      <c r="J27" s="24"/>
      <c r="M27" s="4"/>
      <c r="N27" s="76"/>
      <c r="O27" s="76"/>
      <c r="P27" s="76" t="str">
        <f t="shared" si="4"/>
        <v>,tenki_kubun</v>
      </c>
      <c r="Q27" s="76" t="str">
        <f t="shared" si="0"/>
        <v>TEXT</v>
      </c>
      <c r="R27" s="76" t="str">
        <f t="shared" si="1"/>
        <v/>
      </c>
      <c r="S27" s="76" t="str">
        <f t="shared" si="5"/>
        <v/>
      </c>
      <c r="T27" s="76" t="str">
        <f t="shared" si="6"/>
        <v>-- 転帰区分</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milscm_2023_010.azn_202310_backup_merge_receiptd_sy.tenki_kubun IS '転帰区分';</v>
      </c>
    </row>
    <row r="28" spans="1:45" s="25" customFormat="1">
      <c r="A28" s="4"/>
      <c r="B28" s="21">
        <f t="shared" si="2"/>
        <v>16</v>
      </c>
      <c r="C28" s="13" t="s">
        <v>665</v>
      </c>
      <c r="D28" s="13" t="s">
        <v>871</v>
      </c>
      <c r="E28" s="7"/>
      <c r="F28" s="7" t="s">
        <v>863</v>
      </c>
      <c r="G28" s="7" t="str">
        <f t="shared" si="3"/>
        <v>text</v>
      </c>
      <c r="H28" s="58"/>
      <c r="I28" s="23"/>
      <c r="J28" s="24" t="s">
        <v>1116</v>
      </c>
      <c r="M28" s="4"/>
      <c r="N28" s="76"/>
      <c r="O28" s="76"/>
      <c r="P28" s="76" t="str">
        <f t="shared" si="4"/>
        <v>,shushoku_code1</v>
      </c>
      <c r="Q28" s="76" t="str">
        <f t="shared" si="0"/>
        <v>TEXT</v>
      </c>
      <c r="R28" s="76" t="str">
        <f t="shared" si="1"/>
        <v/>
      </c>
      <c r="S28" s="76" t="str">
        <f t="shared" si="5"/>
        <v/>
      </c>
      <c r="T28" s="76" t="str">
        <f t="shared" si="6"/>
        <v>-- 修飾語コード1</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milscm_2023_010.azn_202310_backup_merge_receiptd_sy.shushoku_code1 IS '修飾語コード1';</v>
      </c>
    </row>
    <row r="29" spans="1:45" s="25" customFormat="1">
      <c r="A29" s="4"/>
      <c r="B29" s="21">
        <f t="shared" si="2"/>
        <v>17</v>
      </c>
      <c r="C29" s="13" t="s">
        <v>667</v>
      </c>
      <c r="D29" s="13" t="s">
        <v>872</v>
      </c>
      <c r="E29" s="7"/>
      <c r="F29" s="7" t="s">
        <v>863</v>
      </c>
      <c r="G29" s="7" t="str">
        <f t="shared" si="3"/>
        <v>text</v>
      </c>
      <c r="H29" s="58"/>
      <c r="I29" s="23"/>
      <c r="J29" s="24"/>
      <c r="M29" s="4"/>
      <c r="N29" s="76"/>
      <c r="O29" s="76"/>
      <c r="P29" s="76" t="str">
        <f t="shared" si="4"/>
        <v>,shushoku_code2</v>
      </c>
      <c r="Q29" s="76" t="str">
        <f t="shared" si="0"/>
        <v>TEXT</v>
      </c>
      <c r="R29" s="76" t="str">
        <f t="shared" si="1"/>
        <v/>
      </c>
      <c r="S29" s="76" t="str">
        <f t="shared" si="5"/>
        <v/>
      </c>
      <c r="T29" s="76" t="str">
        <f t="shared" si="6"/>
        <v>-- 修飾語コード2</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milscm_2023_010.azn_202310_backup_merge_receiptd_sy.shushoku_code2 IS '修飾語コード2';</v>
      </c>
    </row>
    <row r="30" spans="1:45" s="25" customFormat="1">
      <c r="A30" s="4"/>
      <c r="B30" s="21">
        <f t="shared" si="2"/>
        <v>18</v>
      </c>
      <c r="C30" s="13" t="s">
        <v>669</v>
      </c>
      <c r="D30" s="13" t="s">
        <v>873</v>
      </c>
      <c r="E30" s="7"/>
      <c r="F30" s="7" t="s">
        <v>863</v>
      </c>
      <c r="G30" s="7" t="str">
        <f t="shared" si="3"/>
        <v>text</v>
      </c>
      <c r="H30" s="58"/>
      <c r="I30" s="23"/>
      <c r="J30" s="24"/>
      <c r="M30" s="4"/>
      <c r="N30" s="76"/>
      <c r="O30" s="76"/>
      <c r="P30" s="76" t="str">
        <f t="shared" si="4"/>
        <v>,shushoku_code3</v>
      </c>
      <c r="Q30" s="76" t="str">
        <f t="shared" si="0"/>
        <v>TEXT</v>
      </c>
      <c r="R30" s="76" t="str">
        <f t="shared" si="1"/>
        <v/>
      </c>
      <c r="S30" s="76" t="str">
        <f t="shared" si="5"/>
        <v/>
      </c>
      <c r="T30" s="76" t="str">
        <f t="shared" si="6"/>
        <v>-- 修飾語コード3</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milscm_2023_010.azn_202310_backup_merge_receiptd_sy.shushoku_code3 IS '修飾語コード3';</v>
      </c>
    </row>
    <row r="31" spans="1:45" s="25" customFormat="1">
      <c r="A31" s="4"/>
      <c r="B31" s="21">
        <f t="shared" si="2"/>
        <v>19</v>
      </c>
      <c r="C31" s="13" t="s">
        <v>671</v>
      </c>
      <c r="D31" s="13" t="s">
        <v>874</v>
      </c>
      <c r="E31" s="7"/>
      <c r="F31" s="7" t="s">
        <v>863</v>
      </c>
      <c r="G31" s="7" t="str">
        <f t="shared" si="3"/>
        <v>text</v>
      </c>
      <c r="H31" s="58"/>
      <c r="I31" s="23"/>
      <c r="J31" s="24"/>
      <c r="M31" s="4"/>
      <c r="N31" s="76"/>
      <c r="O31" s="76"/>
      <c r="P31" s="76" t="str">
        <f t="shared" si="4"/>
        <v>,shushoku_code4</v>
      </c>
      <c r="Q31" s="76" t="str">
        <f t="shared" si="0"/>
        <v>TEXT</v>
      </c>
      <c r="R31" s="76" t="str">
        <f t="shared" si="1"/>
        <v/>
      </c>
      <c r="S31" s="76" t="str">
        <f t="shared" si="5"/>
        <v/>
      </c>
      <c r="T31" s="76" t="str">
        <f t="shared" si="6"/>
        <v>-- 修飾語コード4</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milscm_2023_010.azn_202310_backup_merge_receiptd_sy.shushoku_code4 IS '修飾語コード4';</v>
      </c>
    </row>
    <row r="32" spans="1:45" s="25" customFormat="1">
      <c r="A32" s="4"/>
      <c r="B32" s="21">
        <f t="shared" si="2"/>
        <v>20</v>
      </c>
      <c r="C32" s="13" t="s">
        <v>1074</v>
      </c>
      <c r="D32" s="13" t="s">
        <v>1075</v>
      </c>
      <c r="E32" s="7"/>
      <c r="F32" s="7" t="s">
        <v>863</v>
      </c>
      <c r="G32" s="7" t="str">
        <f t="shared" si="3"/>
        <v>text</v>
      </c>
      <c r="H32" s="58"/>
      <c r="I32" s="23"/>
      <c r="J32" s="24"/>
      <c r="M32" s="4"/>
      <c r="N32" s="76"/>
      <c r="O32" s="76"/>
      <c r="P32" s="76" t="str">
        <f t="shared" si="4"/>
        <v>,shushoku_code5</v>
      </c>
      <c r="Q32" s="76" t="str">
        <f t="shared" si="0"/>
        <v>TEXT</v>
      </c>
      <c r="R32" s="76" t="str">
        <f t="shared" si="1"/>
        <v/>
      </c>
      <c r="S32" s="76" t="str">
        <f t="shared" si="5"/>
        <v/>
      </c>
      <c r="T32" s="76" t="str">
        <f t="shared" si="6"/>
        <v>-- 修飾語コード5</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milscm_2023_010.azn_202310_backup_merge_receiptd_sy.shushoku_code5 IS '修飾語コード5';</v>
      </c>
    </row>
    <row r="33" spans="1:45" s="25" customFormat="1">
      <c r="A33" s="4"/>
      <c r="B33" s="21">
        <f t="shared" si="2"/>
        <v>21</v>
      </c>
      <c r="C33" s="13" t="s">
        <v>1076</v>
      </c>
      <c r="D33" s="13" t="s">
        <v>1077</v>
      </c>
      <c r="E33" s="7"/>
      <c r="F33" s="7" t="s">
        <v>863</v>
      </c>
      <c r="G33" s="7" t="str">
        <f t="shared" si="3"/>
        <v>text</v>
      </c>
      <c r="H33" s="58"/>
      <c r="I33" s="23"/>
      <c r="J33" s="24"/>
      <c r="M33" s="4"/>
      <c r="N33" s="76"/>
      <c r="O33" s="76"/>
      <c r="P33" s="76" t="str">
        <f t="shared" si="4"/>
        <v>,shushoku_code6</v>
      </c>
      <c r="Q33" s="76" t="str">
        <f t="shared" si="0"/>
        <v>TEXT</v>
      </c>
      <c r="R33" s="76" t="str">
        <f t="shared" si="1"/>
        <v/>
      </c>
      <c r="S33" s="76" t="str">
        <f t="shared" si="5"/>
        <v/>
      </c>
      <c r="T33" s="76" t="str">
        <f t="shared" si="6"/>
        <v>-- 修飾語コード6</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milscm_2023_010.azn_202310_backup_merge_receiptd_sy.shushoku_code6 IS '修飾語コード6';</v>
      </c>
    </row>
    <row r="34" spans="1:45" s="25" customFormat="1">
      <c r="A34" s="4"/>
      <c r="B34" s="21">
        <f t="shared" si="2"/>
        <v>22</v>
      </c>
      <c r="C34" s="13" t="s">
        <v>1078</v>
      </c>
      <c r="D34" s="13" t="s">
        <v>1079</v>
      </c>
      <c r="E34" s="7"/>
      <c r="F34" s="7" t="s">
        <v>863</v>
      </c>
      <c r="G34" s="7" t="str">
        <f t="shared" si="3"/>
        <v>text</v>
      </c>
      <c r="H34" s="58"/>
      <c r="I34" s="23"/>
      <c r="J34" s="24"/>
      <c r="M34" s="4"/>
      <c r="N34" s="76"/>
      <c r="O34" s="76"/>
      <c r="P34" s="76" t="str">
        <f t="shared" si="4"/>
        <v>,shushoku_code7</v>
      </c>
      <c r="Q34" s="76" t="str">
        <f t="shared" si="0"/>
        <v>TEXT</v>
      </c>
      <c r="R34" s="76" t="str">
        <f t="shared" si="1"/>
        <v/>
      </c>
      <c r="S34" s="76" t="str">
        <f t="shared" si="5"/>
        <v/>
      </c>
      <c r="T34" s="76" t="str">
        <f t="shared" si="6"/>
        <v>-- 修飾語コード7</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milscm_2023_010.azn_202310_backup_merge_receiptd_sy.shushoku_code7 IS '修飾語コード7';</v>
      </c>
    </row>
    <row r="35" spans="1:45" s="25" customFormat="1">
      <c r="A35" s="4"/>
      <c r="B35" s="21">
        <f t="shared" si="2"/>
        <v>23</v>
      </c>
      <c r="C35" s="13" t="s">
        <v>1080</v>
      </c>
      <c r="D35" s="13" t="s">
        <v>1081</v>
      </c>
      <c r="E35" s="7"/>
      <c r="F35" s="7" t="s">
        <v>863</v>
      </c>
      <c r="G35" s="7" t="str">
        <f t="shared" si="3"/>
        <v>text</v>
      </c>
      <c r="H35" s="58"/>
      <c r="I35" s="23"/>
      <c r="J35" s="24"/>
      <c r="M35" s="4"/>
      <c r="N35" s="76"/>
      <c r="O35" s="76"/>
      <c r="P35" s="76" t="str">
        <f t="shared" si="4"/>
        <v>,shushoku_code8</v>
      </c>
      <c r="Q35" s="76" t="str">
        <f t="shared" si="0"/>
        <v>TEXT</v>
      </c>
      <c r="R35" s="76" t="str">
        <f t="shared" si="1"/>
        <v/>
      </c>
      <c r="S35" s="76" t="str">
        <f t="shared" si="5"/>
        <v/>
      </c>
      <c r="T35" s="76" t="str">
        <f t="shared" si="6"/>
        <v>-- 修飾語コード8</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milscm_2023_010.azn_202310_backup_merge_receiptd_sy.shushoku_code8 IS '修飾語コード8';</v>
      </c>
    </row>
    <row r="36" spans="1:45" s="25" customFormat="1">
      <c r="A36" s="4"/>
      <c r="B36" s="21">
        <f t="shared" si="2"/>
        <v>24</v>
      </c>
      <c r="C36" s="13" t="s">
        <v>1082</v>
      </c>
      <c r="D36" s="13" t="s">
        <v>1083</v>
      </c>
      <c r="E36" s="7"/>
      <c r="F36" s="7" t="s">
        <v>863</v>
      </c>
      <c r="G36" s="7" t="str">
        <f t="shared" si="3"/>
        <v>text</v>
      </c>
      <c r="H36" s="58"/>
      <c r="I36" s="23"/>
      <c r="J36" s="24"/>
      <c r="M36" s="4"/>
      <c r="N36" s="76"/>
      <c r="O36" s="76"/>
      <c r="P36" s="76" t="str">
        <f t="shared" si="4"/>
        <v>,shushoku_code9</v>
      </c>
      <c r="Q36" s="76" t="str">
        <f t="shared" si="0"/>
        <v>TEXT</v>
      </c>
      <c r="R36" s="76" t="str">
        <f t="shared" si="1"/>
        <v/>
      </c>
      <c r="S36" s="76" t="str">
        <f t="shared" si="5"/>
        <v/>
      </c>
      <c r="T36" s="76" t="str">
        <f t="shared" si="6"/>
        <v>-- 修飾語コード9</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milscm_2023_010.azn_202310_backup_merge_receiptd_sy.shushoku_code9 IS '修飾語コード9';</v>
      </c>
    </row>
    <row r="37" spans="1:45" s="25" customFormat="1">
      <c r="A37" s="4"/>
      <c r="B37" s="21">
        <f t="shared" si="2"/>
        <v>25</v>
      </c>
      <c r="C37" s="13" t="s">
        <v>1084</v>
      </c>
      <c r="D37" s="13" t="s">
        <v>1085</v>
      </c>
      <c r="E37" s="7"/>
      <c r="F37" s="7" t="s">
        <v>863</v>
      </c>
      <c r="G37" s="7" t="str">
        <f t="shared" si="3"/>
        <v>text</v>
      </c>
      <c r="H37" s="58"/>
      <c r="I37" s="23"/>
      <c r="J37" s="24"/>
      <c r="M37" s="4"/>
      <c r="N37" s="76"/>
      <c r="O37" s="76"/>
      <c r="P37" s="76" t="str">
        <f t="shared" si="4"/>
        <v>,shushoku_code10</v>
      </c>
      <c r="Q37" s="76" t="str">
        <f t="shared" si="0"/>
        <v>TEXT</v>
      </c>
      <c r="R37" s="76" t="str">
        <f t="shared" si="1"/>
        <v/>
      </c>
      <c r="S37" s="76" t="str">
        <f t="shared" si="5"/>
        <v/>
      </c>
      <c r="T37" s="76" t="str">
        <f t="shared" si="6"/>
        <v>-- 修飾語コード10</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milscm_2023_010.azn_202310_backup_merge_receiptd_sy.shushoku_code10 IS '修飾語コード10';</v>
      </c>
    </row>
    <row r="38" spans="1:45" s="25" customFormat="1">
      <c r="A38" s="4"/>
      <c r="B38" s="21">
        <f t="shared" si="2"/>
        <v>26</v>
      </c>
      <c r="C38" s="13" t="s">
        <v>1086</v>
      </c>
      <c r="D38" s="13" t="s">
        <v>1087</v>
      </c>
      <c r="E38" s="7"/>
      <c r="F38" s="7" t="s">
        <v>863</v>
      </c>
      <c r="G38" s="7" t="str">
        <f t="shared" si="3"/>
        <v>text</v>
      </c>
      <c r="H38" s="58"/>
      <c r="I38" s="23"/>
      <c r="J38" s="24"/>
      <c r="M38" s="4"/>
      <c r="N38" s="76"/>
      <c r="O38" s="76"/>
      <c r="P38" s="76" t="str">
        <f t="shared" si="4"/>
        <v>,shushoku_code11</v>
      </c>
      <c r="Q38" s="76" t="str">
        <f t="shared" si="0"/>
        <v>TEXT</v>
      </c>
      <c r="R38" s="76" t="str">
        <f t="shared" si="1"/>
        <v/>
      </c>
      <c r="S38" s="76" t="str">
        <f t="shared" si="5"/>
        <v/>
      </c>
      <c r="T38" s="76" t="str">
        <f t="shared" si="6"/>
        <v>-- 修飾語コード11</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milscm_2023_010.azn_202310_backup_merge_receiptd_sy.shushoku_code11 IS '修飾語コード11';</v>
      </c>
    </row>
    <row r="39" spans="1:45" s="25" customFormat="1">
      <c r="A39" s="4"/>
      <c r="B39" s="21">
        <f t="shared" si="2"/>
        <v>27</v>
      </c>
      <c r="C39" s="13" t="s">
        <v>1088</v>
      </c>
      <c r="D39" s="13" t="s">
        <v>1089</v>
      </c>
      <c r="E39" s="7"/>
      <c r="F39" s="7" t="s">
        <v>863</v>
      </c>
      <c r="G39" s="7" t="str">
        <f t="shared" si="3"/>
        <v>text</v>
      </c>
      <c r="H39" s="58"/>
      <c r="I39" s="23"/>
      <c r="J39" s="24"/>
      <c r="M39" s="4"/>
      <c r="N39" s="76"/>
      <c r="O39" s="76"/>
      <c r="P39" s="76" t="str">
        <f t="shared" si="4"/>
        <v>,shushoku_code12</v>
      </c>
      <c r="Q39" s="76" t="str">
        <f t="shared" si="0"/>
        <v>TEXT</v>
      </c>
      <c r="R39" s="76" t="str">
        <f t="shared" si="1"/>
        <v/>
      </c>
      <c r="S39" s="76" t="str">
        <f t="shared" si="5"/>
        <v/>
      </c>
      <c r="T39" s="76" t="str">
        <f t="shared" si="6"/>
        <v>-- 修飾語コード12</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milscm_2023_010.azn_202310_backup_merge_receiptd_sy.shushoku_code12 IS '修飾語コード12';</v>
      </c>
    </row>
    <row r="40" spans="1:45" s="25" customFormat="1">
      <c r="A40" s="4"/>
      <c r="B40" s="21">
        <f t="shared" si="2"/>
        <v>28</v>
      </c>
      <c r="C40" s="13" t="s">
        <v>1090</v>
      </c>
      <c r="D40" s="13" t="s">
        <v>1091</v>
      </c>
      <c r="E40" s="7"/>
      <c r="F40" s="7" t="s">
        <v>863</v>
      </c>
      <c r="G40" s="7" t="str">
        <f t="shared" si="3"/>
        <v>text</v>
      </c>
      <c r="H40" s="58"/>
      <c r="I40" s="23"/>
      <c r="J40" s="24"/>
      <c r="M40" s="4"/>
      <c r="N40" s="76"/>
      <c r="O40" s="76"/>
      <c r="P40" s="76" t="str">
        <f t="shared" si="4"/>
        <v>,shushoku_code13</v>
      </c>
      <c r="Q40" s="76" t="str">
        <f t="shared" si="0"/>
        <v>TEXT</v>
      </c>
      <c r="R40" s="76" t="str">
        <f t="shared" si="1"/>
        <v/>
      </c>
      <c r="S40" s="76" t="str">
        <f t="shared" si="5"/>
        <v/>
      </c>
      <c r="T40" s="76" t="str">
        <f t="shared" si="6"/>
        <v>-- 修飾語コード13</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milscm_2023_010.azn_202310_backup_merge_receiptd_sy.shushoku_code13 IS '修飾語コード13';</v>
      </c>
    </row>
    <row r="41" spans="1:45" s="25" customFormat="1">
      <c r="A41" s="4"/>
      <c r="B41" s="21">
        <f t="shared" si="2"/>
        <v>29</v>
      </c>
      <c r="C41" s="13" t="s">
        <v>1092</v>
      </c>
      <c r="D41" s="13" t="s">
        <v>1093</v>
      </c>
      <c r="E41" s="7"/>
      <c r="F41" s="7" t="s">
        <v>863</v>
      </c>
      <c r="G41" s="7" t="str">
        <f t="shared" si="3"/>
        <v>text</v>
      </c>
      <c r="H41" s="58"/>
      <c r="I41" s="23"/>
      <c r="J41" s="24"/>
      <c r="M41" s="4"/>
      <c r="N41" s="76"/>
      <c r="O41" s="76"/>
      <c r="P41" s="76" t="str">
        <f t="shared" si="4"/>
        <v>,shushoku_code14</v>
      </c>
      <c r="Q41" s="76" t="str">
        <f t="shared" si="0"/>
        <v>TEXT</v>
      </c>
      <c r="R41" s="76" t="str">
        <f t="shared" si="1"/>
        <v/>
      </c>
      <c r="S41" s="76" t="str">
        <f t="shared" si="5"/>
        <v/>
      </c>
      <c r="T41" s="76" t="str">
        <f t="shared" si="6"/>
        <v>-- 修飾語コード14</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milscm_2023_010.azn_202310_backup_merge_receiptd_sy.shushoku_code14 IS '修飾語コード14';</v>
      </c>
    </row>
    <row r="42" spans="1:45" s="25" customFormat="1">
      <c r="A42" s="4"/>
      <c r="B42" s="21">
        <f t="shared" si="2"/>
        <v>30</v>
      </c>
      <c r="C42" s="13" t="s">
        <v>1094</v>
      </c>
      <c r="D42" s="13" t="s">
        <v>1095</v>
      </c>
      <c r="E42" s="7"/>
      <c r="F42" s="7" t="s">
        <v>863</v>
      </c>
      <c r="G42" s="7" t="str">
        <f t="shared" si="3"/>
        <v>text</v>
      </c>
      <c r="H42" s="58"/>
      <c r="I42" s="23"/>
      <c r="J42" s="24"/>
      <c r="M42" s="4"/>
      <c r="N42" s="76"/>
      <c r="O42" s="76"/>
      <c r="P42" s="76" t="str">
        <f t="shared" si="4"/>
        <v>,shushoku_code15</v>
      </c>
      <c r="Q42" s="76" t="str">
        <f t="shared" si="0"/>
        <v>TEXT</v>
      </c>
      <c r="R42" s="76" t="str">
        <f t="shared" si="1"/>
        <v/>
      </c>
      <c r="S42" s="76" t="str">
        <f t="shared" si="5"/>
        <v/>
      </c>
      <c r="T42" s="76" t="str">
        <f t="shared" si="6"/>
        <v>-- 修飾語コード15</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milscm_2023_010.azn_202310_backup_merge_receiptd_sy.shushoku_code15 IS '修飾語コード15';</v>
      </c>
    </row>
    <row r="43" spans="1:45" s="25" customFormat="1">
      <c r="A43" s="4"/>
      <c r="B43" s="21">
        <f t="shared" si="2"/>
        <v>31</v>
      </c>
      <c r="C43" s="13" t="s">
        <v>1096</v>
      </c>
      <c r="D43" s="13" t="s">
        <v>1097</v>
      </c>
      <c r="E43" s="7"/>
      <c r="F43" s="7" t="s">
        <v>863</v>
      </c>
      <c r="G43" s="7" t="str">
        <f t="shared" si="3"/>
        <v>text</v>
      </c>
      <c r="H43" s="58"/>
      <c r="I43" s="23"/>
      <c r="J43" s="24"/>
      <c r="M43" s="4"/>
      <c r="N43" s="76"/>
      <c r="O43" s="76"/>
      <c r="P43" s="76" t="str">
        <f t="shared" si="4"/>
        <v>,shushoku_code16</v>
      </c>
      <c r="Q43" s="76" t="str">
        <f t="shared" si="0"/>
        <v>TEXT</v>
      </c>
      <c r="R43" s="76" t="str">
        <f t="shared" si="1"/>
        <v/>
      </c>
      <c r="S43" s="76" t="str">
        <f t="shared" si="5"/>
        <v/>
      </c>
      <c r="T43" s="76" t="str">
        <f t="shared" si="6"/>
        <v>-- 修飾語コード16</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milscm_2023_010.azn_202310_backup_merge_receiptd_sy.shushoku_code16 IS '修飾語コード16';</v>
      </c>
    </row>
    <row r="44" spans="1:45" s="25" customFormat="1">
      <c r="A44" s="4"/>
      <c r="B44" s="21">
        <f t="shared" si="2"/>
        <v>32</v>
      </c>
      <c r="C44" s="13" t="s">
        <v>1098</v>
      </c>
      <c r="D44" s="13" t="s">
        <v>1099</v>
      </c>
      <c r="E44" s="7"/>
      <c r="F44" s="7" t="s">
        <v>863</v>
      </c>
      <c r="G44" s="7" t="str">
        <f t="shared" si="3"/>
        <v>text</v>
      </c>
      <c r="H44" s="58"/>
      <c r="I44" s="23"/>
      <c r="J44" s="24"/>
      <c r="M44" s="4"/>
      <c r="N44" s="76"/>
      <c r="O44" s="76"/>
      <c r="P44" s="76" t="str">
        <f t="shared" si="4"/>
        <v>,shushoku_code17</v>
      </c>
      <c r="Q44" s="76" t="str">
        <f t="shared" si="0"/>
        <v>TEXT</v>
      </c>
      <c r="R44" s="76" t="str">
        <f t="shared" si="1"/>
        <v/>
      </c>
      <c r="S44" s="76" t="str">
        <f t="shared" si="5"/>
        <v/>
      </c>
      <c r="T44" s="76" t="str">
        <f t="shared" si="6"/>
        <v>-- 修飾語コード17</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milscm_2023_010.azn_202310_backup_merge_receiptd_sy.shushoku_code17 IS '修飾語コード17';</v>
      </c>
    </row>
    <row r="45" spans="1:45" s="25" customFormat="1">
      <c r="A45" s="4"/>
      <c r="B45" s="21">
        <f t="shared" si="2"/>
        <v>33</v>
      </c>
      <c r="C45" s="13" t="s">
        <v>1100</v>
      </c>
      <c r="D45" s="13" t="s">
        <v>1101</v>
      </c>
      <c r="E45" s="7"/>
      <c r="F45" s="7" t="s">
        <v>863</v>
      </c>
      <c r="G45" s="7" t="str">
        <f t="shared" si="3"/>
        <v>text</v>
      </c>
      <c r="H45" s="58"/>
      <c r="I45" s="23"/>
      <c r="J45" s="24"/>
      <c r="M45" s="4"/>
      <c r="N45" s="76"/>
      <c r="O45" s="76"/>
      <c r="P45" s="76" t="str">
        <f t="shared" si="4"/>
        <v>,shushoku_code18</v>
      </c>
      <c r="Q45" s="76" t="str">
        <f t="shared" si="0"/>
        <v>TEXT</v>
      </c>
      <c r="R45" s="76" t="str">
        <f t="shared" si="1"/>
        <v/>
      </c>
      <c r="S45" s="76" t="str">
        <f t="shared" si="5"/>
        <v/>
      </c>
      <c r="T45" s="76" t="str">
        <f t="shared" si="6"/>
        <v>-- 修飾語コード18</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milscm_2023_010.azn_202310_backup_merge_receiptd_sy.shushoku_code18 IS '修飾語コード18';</v>
      </c>
    </row>
    <row r="46" spans="1:45" s="25" customFormat="1">
      <c r="A46" s="4"/>
      <c r="B46" s="21">
        <f t="shared" si="2"/>
        <v>34</v>
      </c>
      <c r="C46" s="13" t="s">
        <v>1102</v>
      </c>
      <c r="D46" s="13" t="s">
        <v>1103</v>
      </c>
      <c r="E46" s="7"/>
      <c r="F46" s="7" t="s">
        <v>863</v>
      </c>
      <c r="G46" s="7" t="str">
        <f t="shared" si="3"/>
        <v>text</v>
      </c>
      <c r="H46" s="58"/>
      <c r="I46" s="23"/>
      <c r="J46" s="24"/>
      <c r="M46" s="4"/>
      <c r="N46" s="76"/>
      <c r="O46" s="76"/>
      <c r="P46" s="76" t="str">
        <f t="shared" si="4"/>
        <v>,shushoku_code19</v>
      </c>
      <c r="Q46" s="76" t="str">
        <f t="shared" si="0"/>
        <v>TEXT</v>
      </c>
      <c r="R46" s="76" t="str">
        <f t="shared" si="1"/>
        <v/>
      </c>
      <c r="S46" s="76" t="str">
        <f t="shared" si="5"/>
        <v/>
      </c>
      <c r="T46" s="76" t="str">
        <f t="shared" si="6"/>
        <v>-- 修飾語コード19</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milscm_2023_010.azn_202310_backup_merge_receiptd_sy.shushoku_code19 IS '修飾語コード19';</v>
      </c>
    </row>
    <row r="47" spans="1:45" s="25" customFormat="1">
      <c r="A47" s="4"/>
      <c r="B47" s="21">
        <f t="shared" si="2"/>
        <v>35</v>
      </c>
      <c r="C47" s="13" t="s">
        <v>1104</v>
      </c>
      <c r="D47" s="13" t="s">
        <v>1105</v>
      </c>
      <c r="E47" s="7"/>
      <c r="F47" s="7" t="s">
        <v>863</v>
      </c>
      <c r="G47" s="7" t="str">
        <f t="shared" si="3"/>
        <v>text</v>
      </c>
      <c r="H47" s="58"/>
      <c r="I47" s="23"/>
      <c r="J47" s="24"/>
      <c r="M47" s="4"/>
      <c r="N47" s="76"/>
      <c r="O47" s="76"/>
      <c r="P47" s="76" t="str">
        <f t="shared" si="4"/>
        <v>,shushoku_code20</v>
      </c>
      <c r="Q47" s="76" t="str">
        <f t="shared" si="0"/>
        <v>TEXT</v>
      </c>
      <c r="R47" s="76" t="str">
        <f t="shared" si="1"/>
        <v/>
      </c>
      <c r="S47" s="76" t="str">
        <f t="shared" si="5"/>
        <v/>
      </c>
      <c r="T47" s="76" t="str">
        <f t="shared" si="6"/>
        <v>-- 修飾語コード20</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milscm_2023_010.azn_202310_backup_merge_receiptd_sy.shushoku_code20 IS '修飾語コード20';</v>
      </c>
    </row>
    <row r="48" spans="1:45" s="25" customFormat="1">
      <c r="A48" s="4"/>
      <c r="B48" s="21">
        <f t="shared" si="2"/>
        <v>36</v>
      </c>
      <c r="C48" s="13" t="s">
        <v>1106</v>
      </c>
      <c r="D48" s="13" t="s">
        <v>1107</v>
      </c>
      <c r="E48" s="7"/>
      <c r="F48" s="7" t="s">
        <v>863</v>
      </c>
      <c r="G48" s="7" t="str">
        <f t="shared" si="3"/>
        <v>text</v>
      </c>
      <c r="H48" s="58"/>
      <c r="I48" s="23"/>
      <c r="J48" s="24"/>
      <c r="M48" s="4"/>
      <c r="N48" s="76"/>
      <c r="O48" s="76"/>
      <c r="P48" s="76" t="str">
        <f t="shared" si="4"/>
        <v>,shobyo_name</v>
      </c>
      <c r="Q48" s="76" t="str">
        <f t="shared" si="0"/>
        <v>TEXT</v>
      </c>
      <c r="R48" s="76" t="str">
        <f t="shared" si="1"/>
        <v/>
      </c>
      <c r="S48" s="76" t="str">
        <f t="shared" si="5"/>
        <v/>
      </c>
      <c r="T48" s="76" t="str">
        <f t="shared" si="6"/>
        <v>-- 傷病名称</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milscm_2023_010.azn_202310_backup_merge_receiptd_sy.shobyo_name IS '傷病名称';</v>
      </c>
    </row>
    <row r="49" spans="1:52" s="25" customFormat="1">
      <c r="A49" s="4"/>
      <c r="B49" s="21">
        <f t="shared" si="2"/>
        <v>37</v>
      </c>
      <c r="C49" s="13" t="s">
        <v>1108</v>
      </c>
      <c r="D49" s="13" t="s">
        <v>1109</v>
      </c>
      <c r="E49" s="7"/>
      <c r="F49" s="7" t="s">
        <v>863</v>
      </c>
      <c r="G49" s="7" t="str">
        <f t="shared" si="3"/>
        <v>text</v>
      </c>
      <c r="H49" s="58"/>
      <c r="I49" s="23"/>
      <c r="J49" s="24"/>
      <c r="M49" s="4"/>
      <c r="N49" s="76"/>
      <c r="O49" s="76"/>
      <c r="P49" s="76" t="str">
        <f t="shared" si="4"/>
        <v>,main_shobyo_code</v>
      </c>
      <c r="Q49" s="76" t="str">
        <f t="shared" si="0"/>
        <v>TEXT</v>
      </c>
      <c r="R49" s="76" t="str">
        <f t="shared" si="1"/>
        <v/>
      </c>
      <c r="S49" s="76" t="str">
        <f t="shared" si="5"/>
        <v/>
      </c>
      <c r="T49" s="76" t="str">
        <f t="shared" si="6"/>
        <v>-- 主傷病</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milscm_2023_010.azn_202310_backup_merge_receiptd_sy.main_shobyo_code IS '主傷病';</v>
      </c>
    </row>
    <row r="50" spans="1:52" s="25" customFormat="1" ht="19.5" thickBot="1">
      <c r="A50" s="4"/>
      <c r="B50" s="27">
        <f>ROW()-12</f>
        <v>38</v>
      </c>
      <c r="C50" s="57" t="s">
        <v>1110</v>
      </c>
      <c r="D50" s="57" t="s">
        <v>1111</v>
      </c>
      <c r="E50" s="56"/>
      <c r="F50" s="56" t="s">
        <v>863</v>
      </c>
      <c r="G50" s="56" t="str">
        <f t="shared" si="3"/>
        <v>text</v>
      </c>
      <c r="H50" s="59"/>
      <c r="I50" s="60"/>
      <c r="J50" s="63"/>
      <c r="N50" s="76"/>
      <c r="O50" s="76"/>
      <c r="P50" s="76" t="str">
        <f t="shared" si="4"/>
        <v>,hosoku_comment</v>
      </c>
      <c r="Q50" s="76" t="str">
        <f t="shared" si="0"/>
        <v>TEXT</v>
      </c>
      <c r="R50" s="76" t="str">
        <f t="shared" si="1"/>
        <v/>
      </c>
      <c r="S50" s="76" t="str">
        <f t="shared" si="5"/>
        <v/>
      </c>
      <c r="T50" s="76" t="str">
        <f t="shared" si="6"/>
        <v>-- 補足コメント</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milscm_2023_010.azn_202310_backup_merge_receiptd_sy.hosoku_comment IS '補足コメント';</v>
      </c>
    </row>
    <row r="51" spans="1:52">
      <c r="L51" s="25"/>
      <c r="M51" s="25"/>
      <c r="N51" s="76" t="s">
        <v>142</v>
      </c>
      <c r="O51" s="76"/>
      <c r="P51" s="76"/>
      <c r="Q51" s="76"/>
      <c r="R51" s="76"/>
      <c r="S51" s="76"/>
      <c r="T51" s="76"/>
      <c r="V51" s="25"/>
      <c r="W51" s="25"/>
      <c r="X51" s="25"/>
      <c r="Y51" s="25"/>
      <c r="Z51" s="25"/>
      <c r="AJ51" s="76" t="s">
        <v>142</v>
      </c>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V56" s="25"/>
      <c r="W56" s="25"/>
      <c r="X56" s="25"/>
      <c r="Y56" s="25"/>
      <c r="Z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T65" s="25"/>
      <c r="AU65" s="25"/>
      <c r="AV65" s="25"/>
      <c r="AW65" s="25"/>
      <c r="AX65" s="25"/>
      <c r="AY65" s="25"/>
      <c r="AZ65" s="25"/>
    </row>
    <row r="66" spans="12:52">
      <c r="L66" s="25"/>
      <c r="M66" s="25"/>
      <c r="AV66" s="25"/>
      <c r="AW66" s="25"/>
      <c r="AX66" s="25"/>
      <c r="AY66" s="25"/>
      <c r="AZ66" s="25"/>
    </row>
    <row r="67" spans="12:52">
      <c r="M67" s="25"/>
    </row>
    <row r="68" spans="12:52">
      <c r="M68" s="25"/>
    </row>
    <row r="69" spans="12:52">
      <c r="M69" s="25"/>
    </row>
    <row r="70" spans="12:52">
      <c r="M70" s="25"/>
    </row>
    <row r="71" spans="12:52">
      <c r="M71" s="25"/>
    </row>
    <row r="72" spans="12:52">
      <c r="M7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ENT_01_C3-16</v>
      </c>
      <c r="E6" s="272"/>
      <c r="F6" s="272"/>
      <c r="G6" s="272"/>
      <c r="H6" s="272"/>
      <c r="I6" s="272"/>
      <c r="J6" s="273"/>
    </row>
    <row r="7" spans="1:45">
      <c r="B7" s="261" t="s">
        <v>115</v>
      </c>
      <c r="C7" s="262"/>
      <c r="D7" s="263" t="s">
        <v>1228</v>
      </c>
      <c r="E7" s="264"/>
      <c r="F7" s="264"/>
      <c r="G7" s="264"/>
      <c r="H7" s="264"/>
      <c r="I7" s="264"/>
      <c r="J7" s="265"/>
    </row>
    <row r="8" spans="1:45">
      <c r="B8" s="261" t="s">
        <v>116</v>
      </c>
      <c r="C8" s="262"/>
      <c r="D8" s="263" t="str">
        <f>エンティティ一覧!AE2&amp;"_"&amp;D5&amp;"_merge_receiptd_si"</f>
        <v>azn_202310_backup_merge_receiptd_si</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DPCレセプト_診療行為レコードテーブルから組入れ条件の第一条件で絞り込んだ結果を格納するテーブル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milscm_2023_010.azn_202310_backup_merge_receiptd_si;</v>
      </c>
      <c r="O10" s="76"/>
      <c r="P10" s="76"/>
      <c r="Q10" s="76"/>
      <c r="R10" s="76"/>
      <c r="S10" s="76"/>
      <c r="T10" s="76"/>
      <c r="AJ10" s="76" t="str">
        <f>"ALTER TABLE ONLY "&amp;エンティティ一覧!$O$2&amp;"."&amp;D$8</f>
        <v>ALTER TABLE ONLY milscm_2023_010.azn_202310_backup_merge_receiptd_si</v>
      </c>
      <c r="AS10" s="76" t="str">
        <f>"ALTER TABLE "&amp;エンティティ一覧!$O$2&amp;"."&amp;D$8&amp;" OWNER TO pgmisgrp1;"</f>
        <v>ALTER TABLE milscm_2023_010.azn_202310_backup_merge_receiptd_si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milscm_2023_010.azn_202310_backup_merge_receiptd_si</v>
      </c>
      <c r="O11" s="76"/>
      <c r="P11" s="76"/>
      <c r="Q11" s="76"/>
      <c r="R11" s="76"/>
      <c r="S11" s="76"/>
      <c r="T11" s="76"/>
      <c r="AJ11" s="76" t="str">
        <f>"ADD CONSTRAINT "&amp;D$8&amp;"_pkey PRIMARY KEY"</f>
        <v>ADD CONSTRAINT azn_202310_backup_merge_receiptd_si_pkey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milscm_2023_010.azn_202310_backup_merge_receiptd_si IS 'バックアップ_DPCレセプト_診療行為レコード';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6" si="0">UPPER(G13)</f>
        <v>TEXT</v>
      </c>
      <c r="R13" s="76" t="str">
        <f t="shared" ref="R13:R3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milscm_2023_010.azn_202310_backup_merge_receiptd_si.torikomi_ym IS '取込年月';</v>
      </c>
    </row>
    <row r="14" spans="1:45" s="25" customFormat="1">
      <c r="A14" s="4"/>
      <c r="B14" s="21">
        <f t="shared" ref="B14:B35" si="2">ROW()-12</f>
        <v>2</v>
      </c>
      <c r="C14" s="6" t="s">
        <v>201</v>
      </c>
      <c r="D14" s="6" t="s">
        <v>202</v>
      </c>
      <c r="E14" s="8"/>
      <c r="F14" s="7" t="s">
        <v>203</v>
      </c>
      <c r="G14" s="7" t="str">
        <f t="shared" ref="G14:G36" si="3">IF(F14="フラグ","boolean",IF(F14="文字列","text",IF(F14="整数","integer",IF(F14="実数","numeric",""))))</f>
        <v>integer</v>
      </c>
      <c r="H14" s="26"/>
      <c r="I14" s="10"/>
      <c r="J14" s="11" t="s">
        <v>256</v>
      </c>
      <c r="M14" s="4"/>
      <c r="N14" s="76"/>
      <c r="O14" s="76"/>
      <c r="P14" s="76" t="str">
        <f t="shared" ref="P14:P3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milscm_2023_010.azn_202310_backup_merge_receiptd_si.mil_karute_id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1198</v>
      </c>
      <c r="M15" s="4"/>
      <c r="N15" s="76"/>
      <c r="O15" s="76"/>
      <c r="P15" s="76" t="str">
        <f t="shared" si="4"/>
        <v>,facility_id</v>
      </c>
      <c r="Q15" s="76" t="str">
        <f t="shared" si="0"/>
        <v>TEXT</v>
      </c>
      <c r="R15" s="76" t="str">
        <f t="shared" si="1"/>
        <v/>
      </c>
      <c r="S15" s="76" t="str">
        <f t="shared" ref="S15:S36" si="5">IF(I15="○","NOT NULL","")</f>
        <v>NOT NULL</v>
      </c>
      <c r="T15" s="76" t="str">
        <f t="shared" ref="T15:T3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milscm_2023_010.azn_202310_backup_merge_receiptd_si.facility_id IS '施設ID';</v>
      </c>
    </row>
    <row r="16" spans="1:45" s="25" customFormat="1">
      <c r="A16" s="4"/>
      <c r="B16" s="21">
        <f t="shared" si="2"/>
        <v>4</v>
      </c>
      <c r="C16" s="13" t="s">
        <v>902</v>
      </c>
      <c r="D16" s="13" t="s">
        <v>903</v>
      </c>
      <c r="E16" s="7" t="s">
        <v>127</v>
      </c>
      <c r="F16" s="7" t="s">
        <v>863</v>
      </c>
      <c r="G16" s="7" t="str">
        <f t="shared" si="3"/>
        <v>text</v>
      </c>
      <c r="H16" s="58"/>
      <c r="I16" s="23" t="s">
        <v>127</v>
      </c>
      <c r="J16" s="24" t="s">
        <v>1053</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milscm_2023_010.azn_202310_backup_merge_receiptd_si.seikyu_ym IS '請求年月';</v>
      </c>
    </row>
    <row r="17" spans="1:45" s="25" customFormat="1">
      <c r="A17" s="4"/>
      <c r="B17" s="21">
        <f t="shared" si="2"/>
        <v>5</v>
      </c>
      <c r="C17" s="13" t="s">
        <v>864</v>
      </c>
      <c r="D17" s="13" t="s">
        <v>205</v>
      </c>
      <c r="E17" s="7" t="s">
        <v>127</v>
      </c>
      <c r="F17" s="7" t="s">
        <v>863</v>
      </c>
      <c r="G17" s="7" t="str">
        <f t="shared" si="3"/>
        <v>text</v>
      </c>
      <c r="H17" s="58"/>
      <c r="I17" s="23" t="s">
        <v>127</v>
      </c>
      <c r="J17" s="24" t="s">
        <v>1112</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milscm_2023_010.azn_202310_backup_merge_receiptd_si.shinryo_ym IS '診療年月';</v>
      </c>
    </row>
    <row r="18" spans="1:45" s="25" customFormat="1">
      <c r="A18" s="4"/>
      <c r="B18" s="21">
        <f t="shared" si="2"/>
        <v>6</v>
      </c>
      <c r="C18" s="13" t="s">
        <v>318</v>
      </c>
      <c r="D18" s="13" t="s">
        <v>207</v>
      </c>
      <c r="E18" s="7"/>
      <c r="F18" s="7" t="s">
        <v>863</v>
      </c>
      <c r="G18" s="7" t="str">
        <f t="shared" si="3"/>
        <v>text</v>
      </c>
      <c r="H18" s="58" t="s">
        <v>930</v>
      </c>
      <c r="I18" s="23" t="s">
        <v>127</v>
      </c>
      <c r="J18" s="24" t="s">
        <v>931</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milscm_2023_010.azn_202310_backup_merge_receiptd_si.data_type IS 'データ種別';</v>
      </c>
    </row>
    <row r="19" spans="1:45" s="25" customFormat="1">
      <c r="A19" s="4"/>
      <c r="B19" s="21">
        <f t="shared" si="2"/>
        <v>7</v>
      </c>
      <c r="C19" s="13" t="s">
        <v>904</v>
      </c>
      <c r="D19" s="13" t="s">
        <v>905</v>
      </c>
      <c r="E19" s="7" t="s">
        <v>127</v>
      </c>
      <c r="F19" s="7" t="s">
        <v>863</v>
      </c>
      <c r="G19" s="7" t="str">
        <f t="shared" si="3"/>
        <v>text</v>
      </c>
      <c r="H19" s="58"/>
      <c r="I19" s="23" t="s">
        <v>127</v>
      </c>
      <c r="J19" s="24" t="s">
        <v>1055</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milscm_2023_010.azn_202310_backup_merge_receiptd_si.shinsa_kikan IS '審査支払機関';</v>
      </c>
    </row>
    <row r="20" spans="1:45" s="25" customFormat="1">
      <c r="A20" s="4"/>
      <c r="B20" s="21">
        <f t="shared" si="2"/>
        <v>8</v>
      </c>
      <c r="C20" s="13" t="s">
        <v>906</v>
      </c>
      <c r="D20" s="13" t="s">
        <v>907</v>
      </c>
      <c r="E20" s="7"/>
      <c r="F20" s="7" t="s">
        <v>863</v>
      </c>
      <c r="G20" s="7" t="str">
        <f t="shared" si="3"/>
        <v>text</v>
      </c>
      <c r="H20" s="58" t="s">
        <v>1143</v>
      </c>
      <c r="I20" s="23" t="s">
        <v>127</v>
      </c>
      <c r="J20" s="24" t="s">
        <v>1144</v>
      </c>
      <c r="M20" s="4"/>
      <c r="N20" s="76"/>
      <c r="O20" s="76"/>
      <c r="P20" s="76" t="str">
        <f t="shared" si="4"/>
        <v>,record_shikibetsu</v>
      </c>
      <c r="Q20" s="76" t="str">
        <f t="shared" si="0"/>
        <v>TEXT</v>
      </c>
      <c r="R20" s="76" t="str">
        <f t="shared" si="1"/>
        <v>default 'SI'</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milscm_2023_010.azn_202310_backup_merge_receiptd_si.record_shikibetsu IS 'レコード識別情報';</v>
      </c>
    </row>
    <row r="21" spans="1:45" s="25" customFormat="1">
      <c r="A21" s="4"/>
      <c r="B21" s="21">
        <f t="shared" si="2"/>
        <v>9</v>
      </c>
      <c r="C21" s="13" t="s">
        <v>908</v>
      </c>
      <c r="D21" s="13" t="s">
        <v>909</v>
      </c>
      <c r="E21" s="7" t="s">
        <v>127</v>
      </c>
      <c r="F21" s="7" t="s">
        <v>203</v>
      </c>
      <c r="G21" s="7" t="str">
        <f t="shared" si="3"/>
        <v>integer</v>
      </c>
      <c r="H21" s="58"/>
      <c r="I21" s="23" t="s">
        <v>127</v>
      </c>
      <c r="J21" s="24" t="s">
        <v>1058</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milscm_2023_010.azn_202310_backup_merge_receiptd_si.receipt_no IS 'レセプト番号';</v>
      </c>
    </row>
    <row r="22" spans="1:45" s="25" customFormat="1">
      <c r="A22" s="4"/>
      <c r="B22" s="21">
        <f t="shared" si="2"/>
        <v>10</v>
      </c>
      <c r="C22" s="13" t="s">
        <v>910</v>
      </c>
      <c r="D22" s="13" t="s">
        <v>911</v>
      </c>
      <c r="E22" s="7" t="s">
        <v>127</v>
      </c>
      <c r="F22" s="7" t="s">
        <v>203</v>
      </c>
      <c r="G22" s="7" t="str">
        <f t="shared" si="3"/>
        <v>integer</v>
      </c>
      <c r="H22" s="58"/>
      <c r="I22" s="23" t="s">
        <v>127</v>
      </c>
      <c r="J22" s="24" t="s">
        <v>1203</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milscm_2023_010.azn_202310_backup_merge_receiptd_si.gyo_no IS '行番号';</v>
      </c>
    </row>
    <row r="23" spans="1:45" s="25" customFormat="1">
      <c r="A23" s="4"/>
      <c r="B23" s="21">
        <f t="shared" si="2"/>
        <v>11</v>
      </c>
      <c r="C23" s="13" t="s">
        <v>912</v>
      </c>
      <c r="D23" s="13" t="s">
        <v>913</v>
      </c>
      <c r="E23" s="7"/>
      <c r="F23" s="7" t="s">
        <v>863</v>
      </c>
      <c r="G23" s="7" t="str">
        <f t="shared" si="3"/>
        <v>text</v>
      </c>
      <c r="H23" s="58"/>
      <c r="I23" s="23"/>
      <c r="J23" s="24" t="s">
        <v>1060</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milscm_2023_010.azn_202310_backup_merge_receiptd_si.karute_no IS 'カルテ番号等';</v>
      </c>
    </row>
    <row r="24" spans="1:45" s="25" customFormat="1">
      <c r="A24" s="4"/>
      <c r="B24" s="21">
        <f t="shared" si="2"/>
        <v>12</v>
      </c>
      <c r="C24" s="13" t="s">
        <v>1196</v>
      </c>
      <c r="D24" s="13" t="s">
        <v>1197</v>
      </c>
      <c r="E24" s="7"/>
      <c r="F24" s="7" t="s">
        <v>863</v>
      </c>
      <c r="G24" s="7" t="str">
        <f t="shared" si="3"/>
        <v>text</v>
      </c>
      <c r="H24" s="58"/>
      <c r="I24" s="23"/>
      <c r="J24" s="24" t="s">
        <v>1218</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milscm_2023_010.azn_202310_backup_merge_receiptd_si.receipt_sokatsu_kubun IS 'レセプト総括区分';</v>
      </c>
    </row>
    <row r="25" spans="1:45" s="25" customFormat="1">
      <c r="A25" s="4"/>
      <c r="B25" s="21">
        <f t="shared" si="2"/>
        <v>13</v>
      </c>
      <c r="C25" s="13" t="s">
        <v>1119</v>
      </c>
      <c r="D25" s="13" t="s">
        <v>1120</v>
      </c>
      <c r="E25" s="7"/>
      <c r="F25" s="7" t="s">
        <v>863</v>
      </c>
      <c r="G25" s="7" t="str">
        <f t="shared" si="3"/>
        <v>text</v>
      </c>
      <c r="H25" s="58"/>
      <c r="I25" s="23"/>
      <c r="J25" s="24"/>
      <c r="M25" s="4"/>
      <c r="N25" s="76"/>
      <c r="O25" s="76"/>
      <c r="P25" s="76" t="str">
        <f t="shared" si="4"/>
        <v>,shinryo_shikibetsu</v>
      </c>
      <c r="Q25" s="76" t="str">
        <f t="shared" si="0"/>
        <v>TEXT</v>
      </c>
      <c r="R25" s="76" t="str">
        <f t="shared" si="1"/>
        <v/>
      </c>
      <c r="S25" s="76" t="str">
        <f t="shared" si="5"/>
        <v/>
      </c>
      <c r="T25" s="76" t="str">
        <f t="shared" si="6"/>
        <v>-- 診療識別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milscm_2023_010.azn_202310_backup_merge_receiptd_si.shinryo_shikibetsu IS '診療識別';</v>
      </c>
    </row>
    <row r="26" spans="1:45" s="25" customFormat="1">
      <c r="A26" s="4"/>
      <c r="B26" s="21">
        <f t="shared" si="2"/>
        <v>14</v>
      </c>
      <c r="C26" s="13" t="s">
        <v>1121</v>
      </c>
      <c r="D26" s="13" t="s">
        <v>1122</v>
      </c>
      <c r="E26" s="7"/>
      <c r="F26" s="7" t="s">
        <v>863</v>
      </c>
      <c r="G26" s="7" t="str">
        <f t="shared" si="3"/>
        <v>text</v>
      </c>
      <c r="H26" s="58"/>
      <c r="I26" s="23"/>
      <c r="J26" s="24"/>
      <c r="M26" s="4"/>
      <c r="N26" s="76"/>
      <c r="O26" s="76"/>
      <c r="P26" s="76" t="str">
        <f t="shared" si="4"/>
        <v>,futan_kubun</v>
      </c>
      <c r="Q26" s="76" t="str">
        <f t="shared" si="0"/>
        <v>TEXT</v>
      </c>
      <c r="R26" s="76" t="str">
        <f t="shared" si="1"/>
        <v/>
      </c>
      <c r="S26" s="76" t="str">
        <f t="shared" si="5"/>
        <v/>
      </c>
      <c r="T26" s="76" t="str">
        <f t="shared" si="6"/>
        <v>-- 負担区分</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milscm_2023_010.azn_202310_backup_merge_receiptd_si.futan_kubun IS '負担区分';</v>
      </c>
    </row>
    <row r="27" spans="1:45" s="25" customFormat="1">
      <c r="A27" s="4"/>
      <c r="B27" s="21">
        <f t="shared" si="2"/>
        <v>15</v>
      </c>
      <c r="C27" s="13" t="s">
        <v>1123</v>
      </c>
      <c r="D27" s="13" t="s">
        <v>1124</v>
      </c>
      <c r="E27" s="7"/>
      <c r="F27" s="7" t="s">
        <v>863</v>
      </c>
      <c r="G27" s="7" t="str">
        <f t="shared" si="3"/>
        <v>text</v>
      </c>
      <c r="H27" s="58"/>
      <c r="I27" s="23"/>
      <c r="J27" s="24"/>
      <c r="M27" s="4"/>
      <c r="N27" s="76"/>
      <c r="O27" s="76"/>
      <c r="P27" s="76" t="str">
        <f t="shared" si="4"/>
        <v>,shinryo_koi_code</v>
      </c>
      <c r="Q27" s="76" t="str">
        <f t="shared" si="0"/>
        <v>TEXT</v>
      </c>
      <c r="R27" s="76" t="str">
        <f t="shared" si="1"/>
        <v/>
      </c>
      <c r="S27" s="76" t="str">
        <f t="shared" si="5"/>
        <v/>
      </c>
      <c r="T27" s="76" t="str">
        <f t="shared" si="6"/>
        <v>-- 診療行為コード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milscm_2023_010.azn_202310_backup_merge_receiptd_si.shinryo_koi_code IS '診療行為コード';</v>
      </c>
    </row>
    <row r="28" spans="1:45" s="25" customFormat="1">
      <c r="A28" s="4"/>
      <c r="B28" s="21">
        <f t="shared" si="2"/>
        <v>16</v>
      </c>
      <c r="C28" s="13" t="s">
        <v>1125</v>
      </c>
      <c r="D28" s="13" t="s">
        <v>1126</v>
      </c>
      <c r="E28" s="7"/>
      <c r="F28" s="7" t="s">
        <v>203</v>
      </c>
      <c r="G28" s="7" t="str">
        <f t="shared" si="3"/>
        <v>integer</v>
      </c>
      <c r="H28" s="58"/>
      <c r="I28" s="23"/>
      <c r="J28" s="24"/>
      <c r="M28" s="4"/>
      <c r="N28" s="76"/>
      <c r="O28" s="76"/>
      <c r="P28" s="76" t="str">
        <f t="shared" si="4"/>
        <v>,suryo_data</v>
      </c>
      <c r="Q28" s="76" t="str">
        <f t="shared" si="0"/>
        <v>INTEGER</v>
      </c>
      <c r="R28" s="76" t="str">
        <f t="shared" si="1"/>
        <v/>
      </c>
      <c r="S28" s="76" t="str">
        <f t="shared" si="5"/>
        <v/>
      </c>
      <c r="T28" s="76" t="str">
        <f t="shared" si="6"/>
        <v>-- 数量データ</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milscm_2023_010.azn_202310_backup_merge_receiptd_si.suryo_data IS '数量データ';</v>
      </c>
    </row>
    <row r="29" spans="1:45" s="25" customFormat="1">
      <c r="A29" s="4"/>
      <c r="B29" s="21">
        <f t="shared" si="2"/>
        <v>17</v>
      </c>
      <c r="C29" s="13" t="s">
        <v>1127</v>
      </c>
      <c r="D29" s="13" t="s">
        <v>1128</v>
      </c>
      <c r="E29" s="7"/>
      <c r="F29" s="7" t="s">
        <v>203</v>
      </c>
      <c r="G29" s="7" t="str">
        <f t="shared" si="3"/>
        <v>integer</v>
      </c>
      <c r="H29" s="58"/>
      <c r="I29" s="23"/>
      <c r="J29" s="24"/>
      <c r="M29" s="4"/>
      <c r="N29" s="76"/>
      <c r="O29" s="76"/>
      <c r="P29" s="76" t="str">
        <f t="shared" si="4"/>
        <v>,tensu</v>
      </c>
      <c r="Q29" s="76" t="str">
        <f t="shared" si="0"/>
        <v>INTEGER</v>
      </c>
      <c r="R29" s="76" t="str">
        <f t="shared" si="1"/>
        <v/>
      </c>
      <c r="S29" s="76" t="str">
        <f t="shared" si="5"/>
        <v/>
      </c>
      <c r="T29" s="76" t="str">
        <f t="shared" si="6"/>
        <v>-- 点数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milscm_2023_010.azn_202310_backup_merge_receiptd_si.tensu IS '点数';</v>
      </c>
    </row>
    <row r="30" spans="1:45" s="25" customFormat="1">
      <c r="A30" s="4"/>
      <c r="B30" s="21">
        <f t="shared" si="2"/>
        <v>18</v>
      </c>
      <c r="C30" s="13" t="s">
        <v>1129</v>
      </c>
      <c r="D30" s="13" t="s">
        <v>1130</v>
      </c>
      <c r="E30" s="7"/>
      <c r="F30" s="7" t="s">
        <v>203</v>
      </c>
      <c r="G30" s="7" t="str">
        <f t="shared" si="3"/>
        <v>integer</v>
      </c>
      <c r="H30" s="58"/>
      <c r="I30" s="23"/>
      <c r="J30" s="24"/>
      <c r="M30" s="4"/>
      <c r="N30" s="76"/>
      <c r="O30" s="76"/>
      <c r="P30" s="76" t="str">
        <f t="shared" si="4"/>
        <v>,times</v>
      </c>
      <c r="Q30" s="76" t="str">
        <f t="shared" si="0"/>
        <v>INTEGER</v>
      </c>
      <c r="R30" s="76" t="str">
        <f t="shared" si="1"/>
        <v/>
      </c>
      <c r="S30" s="76" t="str">
        <f t="shared" si="5"/>
        <v/>
      </c>
      <c r="T30" s="76" t="str">
        <f t="shared" si="6"/>
        <v>-- 回数</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milscm_2023_010.azn_202310_backup_merge_receiptd_si.times IS '回数';</v>
      </c>
    </row>
    <row r="31" spans="1:45" s="25" customFormat="1">
      <c r="A31" s="4"/>
      <c r="B31" s="21">
        <f t="shared" si="2"/>
        <v>19</v>
      </c>
      <c r="C31" s="13" t="s">
        <v>1131</v>
      </c>
      <c r="D31" s="13" t="s">
        <v>1132</v>
      </c>
      <c r="E31" s="7"/>
      <c r="F31" s="7" t="s">
        <v>863</v>
      </c>
      <c r="G31" s="7" t="str">
        <f t="shared" si="3"/>
        <v>text</v>
      </c>
      <c r="H31" s="58"/>
      <c r="I31" s="23"/>
      <c r="J31" s="24"/>
      <c r="M31" s="4"/>
      <c r="N31" s="76"/>
      <c r="O31" s="76"/>
      <c r="P31" s="76" t="str">
        <f t="shared" si="4"/>
        <v>,comment_code1</v>
      </c>
      <c r="Q31" s="76" t="str">
        <f t="shared" si="0"/>
        <v>TEXT</v>
      </c>
      <c r="R31" s="76" t="str">
        <f t="shared" si="1"/>
        <v/>
      </c>
      <c r="S31" s="76" t="str">
        <f t="shared" si="5"/>
        <v/>
      </c>
      <c r="T31" s="76" t="str">
        <f t="shared" si="6"/>
        <v>-- コメントコード1</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milscm_2023_010.azn_202310_backup_merge_receiptd_si.comment_code1 IS 'コメントコード1';</v>
      </c>
    </row>
    <row r="32" spans="1:45" s="25" customFormat="1">
      <c r="A32" s="4"/>
      <c r="B32" s="21">
        <f t="shared" si="2"/>
        <v>20</v>
      </c>
      <c r="C32" s="13" t="s">
        <v>1133</v>
      </c>
      <c r="D32" s="13" t="s">
        <v>1134</v>
      </c>
      <c r="E32" s="7"/>
      <c r="F32" s="7" t="s">
        <v>863</v>
      </c>
      <c r="G32" s="7" t="str">
        <f t="shared" si="3"/>
        <v>text</v>
      </c>
      <c r="H32" s="58"/>
      <c r="I32" s="23"/>
      <c r="J32" s="24"/>
      <c r="M32" s="4"/>
      <c r="N32" s="76"/>
      <c r="O32" s="76"/>
      <c r="P32" s="76" t="str">
        <f t="shared" si="4"/>
        <v>,comment_data1</v>
      </c>
      <c r="Q32" s="76" t="str">
        <f t="shared" si="0"/>
        <v>TEXT</v>
      </c>
      <c r="R32" s="76" t="str">
        <f t="shared" si="1"/>
        <v/>
      </c>
      <c r="S32" s="76" t="str">
        <f t="shared" si="5"/>
        <v/>
      </c>
      <c r="T32" s="76" t="str">
        <f t="shared" si="6"/>
        <v>-- 文字データ1</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milscm_2023_010.azn_202310_backup_merge_receiptd_si.comment_data1 IS '文字データ1';</v>
      </c>
    </row>
    <row r="33" spans="1:52" s="25" customFormat="1">
      <c r="A33" s="4"/>
      <c r="B33" s="21">
        <f t="shared" si="2"/>
        <v>21</v>
      </c>
      <c r="C33" s="13" t="s">
        <v>1135</v>
      </c>
      <c r="D33" s="13" t="s">
        <v>1136</v>
      </c>
      <c r="E33" s="7"/>
      <c r="F33" s="7" t="s">
        <v>863</v>
      </c>
      <c r="G33" s="7" t="str">
        <f t="shared" si="3"/>
        <v>text</v>
      </c>
      <c r="H33" s="58"/>
      <c r="I33" s="23"/>
      <c r="J33" s="24"/>
      <c r="M33" s="4"/>
      <c r="N33" s="76"/>
      <c r="O33" s="76"/>
      <c r="P33" s="76" t="str">
        <f t="shared" si="4"/>
        <v>,comment_code2</v>
      </c>
      <c r="Q33" s="76" t="str">
        <f t="shared" si="0"/>
        <v>TEXT</v>
      </c>
      <c r="R33" s="76" t="str">
        <f t="shared" si="1"/>
        <v/>
      </c>
      <c r="S33" s="76" t="str">
        <f t="shared" si="5"/>
        <v/>
      </c>
      <c r="T33" s="76" t="str">
        <f t="shared" si="6"/>
        <v>-- コメントコード2</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milscm_2023_010.azn_202310_backup_merge_receiptd_si.comment_code2 IS 'コメントコード2';</v>
      </c>
    </row>
    <row r="34" spans="1:52" s="25" customFormat="1">
      <c r="A34" s="4"/>
      <c r="B34" s="21">
        <f t="shared" si="2"/>
        <v>22</v>
      </c>
      <c r="C34" s="13" t="s">
        <v>1137</v>
      </c>
      <c r="D34" s="13" t="s">
        <v>1138</v>
      </c>
      <c r="E34" s="7"/>
      <c r="F34" s="7" t="s">
        <v>863</v>
      </c>
      <c r="G34" s="7" t="str">
        <f t="shared" si="3"/>
        <v>text</v>
      </c>
      <c r="H34" s="58"/>
      <c r="I34" s="23"/>
      <c r="J34" s="24"/>
      <c r="M34" s="4"/>
      <c r="N34" s="76"/>
      <c r="O34" s="76"/>
      <c r="P34" s="76" t="str">
        <f t="shared" si="4"/>
        <v>,comment_data2</v>
      </c>
      <c r="Q34" s="76" t="str">
        <f t="shared" si="0"/>
        <v>TEXT</v>
      </c>
      <c r="R34" s="76" t="str">
        <f t="shared" si="1"/>
        <v/>
      </c>
      <c r="S34" s="76" t="str">
        <f t="shared" si="5"/>
        <v/>
      </c>
      <c r="T34" s="76" t="str">
        <f t="shared" si="6"/>
        <v>-- 文字データ2</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milscm_2023_010.azn_202310_backup_merge_receiptd_si.comment_data2 IS '文字データ2';</v>
      </c>
    </row>
    <row r="35" spans="1:52" s="25" customFormat="1">
      <c r="A35" s="4"/>
      <c r="B35" s="21">
        <f t="shared" si="2"/>
        <v>23</v>
      </c>
      <c r="C35" s="13" t="s">
        <v>1139</v>
      </c>
      <c r="D35" s="13" t="s">
        <v>1140</v>
      </c>
      <c r="E35" s="7"/>
      <c r="F35" s="7" t="s">
        <v>863</v>
      </c>
      <c r="G35" s="7" t="str">
        <f t="shared" si="3"/>
        <v>text</v>
      </c>
      <c r="H35" s="58"/>
      <c r="I35" s="23"/>
      <c r="J35" s="24"/>
      <c r="M35" s="4"/>
      <c r="N35" s="76"/>
      <c r="O35" s="76"/>
      <c r="P35" s="76" t="str">
        <f t="shared" si="4"/>
        <v>,comment_code3</v>
      </c>
      <c r="Q35" s="76" t="str">
        <f t="shared" si="0"/>
        <v>TEXT</v>
      </c>
      <c r="R35" s="76" t="str">
        <f t="shared" si="1"/>
        <v/>
      </c>
      <c r="S35" s="76" t="str">
        <f t="shared" si="5"/>
        <v/>
      </c>
      <c r="T35" s="76" t="str">
        <f t="shared" si="6"/>
        <v>-- コメントコード3</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milscm_2023_010.azn_202310_backup_merge_receiptd_si.comment_code3 IS 'コメントコード3';</v>
      </c>
    </row>
    <row r="36" spans="1:52" s="25" customFormat="1" ht="19.5" thickBot="1">
      <c r="A36" s="4"/>
      <c r="B36" s="27">
        <f>ROW()-12</f>
        <v>24</v>
      </c>
      <c r="C36" s="57" t="s">
        <v>1141</v>
      </c>
      <c r="D36" s="57" t="s">
        <v>1142</v>
      </c>
      <c r="E36" s="56"/>
      <c r="F36" s="56" t="s">
        <v>863</v>
      </c>
      <c r="G36" s="56" t="str">
        <f t="shared" si="3"/>
        <v>text</v>
      </c>
      <c r="H36" s="59"/>
      <c r="I36" s="60"/>
      <c r="J36" s="63"/>
      <c r="N36" s="76"/>
      <c r="O36" s="76"/>
      <c r="P36" s="76" t="str">
        <f t="shared" si="4"/>
        <v>,comment_data3</v>
      </c>
      <c r="Q36" s="76" t="str">
        <f t="shared" si="0"/>
        <v>TEXT</v>
      </c>
      <c r="R36" s="76" t="str">
        <f t="shared" si="1"/>
        <v/>
      </c>
      <c r="S36" s="76" t="str">
        <f t="shared" si="5"/>
        <v/>
      </c>
      <c r="T36" s="76" t="str">
        <f t="shared" si="6"/>
        <v>-- 文字データ3</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milscm_2023_010.azn_202310_backup_merge_receiptd_si.comment_data3 IS '文字データ3';</v>
      </c>
    </row>
    <row r="37" spans="1:52">
      <c r="L37" s="25"/>
      <c r="M37" s="25"/>
      <c r="N37" s="76" t="s">
        <v>142</v>
      </c>
      <c r="O37" s="76"/>
      <c r="P37" s="76"/>
      <c r="Q37" s="76"/>
      <c r="R37" s="76"/>
      <c r="S37" s="76"/>
      <c r="T37" s="76"/>
      <c r="V37" s="25"/>
      <c r="W37" s="25"/>
      <c r="X37" s="25"/>
      <c r="Y37" s="25"/>
      <c r="Z37" s="25"/>
      <c r="AJ37" s="76"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ENT_01_C3-17</v>
      </c>
      <c r="E6" s="272"/>
      <c r="F6" s="272"/>
      <c r="G6" s="272"/>
      <c r="H6" s="272"/>
      <c r="I6" s="272"/>
      <c r="J6" s="273"/>
    </row>
    <row r="7" spans="1:45">
      <c r="B7" s="261" t="s">
        <v>115</v>
      </c>
      <c r="C7" s="262"/>
      <c r="D7" s="263" t="s">
        <v>1230</v>
      </c>
      <c r="E7" s="264"/>
      <c r="F7" s="264"/>
      <c r="G7" s="264"/>
      <c r="H7" s="264"/>
      <c r="I7" s="264"/>
      <c r="J7" s="265"/>
    </row>
    <row r="8" spans="1:45">
      <c r="B8" s="261" t="s">
        <v>116</v>
      </c>
      <c r="C8" s="262"/>
      <c r="D8" s="263" t="str">
        <f>エンティティ一覧!AE2&amp;"_"&amp;D5&amp;"_merge_receiptd_si_day"</f>
        <v>azn_202310_backup_merge_receiptd_si_day</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DPCレセプト_診療行為レコード_算定日情報テーブルから組入れ条件の第一条件で絞り込んだ結果を格納するテーブル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milscm_2023_010.azn_202310_backup_merge_receiptd_si_day;</v>
      </c>
      <c r="O10" s="76"/>
      <c r="P10" s="76"/>
      <c r="Q10" s="76"/>
      <c r="R10" s="76"/>
      <c r="S10" s="76"/>
      <c r="T10" s="76"/>
      <c r="AJ10" s="76" t="str">
        <f>"ALTER TABLE ONLY "&amp;エンティティ一覧!$O$2&amp;"."&amp;D$8</f>
        <v>ALTER TABLE ONLY milscm_2023_010.azn_202310_backup_merge_receiptd_si_day</v>
      </c>
      <c r="AS10" s="76" t="str">
        <f>"ALTER TABLE "&amp;エンティティ一覧!$O$2&amp;"."&amp;D$8&amp;" OWNER TO pgmisgrp1;"</f>
        <v>ALTER TABLE milscm_2023_010.azn_202310_backup_merge_receiptd_si_day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milscm_2023_010.azn_202310_backup_merge_receiptd_si_day</v>
      </c>
      <c r="O11" s="76"/>
      <c r="P11" s="76"/>
      <c r="Q11" s="76"/>
      <c r="R11" s="76"/>
      <c r="S11" s="76"/>
      <c r="T11" s="76"/>
      <c r="AJ11" s="76" t="str">
        <f>"ADD CONSTRAINT "&amp;D$8&amp;"_pkey PRIMARY KEY"</f>
        <v>ADD CONSTRAINT azn_202310_backup_merge_receiptd_si_day_pkey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milscm_2023_010.azn_202310_backup_merge_receiptd_si_day IS 'バックアップ_DPCレセプト_診療行為レコード_算定日情報';</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6" si="0">UPPER(G13)</f>
        <v>TEXT</v>
      </c>
      <c r="R13" s="76" t="str">
        <f t="shared" ref="R13:R2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milscm_2023_010.azn_202310_backup_merge_receiptd_si_day.torikomi_ym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256</v>
      </c>
      <c r="M14" s="4"/>
      <c r="N14" s="76"/>
      <c r="O14" s="76"/>
      <c r="P14" s="76" t="str">
        <f t="shared" ref="P14:P2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milscm_2023_010.azn_202310_backup_merge_receiptd_si_day.mil_karute_id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928</v>
      </c>
      <c r="M15" s="4"/>
      <c r="N15" s="76"/>
      <c r="O15" s="76"/>
      <c r="P15" s="76" t="str">
        <f t="shared" si="4"/>
        <v>,facility_id</v>
      </c>
      <c r="Q15" s="76" t="str">
        <f t="shared" si="0"/>
        <v>TEXT</v>
      </c>
      <c r="R15" s="76" t="str">
        <f t="shared" si="1"/>
        <v/>
      </c>
      <c r="S15" s="76" t="str">
        <f t="shared" ref="S15:S26" si="5">IF(I15="○","NOT NULL","")</f>
        <v>NOT NULL</v>
      </c>
      <c r="T15" s="76" t="str">
        <f t="shared" ref="T15:T2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milscm_2023_010.azn_202310_backup_merge_receiptd_si_day.facility_id IS '施設ID';</v>
      </c>
    </row>
    <row r="16" spans="1:45" s="25" customFormat="1">
      <c r="A16" s="4"/>
      <c r="B16" s="21">
        <f t="shared" si="2"/>
        <v>4</v>
      </c>
      <c r="C16" s="13" t="s">
        <v>902</v>
      </c>
      <c r="D16" s="13" t="s">
        <v>903</v>
      </c>
      <c r="E16" s="7" t="s">
        <v>127</v>
      </c>
      <c r="F16" s="7" t="s">
        <v>863</v>
      </c>
      <c r="G16" s="7" t="str">
        <f t="shared" si="3"/>
        <v>text</v>
      </c>
      <c r="H16" s="58"/>
      <c r="I16" s="23" t="s">
        <v>127</v>
      </c>
      <c r="J16" s="24" t="s">
        <v>1053</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milscm_2023_010.azn_202310_backup_merge_receiptd_si_day.seikyu_ym IS '請求年月';</v>
      </c>
    </row>
    <row r="17" spans="1:52" s="25" customFormat="1">
      <c r="A17" s="4"/>
      <c r="B17" s="21">
        <f t="shared" si="2"/>
        <v>5</v>
      </c>
      <c r="C17" s="13" t="s">
        <v>864</v>
      </c>
      <c r="D17" s="13" t="s">
        <v>205</v>
      </c>
      <c r="E17" s="7" t="s">
        <v>127</v>
      </c>
      <c r="F17" s="7" t="s">
        <v>863</v>
      </c>
      <c r="G17" s="7" t="str">
        <f t="shared" si="3"/>
        <v>text</v>
      </c>
      <c r="H17" s="58"/>
      <c r="I17" s="23" t="s">
        <v>127</v>
      </c>
      <c r="J17" s="24" t="s">
        <v>1112</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milscm_2023_010.azn_202310_backup_merge_receiptd_si_day.shinryo_ym IS '診療年月';</v>
      </c>
    </row>
    <row r="18" spans="1:52" s="25" customFormat="1">
      <c r="A18" s="4"/>
      <c r="B18" s="21">
        <f t="shared" si="2"/>
        <v>6</v>
      </c>
      <c r="C18" s="13" t="s">
        <v>318</v>
      </c>
      <c r="D18" s="13" t="s">
        <v>207</v>
      </c>
      <c r="E18" s="7"/>
      <c r="F18" s="7" t="s">
        <v>863</v>
      </c>
      <c r="G18" s="7" t="str">
        <f t="shared" si="3"/>
        <v>text</v>
      </c>
      <c r="H18" s="58" t="s">
        <v>930</v>
      </c>
      <c r="I18" s="23" t="s">
        <v>127</v>
      </c>
      <c r="J18" s="24" t="s">
        <v>931</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milscm_2023_010.azn_202310_backup_merge_receiptd_si_day.data_type IS 'データ種別';</v>
      </c>
    </row>
    <row r="19" spans="1:52" s="25" customFormat="1">
      <c r="A19" s="4"/>
      <c r="B19" s="21">
        <f t="shared" si="2"/>
        <v>7</v>
      </c>
      <c r="C19" s="13" t="s">
        <v>904</v>
      </c>
      <c r="D19" s="13" t="s">
        <v>905</v>
      </c>
      <c r="E19" s="7" t="s">
        <v>127</v>
      </c>
      <c r="F19" s="7" t="s">
        <v>863</v>
      </c>
      <c r="G19" s="7" t="str">
        <f t="shared" si="3"/>
        <v>text</v>
      </c>
      <c r="H19" s="58"/>
      <c r="I19" s="23" t="s">
        <v>127</v>
      </c>
      <c r="J19" s="24" t="s">
        <v>1055</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milscm_2023_010.azn_202310_backup_merge_receiptd_si_day.shinsa_kikan IS '審査支払機関';</v>
      </c>
    </row>
    <row r="20" spans="1:52" s="25" customFormat="1">
      <c r="A20" s="4"/>
      <c r="B20" s="21">
        <f t="shared" si="2"/>
        <v>8</v>
      </c>
      <c r="C20" s="13" t="s">
        <v>906</v>
      </c>
      <c r="D20" s="13" t="s">
        <v>907</v>
      </c>
      <c r="E20" s="7"/>
      <c r="F20" s="7" t="s">
        <v>863</v>
      </c>
      <c r="G20" s="7" t="str">
        <f t="shared" si="3"/>
        <v>text</v>
      </c>
      <c r="H20" s="58" t="s">
        <v>1143</v>
      </c>
      <c r="I20" s="23" t="s">
        <v>127</v>
      </c>
      <c r="J20" s="24" t="s">
        <v>1144</v>
      </c>
      <c r="M20" s="4"/>
      <c r="N20" s="76"/>
      <c r="O20" s="76"/>
      <c r="P20" s="76" t="str">
        <f t="shared" si="4"/>
        <v>,record_shikibetsu</v>
      </c>
      <c r="Q20" s="76" t="str">
        <f t="shared" si="0"/>
        <v>TEXT</v>
      </c>
      <c r="R20" s="76" t="str">
        <f t="shared" si="1"/>
        <v>default 'SI'</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milscm_2023_010.azn_202310_backup_merge_receiptd_si_day.record_shikibetsu IS 'レコード識別情報';</v>
      </c>
    </row>
    <row r="21" spans="1:52" s="25" customFormat="1">
      <c r="A21" s="4"/>
      <c r="B21" s="21">
        <f t="shared" si="2"/>
        <v>9</v>
      </c>
      <c r="C21" s="13" t="s">
        <v>908</v>
      </c>
      <c r="D21" s="13" t="s">
        <v>909</v>
      </c>
      <c r="E21" s="7" t="s">
        <v>127</v>
      </c>
      <c r="F21" s="7" t="s">
        <v>203</v>
      </c>
      <c r="G21" s="7" t="str">
        <f t="shared" si="3"/>
        <v>integer</v>
      </c>
      <c r="H21" s="58"/>
      <c r="I21" s="23" t="s">
        <v>127</v>
      </c>
      <c r="J21" s="24" t="s">
        <v>1058</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milscm_2023_010.azn_202310_backup_merge_receiptd_si_day.receipt_no IS 'レセプト番号';</v>
      </c>
    </row>
    <row r="22" spans="1:52" s="25" customFormat="1">
      <c r="A22" s="4"/>
      <c r="B22" s="21">
        <f t="shared" si="2"/>
        <v>10</v>
      </c>
      <c r="C22" s="13" t="s">
        <v>910</v>
      </c>
      <c r="D22" s="13" t="s">
        <v>911</v>
      </c>
      <c r="E22" s="7" t="s">
        <v>127</v>
      </c>
      <c r="F22" s="7" t="s">
        <v>203</v>
      </c>
      <c r="G22" s="7" t="str">
        <f t="shared" si="3"/>
        <v>integer</v>
      </c>
      <c r="H22" s="58"/>
      <c r="I22" s="23" t="s">
        <v>127</v>
      </c>
      <c r="J22" s="24" t="s">
        <v>1115</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milscm_2023_010.azn_202310_backup_merge_receiptd_si_day.gyo_no IS '行番号';</v>
      </c>
    </row>
    <row r="23" spans="1:52" s="25" customFormat="1">
      <c r="A23" s="4"/>
      <c r="B23" s="21">
        <f t="shared" si="2"/>
        <v>11</v>
      </c>
      <c r="C23" s="13" t="s">
        <v>912</v>
      </c>
      <c r="D23" s="13" t="s">
        <v>913</v>
      </c>
      <c r="E23" s="7"/>
      <c r="F23" s="7" t="s">
        <v>863</v>
      </c>
      <c r="G23" s="7" t="str">
        <f t="shared" si="3"/>
        <v>text</v>
      </c>
      <c r="H23" s="58"/>
      <c r="I23" s="23"/>
      <c r="J23" s="24" t="s">
        <v>1060</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milscm_2023_010.azn_202310_backup_merge_receiptd_si_day.karute_no IS 'カルテ番号等';</v>
      </c>
    </row>
    <row r="24" spans="1:52" s="25" customFormat="1">
      <c r="A24" s="4"/>
      <c r="B24" s="21">
        <f t="shared" si="2"/>
        <v>12</v>
      </c>
      <c r="C24" s="13" t="s">
        <v>1196</v>
      </c>
      <c r="D24" s="13" t="s">
        <v>1197</v>
      </c>
      <c r="E24" s="7"/>
      <c r="F24" s="7" t="s">
        <v>863</v>
      </c>
      <c r="G24" s="7" t="str">
        <f t="shared" si="3"/>
        <v>text</v>
      </c>
      <c r="H24" s="58"/>
      <c r="I24" s="23"/>
      <c r="J24" s="24" t="s">
        <v>1231</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milscm_2023_010.azn_202310_backup_merge_receiptd_si_day.receipt_sokatsu_kubun IS 'レセプト総括区分';</v>
      </c>
    </row>
    <row r="25" spans="1:52" s="25" customFormat="1">
      <c r="A25" s="4"/>
      <c r="B25" s="21">
        <f t="shared" si="2"/>
        <v>13</v>
      </c>
      <c r="C25" s="13" t="s">
        <v>1147</v>
      </c>
      <c r="D25" s="13" t="s">
        <v>1148</v>
      </c>
      <c r="E25" s="7" t="s">
        <v>127</v>
      </c>
      <c r="F25" s="7" t="s">
        <v>863</v>
      </c>
      <c r="G25" s="7" t="str">
        <f t="shared" si="3"/>
        <v>text</v>
      </c>
      <c r="H25" s="58"/>
      <c r="I25" s="23" t="s">
        <v>127</v>
      </c>
      <c r="J25" s="24" t="s">
        <v>1150</v>
      </c>
      <c r="M25" s="4"/>
      <c r="N25" s="76"/>
      <c r="O25" s="76"/>
      <c r="P25" s="76" t="str">
        <f t="shared" si="4"/>
        <v>,santei_ymd</v>
      </c>
      <c r="Q25" s="76" t="str">
        <f t="shared" si="0"/>
        <v>TEXT</v>
      </c>
      <c r="R25" s="76" t="str">
        <f t="shared" si="1"/>
        <v/>
      </c>
      <c r="S25" s="76" t="str">
        <f t="shared" si="5"/>
        <v>NOT NULL</v>
      </c>
      <c r="T25" s="76" t="str">
        <f t="shared" si="6"/>
        <v>-- 算定日</v>
      </c>
      <c r="U25" s="4"/>
      <c r="AA25" s="4"/>
      <c r="AB25" s="4"/>
      <c r="AC25" s="4"/>
      <c r="AD25" s="4"/>
      <c r="AE25" s="4"/>
      <c r="AF25" s="4"/>
      <c r="AG25" s="4"/>
      <c r="AH25" s="4"/>
      <c r="AI25" s="4"/>
      <c r="AJ25" s="76" t="str">
        <f>IF(E25="○",IF(COUNTA(E$13:E25)=1,"",",")&amp;D25,"")</f>
        <v>,santei_ymd</v>
      </c>
      <c r="AK25" s="4"/>
      <c r="AL25" s="4"/>
      <c r="AM25" s="4"/>
      <c r="AN25" s="4"/>
      <c r="AO25" s="4"/>
      <c r="AP25" s="4"/>
      <c r="AQ25" s="4"/>
      <c r="AR25" s="4"/>
      <c r="AS25" s="76" t="str">
        <f>"COMMENT ON COLUMN "&amp;エンティティ一覧!$O$2&amp;"."&amp;D$8&amp;"."&amp;D25&amp;" IS '"&amp;C25&amp;"';"</f>
        <v>COMMENT ON COLUMN milscm_2023_010.azn_202310_backup_merge_receiptd_si_day.santei_ymd IS '算定日';</v>
      </c>
    </row>
    <row r="26" spans="1:52" s="25" customFormat="1" ht="19.5" thickBot="1">
      <c r="A26" s="4"/>
      <c r="B26" s="27">
        <f>ROW()-12</f>
        <v>14</v>
      </c>
      <c r="C26" s="57" t="s">
        <v>1149</v>
      </c>
      <c r="D26" s="57" t="s">
        <v>1130</v>
      </c>
      <c r="E26" s="56"/>
      <c r="F26" s="56" t="s">
        <v>203</v>
      </c>
      <c r="G26" s="56" t="str">
        <f t="shared" si="3"/>
        <v>integer</v>
      </c>
      <c r="H26" s="59"/>
      <c r="I26" s="60"/>
      <c r="J26" s="63"/>
      <c r="N26" s="76"/>
      <c r="O26" s="76"/>
      <c r="P26" s="76" t="str">
        <f t="shared" si="4"/>
        <v>,times</v>
      </c>
      <c r="Q26" s="76" t="str">
        <f t="shared" si="0"/>
        <v>INTEGER</v>
      </c>
      <c r="R26" s="76" t="str">
        <f t="shared" si="1"/>
        <v/>
      </c>
      <c r="S26" s="76" t="str">
        <f t="shared" si="5"/>
        <v/>
      </c>
      <c r="T26" s="76" t="str">
        <f t="shared" si="6"/>
        <v>-- 回数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milscm_2023_010.azn_202310_backup_merge_receiptd_si_day.times IS '回数';</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ENT_01_C3-18</v>
      </c>
      <c r="E6" s="272"/>
      <c r="F6" s="272"/>
      <c r="G6" s="272"/>
      <c r="H6" s="272"/>
      <c r="I6" s="272"/>
      <c r="J6" s="273"/>
    </row>
    <row r="7" spans="1:45">
      <c r="B7" s="261" t="s">
        <v>115</v>
      </c>
      <c r="C7" s="262"/>
      <c r="D7" s="263" t="s">
        <v>1233</v>
      </c>
      <c r="E7" s="264"/>
      <c r="F7" s="264"/>
      <c r="G7" s="264"/>
      <c r="H7" s="264"/>
      <c r="I7" s="264"/>
      <c r="J7" s="265"/>
    </row>
    <row r="8" spans="1:45">
      <c r="B8" s="261" t="s">
        <v>116</v>
      </c>
      <c r="C8" s="262"/>
      <c r="D8" s="263" t="str">
        <f>エンティティ一覧!AE2&amp;"_"&amp;D5&amp;"_merge_receiptd_iy"</f>
        <v>azn_202310_backup_merge_receiptd_iy</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DPCレセプト_医薬品レコードテーブルから組入れ条件の第一条件で絞り込んだ結果を格納するテーブル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milscm_2023_010.azn_202310_backup_merge_receiptd_iy;</v>
      </c>
      <c r="O10" s="76"/>
      <c r="P10" s="76"/>
      <c r="Q10" s="76"/>
      <c r="R10" s="76"/>
      <c r="S10" s="76"/>
      <c r="T10" s="76"/>
      <c r="AJ10" s="76" t="str">
        <f>"ALTER TABLE ONLY "&amp;エンティティ一覧!$O$2&amp;"."&amp;D$8</f>
        <v>ALTER TABLE ONLY milscm_2023_010.azn_202310_backup_merge_receiptd_iy</v>
      </c>
      <c r="AS10" s="76" t="str">
        <f>"ALTER TABLE "&amp;エンティティ一覧!$O$2&amp;"."&amp;D$8&amp;" OWNER TO pgmisgrp1;"</f>
        <v>ALTER TABLE milscm_2023_010.azn_202310_backup_merge_receiptd_iy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milscm_2023_010.azn_202310_backup_merge_receiptd_iy</v>
      </c>
      <c r="O11" s="76"/>
      <c r="P11" s="76"/>
      <c r="Q11" s="76"/>
      <c r="R11" s="76"/>
      <c r="S11" s="76"/>
      <c r="T11" s="76"/>
      <c r="AJ11" s="76" t="str">
        <f>"ADD CONSTRAINT "&amp;D$8&amp;"_pkey PRIMARY KEY"</f>
        <v>ADD CONSTRAINT azn_202310_backup_merge_receiptd_iy_pkey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milscm_2023_010.azn_202310_backup_merge_receiptd_iy IS 'バックアップ_DPCレセプト_医薬品レコード';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6" si="0">UPPER(G13)</f>
        <v>TEXT</v>
      </c>
      <c r="R13" s="76" t="str">
        <f t="shared" ref="R13:R3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milscm_2023_010.azn_202310_backup_merge_receiptd_iy.torikomi_ym IS '取込年月';</v>
      </c>
    </row>
    <row r="14" spans="1:45" s="25" customFormat="1">
      <c r="A14" s="4"/>
      <c r="B14" s="21">
        <f t="shared" ref="B14:B35" si="2">ROW()-12</f>
        <v>2</v>
      </c>
      <c r="C14" s="6" t="s">
        <v>201</v>
      </c>
      <c r="D14" s="6" t="s">
        <v>202</v>
      </c>
      <c r="E14" s="8"/>
      <c r="F14" s="7" t="s">
        <v>203</v>
      </c>
      <c r="G14" s="7" t="str">
        <f t="shared" ref="G14:G36" si="3">IF(F14="フラグ","boolean",IF(F14="文字列","text",IF(F14="整数","integer",IF(F14="実数","numeric",""))))</f>
        <v>integer</v>
      </c>
      <c r="H14" s="26"/>
      <c r="I14" s="10"/>
      <c r="J14" s="11" t="s">
        <v>256</v>
      </c>
      <c r="M14" s="4"/>
      <c r="N14" s="76"/>
      <c r="O14" s="76"/>
      <c r="P14" s="76" t="str">
        <f t="shared" ref="P14:P3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milscm_2023_010.azn_202310_backup_merge_receiptd_iy.mil_karute_id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1198</v>
      </c>
      <c r="M15" s="4"/>
      <c r="N15" s="76"/>
      <c r="O15" s="76"/>
      <c r="P15" s="76" t="str">
        <f t="shared" si="4"/>
        <v>,facility_id</v>
      </c>
      <c r="Q15" s="76" t="str">
        <f t="shared" si="0"/>
        <v>TEXT</v>
      </c>
      <c r="R15" s="76" t="str">
        <f t="shared" si="1"/>
        <v/>
      </c>
      <c r="S15" s="76" t="str">
        <f t="shared" ref="S15:S36" si="5">IF(I15="○","NOT NULL","")</f>
        <v>NOT NULL</v>
      </c>
      <c r="T15" s="76" t="str">
        <f t="shared" ref="T15:T3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milscm_2023_010.azn_202310_backup_merge_receiptd_iy.facility_id IS '施設ID';</v>
      </c>
    </row>
    <row r="16" spans="1:45" s="25" customFormat="1">
      <c r="A16" s="4"/>
      <c r="B16" s="21">
        <f t="shared" si="2"/>
        <v>4</v>
      </c>
      <c r="C16" s="13" t="s">
        <v>902</v>
      </c>
      <c r="D16" s="13" t="s">
        <v>903</v>
      </c>
      <c r="E16" s="7" t="s">
        <v>127</v>
      </c>
      <c r="F16" s="7" t="s">
        <v>863</v>
      </c>
      <c r="G16" s="7" t="str">
        <f t="shared" si="3"/>
        <v>text</v>
      </c>
      <c r="H16" s="58"/>
      <c r="I16" s="23" t="s">
        <v>127</v>
      </c>
      <c r="J16" s="24" t="s">
        <v>1053</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milscm_2023_010.azn_202310_backup_merge_receiptd_iy.seikyu_ym IS '請求年月';</v>
      </c>
    </row>
    <row r="17" spans="1:45" s="25" customFormat="1">
      <c r="A17" s="4"/>
      <c r="B17" s="21">
        <f t="shared" si="2"/>
        <v>5</v>
      </c>
      <c r="C17" s="13" t="s">
        <v>864</v>
      </c>
      <c r="D17" s="13" t="s">
        <v>205</v>
      </c>
      <c r="E17" s="7" t="s">
        <v>127</v>
      </c>
      <c r="F17" s="7" t="s">
        <v>863</v>
      </c>
      <c r="G17" s="7" t="str">
        <f t="shared" si="3"/>
        <v>text</v>
      </c>
      <c r="H17" s="58"/>
      <c r="I17" s="23" t="s">
        <v>127</v>
      </c>
      <c r="J17" s="24" t="s">
        <v>1112</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milscm_2023_010.azn_202310_backup_merge_receiptd_iy.shinryo_ym IS '診療年月';</v>
      </c>
    </row>
    <row r="18" spans="1:45" s="25" customFormat="1">
      <c r="A18" s="4"/>
      <c r="B18" s="21">
        <f t="shared" si="2"/>
        <v>6</v>
      </c>
      <c r="C18" s="13" t="s">
        <v>318</v>
      </c>
      <c r="D18" s="13" t="s">
        <v>207</v>
      </c>
      <c r="E18" s="7"/>
      <c r="F18" s="7" t="s">
        <v>863</v>
      </c>
      <c r="G18" s="7" t="str">
        <f t="shared" si="3"/>
        <v>text</v>
      </c>
      <c r="H18" s="58" t="s">
        <v>930</v>
      </c>
      <c r="I18" s="23" t="s">
        <v>127</v>
      </c>
      <c r="J18" s="24" t="s">
        <v>931</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milscm_2023_010.azn_202310_backup_merge_receiptd_iy.data_type IS 'データ種別';</v>
      </c>
    </row>
    <row r="19" spans="1:45" s="25" customFormat="1">
      <c r="A19" s="4"/>
      <c r="B19" s="21">
        <f t="shared" si="2"/>
        <v>7</v>
      </c>
      <c r="C19" s="13" t="s">
        <v>904</v>
      </c>
      <c r="D19" s="13" t="s">
        <v>905</v>
      </c>
      <c r="E19" s="7" t="s">
        <v>127</v>
      </c>
      <c r="F19" s="7" t="s">
        <v>863</v>
      </c>
      <c r="G19" s="7" t="str">
        <f t="shared" si="3"/>
        <v>text</v>
      </c>
      <c r="H19" s="58"/>
      <c r="I19" s="23" t="s">
        <v>127</v>
      </c>
      <c r="J19" s="24" t="s">
        <v>1055</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milscm_2023_010.azn_202310_backup_merge_receiptd_iy.shinsa_kikan IS '審査支払機関';</v>
      </c>
    </row>
    <row r="20" spans="1:45" s="25" customFormat="1">
      <c r="A20" s="4"/>
      <c r="B20" s="21">
        <f t="shared" si="2"/>
        <v>8</v>
      </c>
      <c r="C20" s="13" t="s">
        <v>906</v>
      </c>
      <c r="D20" s="13" t="s">
        <v>907</v>
      </c>
      <c r="E20" s="7"/>
      <c r="F20" s="7" t="s">
        <v>863</v>
      </c>
      <c r="G20" s="7" t="str">
        <f t="shared" si="3"/>
        <v>text</v>
      </c>
      <c r="H20" s="58" t="s">
        <v>1159</v>
      </c>
      <c r="I20" s="23" t="s">
        <v>127</v>
      </c>
      <c r="J20" s="24" t="s">
        <v>1160</v>
      </c>
      <c r="M20" s="4"/>
      <c r="N20" s="76"/>
      <c r="O20" s="76"/>
      <c r="P20" s="76" t="str">
        <f t="shared" si="4"/>
        <v>,record_shikibetsu</v>
      </c>
      <c r="Q20" s="76" t="str">
        <f t="shared" si="0"/>
        <v>TEXT</v>
      </c>
      <c r="R20" s="76" t="str">
        <f t="shared" si="1"/>
        <v>default 'IY'</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milscm_2023_010.azn_202310_backup_merge_receiptd_iy.record_shikibetsu IS 'レコード識別情報';</v>
      </c>
    </row>
    <row r="21" spans="1:45" s="25" customFormat="1">
      <c r="A21" s="4"/>
      <c r="B21" s="21">
        <f t="shared" si="2"/>
        <v>9</v>
      </c>
      <c r="C21" s="13" t="s">
        <v>908</v>
      </c>
      <c r="D21" s="13" t="s">
        <v>909</v>
      </c>
      <c r="E21" s="7" t="s">
        <v>127</v>
      </c>
      <c r="F21" s="7" t="s">
        <v>203</v>
      </c>
      <c r="G21" s="7" t="str">
        <f t="shared" si="3"/>
        <v>integer</v>
      </c>
      <c r="H21" s="58"/>
      <c r="I21" s="23" t="s">
        <v>127</v>
      </c>
      <c r="J21" s="24" t="s">
        <v>1058</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milscm_2023_010.azn_202310_backup_merge_receiptd_iy.receipt_no IS 'レセプト番号';</v>
      </c>
    </row>
    <row r="22" spans="1:45" s="25" customFormat="1">
      <c r="A22" s="4"/>
      <c r="B22" s="21">
        <f t="shared" si="2"/>
        <v>10</v>
      </c>
      <c r="C22" s="13" t="s">
        <v>910</v>
      </c>
      <c r="D22" s="13" t="s">
        <v>911</v>
      </c>
      <c r="E22" s="7" t="s">
        <v>127</v>
      </c>
      <c r="F22" s="7" t="s">
        <v>203</v>
      </c>
      <c r="G22" s="7" t="str">
        <f t="shared" si="3"/>
        <v>integer</v>
      </c>
      <c r="H22" s="58"/>
      <c r="I22" s="23" t="s">
        <v>127</v>
      </c>
      <c r="J22" s="24" t="s">
        <v>1203</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milscm_2023_010.azn_202310_backup_merge_receiptd_iy.gyo_no IS '行番号';</v>
      </c>
    </row>
    <row r="23" spans="1:45" s="25" customFormat="1">
      <c r="A23" s="4"/>
      <c r="B23" s="21">
        <f t="shared" si="2"/>
        <v>11</v>
      </c>
      <c r="C23" s="13" t="s">
        <v>912</v>
      </c>
      <c r="D23" s="13" t="s">
        <v>913</v>
      </c>
      <c r="E23" s="7"/>
      <c r="F23" s="7" t="s">
        <v>863</v>
      </c>
      <c r="G23" s="7" t="str">
        <f t="shared" si="3"/>
        <v>text</v>
      </c>
      <c r="H23" s="58"/>
      <c r="I23" s="23"/>
      <c r="J23" s="24" t="s">
        <v>1060</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milscm_2023_010.azn_202310_backup_merge_receiptd_iy.karute_no IS 'カルテ番号等';</v>
      </c>
    </row>
    <row r="24" spans="1:45" s="25" customFormat="1">
      <c r="A24" s="4"/>
      <c r="B24" s="21">
        <f t="shared" si="2"/>
        <v>12</v>
      </c>
      <c r="C24" s="13" t="s">
        <v>1196</v>
      </c>
      <c r="D24" s="13" t="s">
        <v>1197</v>
      </c>
      <c r="E24" s="7"/>
      <c r="F24" s="7" t="s">
        <v>863</v>
      </c>
      <c r="G24" s="7" t="str">
        <f t="shared" si="3"/>
        <v>text</v>
      </c>
      <c r="H24" s="58"/>
      <c r="I24" s="23"/>
      <c r="J24" s="24" t="s">
        <v>1218</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milscm_2023_010.azn_202310_backup_merge_receiptd_iy.receipt_sokatsu_kubun IS 'レセプト総括区分';</v>
      </c>
    </row>
    <row r="25" spans="1:45" s="25" customFormat="1">
      <c r="A25" s="4"/>
      <c r="B25" s="21">
        <f t="shared" si="2"/>
        <v>13</v>
      </c>
      <c r="C25" s="13" t="s">
        <v>1119</v>
      </c>
      <c r="D25" s="13" t="s">
        <v>1120</v>
      </c>
      <c r="E25" s="7"/>
      <c r="F25" s="7" t="s">
        <v>863</v>
      </c>
      <c r="G25" s="7" t="str">
        <f t="shared" si="3"/>
        <v>text</v>
      </c>
      <c r="H25" s="58"/>
      <c r="I25" s="23"/>
      <c r="J25" s="24"/>
      <c r="M25" s="4"/>
      <c r="N25" s="76"/>
      <c r="O25" s="76"/>
      <c r="P25" s="76" t="str">
        <f t="shared" si="4"/>
        <v>,shinryo_shikibetsu</v>
      </c>
      <c r="Q25" s="76" t="str">
        <f t="shared" si="0"/>
        <v>TEXT</v>
      </c>
      <c r="R25" s="76" t="str">
        <f t="shared" si="1"/>
        <v/>
      </c>
      <c r="S25" s="76" t="str">
        <f t="shared" si="5"/>
        <v/>
      </c>
      <c r="T25" s="76" t="str">
        <f t="shared" si="6"/>
        <v>-- 診療識別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milscm_2023_010.azn_202310_backup_merge_receiptd_iy.shinryo_shikibetsu IS '診療識別';</v>
      </c>
    </row>
    <row r="26" spans="1:45" s="25" customFormat="1">
      <c r="A26" s="4"/>
      <c r="B26" s="21">
        <f t="shared" si="2"/>
        <v>14</v>
      </c>
      <c r="C26" s="13" t="s">
        <v>1121</v>
      </c>
      <c r="D26" s="13" t="s">
        <v>1122</v>
      </c>
      <c r="E26" s="7"/>
      <c r="F26" s="7" t="s">
        <v>863</v>
      </c>
      <c r="G26" s="7" t="str">
        <f t="shared" si="3"/>
        <v>text</v>
      </c>
      <c r="H26" s="58"/>
      <c r="I26" s="23"/>
      <c r="J26" s="24"/>
      <c r="M26" s="4"/>
      <c r="N26" s="76"/>
      <c r="O26" s="76"/>
      <c r="P26" s="76" t="str">
        <f t="shared" si="4"/>
        <v>,futan_kubun</v>
      </c>
      <c r="Q26" s="76" t="str">
        <f t="shared" si="0"/>
        <v>TEXT</v>
      </c>
      <c r="R26" s="76" t="str">
        <f t="shared" si="1"/>
        <v/>
      </c>
      <c r="S26" s="76" t="str">
        <f t="shared" si="5"/>
        <v/>
      </c>
      <c r="T26" s="76" t="str">
        <f t="shared" si="6"/>
        <v>-- 負担区分</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milscm_2023_010.azn_202310_backup_merge_receiptd_iy.futan_kubun IS '負担区分';</v>
      </c>
    </row>
    <row r="27" spans="1:45" s="25" customFormat="1">
      <c r="A27" s="4"/>
      <c r="B27" s="21">
        <f t="shared" si="2"/>
        <v>15</v>
      </c>
      <c r="C27" s="13" t="s">
        <v>1155</v>
      </c>
      <c r="D27" s="13" t="s">
        <v>1156</v>
      </c>
      <c r="E27" s="7"/>
      <c r="F27" s="7" t="s">
        <v>863</v>
      </c>
      <c r="G27" s="7" t="str">
        <f t="shared" si="3"/>
        <v>text</v>
      </c>
      <c r="H27" s="58"/>
      <c r="I27" s="23"/>
      <c r="J27" s="24"/>
      <c r="M27" s="4"/>
      <c r="N27" s="76"/>
      <c r="O27" s="76"/>
      <c r="P27" s="76" t="str">
        <f t="shared" si="4"/>
        <v>,iyakuhin_code</v>
      </c>
      <c r="Q27" s="76" t="str">
        <f t="shared" si="0"/>
        <v>TEXT</v>
      </c>
      <c r="R27" s="76" t="str">
        <f t="shared" si="1"/>
        <v/>
      </c>
      <c r="S27" s="76" t="str">
        <f t="shared" si="5"/>
        <v/>
      </c>
      <c r="T27" s="76" t="str">
        <f t="shared" si="6"/>
        <v>-- 医薬品コード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milscm_2023_010.azn_202310_backup_merge_receiptd_iy.iyakuhin_code IS '医薬品コード';</v>
      </c>
    </row>
    <row r="28" spans="1:45" s="25" customFormat="1" ht="37.5">
      <c r="A28" s="4"/>
      <c r="B28" s="21">
        <f t="shared" si="2"/>
        <v>16</v>
      </c>
      <c r="C28" s="13" t="s">
        <v>1157</v>
      </c>
      <c r="D28" s="13" t="s">
        <v>129</v>
      </c>
      <c r="E28" s="7"/>
      <c r="F28" s="7" t="s">
        <v>1158</v>
      </c>
      <c r="G28" s="7" t="str">
        <f t="shared" si="3"/>
        <v>numeric</v>
      </c>
      <c r="H28" s="58"/>
      <c r="I28" s="23"/>
      <c r="J28" s="24" t="s">
        <v>1161</v>
      </c>
      <c r="M28" s="4"/>
      <c r="N28" s="76"/>
      <c r="O28" s="76"/>
      <c r="P28" s="76" t="str">
        <f t="shared" si="4"/>
        <v>,shiyoryo</v>
      </c>
      <c r="Q28" s="76" t="str">
        <f t="shared" si="0"/>
        <v>NUMERIC</v>
      </c>
      <c r="R28" s="76" t="str">
        <f t="shared" si="1"/>
        <v/>
      </c>
      <c r="S28" s="76" t="str">
        <f t="shared" si="5"/>
        <v/>
      </c>
      <c r="T28" s="76" t="str">
        <f t="shared" si="6"/>
        <v>-- 使用量</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milscm_2023_010.azn_202310_backup_merge_receiptd_iy.shiyoryo IS '使用量';</v>
      </c>
    </row>
    <row r="29" spans="1:45" s="25" customFormat="1">
      <c r="A29" s="4"/>
      <c r="B29" s="21">
        <f t="shared" si="2"/>
        <v>17</v>
      </c>
      <c r="C29" s="13" t="s">
        <v>1127</v>
      </c>
      <c r="D29" s="13" t="s">
        <v>1128</v>
      </c>
      <c r="E29" s="7"/>
      <c r="F29" s="7" t="s">
        <v>203</v>
      </c>
      <c r="G29" s="7" t="str">
        <f t="shared" si="3"/>
        <v>integer</v>
      </c>
      <c r="H29" s="58"/>
      <c r="I29" s="23"/>
      <c r="J29" s="24"/>
      <c r="M29" s="4"/>
      <c r="N29" s="76"/>
      <c r="O29" s="76"/>
      <c r="P29" s="76" t="str">
        <f t="shared" si="4"/>
        <v>,tensu</v>
      </c>
      <c r="Q29" s="76" t="str">
        <f t="shared" si="0"/>
        <v>INTEGER</v>
      </c>
      <c r="R29" s="76" t="str">
        <f t="shared" si="1"/>
        <v/>
      </c>
      <c r="S29" s="76" t="str">
        <f t="shared" si="5"/>
        <v/>
      </c>
      <c r="T29" s="76" t="str">
        <f t="shared" si="6"/>
        <v>-- 点数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milscm_2023_010.azn_202310_backup_merge_receiptd_iy.tensu IS '点数';</v>
      </c>
    </row>
    <row r="30" spans="1:45" s="25" customFormat="1">
      <c r="A30" s="4"/>
      <c r="B30" s="21">
        <f t="shared" si="2"/>
        <v>18</v>
      </c>
      <c r="C30" s="13" t="s">
        <v>1129</v>
      </c>
      <c r="D30" s="13" t="s">
        <v>1130</v>
      </c>
      <c r="E30" s="7"/>
      <c r="F30" s="7" t="s">
        <v>203</v>
      </c>
      <c r="G30" s="7" t="str">
        <f t="shared" si="3"/>
        <v>integer</v>
      </c>
      <c r="H30" s="58"/>
      <c r="I30" s="23"/>
      <c r="J30" s="24"/>
      <c r="M30" s="4"/>
      <c r="N30" s="76"/>
      <c r="O30" s="76"/>
      <c r="P30" s="76" t="str">
        <f t="shared" si="4"/>
        <v>,times</v>
      </c>
      <c r="Q30" s="76" t="str">
        <f t="shared" si="0"/>
        <v>INTEGER</v>
      </c>
      <c r="R30" s="76" t="str">
        <f t="shared" si="1"/>
        <v/>
      </c>
      <c r="S30" s="76" t="str">
        <f t="shared" si="5"/>
        <v/>
      </c>
      <c r="T30" s="76" t="str">
        <f t="shared" si="6"/>
        <v>-- 回数</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milscm_2023_010.azn_202310_backup_merge_receiptd_iy.times IS '回数';</v>
      </c>
    </row>
    <row r="31" spans="1:45" s="25" customFormat="1">
      <c r="A31" s="4"/>
      <c r="B31" s="21">
        <f t="shared" si="2"/>
        <v>19</v>
      </c>
      <c r="C31" s="13" t="s">
        <v>1131</v>
      </c>
      <c r="D31" s="13" t="s">
        <v>1132</v>
      </c>
      <c r="E31" s="7"/>
      <c r="F31" s="7" t="s">
        <v>863</v>
      </c>
      <c r="G31" s="7" t="str">
        <f t="shared" si="3"/>
        <v>text</v>
      </c>
      <c r="H31" s="58"/>
      <c r="I31" s="23"/>
      <c r="J31" s="24"/>
      <c r="M31" s="4"/>
      <c r="N31" s="76"/>
      <c r="O31" s="76"/>
      <c r="P31" s="76" t="str">
        <f t="shared" si="4"/>
        <v>,comment_code1</v>
      </c>
      <c r="Q31" s="76" t="str">
        <f t="shared" si="0"/>
        <v>TEXT</v>
      </c>
      <c r="R31" s="76" t="str">
        <f t="shared" si="1"/>
        <v/>
      </c>
      <c r="S31" s="76" t="str">
        <f t="shared" si="5"/>
        <v/>
      </c>
      <c r="T31" s="76" t="str">
        <f t="shared" si="6"/>
        <v>-- コメントコード1</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milscm_2023_010.azn_202310_backup_merge_receiptd_iy.comment_code1 IS 'コメントコード1';</v>
      </c>
    </row>
    <row r="32" spans="1:45" s="25" customFormat="1">
      <c r="A32" s="4"/>
      <c r="B32" s="21">
        <f t="shared" si="2"/>
        <v>20</v>
      </c>
      <c r="C32" s="13" t="s">
        <v>1133</v>
      </c>
      <c r="D32" s="13" t="s">
        <v>1134</v>
      </c>
      <c r="E32" s="7"/>
      <c r="F32" s="7" t="s">
        <v>863</v>
      </c>
      <c r="G32" s="7" t="str">
        <f t="shared" si="3"/>
        <v>text</v>
      </c>
      <c r="H32" s="58"/>
      <c r="I32" s="23"/>
      <c r="J32" s="24"/>
      <c r="M32" s="4"/>
      <c r="N32" s="76"/>
      <c r="O32" s="76"/>
      <c r="P32" s="76" t="str">
        <f t="shared" si="4"/>
        <v>,comment_data1</v>
      </c>
      <c r="Q32" s="76" t="str">
        <f t="shared" si="0"/>
        <v>TEXT</v>
      </c>
      <c r="R32" s="76" t="str">
        <f t="shared" si="1"/>
        <v/>
      </c>
      <c r="S32" s="76" t="str">
        <f t="shared" si="5"/>
        <v/>
      </c>
      <c r="T32" s="76" t="str">
        <f t="shared" si="6"/>
        <v>-- 文字データ1</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milscm_2023_010.azn_202310_backup_merge_receiptd_iy.comment_data1 IS '文字データ1';</v>
      </c>
    </row>
    <row r="33" spans="1:52" s="25" customFormat="1">
      <c r="A33" s="4"/>
      <c r="B33" s="21">
        <f t="shared" si="2"/>
        <v>21</v>
      </c>
      <c r="C33" s="13" t="s">
        <v>1135</v>
      </c>
      <c r="D33" s="13" t="s">
        <v>1136</v>
      </c>
      <c r="E33" s="7"/>
      <c r="F33" s="7" t="s">
        <v>863</v>
      </c>
      <c r="G33" s="7" t="str">
        <f t="shared" si="3"/>
        <v>text</v>
      </c>
      <c r="H33" s="58"/>
      <c r="I33" s="23"/>
      <c r="J33" s="24"/>
      <c r="M33" s="4"/>
      <c r="N33" s="76"/>
      <c r="O33" s="76"/>
      <c r="P33" s="76" t="str">
        <f t="shared" si="4"/>
        <v>,comment_code2</v>
      </c>
      <c r="Q33" s="76" t="str">
        <f t="shared" si="0"/>
        <v>TEXT</v>
      </c>
      <c r="R33" s="76" t="str">
        <f t="shared" si="1"/>
        <v/>
      </c>
      <c r="S33" s="76" t="str">
        <f t="shared" si="5"/>
        <v/>
      </c>
      <c r="T33" s="76" t="str">
        <f t="shared" si="6"/>
        <v>-- コメントコード2</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milscm_2023_010.azn_202310_backup_merge_receiptd_iy.comment_code2 IS 'コメントコード2';</v>
      </c>
    </row>
    <row r="34" spans="1:52" s="25" customFormat="1">
      <c r="A34" s="4"/>
      <c r="B34" s="21">
        <f t="shared" si="2"/>
        <v>22</v>
      </c>
      <c r="C34" s="13" t="s">
        <v>1137</v>
      </c>
      <c r="D34" s="13" t="s">
        <v>1138</v>
      </c>
      <c r="E34" s="7"/>
      <c r="F34" s="7" t="s">
        <v>863</v>
      </c>
      <c r="G34" s="7" t="str">
        <f t="shared" si="3"/>
        <v>text</v>
      </c>
      <c r="H34" s="58"/>
      <c r="I34" s="23"/>
      <c r="J34" s="24"/>
      <c r="M34" s="4"/>
      <c r="N34" s="76"/>
      <c r="O34" s="76"/>
      <c r="P34" s="76" t="str">
        <f t="shared" si="4"/>
        <v>,comment_data2</v>
      </c>
      <c r="Q34" s="76" t="str">
        <f t="shared" si="0"/>
        <v>TEXT</v>
      </c>
      <c r="R34" s="76" t="str">
        <f t="shared" si="1"/>
        <v/>
      </c>
      <c r="S34" s="76" t="str">
        <f t="shared" si="5"/>
        <v/>
      </c>
      <c r="T34" s="76" t="str">
        <f t="shared" si="6"/>
        <v>-- 文字データ2</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milscm_2023_010.azn_202310_backup_merge_receiptd_iy.comment_data2 IS '文字データ2';</v>
      </c>
    </row>
    <row r="35" spans="1:52" s="25" customFormat="1">
      <c r="A35" s="4"/>
      <c r="B35" s="21">
        <f t="shared" si="2"/>
        <v>23</v>
      </c>
      <c r="C35" s="13" t="s">
        <v>1139</v>
      </c>
      <c r="D35" s="13" t="s">
        <v>1140</v>
      </c>
      <c r="E35" s="7"/>
      <c r="F35" s="7" t="s">
        <v>863</v>
      </c>
      <c r="G35" s="7" t="str">
        <f t="shared" si="3"/>
        <v>text</v>
      </c>
      <c r="H35" s="58"/>
      <c r="I35" s="23"/>
      <c r="J35" s="24"/>
      <c r="M35" s="4"/>
      <c r="N35" s="76"/>
      <c r="O35" s="76"/>
      <c r="P35" s="76" t="str">
        <f t="shared" si="4"/>
        <v>,comment_code3</v>
      </c>
      <c r="Q35" s="76" t="str">
        <f t="shared" si="0"/>
        <v>TEXT</v>
      </c>
      <c r="R35" s="76" t="str">
        <f t="shared" si="1"/>
        <v/>
      </c>
      <c r="S35" s="76" t="str">
        <f t="shared" si="5"/>
        <v/>
      </c>
      <c r="T35" s="76" t="str">
        <f t="shared" si="6"/>
        <v>-- コメントコード3</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milscm_2023_010.azn_202310_backup_merge_receiptd_iy.comment_code3 IS 'コメントコード3';</v>
      </c>
    </row>
    <row r="36" spans="1:52" s="25" customFormat="1" ht="19.5" thickBot="1">
      <c r="A36" s="4"/>
      <c r="B36" s="27">
        <f>ROW()-12</f>
        <v>24</v>
      </c>
      <c r="C36" s="57" t="s">
        <v>1141</v>
      </c>
      <c r="D36" s="57" t="s">
        <v>1142</v>
      </c>
      <c r="E36" s="56"/>
      <c r="F36" s="56" t="s">
        <v>863</v>
      </c>
      <c r="G36" s="56" t="str">
        <f t="shared" si="3"/>
        <v>text</v>
      </c>
      <c r="H36" s="59"/>
      <c r="I36" s="60"/>
      <c r="J36" s="63"/>
      <c r="N36" s="76"/>
      <c r="O36" s="76"/>
      <c r="P36" s="76" t="str">
        <f t="shared" si="4"/>
        <v>,comment_data3</v>
      </c>
      <c r="Q36" s="76" t="str">
        <f t="shared" si="0"/>
        <v>TEXT</v>
      </c>
      <c r="R36" s="76" t="str">
        <f t="shared" si="1"/>
        <v/>
      </c>
      <c r="S36" s="76" t="str">
        <f t="shared" si="5"/>
        <v/>
      </c>
      <c r="T36" s="76" t="str">
        <f t="shared" si="6"/>
        <v>-- 文字データ3</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milscm_2023_010.azn_202310_backup_merge_receiptd_iy.comment_data3 IS '文字データ3';</v>
      </c>
    </row>
    <row r="37" spans="1:52">
      <c r="L37" s="25"/>
      <c r="M37" s="25"/>
      <c r="N37" s="76" t="s">
        <v>142</v>
      </c>
      <c r="O37" s="76"/>
      <c r="P37" s="76"/>
      <c r="Q37" s="76"/>
      <c r="R37" s="76"/>
      <c r="S37" s="76"/>
      <c r="T37" s="76"/>
      <c r="V37" s="25"/>
      <c r="W37" s="25"/>
      <c r="X37" s="25"/>
      <c r="Y37" s="25"/>
      <c r="Z37" s="25"/>
      <c r="AJ37" s="76"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ENT_01_C3-19</v>
      </c>
      <c r="E6" s="272"/>
      <c r="F6" s="272"/>
      <c r="G6" s="272"/>
      <c r="H6" s="272"/>
      <c r="I6" s="272"/>
      <c r="J6" s="273"/>
    </row>
    <row r="7" spans="1:45">
      <c r="B7" s="261" t="s">
        <v>115</v>
      </c>
      <c r="C7" s="262"/>
      <c r="D7" s="263" t="s">
        <v>1235</v>
      </c>
      <c r="E7" s="264"/>
      <c r="F7" s="264"/>
      <c r="G7" s="264"/>
      <c r="H7" s="264"/>
      <c r="I7" s="264"/>
      <c r="J7" s="265"/>
    </row>
    <row r="8" spans="1:45">
      <c r="B8" s="261" t="s">
        <v>116</v>
      </c>
      <c r="C8" s="262"/>
      <c r="D8" s="263" t="str">
        <f>エンティティ一覧!AE2&amp;"_"&amp;D5&amp;"_merge_receiptd_iy_day"</f>
        <v>azn_202310_backup_merge_receiptd_iy_day</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DPCレセプト_医薬品レコード_算定日情報テーブルから組入れ条件の第一条件で絞り込んだ結果を格納するテーブル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milscm_2023_010.azn_202310_backup_merge_receiptd_iy_day;</v>
      </c>
      <c r="O10" s="76"/>
      <c r="P10" s="76"/>
      <c r="Q10" s="76"/>
      <c r="R10" s="76"/>
      <c r="S10" s="76"/>
      <c r="T10" s="76"/>
      <c r="AJ10" s="76" t="str">
        <f>"ALTER TABLE ONLY "&amp;エンティティ一覧!$O$2&amp;"."&amp;D$8</f>
        <v>ALTER TABLE ONLY milscm_2023_010.azn_202310_backup_merge_receiptd_iy_day</v>
      </c>
      <c r="AS10" s="76" t="str">
        <f>"ALTER TABLE "&amp;エンティティ一覧!$O$2&amp;"."&amp;D$8&amp;" OWNER TO pgmisgrp1;"</f>
        <v>ALTER TABLE milscm_2023_010.azn_202310_backup_merge_receiptd_iy_day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milscm_2023_010.azn_202310_backup_merge_receiptd_iy_day</v>
      </c>
      <c r="O11" s="76"/>
      <c r="P11" s="76"/>
      <c r="Q11" s="76"/>
      <c r="R11" s="76"/>
      <c r="S11" s="76"/>
      <c r="T11" s="76"/>
      <c r="AJ11" s="76" t="str">
        <f>"ADD CONSTRAINT "&amp;D$8&amp;"_pkey PRIMARY KEY"</f>
        <v>ADD CONSTRAINT azn_202310_backup_merge_receiptd_iy_day_pkey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milscm_2023_010.azn_202310_backup_merge_receiptd_iy_day IS 'バックアップ_DPCレセプト_医薬品レコード_算定日情報';</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6" si="0">UPPER(G13)</f>
        <v>TEXT</v>
      </c>
      <c r="R13" s="76" t="str">
        <f t="shared" ref="R13:R2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milscm_2023_010.azn_202310_backup_merge_receiptd_iy_day.torikomi_ym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256</v>
      </c>
      <c r="M14" s="4"/>
      <c r="N14" s="76"/>
      <c r="O14" s="76"/>
      <c r="P14" s="76" t="str">
        <f t="shared" ref="P14:P2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milscm_2023_010.azn_202310_backup_merge_receiptd_iy_day.mil_karute_id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928</v>
      </c>
      <c r="M15" s="4"/>
      <c r="N15" s="76"/>
      <c r="O15" s="76"/>
      <c r="P15" s="76" t="str">
        <f t="shared" si="4"/>
        <v>,facility_id</v>
      </c>
      <c r="Q15" s="76" t="str">
        <f t="shared" si="0"/>
        <v>TEXT</v>
      </c>
      <c r="R15" s="76" t="str">
        <f t="shared" si="1"/>
        <v/>
      </c>
      <c r="S15" s="76" t="str">
        <f t="shared" ref="S15:S26" si="5">IF(I15="○","NOT NULL","")</f>
        <v>NOT NULL</v>
      </c>
      <c r="T15" s="76" t="str">
        <f t="shared" ref="T15:T2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milscm_2023_010.azn_202310_backup_merge_receiptd_iy_day.facility_id IS '施設ID';</v>
      </c>
    </row>
    <row r="16" spans="1:45" s="25" customFormat="1">
      <c r="A16" s="4"/>
      <c r="B16" s="21">
        <f t="shared" si="2"/>
        <v>4</v>
      </c>
      <c r="C16" s="13" t="s">
        <v>902</v>
      </c>
      <c r="D16" s="13" t="s">
        <v>903</v>
      </c>
      <c r="E16" s="7" t="s">
        <v>127</v>
      </c>
      <c r="F16" s="7" t="s">
        <v>863</v>
      </c>
      <c r="G16" s="7" t="str">
        <f t="shared" si="3"/>
        <v>text</v>
      </c>
      <c r="H16" s="58"/>
      <c r="I16" s="23" t="s">
        <v>127</v>
      </c>
      <c r="J16" s="24" t="s">
        <v>1053</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milscm_2023_010.azn_202310_backup_merge_receiptd_iy_day.seikyu_ym IS '請求年月';</v>
      </c>
    </row>
    <row r="17" spans="1:52" s="25" customFormat="1">
      <c r="A17" s="4"/>
      <c r="B17" s="21">
        <f t="shared" si="2"/>
        <v>5</v>
      </c>
      <c r="C17" s="13" t="s">
        <v>864</v>
      </c>
      <c r="D17" s="13" t="s">
        <v>205</v>
      </c>
      <c r="E17" s="7" t="s">
        <v>127</v>
      </c>
      <c r="F17" s="7" t="s">
        <v>863</v>
      </c>
      <c r="G17" s="7" t="str">
        <f t="shared" si="3"/>
        <v>text</v>
      </c>
      <c r="H17" s="58"/>
      <c r="I17" s="23" t="s">
        <v>127</v>
      </c>
      <c r="J17" s="24" t="s">
        <v>1112</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milscm_2023_010.azn_202310_backup_merge_receiptd_iy_day.shinryo_ym IS '診療年月';</v>
      </c>
    </row>
    <row r="18" spans="1:52" s="25" customFormat="1">
      <c r="A18" s="4"/>
      <c r="B18" s="21">
        <f t="shared" si="2"/>
        <v>6</v>
      </c>
      <c r="C18" s="13" t="s">
        <v>318</v>
      </c>
      <c r="D18" s="13" t="s">
        <v>207</v>
      </c>
      <c r="E18" s="7"/>
      <c r="F18" s="7" t="s">
        <v>863</v>
      </c>
      <c r="G18" s="7" t="str">
        <f t="shared" si="3"/>
        <v>text</v>
      </c>
      <c r="H18" s="58" t="s">
        <v>930</v>
      </c>
      <c r="I18" s="23" t="s">
        <v>127</v>
      </c>
      <c r="J18" s="24" t="s">
        <v>931</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milscm_2023_010.azn_202310_backup_merge_receiptd_iy_day.data_type IS 'データ種別';</v>
      </c>
    </row>
    <row r="19" spans="1:52" s="25" customFormat="1">
      <c r="A19" s="4"/>
      <c r="B19" s="21">
        <f t="shared" si="2"/>
        <v>7</v>
      </c>
      <c r="C19" s="13" t="s">
        <v>904</v>
      </c>
      <c r="D19" s="13" t="s">
        <v>905</v>
      </c>
      <c r="E19" s="7" t="s">
        <v>127</v>
      </c>
      <c r="F19" s="7" t="s">
        <v>863</v>
      </c>
      <c r="G19" s="7" t="str">
        <f t="shared" si="3"/>
        <v>text</v>
      </c>
      <c r="H19" s="58"/>
      <c r="I19" s="23" t="s">
        <v>127</v>
      </c>
      <c r="J19" s="24" t="s">
        <v>1055</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milscm_2023_010.azn_202310_backup_merge_receiptd_iy_day.shinsa_kikan IS '審査支払機関';</v>
      </c>
    </row>
    <row r="20" spans="1:52" s="25" customFormat="1">
      <c r="A20" s="4"/>
      <c r="B20" s="21">
        <f t="shared" si="2"/>
        <v>8</v>
      </c>
      <c r="C20" s="13" t="s">
        <v>906</v>
      </c>
      <c r="D20" s="13" t="s">
        <v>907</v>
      </c>
      <c r="E20" s="7"/>
      <c r="F20" s="7" t="s">
        <v>863</v>
      </c>
      <c r="G20" s="7" t="str">
        <f t="shared" si="3"/>
        <v>text</v>
      </c>
      <c r="H20" s="58" t="s">
        <v>1159</v>
      </c>
      <c r="I20" s="23" t="s">
        <v>127</v>
      </c>
      <c r="J20" s="24" t="s">
        <v>1160</v>
      </c>
      <c r="M20" s="4"/>
      <c r="N20" s="76"/>
      <c r="O20" s="76"/>
      <c r="P20" s="76" t="str">
        <f t="shared" si="4"/>
        <v>,record_shikibetsu</v>
      </c>
      <c r="Q20" s="76" t="str">
        <f t="shared" si="0"/>
        <v>TEXT</v>
      </c>
      <c r="R20" s="76" t="str">
        <f t="shared" si="1"/>
        <v>default 'IY'</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milscm_2023_010.azn_202310_backup_merge_receiptd_iy_day.record_shikibetsu IS 'レコード識別情報';</v>
      </c>
    </row>
    <row r="21" spans="1:52" s="25" customFormat="1">
      <c r="A21" s="4"/>
      <c r="B21" s="21">
        <f t="shared" si="2"/>
        <v>9</v>
      </c>
      <c r="C21" s="13" t="s">
        <v>908</v>
      </c>
      <c r="D21" s="13" t="s">
        <v>909</v>
      </c>
      <c r="E21" s="7" t="s">
        <v>127</v>
      </c>
      <c r="F21" s="7" t="s">
        <v>203</v>
      </c>
      <c r="G21" s="7" t="str">
        <f t="shared" si="3"/>
        <v>integer</v>
      </c>
      <c r="H21" s="58"/>
      <c r="I21" s="23" t="s">
        <v>127</v>
      </c>
      <c r="J21" s="24" t="s">
        <v>1058</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milscm_2023_010.azn_202310_backup_merge_receiptd_iy_day.receipt_no IS 'レセプト番号';</v>
      </c>
    </row>
    <row r="22" spans="1:52" s="25" customFormat="1">
      <c r="A22" s="4"/>
      <c r="B22" s="21">
        <f t="shared" si="2"/>
        <v>10</v>
      </c>
      <c r="C22" s="13" t="s">
        <v>910</v>
      </c>
      <c r="D22" s="13" t="s">
        <v>911</v>
      </c>
      <c r="E22" s="7" t="s">
        <v>127</v>
      </c>
      <c r="F22" s="7" t="s">
        <v>203</v>
      </c>
      <c r="G22" s="7" t="str">
        <f t="shared" si="3"/>
        <v>integer</v>
      </c>
      <c r="H22" s="58"/>
      <c r="I22" s="23" t="s">
        <v>127</v>
      </c>
      <c r="J22" s="24" t="s">
        <v>1115</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milscm_2023_010.azn_202310_backup_merge_receiptd_iy_day.gyo_no IS '行番号';</v>
      </c>
    </row>
    <row r="23" spans="1:52" s="25" customFormat="1">
      <c r="A23" s="4"/>
      <c r="B23" s="21">
        <f t="shared" si="2"/>
        <v>11</v>
      </c>
      <c r="C23" s="13" t="s">
        <v>912</v>
      </c>
      <c r="D23" s="13" t="s">
        <v>913</v>
      </c>
      <c r="E23" s="7"/>
      <c r="F23" s="7" t="s">
        <v>863</v>
      </c>
      <c r="G23" s="7" t="str">
        <f t="shared" si="3"/>
        <v>text</v>
      </c>
      <c r="H23" s="58"/>
      <c r="I23" s="23"/>
      <c r="J23" s="24" t="s">
        <v>1060</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milscm_2023_010.azn_202310_backup_merge_receiptd_iy_day.karute_no IS 'カルテ番号等';</v>
      </c>
    </row>
    <row r="24" spans="1:52" s="25" customFormat="1">
      <c r="A24" s="4"/>
      <c r="B24" s="21">
        <f t="shared" si="2"/>
        <v>12</v>
      </c>
      <c r="C24" s="13" t="s">
        <v>1196</v>
      </c>
      <c r="D24" s="13" t="s">
        <v>1197</v>
      </c>
      <c r="E24" s="7"/>
      <c r="F24" s="7" t="s">
        <v>863</v>
      </c>
      <c r="G24" s="7" t="str">
        <f t="shared" si="3"/>
        <v>text</v>
      </c>
      <c r="H24" s="58"/>
      <c r="I24" s="23"/>
      <c r="J24" s="24" t="s">
        <v>1231</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milscm_2023_010.azn_202310_backup_merge_receiptd_iy_day.receipt_sokatsu_kubun IS 'レセプト総括区分';</v>
      </c>
    </row>
    <row r="25" spans="1:52" s="25" customFormat="1">
      <c r="A25" s="4"/>
      <c r="B25" s="21">
        <f t="shared" si="2"/>
        <v>13</v>
      </c>
      <c r="C25" s="13" t="s">
        <v>1147</v>
      </c>
      <c r="D25" s="13" t="s">
        <v>1148</v>
      </c>
      <c r="E25" s="7" t="s">
        <v>127</v>
      </c>
      <c r="F25" s="7" t="s">
        <v>863</v>
      </c>
      <c r="G25" s="7" t="str">
        <f t="shared" si="3"/>
        <v>text</v>
      </c>
      <c r="H25" s="58"/>
      <c r="I25" s="23" t="s">
        <v>127</v>
      </c>
      <c r="J25" s="24" t="s">
        <v>1150</v>
      </c>
      <c r="M25" s="4"/>
      <c r="N25" s="76"/>
      <c r="O25" s="76"/>
      <c r="P25" s="76" t="str">
        <f t="shared" si="4"/>
        <v>,santei_ymd</v>
      </c>
      <c r="Q25" s="76" t="str">
        <f t="shared" si="0"/>
        <v>TEXT</v>
      </c>
      <c r="R25" s="76" t="str">
        <f t="shared" si="1"/>
        <v/>
      </c>
      <c r="S25" s="76" t="str">
        <f t="shared" si="5"/>
        <v>NOT NULL</v>
      </c>
      <c r="T25" s="76" t="str">
        <f t="shared" si="6"/>
        <v>-- 算定日</v>
      </c>
      <c r="U25" s="4"/>
      <c r="AA25" s="4"/>
      <c r="AB25" s="4"/>
      <c r="AC25" s="4"/>
      <c r="AD25" s="4"/>
      <c r="AE25" s="4"/>
      <c r="AF25" s="4"/>
      <c r="AG25" s="4"/>
      <c r="AH25" s="4"/>
      <c r="AI25" s="4"/>
      <c r="AJ25" s="76" t="str">
        <f>IF(E25="○",IF(COUNTA(E$13:E25)=1,"",",")&amp;D25,"")</f>
        <v>,santei_ymd</v>
      </c>
      <c r="AK25" s="4"/>
      <c r="AL25" s="4"/>
      <c r="AM25" s="4"/>
      <c r="AN25" s="4"/>
      <c r="AO25" s="4"/>
      <c r="AP25" s="4"/>
      <c r="AQ25" s="4"/>
      <c r="AR25" s="4"/>
      <c r="AS25" s="76" t="str">
        <f>"COMMENT ON COLUMN "&amp;エンティティ一覧!$O$2&amp;"."&amp;D$8&amp;"."&amp;D25&amp;" IS '"&amp;C25&amp;"';"</f>
        <v>COMMENT ON COLUMN milscm_2023_010.azn_202310_backup_merge_receiptd_iy_day.santei_ymd IS '算定日';</v>
      </c>
    </row>
    <row r="26" spans="1:52" s="25" customFormat="1" ht="19.5" thickBot="1">
      <c r="A26" s="4"/>
      <c r="B26" s="27">
        <f>ROW()-12</f>
        <v>14</v>
      </c>
      <c r="C26" s="57" t="s">
        <v>1149</v>
      </c>
      <c r="D26" s="57" t="s">
        <v>1130</v>
      </c>
      <c r="E26" s="56"/>
      <c r="F26" s="56" t="s">
        <v>203</v>
      </c>
      <c r="G26" s="56" t="str">
        <f t="shared" si="3"/>
        <v>integer</v>
      </c>
      <c r="H26" s="59"/>
      <c r="I26" s="60"/>
      <c r="J26" s="63"/>
      <c r="N26" s="76"/>
      <c r="O26" s="76"/>
      <c r="P26" s="76" t="str">
        <f t="shared" si="4"/>
        <v>,times</v>
      </c>
      <c r="Q26" s="76" t="str">
        <f t="shared" si="0"/>
        <v>INTEGER</v>
      </c>
      <c r="R26" s="76" t="str">
        <f t="shared" si="1"/>
        <v/>
      </c>
      <c r="S26" s="76" t="str">
        <f t="shared" si="5"/>
        <v/>
      </c>
      <c r="T26" s="76" t="str">
        <f t="shared" si="6"/>
        <v>-- 回数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milscm_2023_010.azn_202310_backup_merge_receiptd_iy_day.times IS '回数';</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ENT_01_C3-24</v>
      </c>
      <c r="E6" s="272"/>
      <c r="F6" s="272"/>
      <c r="G6" s="272"/>
      <c r="H6" s="272"/>
      <c r="I6" s="272"/>
      <c r="J6" s="273"/>
    </row>
    <row r="7" spans="1:45">
      <c r="B7" s="261" t="s">
        <v>115</v>
      </c>
      <c r="C7" s="262"/>
      <c r="D7" s="263" t="s">
        <v>1237</v>
      </c>
      <c r="E7" s="264"/>
      <c r="F7" s="264"/>
      <c r="G7" s="264"/>
      <c r="H7" s="264"/>
      <c r="I7" s="264"/>
      <c r="J7" s="265"/>
    </row>
    <row r="8" spans="1:45">
      <c r="B8" s="261" t="s">
        <v>116</v>
      </c>
      <c r="C8" s="262"/>
      <c r="D8" s="263" t="str">
        <f>エンティティ一覧!AE2&amp;"_"&amp;D5&amp;"_merge_receiptd_tr"</f>
        <v>azn_202310_backup_merge_receiptd_tr</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DPCレセプト_臓器提供者レセプト情報レコードテーブルから組入れ条件の第一条件で絞り込んだ結果を格納するテーブル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milscm_2023_010.azn_202310_backup_merge_receiptd_tr;</v>
      </c>
      <c r="O10" s="76"/>
      <c r="P10" s="76"/>
      <c r="Q10" s="76"/>
      <c r="R10" s="76"/>
      <c r="S10" s="76"/>
      <c r="T10" s="76"/>
      <c r="AJ10" s="76" t="str">
        <f>"ALTER TABLE ONLY "&amp;エンティティ一覧!$O$2&amp;"."&amp;D$8</f>
        <v>ALTER TABLE ONLY milscm_2023_010.azn_202310_backup_merge_receiptd_tr</v>
      </c>
      <c r="AS10" s="76" t="str">
        <f>"ALTER TABLE "&amp;エンティティ一覧!$O$2&amp;"."&amp;D$8&amp;" OWNER TO pgmisgrp1;"</f>
        <v>ALTER TABLE milscm_2023_010.azn_202310_backup_merge_receiptd_tr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milscm_2023_010.azn_202310_backup_merge_receiptd_tr</v>
      </c>
      <c r="O11" s="76"/>
      <c r="P11" s="76"/>
      <c r="Q11" s="76"/>
      <c r="R11" s="76"/>
      <c r="S11" s="76"/>
      <c r="T11" s="76"/>
      <c r="AJ11" s="76" t="str">
        <f>"ADD CONSTRAINT "&amp;D$8&amp;"_pkey PRIMARY KEY"</f>
        <v>ADD CONSTRAINT azn_202310_backup_merge_receiptd_tr_pkey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milscm_2023_010.azn_202310_backup_merge_receiptd_tr IS 'バックアップ_DPCレセプト_臓器提供者レセプト情報レコード';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48" si="0">UPPER(G13)</f>
        <v>TEXT</v>
      </c>
      <c r="R13" s="76" t="str">
        <f t="shared" ref="R13:R48"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milscm_2023_010.azn_202310_backup_merge_receiptd_tr.torikomi_ym IS '取込年月';</v>
      </c>
    </row>
    <row r="14" spans="1:45" s="25" customFormat="1">
      <c r="A14" s="4"/>
      <c r="B14" s="21">
        <f t="shared" ref="B14:B47" si="2">ROW()-12</f>
        <v>2</v>
      </c>
      <c r="C14" s="6" t="s">
        <v>201</v>
      </c>
      <c r="D14" s="6" t="s">
        <v>202</v>
      </c>
      <c r="E14" s="8"/>
      <c r="F14" s="7" t="s">
        <v>203</v>
      </c>
      <c r="G14" s="7" t="str">
        <f t="shared" ref="G14:G48" si="3">IF(F14="フラグ","boolean",IF(F14="文字列","text",IF(F14="整数","integer",IF(F14="実数","numeric",""))))</f>
        <v>integer</v>
      </c>
      <c r="H14" s="26"/>
      <c r="I14" s="10"/>
      <c r="J14" s="11" t="s">
        <v>256</v>
      </c>
      <c r="M14" s="4"/>
      <c r="N14" s="76"/>
      <c r="O14" s="76"/>
      <c r="P14" s="76" t="str">
        <f t="shared" ref="P14:P48"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milscm_2023_010.azn_202310_backup_merge_receiptd_tr.mil_karute_id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1198</v>
      </c>
      <c r="M15" s="4"/>
      <c r="N15" s="76"/>
      <c r="O15" s="76"/>
      <c r="P15" s="76" t="str">
        <f t="shared" si="4"/>
        <v>,facility_id</v>
      </c>
      <c r="Q15" s="76" t="str">
        <f t="shared" si="0"/>
        <v>TEXT</v>
      </c>
      <c r="R15" s="76" t="str">
        <f t="shared" si="1"/>
        <v/>
      </c>
      <c r="S15" s="76" t="str">
        <f t="shared" ref="S15:S48" si="5">IF(I15="○","NOT NULL","")</f>
        <v>NOT NULL</v>
      </c>
      <c r="T15" s="76" t="str">
        <f t="shared" ref="T15:T48"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milscm_2023_010.azn_202310_backup_merge_receiptd_tr.facility_id IS '施設ID';</v>
      </c>
    </row>
    <row r="16" spans="1:45" s="25" customFormat="1">
      <c r="A16" s="4"/>
      <c r="B16" s="21">
        <f t="shared" si="2"/>
        <v>4</v>
      </c>
      <c r="C16" s="13" t="s">
        <v>902</v>
      </c>
      <c r="D16" s="13" t="s">
        <v>903</v>
      </c>
      <c r="E16" s="7" t="s">
        <v>127</v>
      </c>
      <c r="F16" s="7" t="s">
        <v>863</v>
      </c>
      <c r="G16" s="7" t="str">
        <f t="shared" si="3"/>
        <v>text</v>
      </c>
      <c r="H16" s="58"/>
      <c r="I16" s="23" t="s">
        <v>127</v>
      </c>
      <c r="J16" s="24" t="s">
        <v>1053</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milscm_2023_010.azn_202310_backup_merge_receiptd_tr.seikyu_ym IS '請求年月';</v>
      </c>
    </row>
    <row r="17" spans="1:45" s="25" customFormat="1">
      <c r="A17" s="4"/>
      <c r="B17" s="21">
        <f t="shared" si="2"/>
        <v>5</v>
      </c>
      <c r="C17" s="13" t="s">
        <v>864</v>
      </c>
      <c r="D17" s="13" t="s">
        <v>205</v>
      </c>
      <c r="E17" s="7" t="s">
        <v>127</v>
      </c>
      <c r="F17" s="7" t="s">
        <v>863</v>
      </c>
      <c r="G17" s="7" t="str">
        <f t="shared" si="3"/>
        <v>text</v>
      </c>
      <c r="H17" s="58"/>
      <c r="I17" s="23" t="s">
        <v>127</v>
      </c>
      <c r="J17" s="24" t="s">
        <v>1112</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milscm_2023_010.azn_202310_backup_merge_receiptd_tr.shinryo_ym IS '診療年月';</v>
      </c>
    </row>
    <row r="18" spans="1:45" s="25" customFormat="1">
      <c r="A18" s="4"/>
      <c r="B18" s="21">
        <f t="shared" si="2"/>
        <v>6</v>
      </c>
      <c r="C18" s="13" t="s">
        <v>318</v>
      </c>
      <c r="D18" s="13" t="s">
        <v>207</v>
      </c>
      <c r="E18" s="7"/>
      <c r="F18" s="7" t="s">
        <v>863</v>
      </c>
      <c r="G18" s="7" t="str">
        <f t="shared" si="3"/>
        <v>text</v>
      </c>
      <c r="H18" s="58" t="s">
        <v>930</v>
      </c>
      <c r="I18" s="23" t="s">
        <v>127</v>
      </c>
      <c r="J18" s="24" t="s">
        <v>931</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milscm_2023_010.azn_202310_backup_merge_receiptd_tr.data_type IS 'データ種別';</v>
      </c>
    </row>
    <row r="19" spans="1:45" s="25" customFormat="1">
      <c r="A19" s="4"/>
      <c r="B19" s="21">
        <f t="shared" si="2"/>
        <v>7</v>
      </c>
      <c r="C19" s="13" t="s">
        <v>904</v>
      </c>
      <c r="D19" s="13" t="s">
        <v>905</v>
      </c>
      <c r="E19" s="7" t="s">
        <v>127</v>
      </c>
      <c r="F19" s="7" t="s">
        <v>863</v>
      </c>
      <c r="G19" s="7" t="str">
        <f t="shared" si="3"/>
        <v>text</v>
      </c>
      <c r="H19" s="58"/>
      <c r="I19" s="23" t="s">
        <v>127</v>
      </c>
      <c r="J19" s="24" t="s">
        <v>1055</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milscm_2023_010.azn_202310_backup_merge_receiptd_tr.shinsa_kikan IS '審査支払機関';</v>
      </c>
    </row>
    <row r="20" spans="1:45" s="25" customFormat="1">
      <c r="A20" s="4"/>
      <c r="B20" s="21">
        <f t="shared" si="2"/>
        <v>8</v>
      </c>
      <c r="C20" s="13" t="s">
        <v>906</v>
      </c>
      <c r="D20" s="13" t="s">
        <v>907</v>
      </c>
      <c r="E20" s="7"/>
      <c r="F20" s="7" t="s">
        <v>863</v>
      </c>
      <c r="G20" s="7" t="str">
        <f t="shared" si="3"/>
        <v>text</v>
      </c>
      <c r="H20" s="58" t="s">
        <v>1191</v>
      </c>
      <c r="I20" s="23" t="s">
        <v>127</v>
      </c>
      <c r="J20" s="24" t="s">
        <v>1192</v>
      </c>
      <c r="M20" s="4"/>
      <c r="N20" s="76"/>
      <c r="O20" s="76"/>
      <c r="P20" s="76" t="str">
        <f t="shared" si="4"/>
        <v>,record_shikibetsu</v>
      </c>
      <c r="Q20" s="76" t="str">
        <f t="shared" si="0"/>
        <v>TEXT</v>
      </c>
      <c r="R20" s="76" t="str">
        <f t="shared" si="1"/>
        <v>default 'TR'</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milscm_2023_010.azn_202310_backup_merge_receiptd_tr.record_shikibetsu IS 'レコード識別情報';</v>
      </c>
    </row>
    <row r="21" spans="1:45" s="25" customFormat="1">
      <c r="A21" s="4"/>
      <c r="B21" s="21">
        <f t="shared" si="2"/>
        <v>9</v>
      </c>
      <c r="C21" s="13" t="s">
        <v>908</v>
      </c>
      <c r="D21" s="13" t="s">
        <v>909</v>
      </c>
      <c r="E21" s="7" t="s">
        <v>127</v>
      </c>
      <c r="F21" s="7" t="s">
        <v>203</v>
      </c>
      <c r="G21" s="7" t="str">
        <f t="shared" si="3"/>
        <v>integer</v>
      </c>
      <c r="H21" s="58"/>
      <c r="I21" s="23" t="s">
        <v>127</v>
      </c>
      <c r="J21" s="24" t="s">
        <v>1058</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milscm_2023_010.azn_202310_backup_merge_receiptd_tr.receipt_no IS 'レセプト番号';</v>
      </c>
    </row>
    <row r="22" spans="1:45" s="25" customFormat="1">
      <c r="A22" s="4"/>
      <c r="B22" s="21">
        <f t="shared" si="2"/>
        <v>10</v>
      </c>
      <c r="C22" s="13" t="s">
        <v>910</v>
      </c>
      <c r="D22" s="13" t="s">
        <v>911</v>
      </c>
      <c r="E22" s="7" t="s">
        <v>127</v>
      </c>
      <c r="F22" s="7" t="s">
        <v>203</v>
      </c>
      <c r="G22" s="7" t="str">
        <f t="shared" si="3"/>
        <v>integer</v>
      </c>
      <c r="H22" s="58"/>
      <c r="I22" s="23" t="s">
        <v>127</v>
      </c>
      <c r="J22" s="24" t="s">
        <v>1203</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milscm_2023_010.azn_202310_backup_merge_receiptd_tr.gyo_no IS '行番号';</v>
      </c>
    </row>
    <row r="23" spans="1:45" s="25" customFormat="1">
      <c r="A23" s="4"/>
      <c r="B23" s="21">
        <f t="shared" si="2"/>
        <v>11</v>
      </c>
      <c r="C23" s="13" t="s">
        <v>912</v>
      </c>
      <c r="D23" s="13" t="s">
        <v>913</v>
      </c>
      <c r="E23" s="7"/>
      <c r="F23" s="7" t="s">
        <v>863</v>
      </c>
      <c r="G23" s="7" t="str">
        <f t="shared" si="3"/>
        <v>text</v>
      </c>
      <c r="H23" s="58"/>
      <c r="I23" s="23"/>
      <c r="J23" s="24" t="s">
        <v>1060</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milscm_2023_010.azn_202310_backup_merge_receiptd_tr.karute_no IS 'カルテ番号等';</v>
      </c>
    </row>
    <row r="24" spans="1:45" s="25" customFormat="1">
      <c r="A24" s="4"/>
      <c r="B24" s="21">
        <f t="shared" si="2"/>
        <v>12</v>
      </c>
      <c r="C24" s="13" t="s">
        <v>1196</v>
      </c>
      <c r="D24" s="13" t="s">
        <v>1197</v>
      </c>
      <c r="E24" s="7"/>
      <c r="F24" s="7" t="s">
        <v>863</v>
      </c>
      <c r="G24" s="7" t="str">
        <f t="shared" si="3"/>
        <v>text</v>
      </c>
      <c r="H24" s="58"/>
      <c r="I24" s="23"/>
      <c r="J24" s="24" t="s">
        <v>1218</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milscm_2023_010.azn_202310_backup_merge_receiptd_tr.receipt_sokatsu_kubun IS 'レセプト総括区分';</v>
      </c>
    </row>
    <row r="25" spans="1:45" s="25" customFormat="1" ht="31.5">
      <c r="A25" s="4"/>
      <c r="B25" s="21">
        <f t="shared" si="2"/>
        <v>13</v>
      </c>
      <c r="C25" s="13" t="s">
        <v>1164</v>
      </c>
      <c r="D25" s="13" t="s">
        <v>1165</v>
      </c>
      <c r="E25" s="7"/>
      <c r="F25" s="7" t="s">
        <v>203</v>
      </c>
      <c r="G25" s="7" t="str">
        <f t="shared" si="3"/>
        <v>integer</v>
      </c>
      <c r="H25" s="58"/>
      <c r="I25" s="23"/>
      <c r="J25" s="24"/>
      <c r="M25" s="4"/>
      <c r="N25" s="76"/>
      <c r="O25" s="76"/>
      <c r="P25" s="76" t="str">
        <f t="shared" si="4"/>
        <v>,receipt_no_tr</v>
      </c>
      <c r="Q25" s="76" t="str">
        <f t="shared" si="0"/>
        <v>INTEGER</v>
      </c>
      <c r="R25" s="76" t="str">
        <f t="shared" si="1"/>
        <v/>
      </c>
      <c r="S25" s="76" t="str">
        <f t="shared" si="5"/>
        <v/>
      </c>
      <c r="T25" s="76" t="str">
        <f t="shared" si="6"/>
        <v>-- レセプト番号（臓器提供者レセプト情報）</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milscm_2023_010.azn_202310_backup_merge_receiptd_tr.receipt_no_tr IS 'レセプト番号（臓器提供者レセプト情報）';</v>
      </c>
    </row>
    <row r="26" spans="1:45" s="25" customFormat="1">
      <c r="A26" s="4"/>
      <c r="B26" s="21">
        <f t="shared" si="2"/>
        <v>14</v>
      </c>
      <c r="C26" s="13" t="s">
        <v>1166</v>
      </c>
      <c r="D26" s="13" t="s">
        <v>1167</v>
      </c>
      <c r="E26" s="7"/>
      <c r="F26" s="7" t="s">
        <v>863</v>
      </c>
      <c r="G26" s="7" t="str">
        <f t="shared" si="3"/>
        <v>text</v>
      </c>
      <c r="H26" s="58"/>
      <c r="I26" s="23"/>
      <c r="J26" s="24"/>
      <c r="M26" s="4"/>
      <c r="N26" s="76"/>
      <c r="O26" s="76"/>
      <c r="P26" s="76" t="str">
        <f t="shared" si="4"/>
        <v>,zoki_receipt_type</v>
      </c>
      <c r="Q26" s="76" t="str">
        <f t="shared" si="0"/>
        <v>TEXT</v>
      </c>
      <c r="R26" s="76" t="str">
        <f t="shared" si="1"/>
        <v/>
      </c>
      <c r="S26" s="76" t="str">
        <f t="shared" si="5"/>
        <v/>
      </c>
      <c r="T26" s="76" t="str">
        <f t="shared" si="6"/>
        <v>-- 臓器提供者レセプト種別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milscm_2023_010.azn_202310_backup_merge_receiptd_tr.zoki_receipt_type IS '臓器提供者レセプト種別';</v>
      </c>
    </row>
    <row r="27" spans="1:45" s="25" customFormat="1" ht="56.25">
      <c r="A27" s="4"/>
      <c r="B27" s="21">
        <f t="shared" si="2"/>
        <v>15</v>
      </c>
      <c r="C27" s="13" t="s">
        <v>1168</v>
      </c>
      <c r="D27" s="13" t="s">
        <v>1169</v>
      </c>
      <c r="E27" s="7"/>
      <c r="F27" s="7" t="s">
        <v>863</v>
      </c>
      <c r="G27" s="7" t="str">
        <f t="shared" si="3"/>
        <v>text</v>
      </c>
      <c r="H27" s="58"/>
      <c r="I27" s="23"/>
      <c r="J27" s="24" t="s">
        <v>929</v>
      </c>
      <c r="M27" s="4"/>
      <c r="N27" s="76"/>
      <c r="O27" s="76"/>
      <c r="P27" s="76" t="str">
        <f t="shared" si="4"/>
        <v>,shinryo_ym_tr</v>
      </c>
      <c r="Q27" s="76" t="str">
        <f t="shared" si="0"/>
        <v>TEXT</v>
      </c>
      <c r="R27" s="76" t="str">
        <f t="shared" si="1"/>
        <v/>
      </c>
      <c r="S27" s="76" t="str">
        <f t="shared" si="5"/>
        <v/>
      </c>
      <c r="T27" s="76" t="str">
        <f t="shared" si="6"/>
        <v>-- 診療年月（臓器提供者レセプト情報）</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milscm_2023_010.azn_202310_backup_merge_receiptd_tr.shinryo_ym_tr IS '診療年月（臓器提供者レセプト情報）';</v>
      </c>
    </row>
    <row r="28" spans="1:45" s="25" customFormat="1">
      <c r="A28" s="4"/>
      <c r="B28" s="21">
        <f t="shared" si="2"/>
        <v>16</v>
      </c>
      <c r="C28" s="13" t="s">
        <v>920</v>
      </c>
      <c r="D28" s="13" t="s">
        <v>921</v>
      </c>
      <c r="E28" s="7"/>
      <c r="F28" s="7" t="s">
        <v>863</v>
      </c>
      <c r="G28" s="7" t="str">
        <f t="shared" si="3"/>
        <v>text</v>
      </c>
      <c r="H28" s="58"/>
      <c r="I28" s="23"/>
      <c r="J28" s="24"/>
      <c r="M28" s="4"/>
      <c r="N28" s="76"/>
      <c r="O28" s="76"/>
      <c r="P28" s="76" t="str">
        <f t="shared" si="4"/>
        <v>,reserve1</v>
      </c>
      <c r="Q28" s="76" t="str">
        <f t="shared" si="0"/>
        <v>TEXT</v>
      </c>
      <c r="R28" s="76" t="str">
        <f t="shared" si="1"/>
        <v/>
      </c>
      <c r="S28" s="76" t="str">
        <f t="shared" si="5"/>
        <v/>
      </c>
      <c r="T28" s="76" t="str">
        <f t="shared" si="6"/>
        <v>-- 予備1</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milscm_2023_010.azn_202310_backup_merge_receiptd_tr.reserve1 IS '予備1';</v>
      </c>
    </row>
    <row r="29" spans="1:45" s="25" customFormat="1">
      <c r="A29" s="4"/>
      <c r="B29" s="21">
        <f t="shared" si="2"/>
        <v>17</v>
      </c>
      <c r="C29" s="13" t="s">
        <v>1170</v>
      </c>
      <c r="D29" s="13" t="s">
        <v>943</v>
      </c>
      <c r="E29" s="7"/>
      <c r="F29" s="7" t="s">
        <v>863</v>
      </c>
      <c r="G29" s="7" t="str">
        <f t="shared" si="3"/>
        <v>text</v>
      </c>
      <c r="H29" s="58"/>
      <c r="I29" s="23"/>
      <c r="J29" s="24"/>
      <c r="M29" s="4"/>
      <c r="N29" s="76"/>
      <c r="O29" s="76"/>
      <c r="P29" s="76" t="str">
        <f t="shared" si="4"/>
        <v>,sex_kubun</v>
      </c>
      <c r="Q29" s="76" t="str">
        <f t="shared" si="0"/>
        <v>TEXT</v>
      </c>
      <c r="R29" s="76" t="str">
        <f t="shared" si="1"/>
        <v/>
      </c>
      <c r="S29" s="76" t="str">
        <f t="shared" si="5"/>
        <v/>
      </c>
      <c r="T29" s="76" t="str">
        <f t="shared" si="6"/>
        <v>-- 男女区分</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milscm_2023_010.azn_202310_backup_merge_receiptd_tr.sex_kubun IS '男女区分';</v>
      </c>
    </row>
    <row r="30" spans="1:45" s="25" customFormat="1" ht="93.75">
      <c r="A30" s="4"/>
      <c r="B30" s="21">
        <f t="shared" si="2"/>
        <v>18</v>
      </c>
      <c r="C30" s="13" t="s">
        <v>565</v>
      </c>
      <c r="D30" s="13" t="s">
        <v>321</v>
      </c>
      <c r="E30" s="7"/>
      <c r="F30" s="7" t="s">
        <v>863</v>
      </c>
      <c r="G30" s="7" t="str">
        <f t="shared" si="3"/>
        <v>text</v>
      </c>
      <c r="H30" s="58"/>
      <c r="I30" s="23"/>
      <c r="J30" s="24" t="s">
        <v>1193</v>
      </c>
      <c r="M30" s="4"/>
      <c r="N30" s="76"/>
      <c r="O30" s="76"/>
      <c r="P30" s="76" t="str">
        <f t="shared" si="4"/>
        <v>,birthday</v>
      </c>
      <c r="Q30" s="76" t="str">
        <f t="shared" si="0"/>
        <v>TEXT</v>
      </c>
      <c r="R30" s="76" t="str">
        <f t="shared" si="1"/>
        <v/>
      </c>
      <c r="S30" s="76" t="str">
        <f t="shared" si="5"/>
        <v/>
      </c>
      <c r="T30" s="76" t="str">
        <f t="shared" si="6"/>
        <v>-- 生年月日</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milscm_2023_010.azn_202310_backup_merge_receiptd_tr.birthday IS '生年月日';</v>
      </c>
    </row>
    <row r="31" spans="1:45" s="25" customFormat="1">
      <c r="A31" s="4"/>
      <c r="B31" s="21">
        <f t="shared" si="2"/>
        <v>19</v>
      </c>
      <c r="C31" s="13" t="s">
        <v>971</v>
      </c>
      <c r="D31" s="13" t="s">
        <v>972</v>
      </c>
      <c r="E31" s="7"/>
      <c r="F31" s="7" t="s">
        <v>863</v>
      </c>
      <c r="G31" s="7" t="str">
        <f t="shared" si="3"/>
        <v>text</v>
      </c>
      <c r="H31" s="58"/>
      <c r="I31" s="23"/>
      <c r="J31" s="24"/>
      <c r="M31" s="4"/>
      <c r="N31" s="76"/>
      <c r="O31" s="76"/>
      <c r="P31" s="76" t="str">
        <f t="shared" si="4"/>
        <v>,reserve2</v>
      </c>
      <c r="Q31" s="76" t="str">
        <f t="shared" si="0"/>
        <v>TEXT</v>
      </c>
      <c r="R31" s="76" t="str">
        <f t="shared" si="1"/>
        <v/>
      </c>
      <c r="S31" s="76" t="str">
        <f t="shared" si="5"/>
        <v/>
      </c>
      <c r="T31" s="76" t="str">
        <f t="shared" si="6"/>
        <v>-- 予備2</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milscm_2023_010.azn_202310_backup_merge_receiptd_tr.reserve2 IS '予備2';</v>
      </c>
    </row>
    <row r="32" spans="1:45" s="25" customFormat="1" ht="75">
      <c r="A32" s="4"/>
      <c r="B32" s="21">
        <f t="shared" si="2"/>
        <v>20</v>
      </c>
      <c r="C32" s="13" t="s">
        <v>143</v>
      </c>
      <c r="D32" s="13" t="s">
        <v>156</v>
      </c>
      <c r="E32" s="7"/>
      <c r="F32" s="7" t="s">
        <v>863</v>
      </c>
      <c r="G32" s="7" t="str">
        <f t="shared" si="3"/>
        <v>text</v>
      </c>
      <c r="H32" s="58"/>
      <c r="I32" s="23"/>
      <c r="J32" s="24" t="s">
        <v>1064</v>
      </c>
      <c r="M32" s="4"/>
      <c r="N32" s="76"/>
      <c r="O32" s="76"/>
      <c r="P32" s="76" t="str">
        <f t="shared" si="4"/>
        <v>,nyuin_ymd</v>
      </c>
      <c r="Q32" s="76" t="str">
        <f t="shared" si="0"/>
        <v>TEXT</v>
      </c>
      <c r="R32" s="76" t="str">
        <f t="shared" si="1"/>
        <v/>
      </c>
      <c r="S32" s="76" t="str">
        <f t="shared" si="5"/>
        <v/>
      </c>
      <c r="T32" s="76" t="str">
        <f t="shared" si="6"/>
        <v>-- 入院年月日</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milscm_2023_010.azn_202310_backup_merge_receiptd_tr.nyuin_ymd IS '入院年月日';</v>
      </c>
    </row>
    <row r="33" spans="1:45" s="25" customFormat="1">
      <c r="A33" s="4"/>
      <c r="B33" s="21">
        <f t="shared" si="2"/>
        <v>21</v>
      </c>
      <c r="C33" s="13" t="s">
        <v>1171</v>
      </c>
      <c r="D33" s="13" t="s">
        <v>948</v>
      </c>
      <c r="E33" s="7"/>
      <c r="F33" s="7" t="s">
        <v>863</v>
      </c>
      <c r="G33" s="7" t="str">
        <f t="shared" si="3"/>
        <v>text</v>
      </c>
      <c r="H33" s="58"/>
      <c r="I33" s="23"/>
      <c r="J33" s="24" t="s">
        <v>1065</v>
      </c>
      <c r="M33" s="4"/>
      <c r="N33" s="76"/>
      <c r="O33" s="76"/>
      <c r="P33" s="76" t="str">
        <f t="shared" si="4"/>
        <v>,ward_kubun1</v>
      </c>
      <c r="Q33" s="76" t="str">
        <f t="shared" si="0"/>
        <v>TEXT</v>
      </c>
      <c r="R33" s="76" t="str">
        <f t="shared" si="1"/>
        <v/>
      </c>
      <c r="S33" s="76" t="str">
        <f t="shared" si="5"/>
        <v/>
      </c>
      <c r="T33" s="76" t="str">
        <f t="shared" si="6"/>
        <v>-- 病棟区分1</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milscm_2023_010.azn_202310_backup_merge_receiptd_tr.ward_kubun1 IS '病棟区分1';</v>
      </c>
    </row>
    <row r="34" spans="1:45" s="25" customFormat="1">
      <c r="A34" s="4"/>
      <c r="B34" s="21">
        <f t="shared" si="2"/>
        <v>22</v>
      </c>
      <c r="C34" s="13" t="s">
        <v>1172</v>
      </c>
      <c r="D34" s="13" t="s">
        <v>950</v>
      </c>
      <c r="E34" s="7"/>
      <c r="F34" s="7" t="s">
        <v>863</v>
      </c>
      <c r="G34" s="7" t="str">
        <f t="shared" si="3"/>
        <v>text</v>
      </c>
      <c r="H34" s="58"/>
      <c r="I34" s="23"/>
      <c r="J34" s="24"/>
      <c r="M34" s="4"/>
      <c r="N34" s="76"/>
      <c r="O34" s="76"/>
      <c r="P34" s="76" t="str">
        <f t="shared" si="4"/>
        <v>,ward_kubun2</v>
      </c>
      <c r="Q34" s="76" t="str">
        <f t="shared" si="0"/>
        <v>TEXT</v>
      </c>
      <c r="R34" s="76" t="str">
        <f t="shared" si="1"/>
        <v/>
      </c>
      <c r="S34" s="76" t="str">
        <f t="shared" si="5"/>
        <v/>
      </c>
      <c r="T34" s="76" t="str">
        <f t="shared" si="6"/>
        <v>-- 病棟区分2</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milscm_2023_010.azn_202310_backup_merge_receiptd_tr.ward_kubun2 IS '病棟区分2';</v>
      </c>
    </row>
    <row r="35" spans="1:45" s="25" customFormat="1">
      <c r="A35" s="4"/>
      <c r="B35" s="21">
        <f t="shared" si="2"/>
        <v>23</v>
      </c>
      <c r="C35" s="13" t="s">
        <v>1173</v>
      </c>
      <c r="D35" s="13" t="s">
        <v>952</v>
      </c>
      <c r="E35" s="7"/>
      <c r="F35" s="7" t="s">
        <v>863</v>
      </c>
      <c r="G35" s="7" t="str">
        <f t="shared" si="3"/>
        <v>text</v>
      </c>
      <c r="H35" s="58"/>
      <c r="I35" s="23"/>
      <c r="J35" s="24"/>
      <c r="M35" s="4"/>
      <c r="N35" s="76"/>
      <c r="O35" s="76"/>
      <c r="P35" s="76" t="str">
        <f t="shared" si="4"/>
        <v>,ward_kubun3</v>
      </c>
      <c r="Q35" s="76" t="str">
        <f t="shared" si="0"/>
        <v>TEXT</v>
      </c>
      <c r="R35" s="76" t="str">
        <f t="shared" si="1"/>
        <v/>
      </c>
      <c r="S35" s="76" t="str">
        <f t="shared" si="5"/>
        <v/>
      </c>
      <c r="T35" s="76" t="str">
        <f t="shared" si="6"/>
        <v>-- 病棟区分3</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milscm_2023_010.azn_202310_backup_merge_receiptd_tr.ward_kubun3 IS '病棟区分3';</v>
      </c>
    </row>
    <row r="36" spans="1:45" s="25" customFormat="1">
      <c r="A36" s="4"/>
      <c r="B36" s="21">
        <f t="shared" si="2"/>
        <v>24</v>
      </c>
      <c r="C36" s="13" t="s">
        <v>1174</v>
      </c>
      <c r="D36" s="13" t="s">
        <v>954</v>
      </c>
      <c r="E36" s="7"/>
      <c r="F36" s="7" t="s">
        <v>863</v>
      </c>
      <c r="G36" s="7" t="str">
        <f t="shared" si="3"/>
        <v>text</v>
      </c>
      <c r="H36" s="58"/>
      <c r="I36" s="23"/>
      <c r="J36" s="24"/>
      <c r="M36" s="4"/>
      <c r="N36" s="76"/>
      <c r="O36" s="76"/>
      <c r="P36" s="76" t="str">
        <f t="shared" si="4"/>
        <v>,ward_kubun4</v>
      </c>
      <c r="Q36" s="76" t="str">
        <f t="shared" si="0"/>
        <v>TEXT</v>
      </c>
      <c r="R36" s="76" t="str">
        <f t="shared" si="1"/>
        <v/>
      </c>
      <c r="S36" s="76" t="str">
        <f t="shared" si="5"/>
        <v/>
      </c>
      <c r="T36" s="76" t="str">
        <f t="shared" si="6"/>
        <v>-- 病棟区分4</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milscm_2023_010.azn_202310_backup_merge_receiptd_tr.ward_kubun4 IS '病棟区分4';</v>
      </c>
    </row>
    <row r="37" spans="1:45" s="25" customFormat="1">
      <c r="A37" s="4"/>
      <c r="B37" s="21">
        <f t="shared" si="2"/>
        <v>25</v>
      </c>
      <c r="C37" s="13" t="s">
        <v>973</v>
      </c>
      <c r="D37" s="13" t="s">
        <v>974</v>
      </c>
      <c r="E37" s="7"/>
      <c r="F37" s="7" t="s">
        <v>863</v>
      </c>
      <c r="G37" s="7" t="str">
        <f t="shared" si="3"/>
        <v>text</v>
      </c>
      <c r="H37" s="58"/>
      <c r="I37" s="23"/>
      <c r="J37" s="24"/>
      <c r="M37" s="4"/>
      <c r="N37" s="76"/>
      <c r="O37" s="76"/>
      <c r="P37" s="76" t="str">
        <f t="shared" si="4"/>
        <v>,reserve3</v>
      </c>
      <c r="Q37" s="76" t="str">
        <f t="shared" si="0"/>
        <v>TEXT</v>
      </c>
      <c r="R37" s="76" t="str">
        <f t="shared" si="1"/>
        <v/>
      </c>
      <c r="S37" s="76" t="str">
        <f t="shared" si="5"/>
        <v/>
      </c>
      <c r="T37" s="76" t="str">
        <f t="shared" si="6"/>
        <v>-- 予備3</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milscm_2023_010.azn_202310_backup_merge_receiptd_tr.reserve3 IS '予備3';</v>
      </c>
    </row>
    <row r="38" spans="1:45" s="25" customFormat="1">
      <c r="A38" s="4"/>
      <c r="B38" s="21">
        <f t="shared" si="2"/>
        <v>26</v>
      </c>
      <c r="C38" s="13" t="s">
        <v>1175</v>
      </c>
      <c r="D38" s="13" t="s">
        <v>958</v>
      </c>
      <c r="E38" s="7"/>
      <c r="F38" s="7" t="s">
        <v>863</v>
      </c>
      <c r="G38" s="7" t="str">
        <f t="shared" si="3"/>
        <v>text</v>
      </c>
      <c r="H38" s="58"/>
      <c r="I38" s="23"/>
      <c r="J38" s="24" t="s">
        <v>1066</v>
      </c>
      <c r="M38" s="4"/>
      <c r="N38" s="76"/>
      <c r="O38" s="76"/>
      <c r="P38" s="76" t="str">
        <f t="shared" si="4"/>
        <v>,receipt_tokki_code1</v>
      </c>
      <c r="Q38" s="76" t="str">
        <f t="shared" si="0"/>
        <v>TEXT</v>
      </c>
      <c r="R38" s="76" t="str">
        <f t="shared" si="1"/>
        <v/>
      </c>
      <c r="S38" s="76" t="str">
        <f t="shared" si="5"/>
        <v/>
      </c>
      <c r="T38" s="76" t="str">
        <f t="shared" si="6"/>
        <v>-- レセプト特記事項1</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milscm_2023_010.azn_202310_backup_merge_receiptd_tr.receipt_tokki_code1 IS 'レセプト特記事項1';</v>
      </c>
    </row>
    <row r="39" spans="1:45" s="25" customFormat="1">
      <c r="A39" s="4"/>
      <c r="B39" s="21">
        <f t="shared" si="2"/>
        <v>27</v>
      </c>
      <c r="C39" s="13" t="s">
        <v>1176</v>
      </c>
      <c r="D39" s="13" t="s">
        <v>960</v>
      </c>
      <c r="E39" s="7"/>
      <c r="F39" s="7" t="s">
        <v>863</v>
      </c>
      <c r="G39" s="7" t="str">
        <f t="shared" si="3"/>
        <v>text</v>
      </c>
      <c r="H39" s="58"/>
      <c r="I39" s="23"/>
      <c r="J39" s="24"/>
      <c r="M39" s="4"/>
      <c r="N39" s="76"/>
      <c r="O39" s="76"/>
      <c r="P39" s="76" t="str">
        <f t="shared" si="4"/>
        <v>,receipt_tokki_code2</v>
      </c>
      <c r="Q39" s="76" t="str">
        <f t="shared" si="0"/>
        <v>TEXT</v>
      </c>
      <c r="R39" s="76" t="str">
        <f t="shared" si="1"/>
        <v/>
      </c>
      <c r="S39" s="76" t="str">
        <f t="shared" si="5"/>
        <v/>
      </c>
      <c r="T39" s="76" t="str">
        <f t="shared" si="6"/>
        <v>-- レセプト特記事項2</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milscm_2023_010.azn_202310_backup_merge_receiptd_tr.receipt_tokki_code2 IS 'レセプト特記事項2';</v>
      </c>
    </row>
    <row r="40" spans="1:45" s="25" customFormat="1">
      <c r="A40" s="4"/>
      <c r="B40" s="21">
        <f t="shared" si="2"/>
        <v>28</v>
      </c>
      <c r="C40" s="13" t="s">
        <v>1177</v>
      </c>
      <c r="D40" s="13" t="s">
        <v>962</v>
      </c>
      <c r="E40" s="7"/>
      <c r="F40" s="7" t="s">
        <v>863</v>
      </c>
      <c r="G40" s="7" t="str">
        <f t="shared" si="3"/>
        <v>text</v>
      </c>
      <c r="H40" s="58"/>
      <c r="I40" s="23"/>
      <c r="J40" s="24"/>
      <c r="M40" s="4"/>
      <c r="N40" s="76"/>
      <c r="O40" s="76"/>
      <c r="P40" s="76" t="str">
        <f t="shared" si="4"/>
        <v>,receipt_tokki_code3</v>
      </c>
      <c r="Q40" s="76" t="str">
        <f t="shared" si="0"/>
        <v>TEXT</v>
      </c>
      <c r="R40" s="76" t="str">
        <f t="shared" si="1"/>
        <v/>
      </c>
      <c r="S40" s="76" t="str">
        <f t="shared" si="5"/>
        <v/>
      </c>
      <c r="T40" s="76" t="str">
        <f t="shared" si="6"/>
        <v>-- レセプト特記事項3</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milscm_2023_010.azn_202310_backup_merge_receiptd_tr.receipt_tokki_code3 IS 'レセプト特記事項3';</v>
      </c>
    </row>
    <row r="41" spans="1:45" s="25" customFormat="1">
      <c r="A41" s="4"/>
      <c r="B41" s="21">
        <f t="shared" si="2"/>
        <v>29</v>
      </c>
      <c r="C41" s="13" t="s">
        <v>1178</v>
      </c>
      <c r="D41" s="13" t="s">
        <v>964</v>
      </c>
      <c r="E41" s="7"/>
      <c r="F41" s="7" t="s">
        <v>863</v>
      </c>
      <c r="G41" s="7" t="str">
        <f t="shared" si="3"/>
        <v>text</v>
      </c>
      <c r="H41" s="58"/>
      <c r="I41" s="23"/>
      <c r="J41" s="24"/>
      <c r="M41" s="4"/>
      <c r="N41" s="76"/>
      <c r="O41" s="76"/>
      <c r="P41" s="76" t="str">
        <f t="shared" si="4"/>
        <v>,receipt_tokki_code4</v>
      </c>
      <c r="Q41" s="76" t="str">
        <f t="shared" si="0"/>
        <v>TEXT</v>
      </c>
      <c r="R41" s="76" t="str">
        <f t="shared" si="1"/>
        <v/>
      </c>
      <c r="S41" s="76" t="str">
        <f t="shared" si="5"/>
        <v/>
      </c>
      <c r="T41" s="76" t="str">
        <f t="shared" si="6"/>
        <v>-- レセプト特記事項4</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milscm_2023_010.azn_202310_backup_merge_receiptd_tr.receipt_tokki_code4 IS 'レセプト特記事項4';</v>
      </c>
    </row>
    <row r="42" spans="1:45" s="25" customFormat="1">
      <c r="A42" s="4"/>
      <c r="B42" s="21">
        <f t="shared" si="2"/>
        <v>30</v>
      </c>
      <c r="C42" s="13" t="s">
        <v>1179</v>
      </c>
      <c r="D42" s="13" t="s">
        <v>966</v>
      </c>
      <c r="E42" s="7"/>
      <c r="F42" s="7" t="s">
        <v>863</v>
      </c>
      <c r="G42" s="7" t="str">
        <f t="shared" si="3"/>
        <v>text</v>
      </c>
      <c r="H42" s="58"/>
      <c r="I42" s="23"/>
      <c r="J42" s="24"/>
      <c r="M42" s="4"/>
      <c r="N42" s="76"/>
      <c r="O42" s="76"/>
      <c r="P42" s="76" t="str">
        <f t="shared" si="4"/>
        <v>,receipt_tokki_code5</v>
      </c>
      <c r="Q42" s="76" t="str">
        <f t="shared" si="0"/>
        <v>TEXT</v>
      </c>
      <c r="R42" s="76" t="str">
        <f t="shared" si="1"/>
        <v/>
      </c>
      <c r="S42" s="76" t="str">
        <f t="shared" si="5"/>
        <v/>
      </c>
      <c r="T42" s="76" t="str">
        <f t="shared" si="6"/>
        <v>-- レセプト特記事項5</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milscm_2023_010.azn_202310_backup_merge_receiptd_tr.receipt_tokki_code5 IS 'レセプト特記事項5';</v>
      </c>
    </row>
    <row r="43" spans="1:45" s="25" customFormat="1">
      <c r="A43" s="4"/>
      <c r="B43" s="21">
        <f t="shared" si="2"/>
        <v>31</v>
      </c>
      <c r="C43" s="13" t="s">
        <v>1180</v>
      </c>
      <c r="D43" s="13" t="s">
        <v>1181</v>
      </c>
      <c r="E43" s="7"/>
      <c r="F43" s="7" t="s">
        <v>863</v>
      </c>
      <c r="G43" s="7" t="str">
        <f t="shared" si="3"/>
        <v>text</v>
      </c>
      <c r="H43" s="58"/>
      <c r="I43" s="23"/>
      <c r="J43" s="24"/>
      <c r="M43" s="4"/>
      <c r="N43" s="76"/>
      <c r="O43" s="76"/>
      <c r="P43" s="76" t="str">
        <f t="shared" si="4"/>
        <v>,reserve4</v>
      </c>
      <c r="Q43" s="76" t="str">
        <f t="shared" si="0"/>
        <v>TEXT</v>
      </c>
      <c r="R43" s="76" t="str">
        <f t="shared" si="1"/>
        <v/>
      </c>
      <c r="S43" s="76" t="str">
        <f t="shared" si="5"/>
        <v/>
      </c>
      <c r="T43" s="76" t="str">
        <f t="shared" si="6"/>
        <v>-- 予備4</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milscm_2023_010.azn_202310_backup_merge_receiptd_tr.reserve4 IS '予備4';</v>
      </c>
    </row>
    <row r="44" spans="1:45" s="25" customFormat="1" ht="31.5">
      <c r="A44" s="4"/>
      <c r="B44" s="21">
        <f t="shared" si="2"/>
        <v>32</v>
      </c>
      <c r="C44" s="13" t="s">
        <v>1182</v>
      </c>
      <c r="D44" s="13" t="s">
        <v>1183</v>
      </c>
      <c r="E44" s="7"/>
      <c r="F44" s="7" t="s">
        <v>863</v>
      </c>
      <c r="G44" s="7" t="str">
        <f t="shared" si="3"/>
        <v>text</v>
      </c>
      <c r="H44" s="58"/>
      <c r="I44" s="23"/>
      <c r="J44" s="24"/>
      <c r="M44" s="4"/>
      <c r="N44" s="76"/>
      <c r="O44" s="76"/>
      <c r="P44" s="76" t="str">
        <f t="shared" si="4"/>
        <v>,karute_no_tr</v>
      </c>
      <c r="Q44" s="76" t="str">
        <f t="shared" si="0"/>
        <v>TEXT</v>
      </c>
      <c r="R44" s="76" t="str">
        <f t="shared" si="1"/>
        <v/>
      </c>
      <c r="S44" s="76" t="str">
        <f t="shared" si="5"/>
        <v/>
      </c>
      <c r="T44" s="76" t="str">
        <f t="shared" si="6"/>
        <v>-- カルテ番号等（臓器提供者レセプト情報）</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milscm_2023_010.azn_202310_backup_merge_receiptd_tr.karute_no_tr IS 'カルテ番号等（臓器提供者レセプト情報）';</v>
      </c>
    </row>
    <row r="45" spans="1:45" s="25" customFormat="1">
      <c r="A45" s="4"/>
      <c r="B45" s="21">
        <f t="shared" si="2"/>
        <v>33</v>
      </c>
      <c r="C45" s="13" t="s">
        <v>1184</v>
      </c>
      <c r="D45" s="13" t="s">
        <v>970</v>
      </c>
      <c r="E45" s="7"/>
      <c r="F45" s="7" t="s">
        <v>203</v>
      </c>
      <c r="G45" s="7" t="str">
        <f t="shared" si="3"/>
        <v>integer</v>
      </c>
      <c r="H45" s="58"/>
      <c r="I45" s="23"/>
      <c r="J45" s="24"/>
      <c r="M45" s="4"/>
      <c r="N45" s="76"/>
      <c r="O45" s="76"/>
      <c r="P45" s="76" t="str">
        <f t="shared" si="4"/>
        <v>,waribiki_tensu</v>
      </c>
      <c r="Q45" s="76" t="str">
        <f t="shared" si="0"/>
        <v>INTEGER</v>
      </c>
      <c r="R45" s="76" t="str">
        <f t="shared" si="1"/>
        <v/>
      </c>
      <c r="S45" s="76" t="str">
        <f t="shared" si="5"/>
        <v/>
      </c>
      <c r="T45" s="76" t="str">
        <f t="shared" si="6"/>
        <v>-- 割引点数単価</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milscm_2023_010.azn_202310_backup_merge_receiptd_tr.waribiki_tensu IS '割引点数単価';</v>
      </c>
    </row>
    <row r="46" spans="1:45" s="25" customFormat="1">
      <c r="A46" s="4"/>
      <c r="B46" s="21">
        <f t="shared" si="2"/>
        <v>34</v>
      </c>
      <c r="C46" s="13" t="s">
        <v>1185</v>
      </c>
      <c r="D46" s="13" t="s">
        <v>1186</v>
      </c>
      <c r="E46" s="7"/>
      <c r="F46" s="7" t="s">
        <v>863</v>
      </c>
      <c r="G46" s="7" t="str">
        <f t="shared" si="3"/>
        <v>text</v>
      </c>
      <c r="H46" s="58"/>
      <c r="I46" s="23"/>
      <c r="J46" s="24"/>
      <c r="M46" s="4"/>
      <c r="N46" s="76"/>
      <c r="O46" s="76"/>
      <c r="P46" s="76" t="str">
        <f t="shared" si="4"/>
        <v>,reserve5</v>
      </c>
      <c r="Q46" s="76" t="str">
        <f t="shared" si="0"/>
        <v>TEXT</v>
      </c>
      <c r="R46" s="76" t="str">
        <f t="shared" si="1"/>
        <v/>
      </c>
      <c r="S46" s="76" t="str">
        <f t="shared" si="5"/>
        <v/>
      </c>
      <c r="T46" s="76" t="str">
        <f t="shared" si="6"/>
        <v>-- 予備5</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milscm_2023_010.azn_202310_backup_merge_receiptd_tr.reserve5 IS '予備5';</v>
      </c>
    </row>
    <row r="47" spans="1:45" s="25" customFormat="1">
      <c r="A47" s="4"/>
      <c r="B47" s="21">
        <f t="shared" si="2"/>
        <v>35</v>
      </c>
      <c r="C47" s="13" t="s">
        <v>1187</v>
      </c>
      <c r="D47" s="13" t="s">
        <v>1188</v>
      </c>
      <c r="E47" s="7"/>
      <c r="F47" s="7" t="s">
        <v>863</v>
      </c>
      <c r="G47" s="7" t="str">
        <f t="shared" si="3"/>
        <v>text</v>
      </c>
      <c r="H47" s="58"/>
      <c r="I47" s="23"/>
      <c r="J47" s="24"/>
      <c r="M47" s="4"/>
      <c r="N47" s="76"/>
      <c r="O47" s="76"/>
      <c r="P47" s="76" t="str">
        <f t="shared" si="4"/>
        <v>,reserve6</v>
      </c>
      <c r="Q47" s="76" t="str">
        <f t="shared" si="0"/>
        <v>TEXT</v>
      </c>
      <c r="R47" s="76" t="str">
        <f t="shared" si="1"/>
        <v/>
      </c>
      <c r="S47" s="76" t="str">
        <f t="shared" si="5"/>
        <v/>
      </c>
      <c r="T47" s="76" t="str">
        <f t="shared" si="6"/>
        <v>-- 予備6</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milscm_2023_010.azn_202310_backup_merge_receiptd_tr.reserve6 IS '予備6';</v>
      </c>
    </row>
    <row r="48" spans="1:45" s="25" customFormat="1" ht="19.5" thickBot="1">
      <c r="A48" s="4"/>
      <c r="B48" s="27">
        <f>ROW()-12</f>
        <v>36</v>
      </c>
      <c r="C48" s="57" t="s">
        <v>1189</v>
      </c>
      <c r="D48" s="57" t="s">
        <v>1190</v>
      </c>
      <c r="E48" s="56"/>
      <c r="F48" s="56" t="s">
        <v>863</v>
      </c>
      <c r="G48" s="56" t="str">
        <f t="shared" si="3"/>
        <v>text</v>
      </c>
      <c r="H48" s="59"/>
      <c r="I48" s="60"/>
      <c r="J48" s="63"/>
      <c r="N48" s="76"/>
      <c r="O48" s="76"/>
      <c r="P48" s="76" t="str">
        <f t="shared" si="4"/>
        <v>,reserve7</v>
      </c>
      <c r="Q48" s="76" t="str">
        <f t="shared" si="0"/>
        <v>TEXT</v>
      </c>
      <c r="R48" s="76" t="str">
        <f t="shared" si="1"/>
        <v/>
      </c>
      <c r="S48" s="76" t="str">
        <f t="shared" si="5"/>
        <v/>
      </c>
      <c r="T48" s="76" t="str">
        <f t="shared" si="6"/>
        <v>-- 予備7</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milscm_2023_010.azn_202310_backup_merge_receiptd_tr.reserve7 IS '予備7';</v>
      </c>
    </row>
    <row r="49" spans="12:52">
      <c r="L49" s="25"/>
      <c r="M49" s="25"/>
      <c r="N49" s="76" t="s">
        <v>142</v>
      </c>
      <c r="O49" s="76"/>
      <c r="P49" s="76"/>
      <c r="Q49" s="76"/>
      <c r="R49" s="76"/>
      <c r="S49" s="76"/>
      <c r="T49" s="76"/>
      <c r="V49" s="25"/>
      <c r="W49" s="25"/>
      <c r="X49" s="25"/>
      <c r="Y49" s="25"/>
      <c r="Z49" s="25"/>
      <c r="AJ49" s="76" t="s">
        <v>142</v>
      </c>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V51" s="25"/>
      <c r="W51" s="25"/>
      <c r="X51" s="25"/>
      <c r="Y51" s="25"/>
      <c r="Z51" s="25"/>
      <c r="AT51" s="25"/>
      <c r="AU51" s="25"/>
      <c r="AV51" s="25"/>
      <c r="AW51" s="25"/>
      <c r="AX51" s="25"/>
      <c r="AY51" s="25"/>
      <c r="AZ51" s="25"/>
    </row>
    <row r="52" spans="12:52">
      <c r="L52" s="25"/>
      <c r="M52" s="25"/>
      <c r="V52" s="25"/>
      <c r="W52" s="25"/>
      <c r="X52" s="25"/>
      <c r="Y52" s="25"/>
      <c r="Z52" s="25"/>
      <c r="AT52" s="25"/>
      <c r="AU52" s="25"/>
      <c r="AV52" s="25"/>
      <c r="AW52" s="25"/>
      <c r="AX52" s="25"/>
      <c r="AY52" s="25"/>
      <c r="AZ52" s="25"/>
    </row>
    <row r="53" spans="12:52">
      <c r="L53" s="25"/>
      <c r="M53" s="25"/>
      <c r="V53" s="25"/>
      <c r="W53" s="25"/>
      <c r="X53" s="25"/>
      <c r="Y53" s="25"/>
      <c r="Z53" s="25"/>
      <c r="AT53" s="25"/>
      <c r="AU53" s="25"/>
      <c r="AV53" s="25"/>
      <c r="AW53" s="25"/>
      <c r="AX53" s="25"/>
      <c r="AY53" s="25"/>
      <c r="AZ53" s="25"/>
    </row>
    <row r="54" spans="12:52">
      <c r="L54" s="25"/>
      <c r="M54" s="25"/>
      <c r="V54" s="25"/>
      <c r="W54" s="25"/>
      <c r="X54" s="25"/>
      <c r="Y54" s="25"/>
      <c r="Z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T60" s="25"/>
      <c r="AU60" s="25"/>
      <c r="AV60" s="25"/>
      <c r="AW60" s="25"/>
      <c r="AX60" s="25"/>
      <c r="AY60" s="25"/>
      <c r="AZ60" s="25"/>
    </row>
    <row r="61" spans="12:52">
      <c r="L61" s="25"/>
      <c r="M61" s="25"/>
      <c r="AT61" s="25"/>
      <c r="AU61" s="25"/>
      <c r="AV61" s="25"/>
      <c r="AW61" s="25"/>
      <c r="AX61" s="25"/>
      <c r="AY61" s="25"/>
      <c r="AZ61" s="25"/>
    </row>
    <row r="62" spans="12:52">
      <c r="L62" s="25"/>
      <c r="M62" s="25"/>
      <c r="AT62" s="25"/>
      <c r="AU62" s="25"/>
      <c r="AV62" s="25"/>
      <c r="AW62" s="25"/>
      <c r="AX62" s="25"/>
      <c r="AY62" s="25"/>
      <c r="AZ62" s="25"/>
    </row>
    <row r="63" spans="12:52">
      <c r="L63" s="25"/>
      <c r="M63" s="25"/>
      <c r="AT63" s="25"/>
      <c r="AU63" s="25"/>
      <c r="AV63" s="25"/>
      <c r="AW63" s="25"/>
      <c r="AX63" s="25"/>
      <c r="AY63" s="25"/>
      <c r="AZ63" s="25"/>
    </row>
    <row r="64" spans="12:52">
      <c r="L64" s="25"/>
      <c r="M64" s="25"/>
      <c r="AV64" s="25"/>
      <c r="AW64" s="25"/>
      <c r="AX64" s="25"/>
      <c r="AY64" s="25"/>
      <c r="AZ64" s="25"/>
    </row>
    <row r="65" spans="13:13">
      <c r="M65" s="25"/>
    </row>
    <row r="66" spans="13:13">
      <c r="M66" s="25"/>
    </row>
    <row r="67" spans="13:13">
      <c r="M67" s="25"/>
    </row>
    <row r="68" spans="13:13">
      <c r="M68" s="25"/>
    </row>
    <row r="69" spans="13:13">
      <c r="M69" s="25"/>
    </row>
    <row r="70" spans="13:13">
      <c r="M7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ENT_01_C4-01</v>
      </c>
      <c r="E6" s="272"/>
      <c r="F6" s="272"/>
      <c r="G6" s="272"/>
      <c r="H6" s="272"/>
      <c r="I6" s="272"/>
      <c r="J6" s="273"/>
    </row>
    <row r="7" spans="1:45">
      <c r="B7" s="261" t="s">
        <v>115</v>
      </c>
      <c r="C7" s="262"/>
      <c r="D7" s="263" t="s">
        <v>1239</v>
      </c>
      <c r="E7" s="264"/>
      <c r="F7" s="264"/>
      <c r="G7" s="264"/>
      <c r="H7" s="264"/>
      <c r="I7" s="264"/>
      <c r="J7" s="265"/>
    </row>
    <row r="8" spans="1:45">
      <c r="B8" s="261" t="s">
        <v>116</v>
      </c>
      <c r="C8" s="262"/>
      <c r="D8" s="263" t="str">
        <f>エンティティ一覧!AE2&amp;"_"&amp;D5&amp;"_merge_mml_pi_master"</f>
        <v>azn_202310_backup_merge_mml_pi_master</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患者情報モジュール_患者情報テーブルから組入れ条件の第一条件で絞り込んだ結果を格納するテーブル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milscm_2023_010.azn_202310_backup_merge_mml_pi_master;</v>
      </c>
      <c r="O10" s="76"/>
      <c r="P10" s="76"/>
      <c r="Q10" s="76"/>
      <c r="R10" s="76"/>
      <c r="S10" s="76"/>
      <c r="T10" s="76"/>
      <c r="AJ10" s="76" t="str">
        <f>"ALTER TABLE ONLY "&amp;エンティティ一覧!$O$2&amp;"."&amp;D$8</f>
        <v>ALTER TABLE ONLY milscm_2023_010.azn_202310_backup_merge_mml_pi_master</v>
      </c>
      <c r="AS10" s="76" t="str">
        <f>"ALTER TABLE "&amp;エンティティ一覧!$O$2&amp;"."&amp;D$8&amp;" OWNER TO pgmisgrp1;"</f>
        <v>ALTER TABLE milscm_2023_010.azn_202310_backup_merge_mml_pi_master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milscm_2023_010.azn_202310_backup_merge_mml_pi_master</v>
      </c>
      <c r="O11" s="76"/>
      <c r="P11" s="76"/>
      <c r="Q11" s="76"/>
      <c r="R11" s="76"/>
      <c r="S11" s="76"/>
      <c r="T11" s="76"/>
      <c r="AJ11" s="76" t="str">
        <f>"ADD CONSTRAINT "&amp;D$8&amp;"_pkey PRIMARY KEY"</f>
        <v>ADD CONSTRAINT azn_202310_backup_merge_mml_pi_master_pkey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milscm_2023_010.azn_202310_backup_merge_mml_pi_master IS 'バックアップ_患者情報モジュール_患者情報';</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8" si="0">UPPER(G13)</f>
        <v>TEXT</v>
      </c>
      <c r="R13" s="76" t="str">
        <f t="shared" ref="R13:R38"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milscm_2023_010.azn_202310_backup_merge_mml_pi_master.torikomi_ym IS '取込年月';</v>
      </c>
    </row>
    <row r="14" spans="1:45" s="25" customFormat="1">
      <c r="A14" s="4"/>
      <c r="B14" s="21">
        <f t="shared" ref="B14:B37" si="2">ROW()-12</f>
        <v>2</v>
      </c>
      <c r="C14" s="6" t="s">
        <v>201</v>
      </c>
      <c r="D14" s="6" t="s">
        <v>202</v>
      </c>
      <c r="E14" s="8"/>
      <c r="F14" s="7" t="s">
        <v>203</v>
      </c>
      <c r="G14" s="7" t="str">
        <f t="shared" ref="G14:G38" si="3">IF(F14="フラグ","boolean",IF(F14="文字列","text",IF(F14="整数","integer",IF(F14="実数","numeric",""))))</f>
        <v>integer</v>
      </c>
      <c r="H14" s="26"/>
      <c r="I14" s="10"/>
      <c r="J14" s="11" t="s">
        <v>1280</v>
      </c>
      <c r="M14" s="4"/>
      <c r="N14" s="76"/>
      <c r="O14" s="76"/>
      <c r="P14" s="76" t="str">
        <f t="shared" ref="P14:P38"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milscm_2023_010.azn_202310_backup_merge_mml_pi_master.mil_karute_id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38" si="5">IF(I15="○","NOT NULL","")</f>
        <v>NOT NULL</v>
      </c>
      <c r="T15" s="76" t="str">
        <f t="shared" ref="T15:T38"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milscm_2023_010.azn_202310_backup_merge_mml_pi_master.facility_id IS '施設ID';</v>
      </c>
    </row>
    <row r="16" spans="1:45" s="25" customFormat="1" ht="75">
      <c r="A16" s="4"/>
      <c r="B16" s="21">
        <f t="shared" si="2"/>
        <v>4</v>
      </c>
      <c r="C16" s="13" t="s">
        <v>1240</v>
      </c>
      <c r="D16" s="13" t="s">
        <v>1241</v>
      </c>
      <c r="E16" s="7"/>
      <c r="F16" s="7" t="s">
        <v>863</v>
      </c>
      <c r="G16" s="7" t="str">
        <f t="shared" si="3"/>
        <v>text</v>
      </c>
      <c r="H16" s="58"/>
      <c r="I16" s="23" t="s">
        <v>127</v>
      </c>
      <c r="J16" s="24" t="s">
        <v>1282</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milscm_2023_010.azn_202310_backup_merge_mml_pi_master.shinryo_ymd IS '診療年月日';</v>
      </c>
    </row>
    <row r="17" spans="1:45" s="25" customFormat="1">
      <c r="A17" s="4"/>
      <c r="B17" s="21">
        <f t="shared" si="2"/>
        <v>5</v>
      </c>
      <c r="C17" s="13" t="s">
        <v>1242</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milscm_2023_010.azn_202310_backup_merge_mml_pi_master.data_type IS 'データ種別';</v>
      </c>
    </row>
    <row r="18" spans="1:45"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milscm_2023_010.azn_202310_backup_merge_mml_pi_master.master_id IS '患者ID';</v>
      </c>
    </row>
    <row r="19" spans="1:45"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milscm_2023_010.azn_202310_backup_merge_mml_pi_master.uid IS '文書ユニークID';</v>
      </c>
    </row>
    <row r="20" spans="1:45" s="25" customFormat="1">
      <c r="A20" s="4"/>
      <c r="B20" s="21">
        <f t="shared" si="2"/>
        <v>8</v>
      </c>
      <c r="C20" s="13" t="s">
        <v>1247</v>
      </c>
      <c r="D20" s="13" t="s">
        <v>1248</v>
      </c>
      <c r="E20" s="7" t="s">
        <v>127</v>
      </c>
      <c r="F20" s="7" t="s">
        <v>203</v>
      </c>
      <c r="G20" s="7" t="str">
        <f t="shared" si="3"/>
        <v>integer</v>
      </c>
      <c r="H20" s="58"/>
      <c r="I20" s="23" t="s">
        <v>127</v>
      </c>
      <c r="J20" s="24" t="s">
        <v>1287</v>
      </c>
      <c r="M20" s="4"/>
      <c r="N20" s="76"/>
      <c r="O20" s="76"/>
      <c r="P20" s="76" t="str">
        <f t="shared" si="4"/>
        <v>,patient_seq</v>
      </c>
      <c r="Q20" s="76" t="str">
        <f t="shared" si="0"/>
        <v>INTEGER</v>
      </c>
      <c r="R20" s="76" t="str">
        <f t="shared" si="1"/>
        <v/>
      </c>
      <c r="S20" s="76" t="str">
        <f t="shared" si="5"/>
        <v>NOT NULL</v>
      </c>
      <c r="T20" s="76" t="str">
        <f t="shared" si="6"/>
        <v>-- 患者情報SEQ</v>
      </c>
      <c r="U20" s="4"/>
      <c r="AA20" s="4"/>
      <c r="AB20" s="4"/>
      <c r="AC20" s="4"/>
      <c r="AD20" s="4"/>
      <c r="AE20" s="4"/>
      <c r="AF20" s="4"/>
      <c r="AG20" s="4"/>
      <c r="AH20" s="4"/>
      <c r="AI20" s="4"/>
      <c r="AJ20" s="76" t="str">
        <f>IF(E20="○",IF(COUNTA(E$13:E20)=1,"",",")&amp;D20,"")</f>
        <v>,patient_seq</v>
      </c>
      <c r="AK20" s="4"/>
      <c r="AL20" s="4"/>
      <c r="AM20" s="4"/>
      <c r="AN20" s="4"/>
      <c r="AO20" s="4"/>
      <c r="AP20" s="4"/>
      <c r="AQ20" s="4"/>
      <c r="AR20" s="4"/>
      <c r="AS20" s="76" t="str">
        <f>"COMMENT ON COLUMN "&amp;エンティティ一覧!$O$2&amp;"."&amp;D$8&amp;"."&amp;D20&amp;" IS '"&amp;C20&amp;"';"</f>
        <v>COMMENT ON COLUMN milscm_2023_010.azn_202310_backup_merge_mml_pi_master.patient_seq IS '患者情報SEQ';</v>
      </c>
    </row>
    <row r="21" spans="1:45" s="25" customFormat="1">
      <c r="A21" s="4"/>
      <c r="B21" s="21">
        <f t="shared" si="2"/>
        <v>9</v>
      </c>
      <c r="C21" s="13" t="s">
        <v>1249</v>
      </c>
      <c r="D21" s="13" t="s">
        <v>1250</v>
      </c>
      <c r="E21" s="7"/>
      <c r="F21" s="7" t="s">
        <v>863</v>
      </c>
      <c r="G21" s="7" t="str">
        <f t="shared" si="3"/>
        <v>text</v>
      </c>
      <c r="H21" s="58"/>
      <c r="I21" s="23"/>
      <c r="J21" s="24"/>
      <c r="M21" s="4"/>
      <c r="N21" s="76"/>
      <c r="O21" s="76"/>
      <c r="P21" s="76" t="str">
        <f t="shared" si="4"/>
        <v>,main_id</v>
      </c>
      <c r="Q21" s="76" t="str">
        <f t="shared" si="0"/>
        <v>TEXT</v>
      </c>
      <c r="R21" s="76" t="str">
        <f t="shared" si="1"/>
        <v/>
      </c>
      <c r="S21" s="76" t="str">
        <f t="shared" si="5"/>
        <v/>
      </c>
      <c r="T21" s="76" t="str">
        <f t="shared" si="6"/>
        <v>-- 主ID</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milscm_2023_010.azn_202310_backup_merge_mml_pi_master.main_id IS '主ID';</v>
      </c>
    </row>
    <row r="22" spans="1:45" s="25" customFormat="1">
      <c r="A22" s="4"/>
      <c r="B22" s="21">
        <f t="shared" si="2"/>
        <v>10</v>
      </c>
      <c r="C22" s="13" t="s">
        <v>1251</v>
      </c>
      <c r="D22" s="13" t="s">
        <v>1252</v>
      </c>
      <c r="E22" s="7"/>
      <c r="F22" s="7" t="s">
        <v>863</v>
      </c>
      <c r="G22" s="7" t="str">
        <f t="shared" si="3"/>
        <v>text</v>
      </c>
      <c r="H22" s="58"/>
      <c r="I22" s="23"/>
      <c r="J22" s="24"/>
      <c r="M22" s="4"/>
      <c r="N22" s="76"/>
      <c r="O22" s="76"/>
      <c r="P22" s="76" t="str">
        <f t="shared" si="4"/>
        <v>,main_id_type_code</v>
      </c>
      <c r="Q22" s="76" t="str">
        <f t="shared" si="0"/>
        <v>TEXT</v>
      </c>
      <c r="R22" s="76" t="str">
        <f t="shared" si="1"/>
        <v/>
      </c>
      <c r="S22" s="76" t="str">
        <f t="shared" si="5"/>
        <v/>
      </c>
      <c r="T22" s="76" t="str">
        <f t="shared" si="6"/>
        <v>-- 主IDの種類コード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milscm_2023_010.azn_202310_backup_merge_mml_pi_master.main_id_type_code IS '主IDの種類コード';</v>
      </c>
    </row>
    <row r="23" spans="1:45" s="25" customFormat="1">
      <c r="A23" s="4"/>
      <c r="B23" s="21">
        <f t="shared" si="2"/>
        <v>11</v>
      </c>
      <c r="C23" s="13" t="s">
        <v>1253</v>
      </c>
      <c r="D23" s="13" t="s">
        <v>1254</v>
      </c>
      <c r="E23" s="7"/>
      <c r="F23" s="7" t="s">
        <v>863</v>
      </c>
      <c r="G23" s="7" t="str">
        <f t="shared" si="3"/>
        <v>text</v>
      </c>
      <c r="H23" s="58"/>
      <c r="I23" s="23"/>
      <c r="J23" s="24"/>
      <c r="M23" s="4"/>
      <c r="N23" s="76"/>
      <c r="O23" s="76"/>
      <c r="P23" s="76" t="str">
        <f t="shared" si="4"/>
        <v>,main_id_name</v>
      </c>
      <c r="Q23" s="76" t="str">
        <f t="shared" si="0"/>
        <v>TEXT</v>
      </c>
      <c r="R23" s="76" t="str">
        <f t="shared" si="1"/>
        <v/>
      </c>
      <c r="S23" s="76" t="str">
        <f t="shared" si="5"/>
        <v/>
      </c>
      <c r="T23" s="76" t="str">
        <f t="shared" si="6"/>
        <v>-- 主IDテーブル名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milscm_2023_010.azn_202310_backup_merge_mml_pi_master.main_id_name IS '主IDテーブル名';</v>
      </c>
    </row>
    <row r="24" spans="1:45" s="25" customFormat="1">
      <c r="A24" s="4"/>
      <c r="B24" s="21">
        <f t="shared" si="2"/>
        <v>12</v>
      </c>
      <c r="C24" s="13" t="s">
        <v>1255</v>
      </c>
      <c r="D24" s="13" t="s">
        <v>1256</v>
      </c>
      <c r="E24" s="7"/>
      <c r="F24" s="7" t="s">
        <v>863</v>
      </c>
      <c r="G24" s="7" t="str">
        <f t="shared" si="3"/>
        <v>text</v>
      </c>
      <c r="H24" s="58"/>
      <c r="I24" s="23"/>
      <c r="J24" s="24"/>
      <c r="M24" s="4"/>
      <c r="N24" s="76"/>
      <c r="O24" s="76"/>
      <c r="P24" s="76" t="str">
        <f t="shared" si="4"/>
        <v>,main_id_check_digit</v>
      </c>
      <c r="Q24" s="76" t="str">
        <f t="shared" si="0"/>
        <v>TEXT</v>
      </c>
      <c r="R24" s="76" t="str">
        <f t="shared" si="1"/>
        <v/>
      </c>
      <c r="S24" s="76" t="str">
        <f t="shared" si="5"/>
        <v/>
      </c>
      <c r="T24" s="76" t="str">
        <f t="shared" si="6"/>
        <v>-- 主IDチェックディジット</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milscm_2023_010.azn_202310_backup_merge_mml_pi_master.main_id_check_digit IS '主IDチェックディジット';</v>
      </c>
    </row>
    <row r="25" spans="1:45" s="25" customFormat="1" ht="56.25">
      <c r="A25" s="4"/>
      <c r="B25" s="21">
        <f t="shared" si="2"/>
        <v>13</v>
      </c>
      <c r="C25" s="13" t="s">
        <v>1257</v>
      </c>
      <c r="D25" s="13" t="s">
        <v>1258</v>
      </c>
      <c r="E25" s="7"/>
      <c r="F25" s="7" t="s">
        <v>863</v>
      </c>
      <c r="G25" s="7" t="str">
        <f t="shared" si="3"/>
        <v>text</v>
      </c>
      <c r="H25" s="58"/>
      <c r="I25" s="23"/>
      <c r="J25" s="24" t="s">
        <v>1288</v>
      </c>
      <c r="M25" s="4"/>
      <c r="N25" s="76"/>
      <c r="O25" s="76"/>
      <c r="P25" s="76" t="str">
        <f t="shared" si="4"/>
        <v>,main_id_check_digit_system</v>
      </c>
      <c r="Q25" s="76" t="str">
        <f t="shared" si="0"/>
        <v>TEXT</v>
      </c>
      <c r="R25" s="76" t="str">
        <f t="shared" si="1"/>
        <v/>
      </c>
      <c r="S25" s="76" t="str">
        <f t="shared" si="5"/>
        <v/>
      </c>
      <c r="T25" s="76" t="str">
        <f t="shared" si="6"/>
        <v>-- 主IDチェックディジット方式</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milscm_2023_010.azn_202310_backup_merge_mml_pi_master.main_id_check_digit_system IS '主IDチェックディジット方式';</v>
      </c>
    </row>
    <row r="26" spans="1:45" s="25" customFormat="1" ht="37.5">
      <c r="A26" s="4"/>
      <c r="B26" s="21">
        <f t="shared" si="2"/>
        <v>14</v>
      </c>
      <c r="C26" s="13" t="s">
        <v>565</v>
      </c>
      <c r="D26" s="13" t="s">
        <v>321</v>
      </c>
      <c r="E26" s="7"/>
      <c r="F26" s="7" t="s">
        <v>863</v>
      </c>
      <c r="G26" s="7" t="str">
        <f t="shared" si="3"/>
        <v>text</v>
      </c>
      <c r="H26" s="58"/>
      <c r="I26" s="23"/>
      <c r="J26" s="24" t="s">
        <v>1289</v>
      </c>
      <c r="M26" s="4"/>
      <c r="N26" s="76"/>
      <c r="O26" s="76"/>
      <c r="P26" s="76" t="str">
        <f t="shared" si="4"/>
        <v>,birthday</v>
      </c>
      <c r="Q26" s="76" t="str">
        <f t="shared" si="0"/>
        <v>TEXT</v>
      </c>
      <c r="R26" s="76" t="str">
        <f t="shared" si="1"/>
        <v/>
      </c>
      <c r="S26" s="76" t="str">
        <f t="shared" si="5"/>
        <v/>
      </c>
      <c r="T26" s="76" t="str">
        <f t="shared" si="6"/>
        <v>-- 生年月日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milscm_2023_010.azn_202310_backup_merge_mml_pi_master.birthday IS '生年月日';</v>
      </c>
    </row>
    <row r="27" spans="1:45" s="25" customFormat="1" ht="37.5">
      <c r="A27" s="4"/>
      <c r="B27" s="21">
        <f t="shared" si="2"/>
        <v>15</v>
      </c>
      <c r="C27" s="13" t="s">
        <v>567</v>
      </c>
      <c r="D27" s="13" t="s">
        <v>1259</v>
      </c>
      <c r="E27" s="7"/>
      <c r="F27" s="7" t="s">
        <v>863</v>
      </c>
      <c r="G27" s="7" t="str">
        <f t="shared" si="3"/>
        <v>text</v>
      </c>
      <c r="H27" s="58"/>
      <c r="I27" s="23"/>
      <c r="J27" s="24" t="s">
        <v>1290</v>
      </c>
      <c r="M27" s="4"/>
      <c r="N27" s="76"/>
      <c r="O27" s="76"/>
      <c r="P27" s="76" t="str">
        <f t="shared" si="4"/>
        <v>,sex</v>
      </c>
      <c r="Q27" s="76" t="str">
        <f t="shared" si="0"/>
        <v>TEXT</v>
      </c>
      <c r="R27" s="76" t="str">
        <f t="shared" si="1"/>
        <v/>
      </c>
      <c r="S27" s="76" t="str">
        <f t="shared" si="5"/>
        <v/>
      </c>
      <c r="T27" s="76" t="str">
        <f t="shared" si="6"/>
        <v>-- 性別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milscm_2023_010.azn_202310_backup_merge_mml_pi_master.sex IS '性別';</v>
      </c>
    </row>
    <row r="28" spans="1:45" s="25" customFormat="1">
      <c r="A28" s="4"/>
      <c r="B28" s="21">
        <f t="shared" si="2"/>
        <v>16</v>
      </c>
      <c r="C28" s="13" t="s">
        <v>942</v>
      </c>
      <c r="D28" s="13" t="s">
        <v>943</v>
      </c>
      <c r="E28" s="7"/>
      <c r="F28" s="7" t="s">
        <v>863</v>
      </c>
      <c r="G28" s="7" t="str">
        <f t="shared" si="3"/>
        <v>text</v>
      </c>
      <c r="H28" s="58"/>
      <c r="I28" s="23"/>
      <c r="J28" s="24" t="s">
        <v>1291</v>
      </c>
      <c r="M28" s="4"/>
      <c r="N28" s="76"/>
      <c r="O28" s="76"/>
      <c r="P28" s="76" t="str">
        <f t="shared" si="4"/>
        <v>,sex_kubun</v>
      </c>
      <c r="Q28" s="76" t="str">
        <f t="shared" si="0"/>
        <v>TEXT</v>
      </c>
      <c r="R28" s="76" t="str">
        <f t="shared" si="1"/>
        <v/>
      </c>
      <c r="S28" s="76" t="str">
        <f t="shared" si="5"/>
        <v/>
      </c>
      <c r="T28" s="76" t="str">
        <f t="shared" si="6"/>
        <v>-- 男女区分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milscm_2023_010.azn_202310_backup_merge_mml_pi_master.sex_kubun IS '男女区分';</v>
      </c>
    </row>
    <row r="29" spans="1:45" s="25" customFormat="1" ht="37.5">
      <c r="A29" s="4"/>
      <c r="B29" s="21">
        <f t="shared" si="2"/>
        <v>17</v>
      </c>
      <c r="C29" s="13" t="s">
        <v>1260</v>
      </c>
      <c r="D29" s="13" t="s">
        <v>1261</v>
      </c>
      <c r="E29" s="7"/>
      <c r="F29" s="7" t="s">
        <v>863</v>
      </c>
      <c r="G29" s="7" t="str">
        <f t="shared" si="3"/>
        <v>text</v>
      </c>
      <c r="H29" s="58"/>
      <c r="I29" s="23"/>
      <c r="J29" s="24" t="s">
        <v>1292</v>
      </c>
      <c r="M29" s="4"/>
      <c r="N29" s="76"/>
      <c r="O29" s="76"/>
      <c r="P29" s="76" t="str">
        <f t="shared" si="4"/>
        <v>,nationality_code</v>
      </c>
      <c r="Q29" s="76" t="str">
        <f t="shared" si="0"/>
        <v>TEXT</v>
      </c>
      <c r="R29" s="76" t="str">
        <f t="shared" si="1"/>
        <v/>
      </c>
      <c r="S29" s="76" t="str">
        <f t="shared" si="5"/>
        <v/>
      </c>
      <c r="T29" s="76" t="str">
        <f t="shared" si="6"/>
        <v>-- 国籍コード</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milscm_2023_010.azn_202310_backup_merge_mml_pi_master.nationality_code IS '国籍コード';</v>
      </c>
    </row>
    <row r="30" spans="1:45" s="25" customFormat="1">
      <c r="A30" s="4"/>
      <c r="B30" s="21">
        <f t="shared" si="2"/>
        <v>18</v>
      </c>
      <c r="C30" s="13" t="s">
        <v>1262</v>
      </c>
      <c r="D30" s="13" t="s">
        <v>1263</v>
      </c>
      <c r="E30" s="7"/>
      <c r="F30" s="7" t="s">
        <v>863</v>
      </c>
      <c r="G30" s="7" t="str">
        <f t="shared" si="3"/>
        <v>text</v>
      </c>
      <c r="H30" s="58"/>
      <c r="I30" s="23"/>
      <c r="J30" s="24"/>
      <c r="M30" s="4"/>
      <c r="N30" s="76"/>
      <c r="O30" s="76"/>
      <c r="P30" s="76" t="str">
        <f t="shared" si="4"/>
        <v>,subtype_code</v>
      </c>
      <c r="Q30" s="76" t="str">
        <f t="shared" si="0"/>
        <v>TEXT</v>
      </c>
      <c r="R30" s="76" t="str">
        <f t="shared" si="1"/>
        <v/>
      </c>
      <c r="S30" s="76" t="str">
        <f t="shared" si="5"/>
        <v/>
      </c>
      <c r="T30" s="76" t="str">
        <f t="shared" si="6"/>
        <v>-- 第2国籍コード</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milscm_2023_010.azn_202310_backup_merge_mml_pi_master.subtype_code IS '第2国籍コード';</v>
      </c>
    </row>
    <row r="31" spans="1:45" s="25" customFormat="1">
      <c r="A31" s="4"/>
      <c r="B31" s="21">
        <f t="shared" si="2"/>
        <v>19</v>
      </c>
      <c r="C31" s="13" t="s">
        <v>1264</v>
      </c>
      <c r="D31" s="13" t="s">
        <v>1265</v>
      </c>
      <c r="E31" s="7"/>
      <c r="F31" s="7" t="s">
        <v>863</v>
      </c>
      <c r="G31" s="7" t="str">
        <f t="shared" si="3"/>
        <v>text</v>
      </c>
      <c r="H31" s="58"/>
      <c r="I31" s="23"/>
      <c r="J31" s="24"/>
      <c r="M31" s="4"/>
      <c r="N31" s="76"/>
      <c r="O31" s="76"/>
      <c r="P31" s="76" t="str">
        <f t="shared" si="4"/>
        <v>,race</v>
      </c>
      <c r="Q31" s="76" t="str">
        <f t="shared" si="0"/>
        <v>TEXT</v>
      </c>
      <c r="R31" s="76" t="str">
        <f t="shared" si="1"/>
        <v/>
      </c>
      <c r="S31" s="76" t="str">
        <f t="shared" si="5"/>
        <v/>
      </c>
      <c r="T31" s="76" t="str">
        <f t="shared" si="6"/>
        <v>-- 人種、民族</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milscm_2023_010.azn_202310_backup_merge_mml_pi_master.race IS '人種、民族';</v>
      </c>
    </row>
    <row r="32" spans="1:45" s="25" customFormat="1">
      <c r="A32" s="4"/>
      <c r="B32" s="21">
        <f t="shared" si="2"/>
        <v>20</v>
      </c>
      <c r="C32" s="13" t="s">
        <v>1266</v>
      </c>
      <c r="D32" s="13" t="s">
        <v>1267</v>
      </c>
      <c r="E32" s="7"/>
      <c r="F32" s="7" t="s">
        <v>863</v>
      </c>
      <c r="G32" s="7" t="str">
        <f t="shared" si="3"/>
        <v>text</v>
      </c>
      <c r="H32" s="58"/>
      <c r="I32" s="23"/>
      <c r="J32" s="24"/>
      <c r="M32" s="4"/>
      <c r="N32" s="76"/>
      <c r="O32" s="76"/>
      <c r="P32" s="76" t="str">
        <f t="shared" si="4"/>
        <v>,race_code</v>
      </c>
      <c r="Q32" s="76" t="str">
        <f t="shared" si="0"/>
        <v>TEXT</v>
      </c>
      <c r="R32" s="76" t="str">
        <f t="shared" si="1"/>
        <v/>
      </c>
      <c r="S32" s="76" t="str">
        <f t="shared" si="5"/>
        <v/>
      </c>
      <c r="T32" s="76" t="str">
        <f t="shared" si="6"/>
        <v>-- 人種、民族コード</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milscm_2023_010.azn_202310_backup_merge_mml_pi_master.race_code IS '人種、民族コード';</v>
      </c>
    </row>
    <row r="33" spans="1:52" s="25" customFormat="1">
      <c r="A33" s="4"/>
      <c r="B33" s="21">
        <f t="shared" si="2"/>
        <v>21</v>
      </c>
      <c r="C33" s="13" t="s">
        <v>1268</v>
      </c>
      <c r="D33" s="13" t="s">
        <v>1269</v>
      </c>
      <c r="E33" s="7"/>
      <c r="F33" s="7" t="s">
        <v>863</v>
      </c>
      <c r="G33" s="7" t="str">
        <f t="shared" si="3"/>
        <v>text</v>
      </c>
      <c r="H33" s="58"/>
      <c r="I33" s="23"/>
      <c r="J33" s="24"/>
      <c r="M33" s="4"/>
      <c r="N33" s="76"/>
      <c r="O33" s="76"/>
      <c r="P33" s="76" t="str">
        <f t="shared" si="4"/>
        <v>,race_code_id</v>
      </c>
      <c r="Q33" s="76" t="str">
        <f t="shared" si="0"/>
        <v>TEXT</v>
      </c>
      <c r="R33" s="76" t="str">
        <f t="shared" si="1"/>
        <v/>
      </c>
      <c r="S33" s="76" t="str">
        <f t="shared" si="5"/>
        <v/>
      </c>
      <c r="T33" s="76" t="str">
        <f t="shared" si="6"/>
        <v>-- 人種、民族使用テーブル</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milscm_2023_010.azn_202310_backup_merge_mml_pi_master.race_code_id IS '人種、民族使用テーブル';</v>
      </c>
    </row>
    <row r="34" spans="1:52" s="25" customFormat="1" ht="37.5">
      <c r="A34" s="4"/>
      <c r="B34" s="21">
        <f t="shared" si="2"/>
        <v>22</v>
      </c>
      <c r="C34" s="13" t="s">
        <v>1270</v>
      </c>
      <c r="D34" s="13" t="s">
        <v>1271</v>
      </c>
      <c r="E34" s="7"/>
      <c r="F34" s="7" t="s">
        <v>863</v>
      </c>
      <c r="G34" s="7" t="str">
        <f t="shared" si="3"/>
        <v>text</v>
      </c>
      <c r="H34" s="58"/>
      <c r="I34" s="23"/>
      <c r="J34" s="24" t="s">
        <v>1293</v>
      </c>
      <c r="M34" s="4"/>
      <c r="N34" s="76"/>
      <c r="O34" s="76"/>
      <c r="P34" s="76" t="str">
        <f t="shared" si="4"/>
        <v>,marital</v>
      </c>
      <c r="Q34" s="76" t="str">
        <f t="shared" si="0"/>
        <v>TEXT</v>
      </c>
      <c r="R34" s="76" t="str">
        <f t="shared" si="1"/>
        <v/>
      </c>
      <c r="S34" s="76" t="str">
        <f t="shared" si="5"/>
        <v/>
      </c>
      <c r="T34" s="76" t="str">
        <f t="shared" si="6"/>
        <v>-- 婚姻状態</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milscm_2023_010.azn_202310_backup_merge_mml_pi_master.marital IS '婚姻状態';</v>
      </c>
    </row>
    <row r="35" spans="1:52" s="25" customFormat="1">
      <c r="A35" s="4"/>
      <c r="B35" s="21">
        <f t="shared" si="2"/>
        <v>23</v>
      </c>
      <c r="C35" s="13" t="s">
        <v>1272</v>
      </c>
      <c r="D35" s="13" t="s">
        <v>1273</v>
      </c>
      <c r="E35" s="7"/>
      <c r="F35" s="7" t="s">
        <v>863</v>
      </c>
      <c r="G35" s="7" t="str">
        <f t="shared" si="3"/>
        <v>text</v>
      </c>
      <c r="H35" s="58"/>
      <c r="I35" s="23"/>
      <c r="J35" s="24"/>
      <c r="M35" s="4"/>
      <c r="N35" s="76"/>
      <c r="O35" s="76"/>
      <c r="P35" s="76" t="str">
        <f t="shared" si="4"/>
        <v>,account_number</v>
      </c>
      <c r="Q35" s="76" t="str">
        <f t="shared" si="0"/>
        <v>TEXT</v>
      </c>
      <c r="R35" s="76" t="str">
        <f t="shared" si="1"/>
        <v/>
      </c>
      <c r="S35" s="76" t="str">
        <f t="shared" si="5"/>
        <v/>
      </c>
      <c r="T35" s="76" t="str">
        <f t="shared" si="6"/>
        <v>-- 会計番号</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milscm_2023_010.azn_202310_backup_merge_mml_pi_master.account_number IS '会計番号';</v>
      </c>
    </row>
    <row r="36" spans="1:52" s="25" customFormat="1">
      <c r="A36" s="4"/>
      <c r="B36" s="21">
        <f t="shared" si="2"/>
        <v>24</v>
      </c>
      <c r="C36" s="13" t="s">
        <v>1274</v>
      </c>
      <c r="D36" s="13" t="s">
        <v>1275</v>
      </c>
      <c r="E36" s="7"/>
      <c r="F36" s="7" t="s">
        <v>863</v>
      </c>
      <c r="G36" s="7" t="str">
        <f t="shared" si="3"/>
        <v>text</v>
      </c>
      <c r="H36" s="58"/>
      <c r="I36" s="23"/>
      <c r="J36" s="24"/>
      <c r="M36" s="4"/>
      <c r="N36" s="76"/>
      <c r="O36" s="76"/>
      <c r="P36" s="76" t="str">
        <f t="shared" si="4"/>
        <v>,socialIdentification</v>
      </c>
      <c r="Q36" s="76" t="str">
        <f t="shared" si="0"/>
        <v>TEXT</v>
      </c>
      <c r="R36" s="76" t="str">
        <f t="shared" si="1"/>
        <v/>
      </c>
      <c r="S36" s="76" t="str">
        <f t="shared" si="5"/>
        <v/>
      </c>
      <c r="T36" s="76" t="str">
        <f t="shared" si="6"/>
        <v>-- 社会番号</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milscm_2023_010.azn_202310_backup_merge_mml_pi_master.socialIdentification IS '社会番号';</v>
      </c>
    </row>
    <row r="37" spans="1:52" s="25" customFormat="1">
      <c r="A37" s="4"/>
      <c r="B37" s="21">
        <f t="shared" si="2"/>
        <v>25</v>
      </c>
      <c r="C37" s="13" t="s">
        <v>1276</v>
      </c>
      <c r="D37" s="13" t="s">
        <v>1277</v>
      </c>
      <c r="E37" s="7"/>
      <c r="F37" s="7" t="s">
        <v>863</v>
      </c>
      <c r="G37" s="7" t="str">
        <f t="shared" si="3"/>
        <v>text</v>
      </c>
      <c r="H37" s="58"/>
      <c r="I37" s="23"/>
      <c r="J37" s="24" t="s">
        <v>1294</v>
      </c>
      <c r="M37" s="4"/>
      <c r="N37" s="76"/>
      <c r="O37" s="76"/>
      <c r="P37" s="76" t="str">
        <f t="shared" si="4"/>
        <v>,death_flag</v>
      </c>
      <c r="Q37" s="76" t="str">
        <f t="shared" si="0"/>
        <v>TEXT</v>
      </c>
      <c r="R37" s="76" t="str">
        <f t="shared" si="1"/>
        <v/>
      </c>
      <c r="S37" s="76" t="str">
        <f t="shared" si="5"/>
        <v/>
      </c>
      <c r="T37" s="76" t="str">
        <f t="shared" si="6"/>
        <v>-- 死亡フラグ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milscm_2023_010.azn_202310_backup_merge_mml_pi_master.death_flag IS '死亡フラグ';</v>
      </c>
    </row>
    <row r="38" spans="1:52" s="25" customFormat="1" ht="19.5" thickBot="1">
      <c r="A38" s="4"/>
      <c r="B38" s="27">
        <f>ROW()-12</f>
        <v>26</v>
      </c>
      <c r="C38" s="57" t="s">
        <v>1278</v>
      </c>
      <c r="D38" s="57" t="s">
        <v>1279</v>
      </c>
      <c r="E38" s="56"/>
      <c r="F38" s="56" t="s">
        <v>863</v>
      </c>
      <c r="G38" s="56" t="str">
        <f t="shared" si="3"/>
        <v>text</v>
      </c>
      <c r="H38" s="59"/>
      <c r="I38" s="60"/>
      <c r="J38" s="63" t="s">
        <v>1295</v>
      </c>
      <c r="N38" s="76"/>
      <c r="O38" s="76"/>
      <c r="P38" s="76" t="str">
        <f t="shared" si="4"/>
        <v>,death_date</v>
      </c>
      <c r="Q38" s="76" t="str">
        <f t="shared" si="0"/>
        <v>TEXT</v>
      </c>
      <c r="R38" s="76" t="str">
        <f t="shared" si="1"/>
        <v/>
      </c>
      <c r="S38" s="76" t="str">
        <f t="shared" si="5"/>
        <v/>
      </c>
      <c r="T38" s="76" t="str">
        <f t="shared" si="6"/>
        <v>-- 死亡日時</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milscm_2023_010.azn_202310_backup_merge_mml_pi_master.death_date IS '死亡日時';</v>
      </c>
    </row>
    <row r="39" spans="1:52">
      <c r="L39" s="25"/>
      <c r="M39" s="25"/>
      <c r="N39" s="76" t="s">
        <v>142</v>
      </c>
      <c r="O39" s="76"/>
      <c r="P39" s="76"/>
      <c r="Q39" s="76"/>
      <c r="R39" s="76"/>
      <c r="S39" s="76"/>
      <c r="T39" s="76"/>
      <c r="V39" s="25"/>
      <c r="W39" s="25"/>
      <c r="X39" s="25"/>
      <c r="Y39" s="25"/>
      <c r="Z39" s="25"/>
      <c r="AJ39" s="76"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ENT_01_C4-03</v>
      </c>
      <c r="E6" s="272"/>
      <c r="F6" s="272"/>
      <c r="G6" s="272"/>
      <c r="H6" s="272"/>
      <c r="I6" s="272"/>
      <c r="J6" s="273"/>
    </row>
    <row r="7" spans="1:45">
      <c r="B7" s="261" t="s">
        <v>115</v>
      </c>
      <c r="C7" s="262"/>
      <c r="D7" s="263" t="s">
        <v>1297</v>
      </c>
      <c r="E7" s="264"/>
      <c r="F7" s="264"/>
      <c r="G7" s="264"/>
      <c r="H7" s="264"/>
      <c r="I7" s="264"/>
      <c r="J7" s="265"/>
    </row>
    <row r="8" spans="1:45">
      <c r="B8" s="261" t="s">
        <v>116</v>
      </c>
      <c r="C8" s="262"/>
      <c r="D8" s="263" t="str">
        <f>エンティティ一覧!AE2&amp;"_"&amp;D5&amp;"_merge_mml_rd_register"</f>
        <v>azn_202310_backup_merge_mml_rd_register</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診断履歴情報モジュール_診断履歴情報レコードテーブルから組入れ条件の第一条件で絞り込んだ結果を格納するテーブル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milscm_2023_010.azn_202310_backup_merge_mml_rd_register;</v>
      </c>
      <c r="O10" s="76"/>
      <c r="P10" s="76"/>
      <c r="Q10" s="76"/>
      <c r="R10" s="76"/>
      <c r="S10" s="76"/>
      <c r="T10" s="76"/>
      <c r="AJ10" s="76" t="str">
        <f>"ALTER TABLE ONLY "&amp;エンティティ一覧!$O$2&amp;"."&amp;D$8</f>
        <v>ALTER TABLE ONLY milscm_2023_010.azn_202310_backup_merge_mml_rd_register</v>
      </c>
      <c r="AS10" s="76" t="str">
        <f>"ALTER TABLE "&amp;エンティティ一覧!$O$2&amp;"."&amp;D$8&amp;" OWNER TO pgmisgrp1;"</f>
        <v>ALTER TABLE milscm_2023_010.azn_202310_backup_merge_mml_rd_register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milscm_2023_010.azn_202310_backup_merge_mml_rd_register</v>
      </c>
      <c r="O11" s="76"/>
      <c r="P11" s="76"/>
      <c r="Q11" s="76"/>
      <c r="R11" s="76"/>
      <c r="S11" s="76"/>
      <c r="T11" s="76"/>
      <c r="AJ11" s="76" t="str">
        <f>"ADD CONSTRAINT "&amp;D$8&amp;"_pkey PRIMARY KEY"</f>
        <v>ADD CONSTRAINT azn_202310_backup_merge_mml_rd_register_pkey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milscm_2023_010.azn_202310_backup_merge_mml_rd_register IS 'バックアップ_診断履歴情報モジュール_診断履歴情報レコード';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4" si="0">UPPER(G13)</f>
        <v>TEXT</v>
      </c>
      <c r="R13" s="76" t="str">
        <f t="shared" ref="R13:R24"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milscm_2023_010.azn_202310_backup_merge_mml_rd_register.torikomi_ym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1280</v>
      </c>
      <c r="M14" s="4"/>
      <c r="N14" s="76"/>
      <c r="O14" s="76"/>
      <c r="P14" s="76" t="str">
        <f t="shared" ref="P14:P24"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milscm_2023_010.azn_202310_backup_merge_mml_rd_register.mil_karute_id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4" si="5">IF(I15="○","NOT NULL","")</f>
        <v>NOT NULL</v>
      </c>
      <c r="T15" s="76" t="str">
        <f t="shared" ref="T15:T24"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milscm_2023_010.azn_202310_backup_merge_mml_rd_register.facility_id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milscm_2023_010.azn_202310_backup_merge_mml_rd_register.shinryo_ymd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milscm_2023_010.azn_202310_backup_merge_mml_rd_register.data_type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milscm_2023_010.azn_202310_backup_merge_mml_rd_register.master_id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milscm_2023_010.azn_202310_backup_merge_mml_rd_register.uid IS '文書ユニークID';</v>
      </c>
    </row>
    <row r="20" spans="1:52" s="25" customFormat="1" ht="37.5">
      <c r="A20" s="4"/>
      <c r="B20" s="21">
        <f t="shared" si="2"/>
        <v>8</v>
      </c>
      <c r="C20" s="13" t="s">
        <v>1299</v>
      </c>
      <c r="D20" s="13" t="s">
        <v>1300</v>
      </c>
      <c r="E20" s="7" t="s">
        <v>127</v>
      </c>
      <c r="F20" s="7" t="s">
        <v>203</v>
      </c>
      <c r="G20" s="7" t="str">
        <f t="shared" si="3"/>
        <v>integer</v>
      </c>
      <c r="H20" s="58"/>
      <c r="I20" s="23" t="s">
        <v>127</v>
      </c>
      <c r="J20" s="24" t="s">
        <v>1310</v>
      </c>
      <c r="M20" s="4"/>
      <c r="N20" s="76"/>
      <c r="O20" s="76"/>
      <c r="P20" s="76" t="str">
        <f t="shared" si="4"/>
        <v>,shindan_seq</v>
      </c>
      <c r="Q20" s="76" t="str">
        <f t="shared" si="0"/>
        <v>INTEGER</v>
      </c>
      <c r="R20" s="76" t="str">
        <f t="shared" si="1"/>
        <v/>
      </c>
      <c r="S20" s="76" t="str">
        <f t="shared" si="5"/>
        <v>NOT NULL</v>
      </c>
      <c r="T20" s="76" t="str">
        <f t="shared" si="6"/>
        <v>-- 診断SEQ</v>
      </c>
      <c r="U20" s="4"/>
      <c r="AA20" s="4"/>
      <c r="AB20" s="4"/>
      <c r="AC20" s="4"/>
      <c r="AD20" s="4"/>
      <c r="AE20" s="4"/>
      <c r="AF20" s="4"/>
      <c r="AG20" s="4"/>
      <c r="AH20" s="4"/>
      <c r="AI20" s="4"/>
      <c r="AJ20" s="76" t="str">
        <f>IF(E20="○",IF(COUNTA(E$13:E20)=1,"",",")&amp;D20,"")</f>
        <v>,shindan_seq</v>
      </c>
      <c r="AK20" s="4"/>
      <c r="AL20" s="4"/>
      <c r="AM20" s="4"/>
      <c r="AN20" s="4"/>
      <c r="AO20" s="4"/>
      <c r="AP20" s="4"/>
      <c r="AQ20" s="4"/>
      <c r="AR20" s="4"/>
      <c r="AS20" s="76" t="str">
        <f>"COMMENT ON COLUMN "&amp;エンティティ一覧!$O$2&amp;"."&amp;D$8&amp;"."&amp;D20&amp;" IS '"&amp;C20&amp;"';"</f>
        <v>COMMENT ON COLUMN milscm_2023_010.azn_202310_backup_merge_mml_rd_register.shindan_seq IS '診断SEQ';</v>
      </c>
    </row>
    <row r="21" spans="1:52" s="25" customFormat="1">
      <c r="A21" s="4"/>
      <c r="B21" s="21">
        <f t="shared" si="2"/>
        <v>9</v>
      </c>
      <c r="C21" s="13" t="s">
        <v>1301</v>
      </c>
      <c r="D21" s="13" t="s">
        <v>1302</v>
      </c>
      <c r="E21" s="7"/>
      <c r="F21" s="7" t="s">
        <v>863</v>
      </c>
      <c r="G21" s="7" t="str">
        <f t="shared" si="3"/>
        <v>text</v>
      </c>
      <c r="H21" s="58"/>
      <c r="I21" s="23"/>
      <c r="J21" s="24" t="s">
        <v>1311</v>
      </c>
      <c r="M21" s="4"/>
      <c r="N21" s="76"/>
      <c r="O21" s="76"/>
      <c r="P21" s="76" t="str">
        <f t="shared" si="4"/>
        <v>,shikkan_start_ymd</v>
      </c>
      <c r="Q21" s="76" t="str">
        <f t="shared" si="0"/>
        <v>TEXT</v>
      </c>
      <c r="R21" s="76" t="str">
        <f t="shared" si="1"/>
        <v/>
      </c>
      <c r="S21" s="76" t="str">
        <f t="shared" si="5"/>
        <v/>
      </c>
      <c r="T21" s="76" t="str">
        <f t="shared" si="6"/>
        <v>-- 疾患開始日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milscm_2023_010.azn_202310_backup_merge_mml_rd_register.shikkan_start_ymd IS '疾患開始日';</v>
      </c>
    </row>
    <row r="22" spans="1:52" s="25" customFormat="1">
      <c r="A22" s="4"/>
      <c r="B22" s="21">
        <f t="shared" si="2"/>
        <v>10</v>
      </c>
      <c r="C22" s="13" t="s">
        <v>1303</v>
      </c>
      <c r="D22" s="13" t="s">
        <v>1304</v>
      </c>
      <c r="E22" s="7"/>
      <c r="F22" s="7" t="s">
        <v>863</v>
      </c>
      <c r="G22" s="7" t="str">
        <f t="shared" si="3"/>
        <v>text</v>
      </c>
      <c r="H22" s="58"/>
      <c r="I22" s="23"/>
      <c r="J22" s="24" t="s">
        <v>1312</v>
      </c>
      <c r="M22" s="4"/>
      <c r="N22" s="76"/>
      <c r="O22" s="76"/>
      <c r="P22" s="76" t="str">
        <f t="shared" si="4"/>
        <v>,shikkan_end_ymd</v>
      </c>
      <c r="Q22" s="76" t="str">
        <f t="shared" si="0"/>
        <v>TEXT</v>
      </c>
      <c r="R22" s="76" t="str">
        <f t="shared" si="1"/>
        <v/>
      </c>
      <c r="S22" s="76" t="str">
        <f t="shared" si="5"/>
        <v/>
      </c>
      <c r="T22" s="76" t="str">
        <f t="shared" si="6"/>
        <v>-- 疾患終了日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milscm_2023_010.azn_202310_backup_merge_mml_rd_register.shikkan_end_ymd IS '疾患終了日';</v>
      </c>
    </row>
    <row r="23" spans="1:52" s="25" customFormat="1">
      <c r="A23" s="4"/>
      <c r="B23" s="21">
        <f t="shared" si="2"/>
        <v>11</v>
      </c>
      <c r="C23" s="13" t="s">
        <v>1305</v>
      </c>
      <c r="D23" s="13" t="s">
        <v>1306</v>
      </c>
      <c r="E23" s="7"/>
      <c r="F23" s="7" t="s">
        <v>863</v>
      </c>
      <c r="G23" s="7" t="str">
        <f t="shared" si="3"/>
        <v>text</v>
      </c>
      <c r="H23" s="58"/>
      <c r="I23" s="23"/>
      <c r="J23" s="24" t="s">
        <v>1313</v>
      </c>
      <c r="M23" s="4"/>
      <c r="N23" s="76"/>
      <c r="O23" s="76"/>
      <c r="P23" s="76" t="str">
        <f t="shared" si="4"/>
        <v>,tenki</v>
      </c>
      <c r="Q23" s="76" t="str">
        <f t="shared" si="0"/>
        <v>TEXT</v>
      </c>
      <c r="R23" s="76" t="str">
        <f t="shared" si="1"/>
        <v/>
      </c>
      <c r="S23" s="76" t="str">
        <f t="shared" si="5"/>
        <v/>
      </c>
      <c r="T23" s="76" t="str">
        <f t="shared" si="6"/>
        <v>-- 転帰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milscm_2023_010.azn_202310_backup_merge_mml_rd_register.tenki IS '転帰';</v>
      </c>
    </row>
    <row r="24" spans="1:52" s="25" customFormat="1" ht="19.5" thickBot="1">
      <c r="A24" s="4"/>
      <c r="B24" s="27">
        <f>ROW()-12</f>
        <v>12</v>
      </c>
      <c r="C24" s="57" t="s">
        <v>1307</v>
      </c>
      <c r="D24" s="57" t="s">
        <v>1308</v>
      </c>
      <c r="E24" s="56"/>
      <c r="F24" s="56" t="s">
        <v>863</v>
      </c>
      <c r="G24" s="56" t="str">
        <f t="shared" si="3"/>
        <v>text</v>
      </c>
      <c r="H24" s="59"/>
      <c r="I24" s="60"/>
      <c r="J24" s="63" t="s">
        <v>1314</v>
      </c>
      <c r="N24" s="76"/>
      <c r="O24" s="76"/>
      <c r="P24" s="76" t="str">
        <f t="shared" si="4"/>
        <v>,shikkan_first_ymd</v>
      </c>
      <c r="Q24" s="76" t="str">
        <f t="shared" si="0"/>
        <v>TEXT</v>
      </c>
      <c r="R24" s="76" t="str">
        <f t="shared" si="1"/>
        <v/>
      </c>
      <c r="S24" s="76" t="str">
        <f t="shared" si="5"/>
        <v/>
      </c>
      <c r="T24" s="76" t="str">
        <f t="shared" si="6"/>
        <v>-- 疾患の初診日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milscm_2023_010.azn_202310_backup_merge_mml_rd_register.shikkan_first_ymd IS '疾患の初診日';</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ENT_01_C4-04</v>
      </c>
      <c r="E6" s="272"/>
      <c r="F6" s="272"/>
      <c r="G6" s="272"/>
      <c r="H6" s="272"/>
      <c r="I6" s="272"/>
      <c r="J6" s="273"/>
    </row>
    <row r="7" spans="1:45">
      <c r="B7" s="261" t="s">
        <v>115</v>
      </c>
      <c r="C7" s="262"/>
      <c r="D7" s="263" t="s">
        <v>1316</v>
      </c>
      <c r="E7" s="264"/>
      <c r="F7" s="264"/>
      <c r="G7" s="264"/>
      <c r="H7" s="264"/>
      <c r="I7" s="264"/>
      <c r="J7" s="265"/>
    </row>
    <row r="8" spans="1:45">
      <c r="B8" s="261" t="s">
        <v>116</v>
      </c>
      <c r="C8" s="262"/>
      <c r="D8" s="263" t="str">
        <f>エンティティ一覧!AE2&amp;"_"&amp;D5&amp;"_merge_mml_rd_byomei"</f>
        <v>azn_202310_backup_merge_mml_rd_byomei</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診断履歴情報モジュール_診断病名レコードテーブルから組入れ条件の第一条件で絞り込んだ結果を格納するテーブル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milscm_2023_010.azn_202310_backup_merge_mml_rd_byomei;</v>
      </c>
      <c r="O10" s="76"/>
      <c r="P10" s="76"/>
      <c r="Q10" s="76"/>
      <c r="R10" s="76"/>
      <c r="S10" s="76"/>
      <c r="T10" s="76"/>
      <c r="AJ10" s="76" t="str">
        <f>"ALTER TABLE ONLY "&amp;エンティティ一覧!$O$2&amp;"."&amp;D$8</f>
        <v>ALTER TABLE ONLY milscm_2023_010.azn_202310_backup_merge_mml_rd_byomei</v>
      </c>
      <c r="AS10" s="76" t="str">
        <f>"ALTER TABLE "&amp;エンティティ一覧!$O$2&amp;"."&amp;D$8&amp;" OWNER TO pgmisgrp1;"</f>
        <v>ALTER TABLE milscm_2023_010.azn_202310_backup_merge_mml_rd_byomei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milscm_2023_010.azn_202310_backup_merge_mml_rd_byomei</v>
      </c>
      <c r="O11" s="76"/>
      <c r="P11" s="76"/>
      <c r="Q11" s="76"/>
      <c r="R11" s="76"/>
      <c r="S11" s="76"/>
      <c r="T11" s="76"/>
      <c r="AJ11" s="76" t="str">
        <f>"ADD CONSTRAINT "&amp;D$8&amp;"_pkey PRIMARY KEY"</f>
        <v>ADD CONSTRAINT azn_202310_backup_merge_mml_rd_byomei_pkey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milscm_2023_010.azn_202310_backup_merge_mml_rd_byomei IS 'バックアップ_診断履歴情報モジュール_診断病名レコード';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4" si="0">UPPER(G13)</f>
        <v>TEXT</v>
      </c>
      <c r="R13" s="76" t="str">
        <f t="shared" ref="R13:R24"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milscm_2023_010.azn_202310_backup_merge_mml_rd_byomei.torikomi_ym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1280</v>
      </c>
      <c r="M14" s="4"/>
      <c r="N14" s="76"/>
      <c r="O14" s="76"/>
      <c r="P14" s="76" t="str">
        <f t="shared" ref="P14:P24"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milscm_2023_010.azn_202310_backup_merge_mml_rd_byomei.mil_karute_id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4" si="5">IF(I15="○","NOT NULL","")</f>
        <v>NOT NULL</v>
      </c>
      <c r="T15" s="76" t="str">
        <f t="shared" ref="T15:T24"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milscm_2023_010.azn_202310_backup_merge_mml_rd_byomei.facility_id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milscm_2023_010.azn_202310_backup_merge_mml_rd_byomei.shinryo_ymd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milscm_2023_010.azn_202310_backup_merge_mml_rd_byomei.data_type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milscm_2023_010.azn_202310_backup_merge_mml_rd_byomei.master_id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milscm_2023_010.azn_202310_backup_merge_mml_rd_byomei.uid IS '文書ユニークID';</v>
      </c>
    </row>
    <row r="20" spans="1:52" s="25" customFormat="1" ht="37.5">
      <c r="A20" s="4"/>
      <c r="B20" s="21">
        <f t="shared" si="2"/>
        <v>8</v>
      </c>
      <c r="C20" s="13" t="s">
        <v>1299</v>
      </c>
      <c r="D20" s="13" t="s">
        <v>1300</v>
      </c>
      <c r="E20" s="7" t="s">
        <v>127</v>
      </c>
      <c r="F20" s="7" t="s">
        <v>203</v>
      </c>
      <c r="G20" s="7" t="str">
        <f t="shared" si="3"/>
        <v>integer</v>
      </c>
      <c r="H20" s="58"/>
      <c r="I20" s="23" t="s">
        <v>127</v>
      </c>
      <c r="J20" s="24" t="s">
        <v>1310</v>
      </c>
      <c r="M20" s="4"/>
      <c r="N20" s="76"/>
      <c r="O20" s="76"/>
      <c r="P20" s="76" t="str">
        <f t="shared" si="4"/>
        <v>,shindan_seq</v>
      </c>
      <c r="Q20" s="76" t="str">
        <f t="shared" si="0"/>
        <v>INTEGER</v>
      </c>
      <c r="R20" s="76" t="str">
        <f t="shared" si="1"/>
        <v/>
      </c>
      <c r="S20" s="76" t="str">
        <f t="shared" si="5"/>
        <v>NOT NULL</v>
      </c>
      <c r="T20" s="76" t="str">
        <f t="shared" si="6"/>
        <v>-- 診断SEQ</v>
      </c>
      <c r="U20" s="4"/>
      <c r="AA20" s="4"/>
      <c r="AB20" s="4"/>
      <c r="AC20" s="4"/>
      <c r="AD20" s="4"/>
      <c r="AE20" s="4"/>
      <c r="AF20" s="4"/>
      <c r="AG20" s="4"/>
      <c r="AH20" s="4"/>
      <c r="AI20" s="4"/>
      <c r="AJ20" s="76" t="str">
        <f>IF(E20="○",IF(COUNTA(E$13:E20)=1,"",",")&amp;D20,"")</f>
        <v>,shindan_seq</v>
      </c>
      <c r="AK20" s="4"/>
      <c r="AL20" s="4"/>
      <c r="AM20" s="4"/>
      <c r="AN20" s="4"/>
      <c r="AO20" s="4"/>
      <c r="AP20" s="4"/>
      <c r="AQ20" s="4"/>
      <c r="AR20" s="4"/>
      <c r="AS20" s="76" t="str">
        <f>"COMMENT ON COLUMN "&amp;エンティティ一覧!$O$2&amp;"."&amp;D$8&amp;"."&amp;D20&amp;" IS '"&amp;C20&amp;"';"</f>
        <v>COMMENT ON COLUMN milscm_2023_010.azn_202310_backup_merge_mml_rd_byomei.shindan_seq IS '診断SEQ';</v>
      </c>
    </row>
    <row r="21" spans="1:52" s="25" customFormat="1">
      <c r="A21" s="4"/>
      <c r="B21" s="21">
        <f t="shared" si="2"/>
        <v>9</v>
      </c>
      <c r="C21" s="13" t="s">
        <v>1317</v>
      </c>
      <c r="D21" s="13" t="s">
        <v>1318</v>
      </c>
      <c r="E21" s="7" t="s">
        <v>127</v>
      </c>
      <c r="F21" s="7" t="s">
        <v>203</v>
      </c>
      <c r="G21" s="7" t="str">
        <f t="shared" si="3"/>
        <v>integer</v>
      </c>
      <c r="H21" s="58"/>
      <c r="I21" s="23" t="s">
        <v>127</v>
      </c>
      <c r="J21" s="24" t="s">
        <v>1325</v>
      </c>
      <c r="M21" s="4"/>
      <c r="N21" s="76"/>
      <c r="O21" s="76"/>
      <c r="P21" s="76" t="str">
        <f t="shared" si="4"/>
        <v>,byomei_seq</v>
      </c>
      <c r="Q21" s="76" t="str">
        <f t="shared" si="0"/>
        <v>INTEGER</v>
      </c>
      <c r="R21" s="76" t="str">
        <f t="shared" si="1"/>
        <v/>
      </c>
      <c r="S21" s="76" t="str">
        <f t="shared" si="5"/>
        <v>NOT NULL</v>
      </c>
      <c r="T21" s="76" t="str">
        <f t="shared" si="6"/>
        <v>-- 病名SEQ</v>
      </c>
      <c r="U21" s="4"/>
      <c r="AA21" s="4"/>
      <c r="AB21" s="4"/>
      <c r="AC21" s="4"/>
      <c r="AD21" s="4"/>
      <c r="AE21" s="4"/>
      <c r="AF21" s="4"/>
      <c r="AG21" s="4"/>
      <c r="AH21" s="4"/>
      <c r="AI21" s="4"/>
      <c r="AJ21" s="76" t="str">
        <f>IF(E21="○",IF(COUNTA(E$13:E21)=1,"",",")&amp;D21,"")</f>
        <v>,byomei_seq</v>
      </c>
      <c r="AK21" s="4"/>
      <c r="AL21" s="4"/>
      <c r="AM21" s="4"/>
      <c r="AN21" s="4"/>
      <c r="AO21" s="4"/>
      <c r="AP21" s="4"/>
      <c r="AQ21" s="4"/>
      <c r="AR21" s="4"/>
      <c r="AS21" s="76" t="str">
        <f>"COMMENT ON COLUMN "&amp;エンティティ一覧!$O$2&amp;"."&amp;D$8&amp;"."&amp;D21&amp;" IS '"&amp;C21&amp;"';"</f>
        <v>COMMENT ON COLUMN milscm_2023_010.azn_202310_backup_merge_mml_rd_byomei.byomei_seq IS '病名SEQ';</v>
      </c>
    </row>
    <row r="22" spans="1:52" s="25" customFormat="1">
      <c r="A22" s="4"/>
      <c r="B22" s="21">
        <f t="shared" si="2"/>
        <v>10</v>
      </c>
      <c r="C22" s="13" t="s">
        <v>1319</v>
      </c>
      <c r="D22" s="13" t="s">
        <v>1320</v>
      </c>
      <c r="E22" s="7"/>
      <c r="F22" s="7" t="s">
        <v>863</v>
      </c>
      <c r="G22" s="7" t="str">
        <f t="shared" si="3"/>
        <v>text</v>
      </c>
      <c r="H22" s="58"/>
      <c r="I22" s="23"/>
      <c r="J22" s="24" t="s">
        <v>1326</v>
      </c>
      <c r="M22" s="4"/>
      <c r="N22" s="76"/>
      <c r="O22" s="76"/>
      <c r="P22" s="76" t="str">
        <f t="shared" si="4"/>
        <v>,byomei</v>
      </c>
      <c r="Q22" s="76" t="str">
        <f t="shared" si="0"/>
        <v>TEXT</v>
      </c>
      <c r="R22" s="76" t="str">
        <f t="shared" si="1"/>
        <v/>
      </c>
      <c r="S22" s="76" t="str">
        <f t="shared" si="5"/>
        <v/>
      </c>
      <c r="T22" s="76" t="str">
        <f t="shared" si="6"/>
        <v>-- 病名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milscm_2023_010.azn_202310_backup_merge_mml_rd_byomei.byomei IS '病名';</v>
      </c>
    </row>
    <row r="23" spans="1:52" s="25" customFormat="1">
      <c r="A23" s="4"/>
      <c r="B23" s="21">
        <f t="shared" si="2"/>
        <v>11</v>
      </c>
      <c r="C23" s="13" t="s">
        <v>1321</v>
      </c>
      <c r="D23" s="13" t="s">
        <v>1322</v>
      </c>
      <c r="E23" s="7"/>
      <c r="F23" s="7" t="s">
        <v>863</v>
      </c>
      <c r="G23" s="7" t="str">
        <f t="shared" si="3"/>
        <v>text</v>
      </c>
      <c r="H23" s="58"/>
      <c r="I23" s="23"/>
      <c r="J23" s="24" t="s">
        <v>1327</v>
      </c>
      <c r="M23" s="4"/>
      <c r="N23" s="76"/>
      <c r="O23" s="76"/>
      <c r="P23" s="76" t="str">
        <f t="shared" si="4"/>
        <v>,byomei_code</v>
      </c>
      <c r="Q23" s="76" t="str">
        <f t="shared" si="0"/>
        <v>TEXT</v>
      </c>
      <c r="R23" s="76" t="str">
        <f t="shared" si="1"/>
        <v/>
      </c>
      <c r="S23" s="76" t="str">
        <f t="shared" si="5"/>
        <v/>
      </c>
      <c r="T23" s="76" t="str">
        <f t="shared" si="6"/>
        <v>-- 病名コード値</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milscm_2023_010.azn_202310_backup_merge_mml_rd_byomei.byomei_code IS '病名コード値';</v>
      </c>
    </row>
    <row r="24" spans="1:52" s="25" customFormat="1" ht="19.5" thickBot="1">
      <c r="A24" s="4"/>
      <c r="B24" s="27">
        <f>ROW()-12</f>
        <v>12</v>
      </c>
      <c r="C24" s="57" t="s">
        <v>1323</v>
      </c>
      <c r="D24" s="57" t="s">
        <v>1324</v>
      </c>
      <c r="E24" s="56"/>
      <c r="F24" s="56" t="s">
        <v>863</v>
      </c>
      <c r="G24" s="56" t="str">
        <f t="shared" si="3"/>
        <v>text</v>
      </c>
      <c r="H24" s="59"/>
      <c r="I24" s="60"/>
      <c r="J24" s="63" t="s">
        <v>1328</v>
      </c>
      <c r="N24" s="76"/>
      <c r="O24" s="76"/>
      <c r="P24" s="76" t="str">
        <f t="shared" si="4"/>
        <v>,byomei_code_id</v>
      </c>
      <c r="Q24" s="76" t="str">
        <f t="shared" si="0"/>
        <v>TEXT</v>
      </c>
      <c r="R24" s="76" t="str">
        <f t="shared" si="1"/>
        <v/>
      </c>
      <c r="S24" s="76" t="str">
        <f t="shared" si="5"/>
        <v/>
      </c>
      <c r="T24" s="76" t="str">
        <f t="shared" si="6"/>
        <v>-- 病名コード体系名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milscm_2023_010.azn_202310_backup_merge_mml_rd_byomei.byomei_code_id IS '病名コード体系名';</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ENT_01_C4-05</v>
      </c>
      <c r="E6" s="272"/>
      <c r="F6" s="272"/>
      <c r="G6" s="272"/>
      <c r="H6" s="272"/>
      <c r="I6" s="272"/>
      <c r="J6" s="273"/>
    </row>
    <row r="7" spans="1:45">
      <c r="B7" s="261" t="s">
        <v>115</v>
      </c>
      <c r="C7" s="262"/>
      <c r="D7" s="263" t="s">
        <v>1330</v>
      </c>
      <c r="E7" s="264"/>
      <c r="F7" s="264"/>
      <c r="G7" s="264"/>
      <c r="H7" s="264"/>
      <c r="I7" s="264"/>
      <c r="J7" s="265"/>
    </row>
    <row r="8" spans="1:45">
      <c r="B8" s="261" t="s">
        <v>116</v>
      </c>
      <c r="C8" s="262"/>
      <c r="D8" s="263" t="str">
        <f>エンティティ一覧!AE2&amp;"_"&amp;D5&amp;"_merge_mml_rd_category"</f>
        <v>azn_202310_backup_merge_mml_rd_category</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診断履歴情報モジュール_診断分類レコードテーブルから組入れ条件の第一条件で絞り込んだ結果を格納するテーブル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milscm_2023_010.azn_202310_backup_merge_mml_rd_category;</v>
      </c>
      <c r="O10" s="76"/>
      <c r="P10" s="76"/>
      <c r="Q10" s="76"/>
      <c r="R10" s="76"/>
      <c r="S10" s="76"/>
      <c r="T10" s="76"/>
      <c r="AJ10" s="76" t="str">
        <f>"ALTER TABLE ONLY "&amp;エンティティ一覧!$O$2&amp;"."&amp;D$8</f>
        <v>ALTER TABLE ONLY milscm_2023_010.azn_202310_backup_merge_mml_rd_category</v>
      </c>
      <c r="AS10" s="76" t="str">
        <f>"ALTER TABLE "&amp;エンティティ一覧!$O$2&amp;"."&amp;D$8&amp;" OWNER TO pgmisgrp1;"</f>
        <v>ALTER TABLE milscm_2023_010.azn_202310_backup_merge_mml_rd_category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milscm_2023_010.azn_202310_backup_merge_mml_rd_category</v>
      </c>
      <c r="O11" s="76"/>
      <c r="P11" s="76"/>
      <c r="Q11" s="76"/>
      <c r="R11" s="76"/>
      <c r="S11" s="76"/>
      <c r="T11" s="76"/>
      <c r="AJ11" s="76" t="str">
        <f>"ADD CONSTRAINT "&amp;D$8&amp;"_pkey PRIMARY KEY"</f>
        <v>ADD CONSTRAINT azn_202310_backup_merge_mml_rd_category_pkey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milscm_2023_010.azn_202310_backup_merge_mml_rd_category IS 'バックアップ_診断履歴情報モジュール_診断分類レコード';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3" si="0">UPPER(G13)</f>
        <v>TEXT</v>
      </c>
      <c r="R13" s="76" t="str">
        <f t="shared" ref="R13:R2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milscm_2023_010.azn_202310_backup_merge_mml_rd_category.torikomi_ym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1280</v>
      </c>
      <c r="M14" s="4"/>
      <c r="N14" s="76"/>
      <c r="O14" s="76"/>
      <c r="P14" s="76" t="str">
        <f t="shared" ref="P14:P2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milscm_2023_010.azn_202310_backup_merge_mml_rd_category.mil_karute_id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3" si="5">IF(I15="○","NOT NULL","")</f>
        <v>NOT NULL</v>
      </c>
      <c r="T15" s="76" t="str">
        <f t="shared" ref="T15:T2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milscm_2023_010.azn_202310_backup_merge_mml_rd_category.facility_id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milscm_2023_010.azn_202310_backup_merge_mml_rd_category.shinryo_ymd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milscm_2023_010.azn_202310_backup_merge_mml_rd_category.data_type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milscm_2023_010.azn_202310_backup_merge_mml_rd_category.master_id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milscm_2023_010.azn_202310_backup_merge_mml_rd_category.uid IS '文書ユニークID';</v>
      </c>
    </row>
    <row r="20" spans="1:52" s="25" customFormat="1" ht="37.5">
      <c r="A20" s="4"/>
      <c r="B20" s="21">
        <f t="shared" si="2"/>
        <v>8</v>
      </c>
      <c r="C20" s="13" t="s">
        <v>1299</v>
      </c>
      <c r="D20" s="13" t="s">
        <v>1300</v>
      </c>
      <c r="E20" s="7" t="s">
        <v>127</v>
      </c>
      <c r="F20" s="7" t="s">
        <v>203</v>
      </c>
      <c r="G20" s="7" t="str">
        <f t="shared" si="3"/>
        <v>integer</v>
      </c>
      <c r="H20" s="58"/>
      <c r="I20" s="23" t="s">
        <v>127</v>
      </c>
      <c r="J20" s="24" t="s">
        <v>1310</v>
      </c>
      <c r="M20" s="4"/>
      <c r="N20" s="76"/>
      <c r="O20" s="76"/>
      <c r="P20" s="76" t="str">
        <f t="shared" si="4"/>
        <v>,shindan_seq</v>
      </c>
      <c r="Q20" s="76" t="str">
        <f t="shared" si="0"/>
        <v>INTEGER</v>
      </c>
      <c r="R20" s="76" t="str">
        <f t="shared" si="1"/>
        <v/>
      </c>
      <c r="S20" s="76" t="str">
        <f t="shared" si="5"/>
        <v>NOT NULL</v>
      </c>
      <c r="T20" s="76" t="str">
        <f t="shared" si="6"/>
        <v>-- 診断SEQ</v>
      </c>
      <c r="U20" s="4"/>
      <c r="AA20" s="4"/>
      <c r="AB20" s="4"/>
      <c r="AC20" s="4"/>
      <c r="AD20" s="4"/>
      <c r="AE20" s="4"/>
      <c r="AF20" s="4"/>
      <c r="AG20" s="4"/>
      <c r="AH20" s="4"/>
      <c r="AI20" s="4"/>
      <c r="AJ20" s="76" t="str">
        <f>IF(E20="○",IF(COUNTA(E$13:E20)=1,"",",")&amp;D20,"")</f>
        <v>,shindan_seq</v>
      </c>
      <c r="AK20" s="4"/>
      <c r="AL20" s="4"/>
      <c r="AM20" s="4"/>
      <c r="AN20" s="4"/>
      <c r="AO20" s="4"/>
      <c r="AP20" s="4"/>
      <c r="AQ20" s="4"/>
      <c r="AR20" s="4"/>
      <c r="AS20" s="76" t="str">
        <f>"COMMENT ON COLUMN "&amp;エンティティ一覧!$O$2&amp;"."&amp;D$8&amp;"."&amp;D20&amp;" IS '"&amp;C20&amp;"';"</f>
        <v>COMMENT ON COLUMN milscm_2023_010.azn_202310_backup_merge_mml_rd_category.shindan_seq IS '診断SEQ';</v>
      </c>
    </row>
    <row r="21" spans="1:52" s="25" customFormat="1">
      <c r="A21" s="4"/>
      <c r="B21" s="21">
        <f t="shared" si="2"/>
        <v>9</v>
      </c>
      <c r="C21" s="13" t="s">
        <v>1331</v>
      </c>
      <c r="D21" s="13" t="s">
        <v>1332</v>
      </c>
      <c r="E21" s="7" t="s">
        <v>127</v>
      </c>
      <c r="F21" s="7" t="s">
        <v>203</v>
      </c>
      <c r="G21" s="7" t="str">
        <f t="shared" si="3"/>
        <v>integer</v>
      </c>
      <c r="H21" s="58"/>
      <c r="I21" s="23" t="s">
        <v>127</v>
      </c>
      <c r="J21" s="24" t="s">
        <v>1337</v>
      </c>
      <c r="M21" s="4"/>
      <c r="N21" s="76"/>
      <c r="O21" s="76"/>
      <c r="P21" s="76" t="str">
        <f t="shared" si="4"/>
        <v>,bunrui_seq</v>
      </c>
      <c r="Q21" s="76" t="str">
        <f t="shared" si="0"/>
        <v>INTEGER</v>
      </c>
      <c r="R21" s="76" t="str">
        <f t="shared" si="1"/>
        <v/>
      </c>
      <c r="S21" s="76" t="str">
        <f t="shared" si="5"/>
        <v>NOT NULL</v>
      </c>
      <c r="T21" s="76" t="str">
        <f t="shared" si="6"/>
        <v>-- 分類SEQ</v>
      </c>
      <c r="U21" s="4"/>
      <c r="AA21" s="4"/>
      <c r="AB21" s="4"/>
      <c r="AC21" s="4"/>
      <c r="AD21" s="4"/>
      <c r="AE21" s="4"/>
      <c r="AF21" s="4"/>
      <c r="AG21" s="4"/>
      <c r="AH21" s="4"/>
      <c r="AI21" s="4"/>
      <c r="AJ21" s="76" t="str">
        <f>IF(E21="○",IF(COUNTA(E$13:E21)=1,"",",")&amp;D21,"")</f>
        <v>,bunrui_seq</v>
      </c>
      <c r="AK21" s="4"/>
      <c r="AL21" s="4"/>
      <c r="AM21" s="4"/>
      <c r="AN21" s="4"/>
      <c r="AO21" s="4"/>
      <c r="AP21" s="4"/>
      <c r="AQ21" s="4"/>
      <c r="AR21" s="4"/>
      <c r="AS21" s="76" t="str">
        <f>"COMMENT ON COLUMN "&amp;エンティティ一覧!$O$2&amp;"."&amp;D$8&amp;"."&amp;D21&amp;" IS '"&amp;C21&amp;"';"</f>
        <v>COMMENT ON COLUMN milscm_2023_010.azn_202310_backup_merge_mml_rd_category.bunrui_seq IS '分類SEQ';</v>
      </c>
    </row>
    <row r="22" spans="1:52" s="25" customFormat="1">
      <c r="A22" s="4"/>
      <c r="B22" s="21">
        <f t="shared" si="2"/>
        <v>10</v>
      </c>
      <c r="C22" s="13" t="s">
        <v>1333</v>
      </c>
      <c r="D22" s="13" t="s">
        <v>1334</v>
      </c>
      <c r="E22" s="7"/>
      <c r="F22" s="7" t="s">
        <v>863</v>
      </c>
      <c r="G22" s="7" t="str">
        <f t="shared" si="3"/>
        <v>text</v>
      </c>
      <c r="H22" s="58"/>
      <c r="I22" s="23"/>
      <c r="J22" s="24" t="s">
        <v>1338</v>
      </c>
      <c r="M22" s="4"/>
      <c r="N22" s="76"/>
      <c r="O22" s="76"/>
      <c r="P22" s="76" t="str">
        <f t="shared" si="4"/>
        <v>,bunrui_name</v>
      </c>
      <c r="Q22" s="76" t="str">
        <f t="shared" si="0"/>
        <v>TEXT</v>
      </c>
      <c r="R22" s="76" t="str">
        <f t="shared" si="1"/>
        <v/>
      </c>
      <c r="S22" s="76" t="str">
        <f t="shared" si="5"/>
        <v/>
      </c>
      <c r="T22" s="76" t="str">
        <f t="shared" si="6"/>
        <v>-- 分類名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milscm_2023_010.azn_202310_backup_merge_mml_rd_category.bunrui_name IS '分類名';</v>
      </c>
    </row>
    <row r="23" spans="1:52" s="25" customFormat="1" ht="94.5" thickBot="1">
      <c r="A23" s="4"/>
      <c r="B23" s="27">
        <f>ROW()-12</f>
        <v>11</v>
      </c>
      <c r="C23" s="57" t="s">
        <v>1335</v>
      </c>
      <c r="D23" s="57" t="s">
        <v>1336</v>
      </c>
      <c r="E23" s="56"/>
      <c r="F23" s="56" t="s">
        <v>863</v>
      </c>
      <c r="G23" s="56" t="str">
        <f t="shared" si="3"/>
        <v>text</v>
      </c>
      <c r="H23" s="59"/>
      <c r="I23" s="60"/>
      <c r="J23" s="63" t="s">
        <v>1339</v>
      </c>
      <c r="N23" s="76"/>
      <c r="O23" s="76"/>
      <c r="P23" s="76" t="str">
        <f t="shared" si="4"/>
        <v>,bunrui_code</v>
      </c>
      <c r="Q23" s="76" t="str">
        <f t="shared" si="0"/>
        <v>TEXT</v>
      </c>
      <c r="R23" s="76" t="str">
        <f t="shared" si="1"/>
        <v/>
      </c>
      <c r="S23" s="76" t="str">
        <f t="shared" si="5"/>
        <v/>
      </c>
      <c r="T23" s="76" t="str">
        <f t="shared" si="6"/>
        <v>-- 分類コード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milscm_2023_010.azn_202310_backup_merge_mml_rd_category.bunrui_code IS '分類コード';</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ENT_01_C4-06</v>
      </c>
      <c r="E6" s="272"/>
      <c r="F6" s="272"/>
      <c r="G6" s="272"/>
      <c r="H6" s="272"/>
      <c r="I6" s="272"/>
      <c r="J6" s="273"/>
    </row>
    <row r="7" spans="1:45">
      <c r="B7" s="261" t="s">
        <v>115</v>
      </c>
      <c r="C7" s="262"/>
      <c r="D7" s="263" t="s">
        <v>1341</v>
      </c>
      <c r="E7" s="264"/>
      <c r="F7" s="264"/>
      <c r="G7" s="264"/>
      <c r="H7" s="264"/>
      <c r="I7" s="264"/>
      <c r="J7" s="265"/>
    </row>
    <row r="8" spans="1:45">
      <c r="B8" s="261" t="s">
        <v>116</v>
      </c>
      <c r="C8" s="262"/>
      <c r="D8" s="263" t="str">
        <f>エンティティ一覧!AE2&amp;"_"&amp;D5&amp;"_merge_mml_pc_progress_course"</f>
        <v>azn_202310_backup_merge_mml_pc_progress_course</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経過記録情報モジュール_経過記録情報レコードテーブルから組入れ条件の第一条件で絞り込んだ結果を格納するテーブル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milscm_2023_010.azn_202310_backup_merge_mml_pc_progress_course;</v>
      </c>
      <c r="O10" s="76"/>
      <c r="P10" s="76"/>
      <c r="Q10" s="76"/>
      <c r="R10" s="76"/>
      <c r="S10" s="76"/>
      <c r="T10" s="76"/>
      <c r="AJ10" s="76" t="str">
        <f>"ALTER TABLE ONLY "&amp;エンティティ一覧!$O$2&amp;"."&amp;D$8</f>
        <v>ALTER TABLE ONLY milscm_2023_010.azn_202310_backup_merge_mml_pc_progress_course</v>
      </c>
      <c r="AS10" s="76" t="str">
        <f>"ALTER TABLE "&amp;エンティティ一覧!$O$2&amp;"."&amp;D$8&amp;" OWNER TO pgmisgrp1;"</f>
        <v>ALTER TABLE milscm_2023_010.azn_202310_backup_merge_mml_pc_progress_course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milscm_2023_010.azn_202310_backup_merge_mml_pc_progress_course</v>
      </c>
      <c r="O11" s="76"/>
      <c r="P11" s="76"/>
      <c r="Q11" s="76"/>
      <c r="R11" s="76"/>
      <c r="S11" s="76"/>
      <c r="T11" s="76"/>
      <c r="AJ11" s="76" t="str">
        <f>"ADD CONSTRAINT "&amp;D$8&amp;"_pkey PRIMARY KEY"</f>
        <v>ADD CONSTRAINT azn_202310_backup_merge_mml_pc_progress_course_pkey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milscm_2023_010.azn_202310_backup_merge_mml_pc_progress_course IS 'バックアップ_経過記録情報モジュール_経過記録情報レコード';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1" si="0">UPPER(G13)</f>
        <v>TEXT</v>
      </c>
      <c r="R13" s="76" t="str">
        <f t="shared" ref="R13:R21"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milscm_2023_010.azn_202310_backup_merge_mml_pc_progress_course.torikomi_ym IS '取込年月';</v>
      </c>
    </row>
    <row r="14" spans="1:45" s="25" customFormat="1">
      <c r="A14" s="4"/>
      <c r="B14" s="21">
        <f t="shared" ref="B14:B20" si="2">ROW()-12</f>
        <v>2</v>
      </c>
      <c r="C14" s="6" t="s">
        <v>201</v>
      </c>
      <c r="D14" s="6" t="s">
        <v>202</v>
      </c>
      <c r="E14" s="8"/>
      <c r="F14" s="7" t="s">
        <v>203</v>
      </c>
      <c r="G14" s="7" t="str">
        <f t="shared" ref="G14:G21" si="3">IF(F14="フラグ","boolean",IF(F14="文字列","text",IF(F14="整数","integer",IF(F14="実数","numeric",""))))</f>
        <v>integer</v>
      </c>
      <c r="H14" s="26"/>
      <c r="I14" s="10"/>
      <c r="J14" s="11" t="s">
        <v>1280</v>
      </c>
      <c r="M14" s="4"/>
      <c r="N14" s="76"/>
      <c r="O14" s="76"/>
      <c r="P14" s="76" t="str">
        <f t="shared" ref="P14:P21"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milscm_2023_010.azn_202310_backup_merge_mml_pc_progress_course.mil_karute_id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1" si="5">IF(I15="○","NOT NULL","")</f>
        <v>NOT NULL</v>
      </c>
      <c r="T15" s="76" t="str">
        <f t="shared" ref="T15:T21"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milscm_2023_010.azn_202310_backup_merge_mml_pc_progress_course.facility_id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milscm_2023_010.azn_202310_backup_merge_mml_pc_progress_course.shinryo_ymd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milscm_2023_010.azn_202310_backup_merge_mml_pc_progress_course.data_type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milscm_2023_010.azn_202310_backup_merge_mml_pc_progress_course.master_id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milscm_2023_010.azn_202310_backup_merge_mml_pc_progress_course.uid IS '文書ユニークID';</v>
      </c>
    </row>
    <row r="20" spans="1:52" s="25" customFormat="1" ht="37.5">
      <c r="A20" s="4"/>
      <c r="B20" s="21">
        <f t="shared" si="2"/>
        <v>8</v>
      </c>
      <c r="C20" s="13" t="s">
        <v>1342</v>
      </c>
      <c r="D20" s="13" t="s">
        <v>1343</v>
      </c>
      <c r="E20" s="7" t="s">
        <v>127</v>
      </c>
      <c r="F20" s="7" t="s">
        <v>203</v>
      </c>
      <c r="G20" s="7" t="str">
        <f t="shared" si="3"/>
        <v>integer</v>
      </c>
      <c r="H20" s="58"/>
      <c r="I20" s="23" t="s">
        <v>127</v>
      </c>
      <c r="J20" s="24" t="s">
        <v>1346</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milscm_2023_010.azn_202310_backup_merge_mml_pc_progress_course.keika_seq IS '経過記録SEQ';</v>
      </c>
    </row>
    <row r="21" spans="1:52" s="25" customFormat="1" ht="38.25" thickBot="1">
      <c r="A21" s="4"/>
      <c r="B21" s="27">
        <f>ROW()-12</f>
        <v>9</v>
      </c>
      <c r="C21" s="57" t="s">
        <v>1344</v>
      </c>
      <c r="D21" s="57" t="s">
        <v>1345</v>
      </c>
      <c r="E21" s="56"/>
      <c r="F21" s="56" t="s">
        <v>863</v>
      </c>
      <c r="G21" s="56" t="str">
        <f t="shared" si="3"/>
        <v>text</v>
      </c>
      <c r="H21" s="59"/>
      <c r="I21" s="60"/>
      <c r="J21" s="63" t="s">
        <v>1347</v>
      </c>
      <c r="N21" s="76"/>
      <c r="O21" s="76"/>
      <c r="P21" s="76" t="str">
        <f t="shared" si="4"/>
        <v>,free_expression</v>
      </c>
      <c r="Q21" s="76" t="str">
        <f t="shared" si="0"/>
        <v>TEXT</v>
      </c>
      <c r="R21" s="76" t="str">
        <f t="shared" si="1"/>
        <v/>
      </c>
      <c r="S21" s="76" t="str">
        <f t="shared" si="5"/>
        <v/>
      </c>
      <c r="T21" s="76" t="str">
        <f t="shared" si="6"/>
        <v>-- 自由記載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milscm_2023_010.azn_202310_backup_merge_mml_pc_progress_course.free_expression IS '自由記載';</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ENT_01_C4-07</v>
      </c>
      <c r="E6" s="272"/>
      <c r="F6" s="272"/>
      <c r="G6" s="272"/>
      <c r="H6" s="272"/>
      <c r="I6" s="272"/>
      <c r="J6" s="273"/>
    </row>
    <row r="7" spans="1:45">
      <c r="B7" s="261" t="s">
        <v>115</v>
      </c>
      <c r="C7" s="262"/>
      <c r="D7" s="263" t="s">
        <v>1349</v>
      </c>
      <c r="E7" s="264"/>
      <c r="F7" s="264"/>
      <c r="G7" s="264"/>
      <c r="H7" s="264"/>
      <c r="I7" s="264"/>
      <c r="J7" s="265"/>
    </row>
    <row r="8" spans="1:45">
      <c r="B8" s="261" t="s">
        <v>116</v>
      </c>
      <c r="C8" s="262"/>
      <c r="D8" s="263" t="str">
        <f>エンティティ一覧!AE2&amp;"_"&amp;D5&amp;"_merge_mml_pc_problem"</f>
        <v>azn_202310_backup_merge_mml_pc_problem</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経過記録情報モジュール_プロブレムレコードテーブルから組入れ条件の第一条件で絞り込んだ結果を格納するテーブル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milscm_2023_010.azn_202310_backup_merge_mml_pc_problem;</v>
      </c>
      <c r="O10" s="76"/>
      <c r="P10" s="76"/>
      <c r="Q10" s="76"/>
      <c r="R10" s="76"/>
      <c r="S10" s="76"/>
      <c r="T10" s="76"/>
      <c r="AJ10" s="76" t="str">
        <f>"ALTER TABLE ONLY "&amp;エンティティ一覧!$O$2&amp;"."&amp;D$8</f>
        <v>ALTER TABLE ONLY milscm_2023_010.azn_202310_backup_merge_mml_pc_problem</v>
      </c>
      <c r="AS10" s="76" t="str">
        <f>"ALTER TABLE "&amp;エンティティ一覧!$O$2&amp;"."&amp;D$8&amp;" OWNER TO pgmisgrp1;"</f>
        <v>ALTER TABLE milscm_2023_010.azn_202310_backup_merge_mml_pc_problem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milscm_2023_010.azn_202310_backup_merge_mml_pc_problem</v>
      </c>
      <c r="O11" s="76"/>
      <c r="P11" s="76"/>
      <c r="Q11" s="76"/>
      <c r="R11" s="76"/>
      <c r="S11" s="76"/>
      <c r="T11" s="76"/>
      <c r="AJ11" s="76" t="str">
        <f>"ADD CONSTRAINT "&amp;D$8&amp;"_pkey PRIMARY KEY"</f>
        <v>ADD CONSTRAINT azn_202310_backup_merge_mml_pc_problem_pkey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milscm_2023_010.azn_202310_backup_merge_mml_pc_problem IS 'バックアップ_経過記録情報モジュール_プロブレムレコード';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2" si="0">UPPER(G13)</f>
        <v>TEXT</v>
      </c>
      <c r="R13" s="76" t="str">
        <f t="shared" ref="R13:R32"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milscm_2023_010.azn_202310_backup_merge_mml_pc_problem.torikomi_ym IS '取込年月';</v>
      </c>
    </row>
    <row r="14" spans="1:45" s="25" customFormat="1">
      <c r="A14" s="4"/>
      <c r="B14" s="21">
        <f t="shared" ref="B14:B31" si="2">ROW()-12</f>
        <v>2</v>
      </c>
      <c r="C14" s="6" t="s">
        <v>201</v>
      </c>
      <c r="D14" s="6" t="s">
        <v>202</v>
      </c>
      <c r="E14" s="8"/>
      <c r="F14" s="7" t="s">
        <v>203</v>
      </c>
      <c r="G14" s="7" t="str">
        <f t="shared" ref="G14:G32" si="3">IF(F14="フラグ","boolean",IF(F14="文字列","text",IF(F14="整数","integer",IF(F14="実数","numeric",""))))</f>
        <v>integer</v>
      </c>
      <c r="H14" s="26"/>
      <c r="I14" s="10"/>
      <c r="J14" s="11" t="s">
        <v>1280</v>
      </c>
      <c r="M14" s="4"/>
      <c r="N14" s="76"/>
      <c r="O14" s="76"/>
      <c r="P14" s="76" t="str">
        <f t="shared" ref="P14:P32"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milscm_2023_010.azn_202310_backup_merge_mml_pc_problem.mil_karute_id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32" si="5">IF(I15="○","NOT NULL","")</f>
        <v>NOT NULL</v>
      </c>
      <c r="T15" s="76" t="str">
        <f t="shared" ref="T15:T32"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milscm_2023_010.azn_202310_backup_merge_mml_pc_problem.facility_id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milscm_2023_010.azn_202310_backup_merge_mml_pc_problem.shinryo_ymd IS '診療年月日';</v>
      </c>
    </row>
    <row r="17" spans="1:45"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milscm_2023_010.azn_202310_backup_merge_mml_pc_problem.data_type IS 'データ種別';</v>
      </c>
    </row>
    <row r="18" spans="1:45"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milscm_2023_010.azn_202310_backup_merge_mml_pc_problem.master_id IS '患者ID';</v>
      </c>
    </row>
    <row r="19" spans="1:45"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milscm_2023_010.azn_202310_backup_merge_mml_pc_problem.uid IS '文書ユニークID';</v>
      </c>
    </row>
    <row r="20" spans="1:45" s="25" customFormat="1" ht="37.5">
      <c r="A20" s="4"/>
      <c r="B20" s="21">
        <f t="shared" si="2"/>
        <v>8</v>
      </c>
      <c r="C20" s="13" t="s">
        <v>1342</v>
      </c>
      <c r="D20" s="13" t="s">
        <v>1343</v>
      </c>
      <c r="E20" s="7" t="s">
        <v>127</v>
      </c>
      <c r="F20" s="7" t="s">
        <v>203</v>
      </c>
      <c r="G20" s="7" t="str">
        <f t="shared" si="3"/>
        <v>integer</v>
      </c>
      <c r="H20" s="58"/>
      <c r="I20" s="23" t="s">
        <v>127</v>
      </c>
      <c r="J20" s="24" t="s">
        <v>1346</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milscm_2023_010.azn_202310_backup_merge_mml_pc_problem.keika_seq IS '経過記録SEQ';</v>
      </c>
    </row>
    <row r="21" spans="1:45" s="25" customFormat="1">
      <c r="A21" s="4"/>
      <c r="B21" s="21">
        <f t="shared" si="2"/>
        <v>9</v>
      </c>
      <c r="C21" s="13" t="s">
        <v>1350</v>
      </c>
      <c r="D21" s="13" t="s">
        <v>1351</v>
      </c>
      <c r="E21" s="7" t="s">
        <v>127</v>
      </c>
      <c r="F21" s="7" t="s">
        <v>203</v>
      </c>
      <c r="G21" s="7" t="str">
        <f t="shared" si="3"/>
        <v>integer</v>
      </c>
      <c r="H21" s="58"/>
      <c r="I21" s="23" t="s">
        <v>127</v>
      </c>
      <c r="J21" s="24" t="s">
        <v>1374</v>
      </c>
      <c r="M21" s="4"/>
      <c r="N21" s="76"/>
      <c r="O21" s="76"/>
      <c r="P21" s="76" t="str">
        <f t="shared" si="4"/>
        <v>,problem_seq</v>
      </c>
      <c r="Q21" s="76" t="str">
        <f t="shared" si="0"/>
        <v>INTEGER</v>
      </c>
      <c r="R21" s="76" t="str">
        <f t="shared" si="1"/>
        <v/>
      </c>
      <c r="S21" s="76" t="str">
        <f t="shared" si="5"/>
        <v>NOT NULL</v>
      </c>
      <c r="T21" s="76" t="str">
        <f t="shared" si="6"/>
        <v>-- プロブレムSEQ</v>
      </c>
      <c r="U21" s="4"/>
      <c r="AA21" s="4"/>
      <c r="AB21" s="4"/>
      <c r="AC21" s="4"/>
      <c r="AD21" s="4"/>
      <c r="AE21" s="4"/>
      <c r="AF21" s="4"/>
      <c r="AG21" s="4"/>
      <c r="AH21" s="4"/>
      <c r="AI21" s="4"/>
      <c r="AJ21" s="76" t="str">
        <f>IF(E21="○",IF(COUNTA(E$13:E21)=1,"",",")&amp;D21,"")</f>
        <v>,problem_seq</v>
      </c>
      <c r="AK21" s="4"/>
      <c r="AL21" s="4"/>
      <c r="AM21" s="4"/>
      <c r="AN21" s="4"/>
      <c r="AO21" s="4"/>
      <c r="AP21" s="4"/>
      <c r="AQ21" s="4"/>
      <c r="AR21" s="4"/>
      <c r="AS21" s="76" t="str">
        <f>"COMMENT ON COLUMN "&amp;エンティティ一覧!$O$2&amp;"."&amp;D$8&amp;"."&amp;D21&amp;" IS '"&amp;C21&amp;"';"</f>
        <v>COMMENT ON COLUMN milscm_2023_010.azn_202310_backup_merge_mml_pc_problem.problem_seq IS 'プロブレムSEQ';</v>
      </c>
    </row>
    <row r="22" spans="1:45" s="25" customFormat="1" ht="37.5">
      <c r="A22" s="4"/>
      <c r="B22" s="21">
        <f t="shared" si="2"/>
        <v>10</v>
      </c>
      <c r="C22" s="13" t="s">
        <v>1352</v>
      </c>
      <c r="D22" s="13" t="s">
        <v>1353</v>
      </c>
      <c r="E22" s="7"/>
      <c r="F22" s="7" t="s">
        <v>863</v>
      </c>
      <c r="G22" s="7" t="str">
        <f t="shared" si="3"/>
        <v>text</v>
      </c>
      <c r="H22" s="58"/>
      <c r="I22" s="23"/>
      <c r="J22" s="24" t="s">
        <v>1375</v>
      </c>
      <c r="M22" s="4"/>
      <c r="N22" s="76"/>
      <c r="O22" s="76"/>
      <c r="P22" s="76" t="str">
        <f t="shared" si="4"/>
        <v>,problem_shippei_name</v>
      </c>
      <c r="Q22" s="76" t="str">
        <f t="shared" si="0"/>
        <v>TEXT</v>
      </c>
      <c r="R22" s="76" t="str">
        <f t="shared" si="1"/>
        <v/>
      </c>
      <c r="S22" s="76" t="str">
        <f t="shared" si="5"/>
        <v/>
      </c>
      <c r="T22" s="76" t="str">
        <f t="shared" si="6"/>
        <v>-- プロブレム名（疾病名）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milscm_2023_010.azn_202310_backup_merge_mml_pc_problem.problem_shippei_name IS 'プロブレム名（疾病名）';</v>
      </c>
    </row>
    <row r="23" spans="1:45" s="25" customFormat="1" ht="56.25">
      <c r="A23" s="4"/>
      <c r="B23" s="21">
        <f t="shared" si="2"/>
        <v>11</v>
      </c>
      <c r="C23" s="13" t="s">
        <v>1354</v>
      </c>
      <c r="D23" s="13" t="s">
        <v>1355</v>
      </c>
      <c r="E23" s="7"/>
      <c r="F23" s="7" t="s">
        <v>863</v>
      </c>
      <c r="G23" s="7" t="str">
        <f t="shared" si="3"/>
        <v>text</v>
      </c>
      <c r="H23" s="58"/>
      <c r="I23" s="23"/>
      <c r="J23" s="24" t="s">
        <v>1376</v>
      </c>
      <c r="M23" s="4"/>
      <c r="N23" s="76"/>
      <c r="O23" s="76"/>
      <c r="P23" s="76" t="str">
        <f t="shared" si="4"/>
        <v>,shindan_name_uid</v>
      </c>
      <c r="Q23" s="76" t="str">
        <f t="shared" si="0"/>
        <v>TEXT</v>
      </c>
      <c r="R23" s="76" t="str">
        <f t="shared" si="1"/>
        <v/>
      </c>
      <c r="S23" s="76" t="str">
        <f t="shared" si="5"/>
        <v/>
      </c>
      <c r="T23" s="76" t="str">
        <f t="shared" si="6"/>
        <v>-- 診断名のuid</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milscm_2023_010.azn_202310_backup_merge_mml_pc_problem.shindan_name_uid IS '診断名のuid';</v>
      </c>
    </row>
    <row r="24" spans="1:45" s="25" customFormat="1" ht="37.5">
      <c r="A24" s="4"/>
      <c r="B24" s="21">
        <f t="shared" si="2"/>
        <v>12</v>
      </c>
      <c r="C24" s="13" t="s">
        <v>1356</v>
      </c>
      <c r="D24" s="13" t="s">
        <v>1357</v>
      </c>
      <c r="E24" s="7"/>
      <c r="F24" s="7" t="s">
        <v>863</v>
      </c>
      <c r="G24" s="7" t="str">
        <f t="shared" si="3"/>
        <v>text</v>
      </c>
      <c r="H24" s="58"/>
      <c r="I24" s="23"/>
      <c r="J24" s="24" t="s">
        <v>1377</v>
      </c>
      <c r="M24" s="4"/>
      <c r="N24" s="76"/>
      <c r="O24" s="76"/>
      <c r="P24" s="76" t="str">
        <f t="shared" si="4"/>
        <v>,free_note</v>
      </c>
      <c r="Q24" s="76" t="str">
        <f t="shared" si="0"/>
        <v>TEXT</v>
      </c>
      <c r="R24" s="76" t="str">
        <f t="shared" si="1"/>
        <v/>
      </c>
      <c r="S24" s="76" t="str">
        <f t="shared" si="5"/>
        <v/>
      </c>
      <c r="T24" s="76" t="str">
        <f t="shared" si="6"/>
        <v>-- 自由文章表現</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milscm_2023_010.azn_202310_backup_merge_mml_pc_problem.free_note IS '自由文章表現';</v>
      </c>
    </row>
    <row r="25" spans="1:45" s="25" customFormat="1" ht="37.5">
      <c r="A25" s="4"/>
      <c r="B25" s="21">
        <f t="shared" si="2"/>
        <v>13</v>
      </c>
      <c r="C25" s="13" t="s">
        <v>1358</v>
      </c>
      <c r="D25" s="13" t="s">
        <v>1359</v>
      </c>
      <c r="E25" s="7"/>
      <c r="F25" s="7" t="s">
        <v>863</v>
      </c>
      <c r="G25" s="7" t="str">
        <f t="shared" si="3"/>
        <v>text</v>
      </c>
      <c r="H25" s="58"/>
      <c r="I25" s="23"/>
      <c r="J25" s="24" t="s">
        <v>1378</v>
      </c>
      <c r="M25" s="4"/>
      <c r="N25" s="76"/>
      <c r="O25" s="76"/>
      <c r="P25" s="76" t="str">
        <f t="shared" si="4"/>
        <v>,free_expression_objective</v>
      </c>
      <c r="Q25" s="76" t="str">
        <f t="shared" si="0"/>
        <v>TEXT</v>
      </c>
      <c r="R25" s="76" t="str">
        <f t="shared" si="1"/>
        <v/>
      </c>
      <c r="S25" s="76" t="str">
        <f t="shared" si="5"/>
        <v/>
      </c>
      <c r="T25" s="76" t="str">
        <f t="shared" si="6"/>
        <v>-- 客観的自由記載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milscm_2023_010.azn_202310_backup_merge_mml_pc_problem.free_expression_objective IS '客観的自由記載';</v>
      </c>
    </row>
    <row r="26" spans="1:45" s="25" customFormat="1" ht="37.5">
      <c r="A26" s="4"/>
      <c r="B26" s="21">
        <f t="shared" si="2"/>
        <v>14</v>
      </c>
      <c r="C26" s="13" t="s">
        <v>1360</v>
      </c>
      <c r="D26" s="13" t="s">
        <v>1361</v>
      </c>
      <c r="E26" s="7"/>
      <c r="F26" s="7" t="s">
        <v>863</v>
      </c>
      <c r="G26" s="7" t="str">
        <f t="shared" si="3"/>
        <v>text</v>
      </c>
      <c r="H26" s="58"/>
      <c r="I26" s="23"/>
      <c r="J26" s="24" t="s">
        <v>1379</v>
      </c>
      <c r="M26" s="4"/>
      <c r="N26" s="76"/>
      <c r="O26" s="76"/>
      <c r="P26" s="76" t="str">
        <f t="shared" si="4"/>
        <v>,test_result</v>
      </c>
      <c r="Q26" s="76" t="str">
        <f t="shared" si="0"/>
        <v>TEXT</v>
      </c>
      <c r="R26" s="76" t="str">
        <f t="shared" si="1"/>
        <v/>
      </c>
      <c r="S26" s="76" t="str">
        <f t="shared" si="5"/>
        <v/>
      </c>
      <c r="T26" s="76" t="str">
        <f t="shared" si="6"/>
        <v>-- 検査結果</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milscm_2023_010.azn_202310_backup_merge_mml_pc_problem.test_result IS '検査結果';</v>
      </c>
    </row>
    <row r="27" spans="1:45" s="25" customFormat="1" ht="37.5">
      <c r="A27" s="4"/>
      <c r="B27" s="21">
        <f t="shared" si="2"/>
        <v>15</v>
      </c>
      <c r="C27" s="13" t="s">
        <v>1362</v>
      </c>
      <c r="D27" s="13" t="s">
        <v>1363</v>
      </c>
      <c r="E27" s="7"/>
      <c r="F27" s="7" t="s">
        <v>863</v>
      </c>
      <c r="G27" s="7" t="str">
        <f t="shared" si="3"/>
        <v>text</v>
      </c>
      <c r="H27" s="58"/>
      <c r="I27" s="23"/>
      <c r="J27" s="24" t="s">
        <v>1380</v>
      </c>
      <c r="M27" s="4"/>
      <c r="N27" s="76"/>
      <c r="O27" s="76"/>
      <c r="P27" s="76" t="str">
        <f t="shared" si="4"/>
        <v>,shohou_jisshi_kiroku</v>
      </c>
      <c r="Q27" s="76" t="str">
        <f t="shared" si="0"/>
        <v>TEXT</v>
      </c>
      <c r="R27" s="76" t="str">
        <f t="shared" si="1"/>
        <v/>
      </c>
      <c r="S27" s="76" t="str">
        <f t="shared" si="5"/>
        <v/>
      </c>
      <c r="T27" s="76" t="str">
        <f t="shared" si="6"/>
        <v>-- 処方実施記録</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milscm_2023_010.azn_202310_backup_merge_mml_pc_problem.shohou_jisshi_kiroku IS '処方実施記録';</v>
      </c>
    </row>
    <row r="28" spans="1:45" s="25" customFormat="1" ht="37.5">
      <c r="A28" s="4"/>
      <c r="B28" s="21">
        <f t="shared" si="2"/>
        <v>16</v>
      </c>
      <c r="C28" s="13" t="s">
        <v>1364</v>
      </c>
      <c r="D28" s="13" t="s">
        <v>1365</v>
      </c>
      <c r="E28" s="7"/>
      <c r="F28" s="7" t="s">
        <v>863</v>
      </c>
      <c r="G28" s="7" t="str">
        <f t="shared" si="3"/>
        <v>text</v>
      </c>
      <c r="H28" s="58"/>
      <c r="I28" s="23"/>
      <c r="J28" s="24" t="s">
        <v>1381</v>
      </c>
      <c r="M28" s="4"/>
      <c r="N28" s="76"/>
      <c r="O28" s="76"/>
      <c r="P28" s="76" t="str">
        <f t="shared" si="4"/>
        <v>,shochi_jisshi_kiroku</v>
      </c>
      <c r="Q28" s="76" t="str">
        <f t="shared" si="0"/>
        <v>TEXT</v>
      </c>
      <c r="R28" s="76" t="str">
        <f t="shared" si="1"/>
        <v/>
      </c>
      <c r="S28" s="76" t="str">
        <f t="shared" si="5"/>
        <v/>
      </c>
      <c r="T28" s="76" t="str">
        <f t="shared" si="6"/>
        <v>-- 処置実施記録</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milscm_2023_010.azn_202310_backup_merge_mml_pc_problem.shochi_jisshi_kiroku IS '処置実施記録';</v>
      </c>
    </row>
    <row r="29" spans="1:45" s="25" customFormat="1" ht="37.5">
      <c r="A29" s="4"/>
      <c r="B29" s="21">
        <f t="shared" si="2"/>
        <v>17</v>
      </c>
      <c r="C29" s="13" t="s">
        <v>1366</v>
      </c>
      <c r="D29" s="13" t="s">
        <v>1367</v>
      </c>
      <c r="E29" s="7"/>
      <c r="F29" s="7" t="s">
        <v>863</v>
      </c>
      <c r="G29" s="7" t="str">
        <f t="shared" si="3"/>
        <v>text</v>
      </c>
      <c r="H29" s="58"/>
      <c r="I29" s="23"/>
      <c r="J29" s="24" t="s">
        <v>1382</v>
      </c>
      <c r="M29" s="4"/>
      <c r="N29" s="76"/>
      <c r="O29" s="76"/>
      <c r="P29" s="76" t="str">
        <f t="shared" si="4"/>
        <v>,kensa_order</v>
      </c>
      <c r="Q29" s="76" t="str">
        <f t="shared" si="0"/>
        <v>TEXT</v>
      </c>
      <c r="R29" s="76" t="str">
        <f t="shared" si="1"/>
        <v/>
      </c>
      <c r="S29" s="76" t="str">
        <f t="shared" si="5"/>
        <v/>
      </c>
      <c r="T29" s="76" t="str">
        <f t="shared" si="6"/>
        <v>-- 検査オーダー</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milscm_2023_010.azn_202310_backup_merge_mml_pc_problem.kensa_order IS '検査オーダー';</v>
      </c>
    </row>
    <row r="30" spans="1:45" s="25" customFormat="1" ht="37.5">
      <c r="A30" s="4"/>
      <c r="B30" s="21">
        <f t="shared" si="2"/>
        <v>18</v>
      </c>
      <c r="C30" s="13" t="s">
        <v>1368</v>
      </c>
      <c r="D30" s="13" t="s">
        <v>1369</v>
      </c>
      <c r="E30" s="7"/>
      <c r="F30" s="7" t="s">
        <v>863</v>
      </c>
      <c r="G30" s="7" t="str">
        <f t="shared" si="3"/>
        <v>text</v>
      </c>
      <c r="H30" s="58"/>
      <c r="I30" s="23"/>
      <c r="J30" s="24" t="s">
        <v>1383</v>
      </c>
      <c r="M30" s="4"/>
      <c r="N30" s="76"/>
      <c r="O30" s="76"/>
      <c r="P30" s="76" t="str">
        <f t="shared" si="4"/>
        <v>,shohou_order</v>
      </c>
      <c r="Q30" s="76" t="str">
        <f t="shared" si="0"/>
        <v>TEXT</v>
      </c>
      <c r="R30" s="76" t="str">
        <f t="shared" si="1"/>
        <v/>
      </c>
      <c r="S30" s="76" t="str">
        <f t="shared" si="5"/>
        <v/>
      </c>
      <c r="T30" s="76" t="str">
        <f t="shared" si="6"/>
        <v>-- 処方オーダー</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milscm_2023_010.azn_202310_backup_merge_mml_pc_problem.shohou_order IS '処方オーダー';</v>
      </c>
    </row>
    <row r="31" spans="1:45" s="25" customFormat="1" ht="37.5">
      <c r="A31" s="4"/>
      <c r="B31" s="21">
        <f t="shared" si="2"/>
        <v>19</v>
      </c>
      <c r="C31" s="13" t="s">
        <v>1370</v>
      </c>
      <c r="D31" s="13" t="s">
        <v>1371</v>
      </c>
      <c r="E31" s="7"/>
      <c r="F31" s="7" t="s">
        <v>863</v>
      </c>
      <c r="G31" s="7" t="str">
        <f t="shared" si="3"/>
        <v>text</v>
      </c>
      <c r="H31" s="58"/>
      <c r="I31" s="23"/>
      <c r="J31" s="24" t="s">
        <v>1384</v>
      </c>
      <c r="M31" s="4"/>
      <c r="N31" s="76"/>
      <c r="O31" s="76"/>
      <c r="P31" s="76" t="str">
        <f t="shared" si="4"/>
        <v>,chiryo_order</v>
      </c>
      <c r="Q31" s="76" t="str">
        <f t="shared" si="0"/>
        <v>TEXT</v>
      </c>
      <c r="R31" s="76" t="str">
        <f t="shared" si="1"/>
        <v/>
      </c>
      <c r="S31" s="76" t="str">
        <f t="shared" si="5"/>
        <v/>
      </c>
      <c r="T31" s="76" t="str">
        <f t="shared" si="6"/>
        <v>-- 治療処置オーダー</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milscm_2023_010.azn_202310_backup_merge_mml_pc_problem.chiryo_order IS '治療処置オーダー';</v>
      </c>
    </row>
    <row r="32" spans="1:45" s="25" customFormat="1" ht="38.25" thickBot="1">
      <c r="A32" s="4"/>
      <c r="B32" s="27">
        <f>ROW()-12</f>
        <v>20</v>
      </c>
      <c r="C32" s="57" t="s">
        <v>1372</v>
      </c>
      <c r="D32" s="57" t="s">
        <v>1373</v>
      </c>
      <c r="E32" s="56"/>
      <c r="F32" s="56" t="s">
        <v>863</v>
      </c>
      <c r="G32" s="56" t="str">
        <f t="shared" si="3"/>
        <v>text</v>
      </c>
      <c r="H32" s="59"/>
      <c r="I32" s="60"/>
      <c r="J32" s="63" t="s">
        <v>1385</v>
      </c>
      <c r="N32" s="76"/>
      <c r="O32" s="76"/>
      <c r="P32" s="76" t="str">
        <f t="shared" si="4"/>
        <v>,free_expression_plan</v>
      </c>
      <c r="Q32" s="76" t="str">
        <f t="shared" si="0"/>
        <v>TEXT</v>
      </c>
      <c r="R32" s="76" t="str">
        <f t="shared" si="1"/>
        <v/>
      </c>
      <c r="S32" s="76" t="str">
        <f t="shared" si="5"/>
        <v/>
      </c>
      <c r="T32" s="76" t="str">
        <f t="shared" si="6"/>
        <v>-- 方針自由記載</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milscm_2023_010.azn_202310_backup_merge_mml_pc_problem.free_expression_plan IS '方針自由記載';</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ENT_01_C4-08</v>
      </c>
      <c r="E6" s="272"/>
      <c r="F6" s="272"/>
      <c r="G6" s="272"/>
      <c r="H6" s="272"/>
      <c r="I6" s="272"/>
      <c r="J6" s="273"/>
    </row>
    <row r="7" spans="1:45">
      <c r="B7" s="261" t="s">
        <v>115</v>
      </c>
      <c r="C7" s="262"/>
      <c r="D7" s="263" t="s">
        <v>1387</v>
      </c>
      <c r="E7" s="264"/>
      <c r="F7" s="264"/>
      <c r="G7" s="264"/>
      <c r="H7" s="264"/>
      <c r="I7" s="264"/>
      <c r="J7" s="265"/>
    </row>
    <row r="8" spans="1:45">
      <c r="B8" s="261" t="s">
        <v>116</v>
      </c>
      <c r="C8" s="262"/>
      <c r="D8" s="263" t="str">
        <f>エンティティ一覧!AE2&amp;"_"&amp;D5&amp;"_merge_mml_pc_physical_exam"</f>
        <v>azn_202310_backup_merge_mml_pc_physical_exam</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経過記録情報モジュール_身体所見レコードテーブルから組入れ条件の第一条件で絞り込んだ結果を格納するテーブル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milscm_2023_010.azn_202310_backup_merge_mml_pc_physical_exam;</v>
      </c>
      <c r="O10" s="76"/>
      <c r="P10" s="76"/>
      <c r="Q10" s="76"/>
      <c r="R10" s="76"/>
      <c r="S10" s="76"/>
      <c r="T10" s="76"/>
      <c r="AJ10" s="76" t="str">
        <f>"ALTER TABLE ONLY "&amp;エンティティ一覧!$O$2&amp;"."&amp;D$8</f>
        <v>ALTER TABLE ONLY milscm_2023_010.azn_202310_backup_merge_mml_pc_physical_exam</v>
      </c>
      <c r="AS10" s="76" t="str">
        <f>"ALTER TABLE "&amp;エンティティ一覧!$O$2&amp;"."&amp;D$8&amp;" OWNER TO pgmisgrp1;"</f>
        <v>ALTER TABLE milscm_2023_010.azn_202310_backup_merge_mml_pc_physical_exam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milscm_2023_010.azn_202310_backup_merge_mml_pc_physical_exam</v>
      </c>
      <c r="O11" s="76"/>
      <c r="P11" s="76"/>
      <c r="Q11" s="76"/>
      <c r="R11" s="76"/>
      <c r="S11" s="76"/>
      <c r="T11" s="76"/>
      <c r="AJ11" s="76" t="str">
        <f>"ADD CONSTRAINT "&amp;D$8&amp;"_pkey PRIMARY KEY"</f>
        <v>ADD CONSTRAINT azn_202310_backup_merge_mml_pc_physical_exam_pkey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milscm_2023_010.azn_202310_backup_merge_mml_pc_physical_exam IS 'バックアップ_経過記録情報モジュール_身体所見レコード';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milscm_2023_010.azn_202310_backup_merge_mml_pc_physical_exam.torikomi_ym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1280</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milscm_2023_010.azn_202310_backup_merge_mml_pc_physical_exam.mil_karute_id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milscm_2023_010.azn_202310_backup_merge_mml_pc_physical_exam.facility_id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milscm_2023_010.azn_202310_backup_merge_mml_pc_physical_exam.shinryo_ymd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milscm_2023_010.azn_202310_backup_merge_mml_pc_physical_exam.data_type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milscm_2023_010.azn_202310_backup_merge_mml_pc_physical_exam.master_id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milscm_2023_010.azn_202310_backup_merge_mml_pc_physical_exam.uid IS '文書ユニークID';</v>
      </c>
    </row>
    <row r="20" spans="1:52" s="25" customFormat="1" ht="37.5">
      <c r="A20" s="4"/>
      <c r="B20" s="21">
        <f t="shared" si="2"/>
        <v>8</v>
      </c>
      <c r="C20" s="13" t="s">
        <v>1342</v>
      </c>
      <c r="D20" s="13" t="s">
        <v>1343</v>
      </c>
      <c r="E20" s="7" t="s">
        <v>127</v>
      </c>
      <c r="F20" s="7" t="s">
        <v>203</v>
      </c>
      <c r="G20" s="7" t="str">
        <f t="shared" si="3"/>
        <v>integer</v>
      </c>
      <c r="H20" s="58"/>
      <c r="I20" s="23" t="s">
        <v>127</v>
      </c>
      <c r="J20" s="24" t="s">
        <v>1346</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milscm_2023_010.azn_202310_backup_merge_mml_pc_physical_exam.keika_seq IS '経過記録SEQ';</v>
      </c>
    </row>
    <row r="21" spans="1:52" s="25" customFormat="1">
      <c r="A21" s="4"/>
      <c r="B21" s="21">
        <f t="shared" si="2"/>
        <v>9</v>
      </c>
      <c r="C21" s="13" t="s">
        <v>1350</v>
      </c>
      <c r="D21" s="13" t="s">
        <v>1351</v>
      </c>
      <c r="E21" s="7" t="s">
        <v>127</v>
      </c>
      <c r="F21" s="7" t="s">
        <v>203</v>
      </c>
      <c r="G21" s="7" t="str">
        <f t="shared" si="3"/>
        <v>integer</v>
      </c>
      <c r="H21" s="58"/>
      <c r="I21" s="23" t="s">
        <v>127</v>
      </c>
      <c r="J21" s="24" t="s">
        <v>1374</v>
      </c>
      <c r="M21" s="4"/>
      <c r="N21" s="76"/>
      <c r="O21" s="76"/>
      <c r="P21" s="76" t="str">
        <f t="shared" si="4"/>
        <v>,problem_seq</v>
      </c>
      <c r="Q21" s="76" t="str">
        <f t="shared" si="0"/>
        <v>INTEGER</v>
      </c>
      <c r="R21" s="76" t="str">
        <f t="shared" si="1"/>
        <v/>
      </c>
      <c r="S21" s="76" t="str">
        <f t="shared" si="5"/>
        <v>NOT NULL</v>
      </c>
      <c r="T21" s="76" t="str">
        <f t="shared" si="6"/>
        <v>-- プロブレムSEQ</v>
      </c>
      <c r="U21" s="4"/>
      <c r="AA21" s="4"/>
      <c r="AB21" s="4"/>
      <c r="AC21" s="4"/>
      <c r="AD21" s="4"/>
      <c r="AE21" s="4"/>
      <c r="AF21" s="4"/>
      <c r="AG21" s="4"/>
      <c r="AH21" s="4"/>
      <c r="AI21" s="4"/>
      <c r="AJ21" s="76" t="str">
        <f>IF(E21="○",IF(COUNTA(E$13:E21)=1,"",",")&amp;D21,"")</f>
        <v>,problem_seq</v>
      </c>
      <c r="AK21" s="4"/>
      <c r="AL21" s="4"/>
      <c r="AM21" s="4"/>
      <c r="AN21" s="4"/>
      <c r="AO21" s="4"/>
      <c r="AP21" s="4"/>
      <c r="AQ21" s="4"/>
      <c r="AR21" s="4"/>
      <c r="AS21" s="76" t="str">
        <f>"COMMENT ON COLUMN "&amp;エンティティ一覧!$O$2&amp;"."&amp;D$8&amp;"."&amp;D21&amp;" IS '"&amp;C21&amp;"';"</f>
        <v>COMMENT ON COLUMN milscm_2023_010.azn_202310_backup_merge_mml_pc_physical_exam.problem_seq IS 'プロブレムSEQ';</v>
      </c>
    </row>
    <row r="22" spans="1:52" s="25" customFormat="1">
      <c r="A22" s="4"/>
      <c r="B22" s="21">
        <f t="shared" si="2"/>
        <v>10</v>
      </c>
      <c r="C22" s="13" t="s">
        <v>1388</v>
      </c>
      <c r="D22" s="13" t="s">
        <v>1389</v>
      </c>
      <c r="E22" s="7" t="s">
        <v>127</v>
      </c>
      <c r="F22" s="7" t="s">
        <v>203</v>
      </c>
      <c r="G22" s="7" t="str">
        <f t="shared" si="3"/>
        <v>integer</v>
      </c>
      <c r="H22" s="58"/>
      <c r="I22" s="23" t="s">
        <v>127</v>
      </c>
      <c r="J22" s="24" t="s">
        <v>1396</v>
      </c>
      <c r="M22" s="4"/>
      <c r="N22" s="76"/>
      <c r="O22" s="76"/>
      <c r="P22" s="76" t="str">
        <f t="shared" si="4"/>
        <v>,syoken_seq</v>
      </c>
      <c r="Q22" s="76" t="str">
        <f t="shared" si="0"/>
        <v>INTEGER</v>
      </c>
      <c r="R22" s="76" t="str">
        <f t="shared" si="1"/>
        <v/>
      </c>
      <c r="S22" s="76" t="str">
        <f t="shared" si="5"/>
        <v>NOT NULL</v>
      </c>
      <c r="T22" s="76" t="str">
        <f t="shared" si="6"/>
        <v>-- 身体所見SEQ</v>
      </c>
      <c r="U22" s="4"/>
      <c r="AA22" s="4"/>
      <c r="AB22" s="4"/>
      <c r="AC22" s="4"/>
      <c r="AD22" s="4"/>
      <c r="AE22" s="4"/>
      <c r="AF22" s="4"/>
      <c r="AG22" s="4"/>
      <c r="AH22" s="4"/>
      <c r="AI22" s="4"/>
      <c r="AJ22" s="76" t="str">
        <f>IF(E22="○",IF(COUNTA(E$13:E22)=1,"",",")&amp;D22,"")</f>
        <v>,syoken_seq</v>
      </c>
      <c r="AK22" s="4"/>
      <c r="AL22" s="4"/>
      <c r="AM22" s="4"/>
      <c r="AN22" s="4"/>
      <c r="AO22" s="4"/>
      <c r="AP22" s="4"/>
      <c r="AQ22" s="4"/>
      <c r="AR22" s="4"/>
      <c r="AS22" s="76" t="str">
        <f>"COMMENT ON COLUMN "&amp;エンティティ一覧!$O$2&amp;"."&amp;D$8&amp;"."&amp;D22&amp;" IS '"&amp;C22&amp;"';"</f>
        <v>COMMENT ON COLUMN milscm_2023_010.azn_202310_backup_merge_mml_pc_physical_exam.syoken_seq IS '身体所見SEQ';</v>
      </c>
    </row>
    <row r="23" spans="1:52" s="25" customFormat="1">
      <c r="A23" s="4"/>
      <c r="B23" s="21">
        <f t="shared" si="2"/>
        <v>11</v>
      </c>
      <c r="C23" s="13" t="s">
        <v>1390</v>
      </c>
      <c r="D23" s="13" t="s">
        <v>1391</v>
      </c>
      <c r="E23" s="7"/>
      <c r="F23" s="7" t="s">
        <v>863</v>
      </c>
      <c r="G23" s="7" t="str">
        <f t="shared" si="3"/>
        <v>text</v>
      </c>
      <c r="H23" s="58"/>
      <c r="I23" s="23"/>
      <c r="J23" s="24" t="s">
        <v>1397</v>
      </c>
      <c r="M23" s="4"/>
      <c r="N23" s="76"/>
      <c r="O23" s="76"/>
      <c r="P23" s="76" t="str">
        <f t="shared" si="4"/>
        <v>,syoken_item_name</v>
      </c>
      <c r="Q23" s="76" t="str">
        <f t="shared" si="0"/>
        <v>TEXT</v>
      </c>
      <c r="R23" s="76" t="str">
        <f t="shared" si="1"/>
        <v/>
      </c>
      <c r="S23" s="76" t="str">
        <f t="shared" si="5"/>
        <v/>
      </c>
      <c r="T23" s="76" t="str">
        <f t="shared" si="6"/>
        <v>-- 所見項目名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milscm_2023_010.azn_202310_backup_merge_mml_pc_physical_exam.syoken_item_name IS '所見項目名';</v>
      </c>
    </row>
    <row r="24" spans="1:52" s="25" customFormat="1">
      <c r="A24" s="4"/>
      <c r="B24" s="21">
        <f t="shared" si="2"/>
        <v>12</v>
      </c>
      <c r="C24" s="13" t="s">
        <v>1392</v>
      </c>
      <c r="D24" s="13" t="s">
        <v>1393</v>
      </c>
      <c r="E24" s="7"/>
      <c r="F24" s="7" t="s">
        <v>863</v>
      </c>
      <c r="G24" s="7" t="str">
        <f t="shared" si="3"/>
        <v>text</v>
      </c>
      <c r="H24" s="58"/>
      <c r="I24" s="23"/>
      <c r="J24" s="24" t="s">
        <v>1398</v>
      </c>
      <c r="M24" s="4"/>
      <c r="N24" s="76"/>
      <c r="O24" s="76"/>
      <c r="P24" s="76" t="str">
        <f t="shared" si="4"/>
        <v>,syoken_value</v>
      </c>
      <c r="Q24" s="76" t="str">
        <f t="shared" si="0"/>
        <v>TEXT</v>
      </c>
      <c r="R24" s="76" t="str">
        <f t="shared" si="1"/>
        <v/>
      </c>
      <c r="S24" s="76" t="str">
        <f t="shared" si="5"/>
        <v/>
      </c>
      <c r="T24" s="76" t="str">
        <f t="shared" si="6"/>
        <v>-- 身体所見結果</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milscm_2023_010.azn_202310_backup_merge_mml_pc_physical_exam.syoken_value IS '身体所見結果';</v>
      </c>
    </row>
    <row r="25" spans="1:52" s="25" customFormat="1" ht="38.25" thickBot="1">
      <c r="A25" s="4"/>
      <c r="B25" s="27">
        <f>ROW()-12</f>
        <v>13</v>
      </c>
      <c r="C25" s="57" t="s">
        <v>1394</v>
      </c>
      <c r="D25" s="57" t="s">
        <v>1395</v>
      </c>
      <c r="E25" s="56"/>
      <c r="F25" s="56" t="s">
        <v>863</v>
      </c>
      <c r="G25" s="56" t="str">
        <f t="shared" si="3"/>
        <v>text</v>
      </c>
      <c r="H25" s="59"/>
      <c r="I25" s="60"/>
      <c r="J25" s="63" t="s">
        <v>1399</v>
      </c>
      <c r="N25" s="76"/>
      <c r="O25" s="76"/>
      <c r="P25" s="76" t="str">
        <f t="shared" si="4"/>
        <v>,syoken_value_kaishaku</v>
      </c>
      <c r="Q25" s="76" t="str">
        <f t="shared" si="0"/>
        <v>TEXT</v>
      </c>
      <c r="R25" s="76" t="str">
        <f t="shared" si="1"/>
        <v/>
      </c>
      <c r="S25" s="76" t="str">
        <f t="shared" si="5"/>
        <v/>
      </c>
      <c r="T25" s="76" t="str">
        <f t="shared" si="6"/>
        <v>-- 身体所見結果解釈</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milscm_2023_010.azn_202310_backup_merge_mml_pc_physical_exam.syoken_value_kaishaku IS '身体所見結果解釈';</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ENT_01_C4-15</v>
      </c>
      <c r="E6" s="272"/>
      <c r="F6" s="272"/>
      <c r="G6" s="272"/>
      <c r="H6" s="272"/>
      <c r="I6" s="272"/>
      <c r="J6" s="273"/>
    </row>
    <row r="7" spans="1:45">
      <c r="B7" s="261" t="s">
        <v>115</v>
      </c>
      <c r="C7" s="262"/>
      <c r="D7" s="263" t="s">
        <v>1401</v>
      </c>
      <c r="E7" s="264"/>
      <c r="F7" s="264"/>
      <c r="G7" s="264"/>
      <c r="H7" s="264"/>
      <c r="I7" s="264"/>
      <c r="J7" s="265"/>
    </row>
    <row r="8" spans="1:45">
      <c r="B8" s="261" t="s">
        <v>116</v>
      </c>
      <c r="C8" s="262"/>
      <c r="D8" s="263" t="str">
        <f>エンティティ一覧!AE2&amp;"_"&amp;D5&amp;"_merge_mml_pc_assessment"</f>
        <v>azn_202310_backup_merge_mml_pc_assessment</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経過記録情報モジュール_アセスメントレコードテーブルから組入れ条件の第一条件で絞り込んだ結果を格納するテーブル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milscm_2023_010.azn_202310_backup_merge_mml_pc_assessment;</v>
      </c>
      <c r="O10" s="76"/>
      <c r="P10" s="76"/>
      <c r="Q10" s="76"/>
      <c r="R10" s="76"/>
      <c r="S10" s="76"/>
      <c r="T10" s="76"/>
      <c r="AJ10" s="76" t="str">
        <f>"ALTER TABLE ONLY "&amp;エンティティ一覧!$O$2&amp;"."&amp;D$8</f>
        <v>ALTER TABLE ONLY milscm_2023_010.azn_202310_backup_merge_mml_pc_assessment</v>
      </c>
      <c r="AS10" s="76" t="str">
        <f>"ALTER TABLE "&amp;エンティティ一覧!$O$2&amp;"."&amp;D$8&amp;" OWNER TO pgmisgrp1;"</f>
        <v>ALTER TABLE milscm_2023_010.azn_202310_backup_merge_mml_pc_assessment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milscm_2023_010.azn_202310_backup_merge_mml_pc_assessment</v>
      </c>
      <c r="O11" s="76"/>
      <c r="P11" s="76"/>
      <c r="Q11" s="76"/>
      <c r="R11" s="76"/>
      <c r="S11" s="76"/>
      <c r="T11" s="76"/>
      <c r="AJ11" s="76" t="str">
        <f>"ADD CONSTRAINT "&amp;D$8&amp;"_pkey PRIMARY KEY"</f>
        <v>ADD CONSTRAINT azn_202310_backup_merge_mml_pc_assessment_pkey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milscm_2023_010.azn_202310_backup_merge_mml_pc_assessment IS 'バックアップ_経過記録情報モジュール_アセスメントレコード';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3" si="0">UPPER(G13)</f>
        <v>TEXT</v>
      </c>
      <c r="R13" s="76" t="str">
        <f t="shared" ref="R13:R2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milscm_2023_010.azn_202310_backup_merge_mml_pc_assessment.torikomi_ym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1280</v>
      </c>
      <c r="M14" s="4"/>
      <c r="N14" s="76"/>
      <c r="O14" s="76"/>
      <c r="P14" s="76" t="str">
        <f t="shared" ref="P14:P2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milscm_2023_010.azn_202310_backup_merge_mml_pc_assessment.mil_karute_id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3" si="5">IF(I15="○","NOT NULL","")</f>
        <v>NOT NULL</v>
      </c>
      <c r="T15" s="76" t="str">
        <f t="shared" ref="T15:T2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milscm_2023_010.azn_202310_backup_merge_mml_pc_assessment.facility_id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milscm_2023_010.azn_202310_backup_merge_mml_pc_assessment.shinryo_ymd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milscm_2023_010.azn_202310_backup_merge_mml_pc_assessment.data_type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milscm_2023_010.azn_202310_backup_merge_mml_pc_assessment.master_id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milscm_2023_010.azn_202310_backup_merge_mml_pc_assessment.uid IS '文書ユニークID';</v>
      </c>
    </row>
    <row r="20" spans="1:52" s="25" customFormat="1" ht="37.5">
      <c r="A20" s="4"/>
      <c r="B20" s="21">
        <f t="shared" si="2"/>
        <v>8</v>
      </c>
      <c r="C20" s="13" t="s">
        <v>1342</v>
      </c>
      <c r="D20" s="13" t="s">
        <v>1343</v>
      </c>
      <c r="E20" s="7" t="s">
        <v>127</v>
      </c>
      <c r="F20" s="7" t="s">
        <v>203</v>
      </c>
      <c r="G20" s="7" t="str">
        <f t="shared" si="3"/>
        <v>integer</v>
      </c>
      <c r="H20" s="58"/>
      <c r="I20" s="23" t="s">
        <v>127</v>
      </c>
      <c r="J20" s="24" t="s">
        <v>1346</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milscm_2023_010.azn_202310_backup_merge_mml_pc_assessment.keika_seq IS '経過記録SEQ';</v>
      </c>
    </row>
    <row r="21" spans="1:52" s="25" customFormat="1">
      <c r="A21" s="4"/>
      <c r="B21" s="21">
        <f t="shared" si="2"/>
        <v>9</v>
      </c>
      <c r="C21" s="13" t="s">
        <v>1350</v>
      </c>
      <c r="D21" s="13" t="s">
        <v>1351</v>
      </c>
      <c r="E21" s="7" t="s">
        <v>127</v>
      </c>
      <c r="F21" s="7" t="s">
        <v>203</v>
      </c>
      <c r="G21" s="7" t="str">
        <f t="shared" si="3"/>
        <v>integer</v>
      </c>
      <c r="H21" s="58"/>
      <c r="I21" s="23" t="s">
        <v>127</v>
      </c>
      <c r="J21" s="24" t="s">
        <v>1374</v>
      </c>
      <c r="M21" s="4"/>
      <c r="N21" s="76"/>
      <c r="O21" s="76"/>
      <c r="P21" s="76" t="str">
        <f t="shared" si="4"/>
        <v>,problem_seq</v>
      </c>
      <c r="Q21" s="76" t="str">
        <f t="shared" si="0"/>
        <v>INTEGER</v>
      </c>
      <c r="R21" s="76" t="str">
        <f t="shared" si="1"/>
        <v/>
      </c>
      <c r="S21" s="76" t="str">
        <f t="shared" si="5"/>
        <v>NOT NULL</v>
      </c>
      <c r="T21" s="76" t="str">
        <f t="shared" si="6"/>
        <v>-- プロブレムSEQ</v>
      </c>
      <c r="U21" s="4"/>
      <c r="AA21" s="4"/>
      <c r="AB21" s="4"/>
      <c r="AC21" s="4"/>
      <c r="AD21" s="4"/>
      <c r="AE21" s="4"/>
      <c r="AF21" s="4"/>
      <c r="AG21" s="4"/>
      <c r="AH21" s="4"/>
      <c r="AI21" s="4"/>
      <c r="AJ21" s="76" t="str">
        <f>IF(E21="○",IF(COUNTA(E$13:E21)=1,"",",")&amp;D21,"")</f>
        <v>,problem_seq</v>
      </c>
      <c r="AK21" s="4"/>
      <c r="AL21" s="4"/>
      <c r="AM21" s="4"/>
      <c r="AN21" s="4"/>
      <c r="AO21" s="4"/>
      <c r="AP21" s="4"/>
      <c r="AQ21" s="4"/>
      <c r="AR21" s="4"/>
      <c r="AS21" s="76" t="str">
        <f>"COMMENT ON COLUMN "&amp;エンティティ一覧!$O$2&amp;"."&amp;D$8&amp;"."&amp;D21&amp;" IS '"&amp;C21&amp;"';"</f>
        <v>COMMENT ON COLUMN milscm_2023_010.azn_202310_backup_merge_mml_pc_assessment.problem_seq IS 'プロブレムSEQ';</v>
      </c>
    </row>
    <row r="22" spans="1:52" s="25" customFormat="1">
      <c r="A22" s="4"/>
      <c r="B22" s="21">
        <f t="shared" si="2"/>
        <v>10</v>
      </c>
      <c r="C22" s="13" t="s">
        <v>1402</v>
      </c>
      <c r="D22" s="13" t="s">
        <v>1403</v>
      </c>
      <c r="E22" s="7" t="s">
        <v>127</v>
      </c>
      <c r="F22" s="7" t="s">
        <v>203</v>
      </c>
      <c r="G22" s="7" t="str">
        <f t="shared" si="3"/>
        <v>integer</v>
      </c>
      <c r="H22" s="58"/>
      <c r="I22" s="23" t="s">
        <v>127</v>
      </c>
      <c r="J22" s="24" t="s">
        <v>1406</v>
      </c>
      <c r="M22" s="4"/>
      <c r="N22" s="76"/>
      <c r="O22" s="76"/>
      <c r="P22" s="76" t="str">
        <f t="shared" si="4"/>
        <v>,assessment_item_seq</v>
      </c>
      <c r="Q22" s="76" t="str">
        <f t="shared" si="0"/>
        <v>INTEGER</v>
      </c>
      <c r="R22" s="76" t="str">
        <f t="shared" si="1"/>
        <v/>
      </c>
      <c r="S22" s="76" t="str">
        <f t="shared" si="5"/>
        <v>NOT NULL</v>
      </c>
      <c r="T22" s="76" t="str">
        <f t="shared" si="6"/>
        <v>-- アセスメントSEQ</v>
      </c>
      <c r="U22" s="4"/>
      <c r="AA22" s="4"/>
      <c r="AB22" s="4"/>
      <c r="AC22" s="4"/>
      <c r="AD22" s="4"/>
      <c r="AE22" s="4"/>
      <c r="AF22" s="4"/>
      <c r="AG22" s="4"/>
      <c r="AH22" s="4"/>
      <c r="AI22" s="4"/>
      <c r="AJ22" s="76" t="str">
        <f>IF(E22="○",IF(COUNTA(E$13:E22)=1,"",",")&amp;D22,"")</f>
        <v>,assessment_item_seq</v>
      </c>
      <c r="AK22" s="4"/>
      <c r="AL22" s="4"/>
      <c r="AM22" s="4"/>
      <c r="AN22" s="4"/>
      <c r="AO22" s="4"/>
      <c r="AP22" s="4"/>
      <c r="AQ22" s="4"/>
      <c r="AR22" s="4"/>
      <c r="AS22" s="76" t="str">
        <f>"COMMENT ON COLUMN "&amp;エンティティ一覧!$O$2&amp;"."&amp;D$8&amp;"."&amp;D22&amp;" IS '"&amp;C22&amp;"';"</f>
        <v>COMMENT ON COLUMN milscm_2023_010.azn_202310_backup_merge_mml_pc_assessment.assessment_item_seq IS 'アセスメントSEQ';</v>
      </c>
    </row>
    <row r="23" spans="1:52" s="25" customFormat="1" ht="38.25" thickBot="1">
      <c r="A23" s="4"/>
      <c r="B23" s="27">
        <f>ROW()-12</f>
        <v>11</v>
      </c>
      <c r="C23" s="57" t="s">
        <v>1404</v>
      </c>
      <c r="D23" s="57" t="s">
        <v>1405</v>
      </c>
      <c r="E23" s="56"/>
      <c r="F23" s="56" t="s">
        <v>863</v>
      </c>
      <c r="G23" s="56" t="str">
        <f t="shared" si="3"/>
        <v>text</v>
      </c>
      <c r="H23" s="59"/>
      <c r="I23" s="60"/>
      <c r="J23" s="63" t="s">
        <v>1407</v>
      </c>
      <c r="N23" s="76"/>
      <c r="O23" s="76"/>
      <c r="P23" s="76" t="str">
        <f t="shared" si="4"/>
        <v>,assessment_item</v>
      </c>
      <c r="Q23" s="76" t="str">
        <f t="shared" si="0"/>
        <v>TEXT</v>
      </c>
      <c r="R23" s="76" t="str">
        <f t="shared" si="1"/>
        <v/>
      </c>
      <c r="S23" s="76" t="str">
        <f t="shared" si="5"/>
        <v/>
      </c>
      <c r="T23" s="76" t="str">
        <f t="shared" si="6"/>
        <v>-- アセスメント</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milscm_2023_010.azn_202310_backup_merge_mml_pc_assessment.assessment_item IS 'アセスメント';</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ENT_01_C4-22</v>
      </c>
      <c r="E6" s="272"/>
      <c r="F6" s="272"/>
      <c r="G6" s="272"/>
      <c r="H6" s="272"/>
      <c r="I6" s="272"/>
      <c r="J6" s="273"/>
    </row>
    <row r="7" spans="1:45">
      <c r="B7" s="261" t="s">
        <v>115</v>
      </c>
      <c r="C7" s="262"/>
      <c r="D7" s="263" t="s">
        <v>1409</v>
      </c>
      <c r="E7" s="264"/>
      <c r="F7" s="264"/>
      <c r="G7" s="264"/>
      <c r="H7" s="264"/>
      <c r="I7" s="264"/>
      <c r="J7" s="265"/>
    </row>
    <row r="8" spans="1:45">
      <c r="B8" s="261" t="s">
        <v>116</v>
      </c>
      <c r="C8" s="262"/>
      <c r="D8" s="263" t="str">
        <f>エンティティ一覧!AE2&amp;"_"&amp;D5&amp;"_merge_mml_pc_external_reference"</f>
        <v>azn_202310_backup_merge_mml_pc_external_reference</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経過記録情報モジュール_外部参照レコードテーブルから組入れ条件の第一条件で絞り込んだ結果を格納するテーブル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milscm_2023_010.azn_202310_backup_merge_mml_pc_external_reference;</v>
      </c>
      <c r="O10" s="76"/>
      <c r="P10" s="76"/>
      <c r="Q10" s="76"/>
      <c r="R10" s="76"/>
      <c r="S10" s="76"/>
      <c r="T10" s="76"/>
      <c r="AJ10" s="76" t="str">
        <f>"ALTER TABLE ONLY "&amp;エンティティ一覧!$O$2&amp;"."&amp;D$8</f>
        <v>ALTER TABLE ONLY milscm_2023_010.azn_202310_backup_merge_mml_pc_external_reference</v>
      </c>
      <c r="AS10" s="76" t="str">
        <f>"ALTER TABLE "&amp;エンティティ一覧!$O$2&amp;"."&amp;D$8&amp;" OWNER TO pgmisgrp1;"</f>
        <v>ALTER TABLE milscm_2023_010.azn_202310_backup_merge_mml_pc_external_reference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milscm_2023_010.azn_202310_backup_merge_mml_pc_external_reference</v>
      </c>
      <c r="O11" s="76"/>
      <c r="P11" s="76"/>
      <c r="Q11" s="76"/>
      <c r="R11" s="76"/>
      <c r="S11" s="76"/>
      <c r="T11" s="76"/>
      <c r="AJ11" s="76" t="str">
        <f>"ADD CONSTRAINT "&amp;D$8&amp;"_pkey PRIMARY KEY"</f>
        <v>ADD CONSTRAINT azn_202310_backup_merge_mml_pc_external_reference_pkey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milscm_2023_010.azn_202310_backup_merge_mml_pc_external_reference IS 'バックアップ_経過記録情報モジュール_外部参照レコード';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7" si="0">UPPER(G13)</f>
        <v>TEXT</v>
      </c>
      <c r="R13" s="76" t="str">
        <f t="shared" ref="R13:R27"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milscm_2023_010.azn_202310_backup_merge_mml_pc_external_reference.torikomi_ym IS '取込年月';</v>
      </c>
    </row>
    <row r="14" spans="1:45" s="25" customFormat="1">
      <c r="A14" s="4"/>
      <c r="B14" s="21">
        <f t="shared" ref="B14:B26" si="2">ROW()-12</f>
        <v>2</v>
      </c>
      <c r="C14" s="6" t="s">
        <v>201</v>
      </c>
      <c r="D14" s="6" t="s">
        <v>202</v>
      </c>
      <c r="E14" s="8"/>
      <c r="F14" s="7" t="s">
        <v>203</v>
      </c>
      <c r="G14" s="7" t="str">
        <f t="shared" ref="G14:G27" si="3">IF(F14="フラグ","boolean",IF(F14="文字列","text",IF(F14="整数","integer",IF(F14="実数","numeric",""))))</f>
        <v>integer</v>
      </c>
      <c r="H14" s="26"/>
      <c r="I14" s="10"/>
      <c r="J14" s="11" t="s">
        <v>1280</v>
      </c>
      <c r="M14" s="4"/>
      <c r="N14" s="76"/>
      <c r="O14" s="76"/>
      <c r="P14" s="76" t="str">
        <f t="shared" ref="P14:P27"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milscm_2023_010.azn_202310_backup_merge_mml_pc_external_reference.mil_karute_id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7" si="5">IF(I15="○","NOT NULL","")</f>
        <v>NOT NULL</v>
      </c>
      <c r="T15" s="76" t="str">
        <f t="shared" ref="T15:T27"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milscm_2023_010.azn_202310_backup_merge_mml_pc_external_reference.facility_id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milscm_2023_010.azn_202310_backup_merge_mml_pc_external_reference.shinryo_ymd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milscm_2023_010.azn_202310_backup_merge_mml_pc_external_reference.data_type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milscm_2023_010.azn_202310_backup_merge_mml_pc_external_reference.master_id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milscm_2023_010.azn_202310_backup_merge_mml_pc_external_reference.uid IS '文書ユニークID';</v>
      </c>
    </row>
    <row r="20" spans="1:52" s="25" customFormat="1" ht="37.5">
      <c r="A20" s="4"/>
      <c r="B20" s="21">
        <f t="shared" si="2"/>
        <v>8</v>
      </c>
      <c r="C20" s="13" t="s">
        <v>1342</v>
      </c>
      <c r="D20" s="13" t="s">
        <v>1343</v>
      </c>
      <c r="E20" s="7" t="s">
        <v>127</v>
      </c>
      <c r="F20" s="7" t="s">
        <v>203</v>
      </c>
      <c r="G20" s="7" t="str">
        <f t="shared" si="3"/>
        <v>integer</v>
      </c>
      <c r="H20" s="58"/>
      <c r="I20" s="23" t="s">
        <v>127</v>
      </c>
      <c r="J20" s="24" t="s">
        <v>1346</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milscm_2023_010.azn_202310_backup_merge_mml_pc_external_reference.keika_seq IS '経過記録SEQ';</v>
      </c>
    </row>
    <row r="21" spans="1:52" s="25" customFormat="1" ht="187.5">
      <c r="A21" s="4"/>
      <c r="B21" s="21">
        <f t="shared" si="2"/>
        <v>9</v>
      </c>
      <c r="C21" s="13" t="s">
        <v>1410</v>
      </c>
      <c r="D21" s="13" t="s">
        <v>1411</v>
      </c>
      <c r="E21" s="7" t="s">
        <v>127</v>
      </c>
      <c r="F21" s="7" t="s">
        <v>863</v>
      </c>
      <c r="G21" s="7" t="str">
        <f t="shared" si="3"/>
        <v>text</v>
      </c>
      <c r="H21" s="58"/>
      <c r="I21" s="23" t="s">
        <v>127</v>
      </c>
      <c r="J21" s="24" t="s">
        <v>1424</v>
      </c>
      <c r="M21" s="4"/>
      <c r="N21" s="76"/>
      <c r="O21" s="76"/>
      <c r="P21" s="76" t="str">
        <f t="shared" si="4"/>
        <v>,gaibu_sansyo_moto</v>
      </c>
      <c r="Q21" s="76" t="str">
        <f t="shared" si="0"/>
        <v>TEXT</v>
      </c>
      <c r="R21" s="76" t="str">
        <f t="shared" si="1"/>
        <v/>
      </c>
      <c r="S21" s="76" t="str">
        <f t="shared" si="5"/>
        <v>NOT NULL</v>
      </c>
      <c r="T21" s="76" t="str">
        <f t="shared" si="6"/>
        <v>-- 外部参照元</v>
      </c>
      <c r="U21" s="4"/>
      <c r="AA21" s="4"/>
      <c r="AB21" s="4"/>
      <c r="AC21" s="4"/>
      <c r="AD21" s="4"/>
      <c r="AE21" s="4"/>
      <c r="AF21" s="4"/>
      <c r="AG21" s="4"/>
      <c r="AH21" s="4"/>
      <c r="AI21" s="4"/>
      <c r="AJ21" s="76" t="str">
        <f>IF(E21="○",IF(COUNTA(E$13:E21)=1,"",",")&amp;D21,"")</f>
        <v>,gaibu_sansyo_moto</v>
      </c>
      <c r="AK21" s="4"/>
      <c r="AL21" s="4"/>
      <c r="AM21" s="4"/>
      <c r="AN21" s="4"/>
      <c r="AO21" s="4"/>
      <c r="AP21" s="4"/>
      <c r="AQ21" s="4"/>
      <c r="AR21" s="4"/>
      <c r="AS21" s="76" t="str">
        <f>"COMMENT ON COLUMN "&amp;エンティティ一覧!$O$2&amp;"."&amp;D$8&amp;"."&amp;D21&amp;" IS '"&amp;C21&amp;"';"</f>
        <v>COMMENT ON COLUMN milscm_2023_010.azn_202310_backup_merge_mml_pc_external_reference.gaibu_sansyo_moto IS '外部参照元';</v>
      </c>
    </row>
    <row r="22" spans="1:52" s="25" customFormat="1">
      <c r="A22" s="4"/>
      <c r="B22" s="21">
        <f t="shared" si="2"/>
        <v>10</v>
      </c>
      <c r="C22" s="13" t="s">
        <v>1412</v>
      </c>
      <c r="D22" s="13" t="s">
        <v>1413</v>
      </c>
      <c r="E22" s="7" t="s">
        <v>127</v>
      </c>
      <c r="F22" s="7" t="s">
        <v>203</v>
      </c>
      <c r="G22" s="7" t="str">
        <f t="shared" si="3"/>
        <v>integer</v>
      </c>
      <c r="H22" s="58"/>
      <c r="I22" s="23" t="s">
        <v>127</v>
      </c>
      <c r="J22" s="24" t="s">
        <v>1425</v>
      </c>
      <c r="M22" s="4"/>
      <c r="N22" s="76"/>
      <c r="O22" s="76"/>
      <c r="P22" s="76" t="str">
        <f t="shared" si="4"/>
        <v>,gaibu_sansyo_seq</v>
      </c>
      <c r="Q22" s="76" t="str">
        <f t="shared" si="0"/>
        <v>INTEGER</v>
      </c>
      <c r="R22" s="76" t="str">
        <f t="shared" si="1"/>
        <v/>
      </c>
      <c r="S22" s="76" t="str">
        <f t="shared" si="5"/>
        <v>NOT NULL</v>
      </c>
      <c r="T22" s="76" t="str">
        <f t="shared" si="6"/>
        <v>-- 外部参照SEQ</v>
      </c>
      <c r="U22" s="4"/>
      <c r="AA22" s="4"/>
      <c r="AB22" s="4"/>
      <c r="AC22" s="4"/>
      <c r="AD22" s="4"/>
      <c r="AE22" s="4"/>
      <c r="AF22" s="4"/>
      <c r="AG22" s="4"/>
      <c r="AH22" s="4"/>
      <c r="AI22" s="4"/>
      <c r="AJ22" s="76" t="str">
        <f>IF(E22="○",IF(COUNTA(E$13:E22)=1,"",",")&amp;D22,"")</f>
        <v>,gaibu_sansyo_seq</v>
      </c>
      <c r="AK22" s="4"/>
      <c r="AL22" s="4"/>
      <c r="AM22" s="4"/>
      <c r="AN22" s="4"/>
      <c r="AO22" s="4"/>
      <c r="AP22" s="4"/>
      <c r="AQ22" s="4"/>
      <c r="AR22" s="4"/>
      <c r="AS22" s="76" t="str">
        <f>"COMMENT ON COLUMN "&amp;エンティティ一覧!$O$2&amp;"."&amp;D$8&amp;"."&amp;D22&amp;" IS '"&amp;C22&amp;"';"</f>
        <v>COMMENT ON COLUMN milscm_2023_010.azn_202310_backup_merge_mml_pc_external_reference.gaibu_sansyo_seq IS '外部参照SEQ';</v>
      </c>
    </row>
    <row r="23" spans="1:52" s="25" customFormat="1">
      <c r="A23" s="4"/>
      <c r="B23" s="21">
        <f t="shared" si="2"/>
        <v>11</v>
      </c>
      <c r="C23" s="13" t="s">
        <v>1414</v>
      </c>
      <c r="D23" s="13" t="s">
        <v>1415</v>
      </c>
      <c r="E23" s="7"/>
      <c r="F23" s="7" t="s">
        <v>863</v>
      </c>
      <c r="G23" s="7" t="str">
        <f t="shared" si="3"/>
        <v>text</v>
      </c>
      <c r="H23" s="58"/>
      <c r="I23" s="23"/>
      <c r="J23" s="24" t="s">
        <v>1426</v>
      </c>
      <c r="M23" s="4"/>
      <c r="N23" s="76"/>
      <c r="O23" s="76"/>
      <c r="P23" s="76" t="str">
        <f t="shared" si="4"/>
        <v>,content_type</v>
      </c>
      <c r="Q23" s="76" t="str">
        <f t="shared" si="0"/>
        <v>TEXT</v>
      </c>
      <c r="R23" s="76" t="str">
        <f t="shared" si="1"/>
        <v/>
      </c>
      <c r="S23" s="76" t="str">
        <f t="shared" si="5"/>
        <v/>
      </c>
      <c r="T23" s="76" t="str">
        <f t="shared" si="6"/>
        <v>-- コンテンツ種別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milscm_2023_010.azn_202310_backup_merge_mml_pc_external_reference.content_type IS 'コンテンツ種別';</v>
      </c>
    </row>
    <row r="24" spans="1:52" s="25" customFormat="1" ht="37.5">
      <c r="A24" s="4"/>
      <c r="B24" s="21">
        <f t="shared" si="2"/>
        <v>12</v>
      </c>
      <c r="C24" s="13" t="s">
        <v>1416</v>
      </c>
      <c r="D24" s="13" t="s">
        <v>1417</v>
      </c>
      <c r="E24" s="7"/>
      <c r="F24" s="7" t="s">
        <v>863</v>
      </c>
      <c r="G24" s="7" t="str">
        <f t="shared" si="3"/>
        <v>text</v>
      </c>
      <c r="H24" s="58"/>
      <c r="I24" s="23"/>
      <c r="J24" s="24" t="s">
        <v>1427</v>
      </c>
      <c r="M24" s="4"/>
      <c r="N24" s="76"/>
      <c r="O24" s="76"/>
      <c r="P24" s="76" t="str">
        <f t="shared" si="4"/>
        <v>,igaku_role</v>
      </c>
      <c r="Q24" s="76" t="str">
        <f t="shared" si="0"/>
        <v>TEXT</v>
      </c>
      <c r="R24" s="76" t="str">
        <f t="shared" si="1"/>
        <v/>
      </c>
      <c r="S24" s="76" t="str">
        <f t="shared" si="5"/>
        <v/>
      </c>
      <c r="T24" s="76" t="str">
        <f t="shared" si="6"/>
        <v>-- 医学的役割</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milscm_2023_010.azn_202310_backup_merge_mml_pc_external_reference.igaku_role IS '医学的役割';</v>
      </c>
    </row>
    <row r="25" spans="1:52" s="25" customFormat="1">
      <c r="A25" s="4"/>
      <c r="B25" s="21">
        <f t="shared" si="2"/>
        <v>13</v>
      </c>
      <c r="C25" s="13" t="s">
        <v>1418</v>
      </c>
      <c r="D25" s="13" t="s">
        <v>1419</v>
      </c>
      <c r="E25" s="7"/>
      <c r="F25" s="7" t="s">
        <v>863</v>
      </c>
      <c r="G25" s="7" t="str">
        <f t="shared" si="3"/>
        <v>text</v>
      </c>
      <c r="H25" s="58"/>
      <c r="I25" s="23"/>
      <c r="J25" s="24" t="s">
        <v>1428</v>
      </c>
      <c r="M25" s="4"/>
      <c r="N25" s="76"/>
      <c r="O25" s="76"/>
      <c r="P25" s="76" t="str">
        <f t="shared" si="4"/>
        <v>,gaibu_sansyo_file_name</v>
      </c>
      <c r="Q25" s="76" t="str">
        <f t="shared" si="0"/>
        <v>TEXT</v>
      </c>
      <c r="R25" s="76" t="str">
        <f t="shared" si="1"/>
        <v/>
      </c>
      <c r="S25" s="76" t="str">
        <f t="shared" si="5"/>
        <v/>
      </c>
      <c r="T25" s="76" t="str">
        <f t="shared" si="6"/>
        <v>-- 外部参照ファイル名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milscm_2023_010.azn_202310_backup_merge_mml_pc_external_reference.gaibu_sansyo_file_name IS '外部参照ファイル名';</v>
      </c>
    </row>
    <row r="26" spans="1:52" s="25" customFormat="1">
      <c r="A26" s="4"/>
      <c r="B26" s="21">
        <f t="shared" si="2"/>
        <v>14</v>
      </c>
      <c r="C26" s="13" t="s">
        <v>1420</v>
      </c>
      <c r="D26" s="13" t="s">
        <v>1421</v>
      </c>
      <c r="E26" s="7"/>
      <c r="F26" s="7" t="s">
        <v>863</v>
      </c>
      <c r="G26" s="7" t="str">
        <f t="shared" si="3"/>
        <v>text</v>
      </c>
      <c r="H26" s="58"/>
      <c r="I26" s="23"/>
      <c r="J26" s="24" t="s">
        <v>1429</v>
      </c>
      <c r="M26" s="4"/>
      <c r="N26" s="76"/>
      <c r="O26" s="76"/>
      <c r="P26" s="76" t="str">
        <f t="shared" si="4"/>
        <v>,gaibu_sansyo_saki</v>
      </c>
      <c r="Q26" s="76" t="str">
        <f t="shared" si="0"/>
        <v>TEXT</v>
      </c>
      <c r="R26" s="76" t="str">
        <f t="shared" si="1"/>
        <v/>
      </c>
      <c r="S26" s="76" t="str">
        <f t="shared" si="5"/>
        <v/>
      </c>
      <c r="T26" s="76" t="str">
        <f t="shared" si="6"/>
        <v>-- 外部参照先</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milscm_2023_010.azn_202310_backup_merge_mml_pc_external_reference.gaibu_sansyo_saki IS '外部参照先';</v>
      </c>
    </row>
    <row r="27" spans="1:52" s="25" customFormat="1" ht="19.5" thickBot="1">
      <c r="A27" s="4"/>
      <c r="B27" s="27">
        <f>ROW()-12</f>
        <v>15</v>
      </c>
      <c r="C27" s="57" t="s">
        <v>1422</v>
      </c>
      <c r="D27" s="57" t="s">
        <v>1423</v>
      </c>
      <c r="E27" s="56"/>
      <c r="F27" s="56" t="s">
        <v>863</v>
      </c>
      <c r="G27" s="56" t="str">
        <f t="shared" si="3"/>
        <v>text</v>
      </c>
      <c r="H27" s="59"/>
      <c r="I27" s="60"/>
      <c r="J27" s="63" t="s">
        <v>1430</v>
      </c>
      <c r="N27" s="76"/>
      <c r="O27" s="76"/>
      <c r="P27" s="76" t="str">
        <f t="shared" si="4"/>
        <v>,gaibu_sansyo_naiyo</v>
      </c>
      <c r="Q27" s="76" t="str">
        <f t="shared" si="0"/>
        <v>TEXT</v>
      </c>
      <c r="R27" s="76" t="str">
        <f t="shared" si="1"/>
        <v/>
      </c>
      <c r="S27" s="76" t="str">
        <f t="shared" si="5"/>
        <v/>
      </c>
      <c r="T27" s="76" t="str">
        <f t="shared" si="6"/>
        <v>-- 外部参照内容</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milscm_2023_010.azn_202310_backup_merge_mml_pc_external_reference.gaibu_sansyo_naiyo IS '外部参照内容';</v>
      </c>
    </row>
    <row r="28" spans="1:52">
      <c r="L28" s="25"/>
      <c r="M28" s="25"/>
      <c r="N28" s="76" t="s">
        <v>142</v>
      </c>
      <c r="O28" s="76"/>
      <c r="P28" s="76"/>
      <c r="Q28" s="76"/>
      <c r="R28" s="76"/>
      <c r="S28" s="76"/>
      <c r="T28" s="76"/>
      <c r="V28" s="25"/>
      <c r="W28" s="25"/>
      <c r="X28" s="25"/>
      <c r="Y28" s="25"/>
      <c r="Z28" s="25"/>
      <c r="AJ28" s="76"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ENT_01_C4-23</v>
      </c>
      <c r="E6" s="272"/>
      <c r="F6" s="272"/>
      <c r="G6" s="272"/>
      <c r="H6" s="272"/>
      <c r="I6" s="272"/>
      <c r="J6" s="273"/>
    </row>
    <row r="7" spans="1:45">
      <c r="B7" s="261" t="s">
        <v>115</v>
      </c>
      <c r="C7" s="262"/>
      <c r="D7" s="263" t="s">
        <v>1432</v>
      </c>
      <c r="E7" s="264"/>
      <c r="F7" s="264"/>
      <c r="G7" s="264"/>
      <c r="H7" s="264"/>
      <c r="I7" s="264"/>
      <c r="J7" s="265"/>
    </row>
    <row r="8" spans="1:45">
      <c r="B8" s="261" t="s">
        <v>116</v>
      </c>
      <c r="C8" s="262"/>
      <c r="D8" s="263" t="str">
        <f>エンティティ一覧!AE2&amp;"_"&amp;D5&amp;"_merge_mml_sm_summary"</f>
        <v>azn_202310_backup_merge_mml_sm_summary</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臨床サマリーモジュール_臨床サマリー情報レコードテーブルから組入れ条件の第一条件で絞り込んだ結果を格納するテーブル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milscm_2023_010.azn_202310_backup_merge_mml_sm_summary;</v>
      </c>
      <c r="O10" s="76"/>
      <c r="P10" s="76"/>
      <c r="Q10" s="76"/>
      <c r="R10" s="76"/>
      <c r="S10" s="76"/>
      <c r="T10" s="76"/>
      <c r="AJ10" s="76" t="str">
        <f>"ALTER TABLE ONLY "&amp;エンティティ一覧!$O$2&amp;"."&amp;D$8</f>
        <v>ALTER TABLE ONLY milscm_2023_010.azn_202310_backup_merge_mml_sm_summary</v>
      </c>
      <c r="AS10" s="76" t="str">
        <f>"ALTER TABLE "&amp;エンティティ一覧!$O$2&amp;"."&amp;D$8&amp;" OWNER TO pgmisgrp1;"</f>
        <v>ALTER TABLE milscm_2023_010.azn_202310_backup_merge_mml_sm_summary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milscm_2023_010.azn_202310_backup_merge_mml_sm_summary</v>
      </c>
      <c r="O11" s="76"/>
      <c r="P11" s="76"/>
      <c r="Q11" s="76"/>
      <c r="R11" s="76"/>
      <c r="S11" s="76"/>
      <c r="T11" s="76"/>
      <c r="AJ11" s="76" t="str">
        <f>"ADD CONSTRAINT "&amp;D$8&amp;"_pkey PRIMARY KEY"</f>
        <v>ADD CONSTRAINT azn_202310_backup_merge_mml_sm_summary_pkey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milscm_2023_010.azn_202310_backup_merge_mml_sm_summary IS 'バックアップ_臨床サマリーモジュール_臨床サマリー情報レコード';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3" si="0">UPPER(G13)</f>
        <v>TEXT</v>
      </c>
      <c r="R13" s="76" t="str">
        <f t="shared" ref="R13:R3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milscm_2023_010.azn_202310_backup_merge_mml_sm_summary.torikomi_ym IS '取込年月';</v>
      </c>
    </row>
    <row r="14" spans="1:45" s="25" customFormat="1">
      <c r="A14" s="4"/>
      <c r="B14" s="21">
        <f t="shared" ref="B14:B32" si="2">ROW()-12</f>
        <v>2</v>
      </c>
      <c r="C14" s="6" t="s">
        <v>201</v>
      </c>
      <c r="D14" s="6" t="s">
        <v>202</v>
      </c>
      <c r="E14" s="8"/>
      <c r="F14" s="7" t="s">
        <v>203</v>
      </c>
      <c r="G14" s="7" t="str">
        <f t="shared" ref="G14:G33" si="3">IF(F14="フラグ","boolean",IF(F14="文字列","text",IF(F14="整数","integer",IF(F14="実数","numeric",""))))</f>
        <v>integer</v>
      </c>
      <c r="H14" s="26"/>
      <c r="I14" s="10"/>
      <c r="J14" s="11" t="s">
        <v>1280</v>
      </c>
      <c r="M14" s="4"/>
      <c r="N14" s="76"/>
      <c r="O14" s="76"/>
      <c r="P14" s="76" t="str">
        <f t="shared" ref="P14:P3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milscm_2023_010.azn_202310_backup_merge_mml_sm_summary.mil_karute_id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33" si="5">IF(I15="○","NOT NULL","")</f>
        <v>NOT NULL</v>
      </c>
      <c r="T15" s="76" t="str">
        <f t="shared" ref="T15:T3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milscm_2023_010.azn_202310_backup_merge_mml_sm_summary.facility_id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milscm_2023_010.azn_202310_backup_merge_mml_sm_summary.shinryo_ymd IS '診療年月日';</v>
      </c>
    </row>
    <row r="17" spans="1:45"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milscm_2023_010.azn_202310_backup_merge_mml_sm_summary.data_type IS 'データ種別';</v>
      </c>
    </row>
    <row r="18" spans="1:45"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milscm_2023_010.azn_202310_backup_merge_mml_sm_summary.master_id IS '患者ID';</v>
      </c>
    </row>
    <row r="19" spans="1:45"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milscm_2023_010.azn_202310_backup_merge_mml_sm_summary.uid IS '文書ユニークID';</v>
      </c>
    </row>
    <row r="20" spans="1:45" s="25" customFormat="1">
      <c r="A20" s="4"/>
      <c r="B20" s="21">
        <f t="shared" si="2"/>
        <v>8</v>
      </c>
      <c r="C20" s="13" t="s">
        <v>1433</v>
      </c>
      <c r="D20" s="13" t="s">
        <v>1434</v>
      </c>
      <c r="E20" s="7" t="s">
        <v>127</v>
      </c>
      <c r="F20" s="7" t="s">
        <v>203</v>
      </c>
      <c r="G20" s="7" t="str">
        <f t="shared" si="3"/>
        <v>integer</v>
      </c>
      <c r="H20" s="58"/>
      <c r="I20" s="23" t="s">
        <v>127</v>
      </c>
      <c r="J20" s="24" t="s">
        <v>1459</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milscm_2023_010.azn_202310_backup_merge_mml_sm_summary.summary_seq IS '臨床サマリーSEQ';</v>
      </c>
    </row>
    <row r="21" spans="1:45" s="25" customFormat="1" ht="37.5">
      <c r="A21" s="4"/>
      <c r="B21" s="21">
        <f t="shared" si="2"/>
        <v>9</v>
      </c>
      <c r="C21" s="13" t="s">
        <v>1435</v>
      </c>
      <c r="D21" s="13" t="s">
        <v>1436</v>
      </c>
      <c r="E21" s="7"/>
      <c r="F21" s="7" t="s">
        <v>863</v>
      </c>
      <c r="G21" s="7" t="str">
        <f t="shared" si="3"/>
        <v>text</v>
      </c>
      <c r="H21" s="58"/>
      <c r="I21" s="23"/>
      <c r="J21" s="24" t="s">
        <v>1460</v>
      </c>
      <c r="M21" s="4"/>
      <c r="N21" s="76"/>
      <c r="O21" s="76"/>
      <c r="P21" s="76" t="str">
        <f t="shared" si="4"/>
        <v>,history_start_ymd</v>
      </c>
      <c r="Q21" s="76" t="str">
        <f t="shared" si="0"/>
        <v>TEXT</v>
      </c>
      <c r="R21" s="76" t="str">
        <f t="shared" si="1"/>
        <v/>
      </c>
      <c r="S21" s="76" t="str">
        <f t="shared" si="5"/>
        <v/>
      </c>
      <c r="T21" s="76" t="str">
        <f t="shared" si="6"/>
        <v>-- サマリー対象期間の開始日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milscm_2023_010.azn_202310_backup_merge_mml_sm_summary.history_start_ymd IS 'サマリー対象期間の開始日';</v>
      </c>
    </row>
    <row r="22" spans="1:45" s="25" customFormat="1" ht="37.5">
      <c r="A22" s="4"/>
      <c r="B22" s="21">
        <f t="shared" si="2"/>
        <v>10</v>
      </c>
      <c r="C22" s="13" t="s">
        <v>1437</v>
      </c>
      <c r="D22" s="13" t="s">
        <v>1438</v>
      </c>
      <c r="E22" s="7"/>
      <c r="F22" s="7" t="s">
        <v>863</v>
      </c>
      <c r="G22" s="7" t="str">
        <f t="shared" si="3"/>
        <v>text</v>
      </c>
      <c r="H22" s="58"/>
      <c r="I22" s="23"/>
      <c r="J22" s="24" t="s">
        <v>1461</v>
      </c>
      <c r="M22" s="4"/>
      <c r="N22" s="76"/>
      <c r="O22" s="76"/>
      <c r="P22" s="76" t="str">
        <f t="shared" si="4"/>
        <v>,history_end_ymd</v>
      </c>
      <c r="Q22" s="76" t="str">
        <f t="shared" si="0"/>
        <v>TEXT</v>
      </c>
      <c r="R22" s="76" t="str">
        <f t="shared" si="1"/>
        <v/>
      </c>
      <c r="S22" s="76" t="str">
        <f t="shared" si="5"/>
        <v/>
      </c>
      <c r="T22" s="76" t="str">
        <f t="shared" si="6"/>
        <v>-- サマリー対象期間の終了日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milscm_2023_010.azn_202310_backup_merge_mml_sm_summary.history_end_ymd IS 'サマリー対象期間の終了日';</v>
      </c>
    </row>
    <row r="23" spans="1:45" s="25" customFormat="1">
      <c r="A23" s="4"/>
      <c r="B23" s="21">
        <f t="shared" si="2"/>
        <v>11</v>
      </c>
      <c r="C23" s="13" t="s">
        <v>1439</v>
      </c>
      <c r="D23" s="13" t="s">
        <v>1440</v>
      </c>
      <c r="E23" s="7"/>
      <c r="F23" s="7" t="s">
        <v>863</v>
      </c>
      <c r="G23" s="7" t="str">
        <f t="shared" si="3"/>
        <v>text</v>
      </c>
      <c r="H23" s="58"/>
      <c r="I23" s="23"/>
      <c r="J23" s="24" t="s">
        <v>1462</v>
      </c>
      <c r="M23" s="4"/>
      <c r="N23" s="76"/>
      <c r="O23" s="76"/>
      <c r="P23" s="76" t="str">
        <f t="shared" si="4"/>
        <v>,death_info</v>
      </c>
      <c r="Q23" s="76" t="str">
        <f t="shared" si="0"/>
        <v>TEXT</v>
      </c>
      <c r="R23" s="76" t="str">
        <f t="shared" si="1"/>
        <v/>
      </c>
      <c r="S23" s="76" t="str">
        <f t="shared" si="5"/>
        <v/>
      </c>
      <c r="T23" s="76" t="str">
        <f t="shared" si="6"/>
        <v>-- 死亡関連情報</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milscm_2023_010.azn_202310_backup_merge_mml_sm_summary.death_info IS '死亡関連情報';</v>
      </c>
    </row>
    <row r="24" spans="1:45" s="25" customFormat="1" ht="37.5">
      <c r="A24" s="4"/>
      <c r="B24" s="21">
        <f t="shared" si="2"/>
        <v>12</v>
      </c>
      <c r="C24" s="13" t="s">
        <v>1278</v>
      </c>
      <c r="D24" s="13" t="s">
        <v>1279</v>
      </c>
      <c r="E24" s="7"/>
      <c r="F24" s="7" t="s">
        <v>863</v>
      </c>
      <c r="G24" s="7" t="str">
        <f t="shared" si="3"/>
        <v>text</v>
      </c>
      <c r="H24" s="58"/>
      <c r="I24" s="23"/>
      <c r="J24" s="24" t="s">
        <v>1463</v>
      </c>
      <c r="M24" s="4"/>
      <c r="N24" s="76"/>
      <c r="O24" s="76"/>
      <c r="P24" s="76" t="str">
        <f t="shared" si="4"/>
        <v>,death_date</v>
      </c>
      <c r="Q24" s="76" t="str">
        <f t="shared" si="0"/>
        <v>TEXT</v>
      </c>
      <c r="R24" s="76" t="str">
        <f t="shared" si="1"/>
        <v/>
      </c>
      <c r="S24" s="76" t="str">
        <f t="shared" si="5"/>
        <v/>
      </c>
      <c r="T24" s="76" t="str">
        <f t="shared" si="6"/>
        <v>-- 死亡日時</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milscm_2023_010.azn_202310_backup_merge_mml_sm_summary.death_date IS '死亡日時';</v>
      </c>
    </row>
    <row r="25" spans="1:45" s="25" customFormat="1" ht="37.5">
      <c r="A25" s="4"/>
      <c r="B25" s="21">
        <f t="shared" si="2"/>
        <v>13</v>
      </c>
      <c r="C25" s="13" t="s">
        <v>1441</v>
      </c>
      <c r="D25" s="13" t="s">
        <v>1442</v>
      </c>
      <c r="E25" s="7"/>
      <c r="F25" s="7" t="s">
        <v>863</v>
      </c>
      <c r="G25" s="7" t="str">
        <f t="shared" si="3"/>
        <v>text</v>
      </c>
      <c r="H25" s="58"/>
      <c r="I25" s="23"/>
      <c r="J25" s="24" t="s">
        <v>1464</v>
      </c>
      <c r="M25" s="4"/>
      <c r="N25" s="76"/>
      <c r="O25" s="76"/>
      <c r="P25" s="76" t="str">
        <f t="shared" si="4"/>
        <v>,death_autopsy_flag</v>
      </c>
      <c r="Q25" s="76" t="str">
        <f t="shared" si="0"/>
        <v>TEXT</v>
      </c>
      <c r="R25" s="76" t="str">
        <f t="shared" si="1"/>
        <v/>
      </c>
      <c r="S25" s="76" t="str">
        <f t="shared" si="5"/>
        <v/>
      </c>
      <c r="T25" s="76" t="str">
        <f t="shared" si="6"/>
        <v>-- 剖検の有無</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milscm_2023_010.azn_202310_backup_merge_mml_sm_summary.death_autopsy_flag IS '剖検の有無';</v>
      </c>
    </row>
    <row r="26" spans="1:45" s="25" customFormat="1" ht="37.5">
      <c r="A26" s="4"/>
      <c r="B26" s="21">
        <f t="shared" si="2"/>
        <v>14</v>
      </c>
      <c r="C26" s="13" t="s">
        <v>1443</v>
      </c>
      <c r="D26" s="13" t="s">
        <v>1444</v>
      </c>
      <c r="E26" s="7"/>
      <c r="F26" s="7" t="s">
        <v>863</v>
      </c>
      <c r="G26" s="7" t="str">
        <f t="shared" si="3"/>
        <v>text</v>
      </c>
      <c r="H26" s="58"/>
      <c r="I26" s="23"/>
      <c r="J26" s="24" t="s">
        <v>1465</v>
      </c>
      <c r="M26" s="4"/>
      <c r="N26" s="76"/>
      <c r="O26" s="76"/>
      <c r="P26" s="76" t="str">
        <f t="shared" si="4"/>
        <v>,chief_complaints</v>
      </c>
      <c r="Q26" s="76" t="str">
        <f t="shared" si="0"/>
        <v>TEXT</v>
      </c>
      <c r="R26" s="76" t="str">
        <f t="shared" si="1"/>
        <v/>
      </c>
      <c r="S26" s="76" t="str">
        <f t="shared" si="5"/>
        <v/>
      </c>
      <c r="T26" s="76" t="str">
        <f t="shared" si="6"/>
        <v>-- 主訴</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milscm_2023_010.azn_202310_backup_merge_mml_sm_summary.chief_complaints IS '主訴';</v>
      </c>
    </row>
    <row r="27" spans="1:45" s="25" customFormat="1" ht="37.5">
      <c r="A27" s="4"/>
      <c r="B27" s="21">
        <f t="shared" si="2"/>
        <v>15</v>
      </c>
      <c r="C27" s="13" t="s">
        <v>1445</v>
      </c>
      <c r="D27" s="13" t="s">
        <v>1446</v>
      </c>
      <c r="E27" s="7"/>
      <c r="F27" s="7" t="s">
        <v>863</v>
      </c>
      <c r="G27" s="7" t="str">
        <f t="shared" si="3"/>
        <v>text</v>
      </c>
      <c r="H27" s="58"/>
      <c r="I27" s="23"/>
      <c r="J27" s="24" t="s">
        <v>1466</v>
      </c>
      <c r="M27" s="4"/>
      <c r="N27" s="76"/>
      <c r="O27" s="76"/>
      <c r="P27" s="76" t="str">
        <f t="shared" si="4"/>
        <v>,patient_profile</v>
      </c>
      <c r="Q27" s="76" t="str">
        <f t="shared" si="0"/>
        <v>TEXT</v>
      </c>
      <c r="R27" s="76" t="str">
        <f t="shared" si="1"/>
        <v/>
      </c>
      <c r="S27" s="76" t="str">
        <f t="shared" si="5"/>
        <v/>
      </c>
      <c r="T27" s="76" t="str">
        <f t="shared" si="6"/>
        <v>-- 患者プロフィール</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milscm_2023_010.azn_202310_backup_merge_mml_sm_summary.patient_profile IS '患者プロフィール';</v>
      </c>
    </row>
    <row r="28" spans="1:45" s="25" customFormat="1" ht="37.5">
      <c r="A28" s="4"/>
      <c r="B28" s="21">
        <f t="shared" si="2"/>
        <v>16</v>
      </c>
      <c r="C28" s="13" t="s">
        <v>1447</v>
      </c>
      <c r="D28" s="13" t="s">
        <v>1448</v>
      </c>
      <c r="E28" s="7"/>
      <c r="F28" s="7" t="s">
        <v>863</v>
      </c>
      <c r="G28" s="7" t="str">
        <f t="shared" si="3"/>
        <v>text</v>
      </c>
      <c r="H28" s="58"/>
      <c r="I28" s="23"/>
      <c r="J28" s="24" t="s">
        <v>1467</v>
      </c>
      <c r="M28" s="4"/>
      <c r="N28" s="76"/>
      <c r="O28" s="76"/>
      <c r="P28" s="76" t="str">
        <f t="shared" si="4"/>
        <v>,nyuin_history</v>
      </c>
      <c r="Q28" s="76" t="str">
        <f t="shared" si="0"/>
        <v>TEXT</v>
      </c>
      <c r="R28" s="76" t="str">
        <f t="shared" si="1"/>
        <v/>
      </c>
      <c r="S28" s="76" t="str">
        <f t="shared" si="5"/>
        <v/>
      </c>
      <c r="T28" s="76" t="str">
        <f t="shared" si="6"/>
        <v>-- 入院までの経過</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milscm_2023_010.azn_202310_backup_merge_mml_sm_summary.nyuin_history IS '入院までの経過';</v>
      </c>
    </row>
    <row r="29" spans="1:45" s="25" customFormat="1" ht="37.5">
      <c r="A29" s="4"/>
      <c r="B29" s="21">
        <f t="shared" si="2"/>
        <v>17</v>
      </c>
      <c r="C29" s="13" t="s">
        <v>1449</v>
      </c>
      <c r="D29" s="13" t="s">
        <v>1450</v>
      </c>
      <c r="E29" s="7"/>
      <c r="F29" s="7" t="s">
        <v>863</v>
      </c>
      <c r="G29" s="7" t="str">
        <f t="shared" si="3"/>
        <v>text</v>
      </c>
      <c r="H29" s="58"/>
      <c r="I29" s="23"/>
      <c r="J29" s="24" t="s">
        <v>1468</v>
      </c>
      <c r="M29" s="4"/>
      <c r="N29" s="76"/>
      <c r="O29" s="76"/>
      <c r="P29" s="76" t="str">
        <f t="shared" si="4"/>
        <v>,nyuin_physical_exam</v>
      </c>
      <c r="Q29" s="76" t="str">
        <f t="shared" si="0"/>
        <v>TEXT</v>
      </c>
      <c r="R29" s="76" t="str">
        <f t="shared" si="1"/>
        <v/>
      </c>
      <c r="S29" s="76" t="str">
        <f t="shared" si="5"/>
        <v/>
      </c>
      <c r="T29" s="76" t="str">
        <f t="shared" si="6"/>
        <v>-- 入院時理学所見</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milscm_2023_010.azn_202310_backup_merge_mml_sm_summary.nyuin_physical_exam IS '入院時理学所見';</v>
      </c>
    </row>
    <row r="30" spans="1:45" s="25" customFormat="1" ht="37.5">
      <c r="A30" s="4"/>
      <c r="B30" s="21">
        <f t="shared" si="2"/>
        <v>18</v>
      </c>
      <c r="C30" s="13" t="s">
        <v>1451</v>
      </c>
      <c r="D30" s="13" t="s">
        <v>1452</v>
      </c>
      <c r="E30" s="7"/>
      <c r="F30" s="7" t="s">
        <v>863</v>
      </c>
      <c r="G30" s="7" t="str">
        <f t="shared" si="3"/>
        <v>text</v>
      </c>
      <c r="H30" s="58"/>
      <c r="I30" s="23"/>
      <c r="J30" s="24" t="s">
        <v>1469</v>
      </c>
      <c r="M30" s="4"/>
      <c r="N30" s="76"/>
      <c r="O30" s="76"/>
      <c r="P30" s="76" t="str">
        <f t="shared" si="4"/>
        <v>,taiin_findings</v>
      </c>
      <c r="Q30" s="76" t="str">
        <f t="shared" si="0"/>
        <v>TEXT</v>
      </c>
      <c r="R30" s="76" t="str">
        <f t="shared" si="1"/>
        <v/>
      </c>
      <c r="S30" s="76" t="str">
        <f t="shared" si="5"/>
        <v/>
      </c>
      <c r="T30" s="76" t="str">
        <f t="shared" si="6"/>
        <v>-- 退院時所見</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milscm_2023_010.azn_202310_backup_merge_mml_sm_summary.taiin_findings IS '退院時所見';</v>
      </c>
    </row>
    <row r="31" spans="1:45" s="25" customFormat="1" ht="37.5">
      <c r="A31" s="4"/>
      <c r="B31" s="21">
        <f t="shared" si="2"/>
        <v>19</v>
      </c>
      <c r="C31" s="13" t="s">
        <v>1453</v>
      </c>
      <c r="D31" s="13" t="s">
        <v>1454</v>
      </c>
      <c r="E31" s="7"/>
      <c r="F31" s="7" t="s">
        <v>863</v>
      </c>
      <c r="G31" s="7" t="str">
        <f t="shared" si="3"/>
        <v>text</v>
      </c>
      <c r="H31" s="58"/>
      <c r="I31" s="23"/>
      <c r="J31" s="24" t="s">
        <v>1470</v>
      </c>
      <c r="M31" s="4"/>
      <c r="N31" s="76"/>
      <c r="O31" s="76"/>
      <c r="P31" s="76" t="str">
        <f t="shared" si="4"/>
        <v>,taiin_medication</v>
      </c>
      <c r="Q31" s="76" t="str">
        <f t="shared" si="0"/>
        <v>TEXT</v>
      </c>
      <c r="R31" s="76" t="str">
        <f t="shared" si="1"/>
        <v/>
      </c>
      <c r="S31" s="76" t="str">
        <f t="shared" si="5"/>
        <v/>
      </c>
      <c r="T31" s="76" t="str">
        <f t="shared" si="6"/>
        <v>-- 退院時処方</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milscm_2023_010.azn_202310_backup_merge_mml_sm_summary.taiin_medication IS '退院時処方';</v>
      </c>
    </row>
    <row r="32" spans="1:45" s="25" customFormat="1" ht="37.5">
      <c r="A32" s="4"/>
      <c r="B32" s="21">
        <f t="shared" si="2"/>
        <v>20</v>
      </c>
      <c r="C32" s="13" t="s">
        <v>1455</v>
      </c>
      <c r="D32" s="13" t="s">
        <v>1456</v>
      </c>
      <c r="E32" s="7"/>
      <c r="F32" s="7" t="s">
        <v>863</v>
      </c>
      <c r="G32" s="7" t="str">
        <f t="shared" si="3"/>
        <v>text</v>
      </c>
      <c r="H32" s="58"/>
      <c r="I32" s="23"/>
      <c r="J32" s="24" t="s">
        <v>1471</v>
      </c>
      <c r="M32" s="4"/>
      <c r="N32" s="76"/>
      <c r="O32" s="76"/>
      <c r="P32" s="76" t="str">
        <f t="shared" si="4"/>
        <v>,taiin_chiryo_plan</v>
      </c>
      <c r="Q32" s="76" t="str">
        <f t="shared" si="0"/>
        <v>TEXT</v>
      </c>
      <c r="R32" s="76" t="str">
        <f t="shared" si="1"/>
        <v/>
      </c>
      <c r="S32" s="76" t="str">
        <f t="shared" si="5"/>
        <v/>
      </c>
      <c r="T32" s="76" t="str">
        <f t="shared" si="6"/>
        <v>-- 退院後治療方針</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milscm_2023_010.azn_202310_backup_merge_mml_sm_summary.taiin_chiryo_plan IS '退院後治療方針';</v>
      </c>
    </row>
    <row r="33" spans="1:52" s="25" customFormat="1" ht="38.25" thickBot="1">
      <c r="A33" s="4"/>
      <c r="B33" s="27">
        <f>ROW()-12</f>
        <v>21</v>
      </c>
      <c r="C33" s="57" t="s">
        <v>1457</v>
      </c>
      <c r="D33" s="57" t="s">
        <v>1458</v>
      </c>
      <c r="E33" s="56"/>
      <c r="F33" s="56" t="s">
        <v>863</v>
      </c>
      <c r="G33" s="56" t="str">
        <f t="shared" si="3"/>
        <v>text</v>
      </c>
      <c r="H33" s="59"/>
      <c r="I33" s="60"/>
      <c r="J33" s="63" t="s">
        <v>1472</v>
      </c>
      <c r="N33" s="76"/>
      <c r="O33" s="76"/>
      <c r="P33" s="76" t="str">
        <f t="shared" si="4"/>
        <v>,patient_ryui_code</v>
      </c>
      <c r="Q33" s="76" t="str">
        <f t="shared" si="0"/>
        <v>TEXT</v>
      </c>
      <c r="R33" s="76" t="str">
        <f t="shared" si="1"/>
        <v/>
      </c>
      <c r="S33" s="76" t="str">
        <f t="shared" si="5"/>
        <v/>
      </c>
      <c r="T33" s="76" t="str">
        <f t="shared" si="6"/>
        <v>-- 患者に関する留意事項</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milscm_2023_010.azn_202310_backup_merge_mml_sm_summary.patient_ryui_code IS '患者に関する留意事項';</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ENT_01_C4-24</v>
      </c>
      <c r="E6" s="272"/>
      <c r="F6" s="272"/>
      <c r="G6" s="272"/>
      <c r="H6" s="272"/>
      <c r="I6" s="272"/>
      <c r="J6" s="273"/>
    </row>
    <row r="7" spans="1:45">
      <c r="B7" s="261" t="s">
        <v>115</v>
      </c>
      <c r="C7" s="262"/>
      <c r="D7" s="263" t="s">
        <v>1474</v>
      </c>
      <c r="E7" s="264"/>
      <c r="F7" s="264"/>
      <c r="G7" s="264"/>
      <c r="H7" s="264"/>
      <c r="I7" s="264"/>
      <c r="J7" s="265"/>
    </row>
    <row r="8" spans="1:45">
      <c r="B8" s="261" t="s">
        <v>116</v>
      </c>
      <c r="C8" s="262"/>
      <c r="D8" s="263" t="str">
        <f>エンティティ一覧!AE2&amp;"_"&amp;D5&amp;"_merge_mml_sm_out_patient"</f>
        <v>azn_202310_backup_merge_mml_sm_out_patient</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臨床サマリーモジュール_外来受診レコードテーブルから組入れ条件の第一条件で絞り込んだ結果を格納するテーブル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milscm_2023_010.azn_202310_backup_merge_mml_sm_out_patient;</v>
      </c>
      <c r="O10" s="76"/>
      <c r="P10" s="76"/>
      <c r="Q10" s="76"/>
      <c r="R10" s="76"/>
      <c r="S10" s="76"/>
      <c r="T10" s="76"/>
      <c r="AJ10" s="76" t="str">
        <f>"ALTER TABLE ONLY "&amp;エンティティ一覧!$O$2&amp;"."&amp;D$8</f>
        <v>ALTER TABLE ONLY milscm_2023_010.azn_202310_backup_merge_mml_sm_out_patient</v>
      </c>
      <c r="AS10" s="76" t="str">
        <f>"ALTER TABLE "&amp;エンティティ一覧!$O$2&amp;"."&amp;D$8&amp;" OWNER TO pgmisgrp1;"</f>
        <v>ALTER TABLE milscm_2023_010.azn_202310_backup_merge_mml_sm_out_patient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milscm_2023_010.azn_202310_backup_merge_mml_sm_out_patient</v>
      </c>
      <c r="O11" s="76"/>
      <c r="P11" s="76"/>
      <c r="Q11" s="76"/>
      <c r="R11" s="76"/>
      <c r="S11" s="76"/>
      <c r="T11" s="76"/>
      <c r="AJ11" s="76" t="str">
        <f>"ADD CONSTRAINT "&amp;D$8&amp;"_pkey PRIMARY KEY"</f>
        <v>ADD CONSTRAINT azn_202310_backup_merge_mml_sm_out_patient_pkey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milscm_2023_010.azn_202310_backup_merge_mml_sm_out_patient IS 'バックアップ_臨床サマリーモジュール_外来受診レコード';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milscm_2023_010.azn_202310_backup_merge_mml_sm_out_patient.torikomi_ym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1280</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milscm_2023_010.azn_202310_backup_merge_mml_sm_out_patient.mil_karute_id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milscm_2023_010.azn_202310_backup_merge_mml_sm_out_patient.facility_id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milscm_2023_010.azn_202310_backup_merge_mml_sm_out_patient.shinryo_ymd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milscm_2023_010.azn_202310_backup_merge_mml_sm_out_patient.data_type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milscm_2023_010.azn_202310_backup_merge_mml_sm_out_patient.master_id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milscm_2023_010.azn_202310_backup_merge_mml_sm_out_patient.uid IS '文書ユニークID';</v>
      </c>
    </row>
    <row r="20" spans="1:52" s="25" customFormat="1">
      <c r="A20" s="4"/>
      <c r="B20" s="21">
        <f t="shared" si="2"/>
        <v>8</v>
      </c>
      <c r="C20" s="13" t="s">
        <v>1433</v>
      </c>
      <c r="D20" s="13" t="s">
        <v>1434</v>
      </c>
      <c r="E20" s="7" t="s">
        <v>127</v>
      </c>
      <c r="F20" s="7" t="s">
        <v>203</v>
      </c>
      <c r="G20" s="7" t="str">
        <f t="shared" si="3"/>
        <v>integer</v>
      </c>
      <c r="H20" s="58"/>
      <c r="I20" s="23" t="s">
        <v>127</v>
      </c>
      <c r="J20" s="24" t="s">
        <v>1459</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milscm_2023_010.azn_202310_backup_merge_mml_sm_out_patient.summary_seq IS '臨床サマリーSEQ';</v>
      </c>
    </row>
    <row r="21" spans="1:52" s="25" customFormat="1">
      <c r="A21" s="4"/>
      <c r="B21" s="21">
        <f t="shared" si="2"/>
        <v>9</v>
      </c>
      <c r="C21" s="13" t="s">
        <v>1475</v>
      </c>
      <c r="D21" s="13" t="s">
        <v>1476</v>
      </c>
      <c r="E21" s="7" t="s">
        <v>127</v>
      </c>
      <c r="F21" s="7" t="s">
        <v>203</v>
      </c>
      <c r="G21" s="7" t="str">
        <f t="shared" si="3"/>
        <v>integer</v>
      </c>
      <c r="H21" s="58"/>
      <c r="I21" s="23" t="s">
        <v>127</v>
      </c>
      <c r="J21" s="24" t="s">
        <v>1485</v>
      </c>
      <c r="M21" s="4"/>
      <c r="N21" s="76"/>
      <c r="O21" s="76"/>
      <c r="P21" s="76" t="str">
        <f t="shared" si="4"/>
        <v>,gairai_seq</v>
      </c>
      <c r="Q21" s="76" t="str">
        <f t="shared" si="0"/>
        <v>INTEGER</v>
      </c>
      <c r="R21" s="76" t="str">
        <f t="shared" si="1"/>
        <v/>
      </c>
      <c r="S21" s="76" t="str">
        <f t="shared" si="5"/>
        <v>NOT NULL</v>
      </c>
      <c r="T21" s="76" t="str">
        <f t="shared" si="6"/>
        <v>-- 個々の外来受診歴SEQ</v>
      </c>
      <c r="U21" s="4"/>
      <c r="AA21" s="4"/>
      <c r="AB21" s="4"/>
      <c r="AC21" s="4"/>
      <c r="AD21" s="4"/>
      <c r="AE21" s="4"/>
      <c r="AF21" s="4"/>
      <c r="AG21" s="4"/>
      <c r="AH21" s="4"/>
      <c r="AI21" s="4"/>
      <c r="AJ21" s="76" t="str">
        <f>IF(E21="○",IF(COUNTA(E$13:E21)=1,"",",")&amp;D21,"")</f>
        <v>,gairai_seq</v>
      </c>
      <c r="AK21" s="4"/>
      <c r="AL21" s="4"/>
      <c r="AM21" s="4"/>
      <c r="AN21" s="4"/>
      <c r="AO21" s="4"/>
      <c r="AP21" s="4"/>
      <c r="AQ21" s="4"/>
      <c r="AR21" s="4"/>
      <c r="AS21" s="76" t="str">
        <f>"COMMENT ON COLUMN "&amp;エンティティ一覧!$O$2&amp;"."&amp;D$8&amp;"."&amp;D21&amp;" IS '"&amp;C21&amp;"';"</f>
        <v>COMMENT ON COLUMN milscm_2023_010.azn_202310_backup_merge_mml_sm_out_patient.gairai_seq IS '個々の外来受診歴SEQ';</v>
      </c>
    </row>
    <row r="22" spans="1:52" s="25" customFormat="1" ht="37.5">
      <c r="A22" s="4"/>
      <c r="B22" s="21">
        <f t="shared" si="2"/>
        <v>10</v>
      </c>
      <c r="C22" s="13" t="s">
        <v>1477</v>
      </c>
      <c r="D22" s="13" t="s">
        <v>1478</v>
      </c>
      <c r="E22" s="7"/>
      <c r="F22" s="7" t="s">
        <v>863</v>
      </c>
      <c r="G22" s="7" t="str">
        <f t="shared" si="3"/>
        <v>text</v>
      </c>
      <c r="H22" s="58"/>
      <c r="I22" s="23"/>
      <c r="J22" s="24" t="s">
        <v>1486</v>
      </c>
      <c r="M22" s="4"/>
      <c r="N22" s="76"/>
      <c r="O22" s="76"/>
      <c r="P22" s="76" t="str">
        <f t="shared" si="4"/>
        <v>,gairai_ymd</v>
      </c>
      <c r="Q22" s="76" t="str">
        <f t="shared" si="0"/>
        <v>TEXT</v>
      </c>
      <c r="R22" s="76" t="str">
        <f t="shared" si="1"/>
        <v/>
      </c>
      <c r="S22" s="76" t="str">
        <f t="shared" si="5"/>
        <v/>
      </c>
      <c r="T22" s="76" t="str">
        <f t="shared" si="6"/>
        <v>-- 外来受診年月日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milscm_2023_010.azn_202310_backup_merge_mml_sm_out_patient.gairai_ymd IS '外来受診年月日';</v>
      </c>
    </row>
    <row r="23" spans="1:52" s="25" customFormat="1">
      <c r="A23" s="4"/>
      <c r="B23" s="21">
        <f t="shared" si="2"/>
        <v>11</v>
      </c>
      <c r="C23" s="13" t="s">
        <v>1479</v>
      </c>
      <c r="D23" s="13" t="s">
        <v>1480</v>
      </c>
      <c r="E23" s="7"/>
      <c r="F23" s="7" t="s">
        <v>863</v>
      </c>
      <c r="G23" s="7" t="str">
        <f t="shared" si="3"/>
        <v>text</v>
      </c>
      <c r="H23" s="58"/>
      <c r="I23" s="23"/>
      <c r="J23" s="24" t="s">
        <v>1487</v>
      </c>
      <c r="M23" s="4"/>
      <c r="N23" s="76"/>
      <c r="O23" s="76"/>
      <c r="P23" s="76" t="str">
        <f t="shared" si="4"/>
        <v>,gairai_state</v>
      </c>
      <c r="Q23" s="76" t="str">
        <f t="shared" si="0"/>
        <v>TEXT</v>
      </c>
      <c r="R23" s="76" t="str">
        <f t="shared" si="1"/>
        <v/>
      </c>
      <c r="S23" s="76" t="str">
        <f t="shared" si="5"/>
        <v/>
      </c>
      <c r="T23" s="76" t="str">
        <f t="shared" si="6"/>
        <v>-- 外来受診状態</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milscm_2023_010.azn_202310_backup_merge_mml_sm_out_patient.gairai_state IS '外来受診状態';</v>
      </c>
    </row>
    <row r="24" spans="1:52" s="25" customFormat="1" ht="37.5">
      <c r="A24" s="4"/>
      <c r="B24" s="21">
        <f t="shared" si="2"/>
        <v>12</v>
      </c>
      <c r="C24" s="13" t="s">
        <v>1481</v>
      </c>
      <c r="D24" s="13" t="s">
        <v>1482</v>
      </c>
      <c r="E24" s="7"/>
      <c r="F24" s="7" t="s">
        <v>863</v>
      </c>
      <c r="G24" s="7" t="str">
        <f t="shared" si="3"/>
        <v>text</v>
      </c>
      <c r="H24" s="58"/>
      <c r="I24" s="23"/>
      <c r="J24" s="24" t="s">
        <v>1488</v>
      </c>
      <c r="M24" s="4"/>
      <c r="N24" s="76"/>
      <c r="O24" s="76"/>
      <c r="P24" s="76" t="str">
        <f t="shared" si="4"/>
        <v>,first_flag</v>
      </c>
      <c r="Q24" s="76" t="str">
        <f t="shared" si="0"/>
        <v>TEXT</v>
      </c>
      <c r="R24" s="76" t="str">
        <f t="shared" si="1"/>
        <v/>
      </c>
      <c r="S24" s="76" t="str">
        <f t="shared" si="5"/>
        <v/>
      </c>
      <c r="T24" s="76" t="str">
        <f t="shared" si="6"/>
        <v>-- 初診フラグ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milscm_2023_010.azn_202310_backup_merge_mml_sm_out_patient.first_flag IS '初診フラグ';</v>
      </c>
    </row>
    <row r="25" spans="1:52" s="25" customFormat="1" ht="57" thickBot="1">
      <c r="A25" s="4"/>
      <c r="B25" s="27">
        <f>ROW()-12</f>
        <v>13</v>
      </c>
      <c r="C25" s="57" t="s">
        <v>1483</v>
      </c>
      <c r="D25" s="57" t="s">
        <v>1484</v>
      </c>
      <c r="E25" s="56"/>
      <c r="F25" s="56" t="s">
        <v>863</v>
      </c>
      <c r="G25" s="56" t="str">
        <f t="shared" si="3"/>
        <v>text</v>
      </c>
      <c r="H25" s="59"/>
      <c r="I25" s="60"/>
      <c r="J25" s="63" t="s">
        <v>1489</v>
      </c>
      <c r="N25" s="76"/>
      <c r="O25" s="76"/>
      <c r="P25" s="76" t="str">
        <f t="shared" si="4"/>
        <v>,emergency_flag</v>
      </c>
      <c r="Q25" s="76" t="str">
        <f t="shared" si="0"/>
        <v>TEXT</v>
      </c>
      <c r="R25" s="76" t="str">
        <f t="shared" si="1"/>
        <v/>
      </c>
      <c r="S25" s="76" t="str">
        <f t="shared" si="5"/>
        <v/>
      </c>
      <c r="T25" s="76" t="str">
        <f t="shared" si="6"/>
        <v>-- 救急受診フラグ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milscm_2023_010.azn_202310_backup_merge_mml_sm_out_patient.emergency_flag IS '救急受診フラグ';</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ENT_01_C4-25</v>
      </c>
      <c r="E6" s="272"/>
      <c r="F6" s="272"/>
      <c r="G6" s="272"/>
      <c r="H6" s="272"/>
      <c r="I6" s="272"/>
      <c r="J6" s="273"/>
    </row>
    <row r="7" spans="1:45">
      <c r="B7" s="261" t="s">
        <v>115</v>
      </c>
      <c r="C7" s="262"/>
      <c r="D7" s="263" t="s">
        <v>1491</v>
      </c>
      <c r="E7" s="264"/>
      <c r="F7" s="264"/>
      <c r="G7" s="264"/>
      <c r="H7" s="264"/>
      <c r="I7" s="264"/>
      <c r="J7" s="265"/>
    </row>
    <row r="8" spans="1:45">
      <c r="B8" s="261" t="s">
        <v>116</v>
      </c>
      <c r="C8" s="262"/>
      <c r="D8" s="263" t="str">
        <f>エンティティ一覧!AE2&amp;"_"&amp;D5&amp;"_merge_mml_sm_in_patient"</f>
        <v>azn_202310_backup_merge_mml_sm_in_patient</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臨床サマリーモジュール_入院レコードテーブルから組入れ条件の第一条件で絞り込んだ結果を格納するテーブル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milscm_2023_010.azn_202310_backup_merge_mml_sm_in_patient;</v>
      </c>
      <c r="O10" s="76"/>
      <c r="P10" s="76"/>
      <c r="Q10" s="76"/>
      <c r="R10" s="76"/>
      <c r="S10" s="76"/>
      <c r="T10" s="76"/>
      <c r="AJ10" s="76" t="str">
        <f>"ALTER TABLE ONLY "&amp;エンティティ一覧!$O$2&amp;"."&amp;D$8</f>
        <v>ALTER TABLE ONLY milscm_2023_010.azn_202310_backup_merge_mml_sm_in_patient</v>
      </c>
      <c r="AS10" s="76" t="str">
        <f>"ALTER TABLE "&amp;エンティティ一覧!$O$2&amp;"."&amp;D$8&amp;" OWNER TO pgmisgrp1;"</f>
        <v>ALTER TABLE milscm_2023_010.azn_202310_backup_merge_mml_sm_in_patient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milscm_2023_010.azn_202310_backup_merge_mml_sm_in_patient</v>
      </c>
      <c r="O11" s="76"/>
      <c r="P11" s="76"/>
      <c r="Q11" s="76"/>
      <c r="R11" s="76"/>
      <c r="S11" s="76"/>
      <c r="T11" s="76"/>
      <c r="AJ11" s="76" t="str">
        <f>"ADD CONSTRAINT "&amp;D$8&amp;"_pkey PRIMARY KEY"</f>
        <v>ADD CONSTRAINT azn_202310_backup_merge_mml_sm_in_patient_pkey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milscm_2023_010.azn_202310_backup_merge_mml_sm_in_patient IS 'バックアップ_臨床サマリーモジュール_入院レコード';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9" si="0">UPPER(G13)</f>
        <v>TEXT</v>
      </c>
      <c r="R13" s="76" t="str">
        <f t="shared" ref="R13:R29"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milscm_2023_010.azn_202310_backup_merge_mml_sm_in_patient.torikomi_ym IS '取込年月';</v>
      </c>
    </row>
    <row r="14" spans="1:45" s="25" customFormat="1">
      <c r="A14" s="4"/>
      <c r="B14" s="21">
        <f t="shared" ref="B14:B28" si="2">ROW()-12</f>
        <v>2</v>
      </c>
      <c r="C14" s="6" t="s">
        <v>201</v>
      </c>
      <c r="D14" s="6" t="s">
        <v>202</v>
      </c>
      <c r="E14" s="8"/>
      <c r="F14" s="7" t="s">
        <v>203</v>
      </c>
      <c r="G14" s="7" t="str">
        <f t="shared" ref="G14:G29" si="3">IF(F14="フラグ","boolean",IF(F14="文字列","text",IF(F14="整数","integer",IF(F14="実数","numeric",""))))</f>
        <v>integer</v>
      </c>
      <c r="H14" s="26"/>
      <c r="I14" s="10"/>
      <c r="J14" s="11" t="s">
        <v>1280</v>
      </c>
      <c r="M14" s="4"/>
      <c r="N14" s="76"/>
      <c r="O14" s="76"/>
      <c r="P14" s="76" t="str">
        <f t="shared" ref="P14:P29"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milscm_2023_010.azn_202310_backup_merge_mml_sm_in_patient.mil_karute_id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9" si="5">IF(I15="○","NOT NULL","")</f>
        <v>NOT NULL</v>
      </c>
      <c r="T15" s="76" t="str">
        <f t="shared" ref="T15:T29"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milscm_2023_010.azn_202310_backup_merge_mml_sm_in_patient.facility_id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milscm_2023_010.azn_202310_backup_merge_mml_sm_in_patient.shinryo_ymd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milscm_2023_010.azn_202310_backup_merge_mml_sm_in_patient.data_type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milscm_2023_010.azn_202310_backup_merge_mml_sm_in_patient.master_id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milscm_2023_010.azn_202310_backup_merge_mml_sm_in_patient.uid IS '文書ユニークID';</v>
      </c>
    </row>
    <row r="20" spans="1:52" s="25" customFormat="1">
      <c r="A20" s="4"/>
      <c r="B20" s="21">
        <f t="shared" si="2"/>
        <v>8</v>
      </c>
      <c r="C20" s="13" t="s">
        <v>1433</v>
      </c>
      <c r="D20" s="13" t="s">
        <v>1434</v>
      </c>
      <c r="E20" s="7" t="s">
        <v>127</v>
      </c>
      <c r="F20" s="7" t="s">
        <v>203</v>
      </c>
      <c r="G20" s="7" t="str">
        <f t="shared" si="3"/>
        <v>integer</v>
      </c>
      <c r="H20" s="58"/>
      <c r="I20" s="23" t="s">
        <v>127</v>
      </c>
      <c r="J20" s="24" t="s">
        <v>1459</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milscm_2023_010.azn_202310_backup_merge_mml_sm_in_patient.summary_seq IS '臨床サマリーSEQ';</v>
      </c>
    </row>
    <row r="21" spans="1:52" s="25" customFormat="1">
      <c r="A21" s="4"/>
      <c r="B21" s="21">
        <f t="shared" si="2"/>
        <v>9</v>
      </c>
      <c r="C21" s="13" t="s">
        <v>1492</v>
      </c>
      <c r="D21" s="13" t="s">
        <v>1493</v>
      </c>
      <c r="E21" s="7" t="s">
        <v>127</v>
      </c>
      <c r="F21" s="7" t="s">
        <v>203</v>
      </c>
      <c r="G21" s="7" t="str">
        <f t="shared" si="3"/>
        <v>integer</v>
      </c>
      <c r="H21" s="58"/>
      <c r="I21" s="23" t="s">
        <v>127</v>
      </c>
      <c r="J21" s="24" t="s">
        <v>1507</v>
      </c>
      <c r="M21" s="4"/>
      <c r="N21" s="76"/>
      <c r="O21" s="76"/>
      <c r="P21" s="76" t="str">
        <f t="shared" si="4"/>
        <v>,nyuin_seq</v>
      </c>
      <c r="Q21" s="76" t="str">
        <f t="shared" si="0"/>
        <v>INTEGER</v>
      </c>
      <c r="R21" s="76" t="str">
        <f t="shared" si="1"/>
        <v/>
      </c>
      <c r="S21" s="76" t="str">
        <f t="shared" si="5"/>
        <v>NOT NULL</v>
      </c>
      <c r="T21" s="76" t="str">
        <f t="shared" si="6"/>
        <v>-- 個々の入院歴SEQ</v>
      </c>
      <c r="U21" s="4"/>
      <c r="AA21" s="4"/>
      <c r="AB21" s="4"/>
      <c r="AC21" s="4"/>
      <c r="AD21" s="4"/>
      <c r="AE21" s="4"/>
      <c r="AF21" s="4"/>
      <c r="AG21" s="4"/>
      <c r="AH21" s="4"/>
      <c r="AI21" s="4"/>
      <c r="AJ21" s="76" t="str">
        <f>IF(E21="○",IF(COUNTA(E$13:E21)=1,"",",")&amp;D21,"")</f>
        <v>,nyuin_seq</v>
      </c>
      <c r="AK21" s="4"/>
      <c r="AL21" s="4"/>
      <c r="AM21" s="4"/>
      <c r="AN21" s="4"/>
      <c r="AO21" s="4"/>
      <c r="AP21" s="4"/>
      <c r="AQ21" s="4"/>
      <c r="AR21" s="4"/>
      <c r="AS21" s="76" t="str">
        <f>"COMMENT ON COLUMN "&amp;エンティティ一覧!$O$2&amp;"."&amp;D$8&amp;"."&amp;D21&amp;" IS '"&amp;C21&amp;"';"</f>
        <v>COMMENT ON COLUMN milscm_2023_010.azn_202310_backup_merge_mml_sm_in_patient.nyuin_seq IS '個々の入院歴SEQ';</v>
      </c>
    </row>
    <row r="22" spans="1:52" s="25" customFormat="1" ht="37.5">
      <c r="A22" s="4"/>
      <c r="B22" s="21">
        <f t="shared" si="2"/>
        <v>10</v>
      </c>
      <c r="C22" s="13" t="s">
        <v>1494</v>
      </c>
      <c r="D22" s="13" t="s">
        <v>156</v>
      </c>
      <c r="E22" s="7"/>
      <c r="F22" s="7" t="s">
        <v>863</v>
      </c>
      <c r="G22" s="7" t="str">
        <f t="shared" si="3"/>
        <v>text</v>
      </c>
      <c r="H22" s="58"/>
      <c r="I22" s="23"/>
      <c r="J22" s="24" t="s">
        <v>1508</v>
      </c>
      <c r="M22" s="4"/>
      <c r="N22" s="76"/>
      <c r="O22" s="76"/>
      <c r="P22" s="76" t="str">
        <f t="shared" si="4"/>
        <v>,nyuin_ymd</v>
      </c>
      <c r="Q22" s="76" t="str">
        <f t="shared" si="0"/>
        <v>TEXT</v>
      </c>
      <c r="R22" s="76" t="str">
        <f t="shared" si="1"/>
        <v/>
      </c>
      <c r="S22" s="76" t="str">
        <f t="shared" si="5"/>
        <v/>
      </c>
      <c r="T22" s="76" t="str">
        <f t="shared" si="6"/>
        <v>-- 入院（転入）日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milscm_2023_010.azn_202310_backup_merge_mml_sm_in_patient.nyuin_ymd IS '入院（転入）日';</v>
      </c>
    </row>
    <row r="23" spans="1:52" s="25" customFormat="1" ht="37.5">
      <c r="A23" s="4"/>
      <c r="B23" s="21">
        <f t="shared" si="2"/>
        <v>11</v>
      </c>
      <c r="C23" s="13" t="s">
        <v>1495</v>
      </c>
      <c r="D23" s="13" t="s">
        <v>1496</v>
      </c>
      <c r="E23" s="7"/>
      <c r="F23" s="7" t="s">
        <v>863</v>
      </c>
      <c r="G23" s="7" t="str">
        <f t="shared" si="3"/>
        <v>text</v>
      </c>
      <c r="H23" s="58"/>
      <c r="I23" s="23"/>
      <c r="J23" s="24" t="s">
        <v>1509</v>
      </c>
      <c r="M23" s="4"/>
      <c r="N23" s="76"/>
      <c r="O23" s="76"/>
      <c r="P23" s="76" t="str">
        <f t="shared" si="4"/>
        <v>,nyuin_state</v>
      </c>
      <c r="Q23" s="76" t="str">
        <f t="shared" si="0"/>
        <v>TEXT</v>
      </c>
      <c r="R23" s="76" t="str">
        <f t="shared" si="1"/>
        <v/>
      </c>
      <c r="S23" s="76" t="str">
        <f t="shared" si="5"/>
        <v/>
      </c>
      <c r="T23" s="76" t="str">
        <f t="shared" si="6"/>
        <v>-- 入院時状態</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milscm_2023_010.azn_202310_backup_merge_mml_sm_in_patient.nyuin_state IS '入院時状態';</v>
      </c>
    </row>
    <row r="24" spans="1:52" s="25" customFormat="1" ht="56.25">
      <c r="A24" s="4"/>
      <c r="B24" s="21">
        <f t="shared" si="2"/>
        <v>12</v>
      </c>
      <c r="C24" s="13" t="s">
        <v>1497</v>
      </c>
      <c r="D24" s="13" t="s">
        <v>1498</v>
      </c>
      <c r="E24" s="7"/>
      <c r="F24" s="7" t="s">
        <v>863</v>
      </c>
      <c r="G24" s="7" t="str">
        <f t="shared" si="3"/>
        <v>text</v>
      </c>
      <c r="H24" s="58"/>
      <c r="I24" s="23"/>
      <c r="J24" s="24" t="s">
        <v>1510</v>
      </c>
      <c r="M24" s="4"/>
      <c r="N24" s="76"/>
      <c r="O24" s="76"/>
      <c r="P24" s="76" t="str">
        <f t="shared" si="4"/>
        <v>,emergency_nyuin_flag</v>
      </c>
      <c r="Q24" s="76" t="str">
        <f t="shared" si="0"/>
        <v>TEXT</v>
      </c>
      <c r="R24" s="76" t="str">
        <f t="shared" si="1"/>
        <v/>
      </c>
      <c r="S24" s="76" t="str">
        <f t="shared" si="5"/>
        <v/>
      </c>
      <c r="T24" s="76" t="str">
        <f t="shared" si="6"/>
        <v>-- 緊急入院フラグ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milscm_2023_010.azn_202310_backup_merge_mml_sm_in_patient.emergency_nyuin_flag IS '緊急入院フラグ';</v>
      </c>
    </row>
    <row r="25" spans="1:52" s="25" customFormat="1" ht="93.75">
      <c r="A25" s="4"/>
      <c r="B25" s="21">
        <f t="shared" si="2"/>
        <v>13</v>
      </c>
      <c r="C25" s="13" t="s">
        <v>1499</v>
      </c>
      <c r="D25" s="13" t="s">
        <v>1500</v>
      </c>
      <c r="E25" s="7"/>
      <c r="F25" s="7" t="s">
        <v>863</v>
      </c>
      <c r="G25" s="7" t="str">
        <f t="shared" si="3"/>
        <v>text</v>
      </c>
      <c r="H25" s="58"/>
      <c r="I25" s="23"/>
      <c r="J25" s="24" t="s">
        <v>1515</v>
      </c>
      <c r="M25" s="4"/>
      <c r="N25" s="76"/>
      <c r="O25" s="76"/>
      <c r="P25" s="76" t="str">
        <f t="shared" si="4"/>
        <v>,shokai_moto_facility</v>
      </c>
      <c r="Q25" s="76" t="str">
        <f t="shared" si="0"/>
        <v>TEXT</v>
      </c>
      <c r="R25" s="76" t="str">
        <f t="shared" si="1"/>
        <v/>
      </c>
      <c r="S25" s="76" t="str">
        <f t="shared" si="5"/>
        <v/>
      </c>
      <c r="T25" s="76" t="str">
        <f t="shared" si="6"/>
        <v>-- 紹介元施設</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milscm_2023_010.azn_202310_backup_merge_mml_sm_in_patient.shokai_moto_facility IS '紹介元施設';</v>
      </c>
    </row>
    <row r="26" spans="1:52" s="25" customFormat="1" ht="37.5">
      <c r="A26" s="4"/>
      <c r="B26" s="21">
        <f t="shared" si="2"/>
        <v>14</v>
      </c>
      <c r="C26" s="13" t="s">
        <v>1501</v>
      </c>
      <c r="D26" s="13" t="s">
        <v>211</v>
      </c>
      <c r="E26" s="7"/>
      <c r="F26" s="7" t="s">
        <v>863</v>
      </c>
      <c r="G26" s="7" t="str">
        <f t="shared" si="3"/>
        <v>text</v>
      </c>
      <c r="H26" s="58"/>
      <c r="I26" s="23"/>
      <c r="J26" s="24" t="s">
        <v>1511</v>
      </c>
      <c r="M26" s="4"/>
      <c r="N26" s="76"/>
      <c r="O26" s="76"/>
      <c r="P26" s="76" t="str">
        <f t="shared" si="4"/>
        <v>,taiin_ymd</v>
      </c>
      <c r="Q26" s="76" t="str">
        <f t="shared" si="0"/>
        <v>TEXT</v>
      </c>
      <c r="R26" s="76" t="str">
        <f t="shared" si="1"/>
        <v/>
      </c>
      <c r="S26" s="76" t="str">
        <f t="shared" si="5"/>
        <v/>
      </c>
      <c r="T26" s="76" t="str">
        <f t="shared" si="6"/>
        <v>-- 退院（転出）日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milscm_2023_010.azn_202310_backup_merge_mml_sm_in_patient.taiin_ymd IS '退院（転出）日';</v>
      </c>
    </row>
    <row r="27" spans="1:52" s="25" customFormat="1" ht="37.5">
      <c r="A27" s="4"/>
      <c r="B27" s="21">
        <f t="shared" si="2"/>
        <v>15</v>
      </c>
      <c r="C27" s="13" t="s">
        <v>1502</v>
      </c>
      <c r="D27" s="13" t="s">
        <v>1503</v>
      </c>
      <c r="E27" s="7"/>
      <c r="F27" s="7" t="s">
        <v>863</v>
      </c>
      <c r="G27" s="7" t="str">
        <f t="shared" si="3"/>
        <v>text</v>
      </c>
      <c r="H27" s="58"/>
      <c r="I27" s="23"/>
      <c r="J27" s="24" t="s">
        <v>1512</v>
      </c>
      <c r="M27" s="4"/>
      <c r="N27" s="76"/>
      <c r="O27" s="76"/>
      <c r="P27" s="76" t="str">
        <f t="shared" si="4"/>
        <v>,taiin_state</v>
      </c>
      <c r="Q27" s="76" t="str">
        <f t="shared" si="0"/>
        <v>TEXT</v>
      </c>
      <c r="R27" s="76" t="str">
        <f t="shared" si="1"/>
        <v/>
      </c>
      <c r="S27" s="76" t="str">
        <f t="shared" si="5"/>
        <v/>
      </c>
      <c r="T27" s="76" t="str">
        <f t="shared" si="6"/>
        <v>-- 退院時状態</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milscm_2023_010.azn_202310_backup_merge_mml_sm_in_patient.taiin_state IS '退院時状態';</v>
      </c>
    </row>
    <row r="28" spans="1:52" s="25" customFormat="1" ht="56.25">
      <c r="A28" s="4"/>
      <c r="B28" s="21">
        <f t="shared" si="2"/>
        <v>16</v>
      </c>
      <c r="C28" s="13" t="s">
        <v>591</v>
      </c>
      <c r="D28" s="13" t="s">
        <v>1504</v>
      </c>
      <c r="E28" s="7"/>
      <c r="F28" s="7" t="s">
        <v>863</v>
      </c>
      <c r="G28" s="7" t="str">
        <f t="shared" si="3"/>
        <v>text</v>
      </c>
      <c r="H28" s="58"/>
      <c r="I28" s="23"/>
      <c r="J28" s="24" t="s">
        <v>1513</v>
      </c>
      <c r="M28" s="4"/>
      <c r="N28" s="76"/>
      <c r="O28" s="76"/>
      <c r="P28" s="76" t="str">
        <f t="shared" si="4"/>
        <v>,taiin_tenki</v>
      </c>
      <c r="Q28" s="76" t="str">
        <f t="shared" si="0"/>
        <v>TEXT</v>
      </c>
      <c r="R28" s="76" t="str">
        <f t="shared" si="1"/>
        <v/>
      </c>
      <c r="S28" s="76" t="str">
        <f t="shared" si="5"/>
        <v/>
      </c>
      <c r="T28" s="76" t="str">
        <f t="shared" si="6"/>
        <v>-- 退院時転帰</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milscm_2023_010.azn_202310_backup_merge_mml_sm_in_patient.taiin_tenki IS '退院時転帰';</v>
      </c>
    </row>
    <row r="29" spans="1:52" s="25" customFormat="1" ht="94.5" thickBot="1">
      <c r="A29" s="4"/>
      <c r="B29" s="27">
        <f>ROW()-12</f>
        <v>17</v>
      </c>
      <c r="C29" s="57" t="s">
        <v>1505</v>
      </c>
      <c r="D29" s="57" t="s">
        <v>1506</v>
      </c>
      <c r="E29" s="56"/>
      <c r="F29" s="56" t="s">
        <v>863</v>
      </c>
      <c r="G29" s="56" t="str">
        <f t="shared" si="3"/>
        <v>text</v>
      </c>
      <c r="H29" s="59"/>
      <c r="I29" s="60"/>
      <c r="J29" s="63" t="s">
        <v>1514</v>
      </c>
      <c r="N29" s="76"/>
      <c r="O29" s="76"/>
      <c r="P29" s="76" t="str">
        <f t="shared" si="4"/>
        <v>,shokai_saki_facility</v>
      </c>
      <c r="Q29" s="76" t="str">
        <f t="shared" si="0"/>
        <v>TEXT</v>
      </c>
      <c r="R29" s="76" t="str">
        <f t="shared" si="1"/>
        <v/>
      </c>
      <c r="S29" s="76" t="str">
        <f t="shared" si="5"/>
        <v/>
      </c>
      <c r="T29" s="76" t="str">
        <f t="shared" si="6"/>
        <v>-- 紹介先施設</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milscm_2023_010.azn_202310_backup_merge_mml_sm_in_patient.shokai_saki_facility IS '紹介先施設';</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ENT_01_C4-29</v>
      </c>
      <c r="E6" s="272"/>
      <c r="F6" s="272"/>
      <c r="G6" s="272"/>
      <c r="H6" s="272"/>
      <c r="I6" s="272"/>
      <c r="J6" s="273"/>
    </row>
    <row r="7" spans="1:45">
      <c r="B7" s="261" t="s">
        <v>115</v>
      </c>
      <c r="C7" s="262"/>
      <c r="D7" s="263" t="s">
        <v>1517</v>
      </c>
      <c r="E7" s="264"/>
      <c r="F7" s="264"/>
      <c r="G7" s="264"/>
      <c r="H7" s="264"/>
      <c r="I7" s="264"/>
      <c r="J7" s="265"/>
    </row>
    <row r="8" spans="1:45">
      <c r="B8" s="261" t="s">
        <v>116</v>
      </c>
      <c r="C8" s="262"/>
      <c r="D8" s="263" t="str">
        <f>エンティティ一覧!AE2&amp;"_"&amp;D5&amp;"_merge_mml_sm_clinical_course"</f>
        <v>azn_202310_backup_merge_mml_sm_clinical_course</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臨床サマリーモジュール_経過記録レコードテーブルから組入れ条件の第一条件で絞り込んだ結果を格納するテーブル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milscm_2023_010.azn_202310_backup_merge_mml_sm_clinical_course;</v>
      </c>
      <c r="O10" s="76"/>
      <c r="P10" s="76"/>
      <c r="Q10" s="76"/>
      <c r="R10" s="76"/>
      <c r="S10" s="76"/>
      <c r="T10" s="76"/>
      <c r="AJ10" s="76" t="str">
        <f>"ALTER TABLE ONLY "&amp;エンティティ一覧!$O$2&amp;"."&amp;D$8</f>
        <v>ALTER TABLE ONLY milscm_2023_010.azn_202310_backup_merge_mml_sm_clinical_course</v>
      </c>
      <c r="AS10" s="76" t="str">
        <f>"ALTER TABLE "&amp;エンティティ一覧!$O$2&amp;"."&amp;D$8&amp;" OWNER TO pgmisgrp1;"</f>
        <v>ALTER TABLE milscm_2023_010.azn_202310_backup_merge_mml_sm_clinical_course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milscm_2023_010.azn_202310_backup_merge_mml_sm_clinical_course</v>
      </c>
      <c r="O11" s="76"/>
      <c r="P11" s="76"/>
      <c r="Q11" s="76"/>
      <c r="R11" s="76"/>
      <c r="S11" s="76"/>
      <c r="T11" s="76"/>
      <c r="AJ11" s="76" t="str">
        <f>"ADD CONSTRAINT "&amp;D$8&amp;"_pkey PRIMARY KEY"</f>
        <v>ADD CONSTRAINT azn_202310_backup_merge_mml_sm_clinical_course_pkey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milscm_2023_010.azn_202310_backup_merge_mml_sm_clinical_course IS 'バックアップ_臨床サマリーモジュール_経過記録レコード';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milscm_2023_010.azn_202310_backup_merge_mml_sm_clinical_course.torikomi_ym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1280</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milscm_2023_010.azn_202310_backup_merge_mml_sm_clinical_course.mil_karute_id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milscm_2023_010.azn_202310_backup_merge_mml_sm_clinical_course.facility_id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milscm_2023_010.azn_202310_backup_merge_mml_sm_clinical_course.shinryo_ymd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milscm_2023_010.azn_202310_backup_merge_mml_sm_clinical_course.data_type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milscm_2023_010.azn_202310_backup_merge_mml_sm_clinical_course.master_id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milscm_2023_010.azn_202310_backup_merge_mml_sm_clinical_course.uid IS '文書ユニークID';</v>
      </c>
    </row>
    <row r="20" spans="1:52" s="25" customFormat="1">
      <c r="A20" s="4"/>
      <c r="B20" s="21">
        <f t="shared" si="2"/>
        <v>8</v>
      </c>
      <c r="C20" s="13" t="s">
        <v>1433</v>
      </c>
      <c r="D20" s="13" t="s">
        <v>1434</v>
      </c>
      <c r="E20" s="7" t="s">
        <v>127</v>
      </c>
      <c r="F20" s="7" t="s">
        <v>203</v>
      </c>
      <c r="G20" s="7" t="str">
        <f t="shared" si="3"/>
        <v>integer</v>
      </c>
      <c r="H20" s="58"/>
      <c r="I20" s="23" t="s">
        <v>127</v>
      </c>
      <c r="J20" s="24" t="s">
        <v>1459</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milscm_2023_010.azn_202310_backup_merge_mml_sm_clinical_course.summary_seq IS '臨床サマリーSEQ';</v>
      </c>
    </row>
    <row r="21" spans="1:52" s="25" customFormat="1">
      <c r="A21" s="4"/>
      <c r="B21" s="21">
        <f t="shared" si="2"/>
        <v>9</v>
      </c>
      <c r="C21" s="13" t="s">
        <v>1342</v>
      </c>
      <c r="D21" s="13" t="s">
        <v>1343</v>
      </c>
      <c r="E21" s="7" t="s">
        <v>127</v>
      </c>
      <c r="F21" s="7" t="s">
        <v>203</v>
      </c>
      <c r="G21" s="7" t="str">
        <f t="shared" si="3"/>
        <v>integer</v>
      </c>
      <c r="H21" s="58"/>
      <c r="I21" s="23" t="s">
        <v>127</v>
      </c>
      <c r="J21" s="24" t="s">
        <v>1526</v>
      </c>
      <c r="M21" s="4"/>
      <c r="N21" s="76"/>
      <c r="O21" s="76"/>
      <c r="P21" s="76" t="str">
        <f t="shared" si="4"/>
        <v>,keika_seq</v>
      </c>
      <c r="Q21" s="76" t="str">
        <f t="shared" si="0"/>
        <v>INTEGER</v>
      </c>
      <c r="R21" s="76" t="str">
        <f t="shared" si="1"/>
        <v/>
      </c>
      <c r="S21" s="76" t="str">
        <f t="shared" si="5"/>
        <v>NOT NULL</v>
      </c>
      <c r="T21" s="76" t="str">
        <f t="shared" si="6"/>
        <v>-- 経過記録SEQ</v>
      </c>
      <c r="U21" s="4"/>
      <c r="AA21" s="4"/>
      <c r="AB21" s="4"/>
      <c r="AC21" s="4"/>
      <c r="AD21" s="4"/>
      <c r="AE21" s="4"/>
      <c r="AF21" s="4"/>
      <c r="AG21" s="4"/>
      <c r="AH21" s="4"/>
      <c r="AI21" s="4"/>
      <c r="AJ21" s="76" t="str">
        <f>IF(E21="○",IF(COUNTA(E$13:E21)=1,"",",")&amp;D21,"")</f>
        <v>,keika_seq</v>
      </c>
      <c r="AK21" s="4"/>
      <c r="AL21" s="4"/>
      <c r="AM21" s="4"/>
      <c r="AN21" s="4"/>
      <c r="AO21" s="4"/>
      <c r="AP21" s="4"/>
      <c r="AQ21" s="4"/>
      <c r="AR21" s="4"/>
      <c r="AS21" s="76" t="str">
        <f>"COMMENT ON COLUMN "&amp;エンティティ一覧!$O$2&amp;"."&amp;D$8&amp;"."&amp;D21&amp;" IS '"&amp;C21&amp;"';"</f>
        <v>COMMENT ON COLUMN milscm_2023_010.azn_202310_backup_merge_mml_sm_clinical_course.keika_seq IS '経過記録SEQ';</v>
      </c>
    </row>
    <row r="22" spans="1:52" s="25" customFormat="1" ht="37.5">
      <c r="A22" s="4"/>
      <c r="B22" s="21">
        <f t="shared" si="2"/>
        <v>10</v>
      </c>
      <c r="C22" s="13" t="s">
        <v>1518</v>
      </c>
      <c r="D22" s="13" t="s">
        <v>1519</v>
      </c>
      <c r="E22" s="7"/>
      <c r="F22" s="7" t="s">
        <v>863</v>
      </c>
      <c r="G22" s="7" t="str">
        <f t="shared" si="3"/>
        <v>text</v>
      </c>
      <c r="H22" s="58"/>
      <c r="I22" s="23"/>
      <c r="J22" s="24" t="s">
        <v>1527</v>
      </c>
      <c r="M22" s="4"/>
      <c r="N22" s="76"/>
      <c r="O22" s="76"/>
      <c r="P22" s="76" t="str">
        <f t="shared" si="4"/>
        <v>,keika_kiroku</v>
      </c>
      <c r="Q22" s="76" t="str">
        <f t="shared" si="0"/>
        <v>TEXT</v>
      </c>
      <c r="R22" s="76" t="str">
        <f t="shared" si="1"/>
        <v/>
      </c>
      <c r="S22" s="76" t="str">
        <f t="shared" si="5"/>
        <v/>
      </c>
      <c r="T22" s="76" t="str">
        <f t="shared" si="6"/>
        <v>-- 経過記録</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milscm_2023_010.azn_202310_backup_merge_mml_sm_clinical_course.keika_kiroku IS '経過記録';</v>
      </c>
    </row>
    <row r="23" spans="1:52" s="25" customFormat="1" ht="37.5">
      <c r="A23" s="4"/>
      <c r="B23" s="21">
        <f t="shared" si="2"/>
        <v>11</v>
      </c>
      <c r="C23" s="13" t="s">
        <v>1520</v>
      </c>
      <c r="D23" s="13" t="s">
        <v>1521</v>
      </c>
      <c r="E23" s="7"/>
      <c r="F23" s="7" t="s">
        <v>863</v>
      </c>
      <c r="G23" s="7" t="str">
        <f t="shared" si="3"/>
        <v>text</v>
      </c>
      <c r="H23" s="58"/>
      <c r="I23" s="23"/>
      <c r="J23" s="24" t="s">
        <v>1528</v>
      </c>
      <c r="M23" s="4"/>
      <c r="N23" s="76"/>
      <c r="O23" s="76"/>
      <c r="P23" s="76" t="str">
        <f t="shared" si="4"/>
        <v>,event_date</v>
      </c>
      <c r="Q23" s="76" t="str">
        <f t="shared" si="0"/>
        <v>TEXT</v>
      </c>
      <c r="R23" s="76" t="str">
        <f t="shared" si="1"/>
        <v/>
      </c>
      <c r="S23" s="76" t="str">
        <f t="shared" si="5"/>
        <v/>
      </c>
      <c r="T23" s="76" t="str">
        <f t="shared" si="6"/>
        <v>-- イベント発生日時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milscm_2023_010.azn_202310_backup_merge_mml_sm_clinical_course.event_date IS 'イベント発生日時';</v>
      </c>
    </row>
    <row r="24" spans="1:52" s="25" customFormat="1" ht="37.5">
      <c r="A24" s="4"/>
      <c r="B24" s="21">
        <f t="shared" si="2"/>
        <v>12</v>
      </c>
      <c r="C24" s="13" t="s">
        <v>1522</v>
      </c>
      <c r="D24" s="13" t="s">
        <v>1523</v>
      </c>
      <c r="E24" s="7"/>
      <c r="F24" s="7" t="s">
        <v>863</v>
      </c>
      <c r="G24" s="7" t="str">
        <f t="shared" si="3"/>
        <v>text</v>
      </c>
      <c r="H24" s="58"/>
      <c r="I24" s="23"/>
      <c r="J24" s="24" t="s">
        <v>1529</v>
      </c>
      <c r="M24" s="4"/>
      <c r="N24" s="76"/>
      <c r="O24" s="76"/>
      <c r="P24" s="76" t="str">
        <f t="shared" si="4"/>
        <v>,kanren_doc_uid</v>
      </c>
      <c r="Q24" s="76" t="str">
        <f t="shared" si="0"/>
        <v>TEXT</v>
      </c>
      <c r="R24" s="76" t="str">
        <f t="shared" si="1"/>
        <v/>
      </c>
      <c r="S24" s="76" t="str">
        <f t="shared" si="5"/>
        <v/>
      </c>
      <c r="T24" s="76" t="str">
        <f t="shared" si="6"/>
        <v>-- 関連文書のuid</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milscm_2023_010.azn_202310_backup_merge_mml_sm_clinical_course.kanren_doc_uid IS '関連文書のuid';</v>
      </c>
    </row>
    <row r="25" spans="1:52" s="25" customFormat="1" ht="75.75" thickBot="1">
      <c r="A25" s="4"/>
      <c r="B25" s="27">
        <f>ROW()-12</f>
        <v>13</v>
      </c>
      <c r="C25" s="57" t="s">
        <v>1524</v>
      </c>
      <c r="D25" s="57" t="s">
        <v>1525</v>
      </c>
      <c r="E25" s="56"/>
      <c r="F25" s="56" t="s">
        <v>863</v>
      </c>
      <c r="G25" s="56" t="str">
        <f t="shared" si="3"/>
        <v>text</v>
      </c>
      <c r="H25" s="59"/>
      <c r="I25" s="60"/>
      <c r="J25" s="63" t="s">
        <v>1530</v>
      </c>
      <c r="N25" s="76"/>
      <c r="O25" s="76"/>
      <c r="P25" s="76" t="str">
        <f t="shared" si="4"/>
        <v>,kanren_doc_type</v>
      </c>
      <c r="Q25" s="76" t="str">
        <f t="shared" si="0"/>
        <v>TEXT</v>
      </c>
      <c r="R25" s="76" t="str">
        <f t="shared" si="1"/>
        <v/>
      </c>
      <c r="S25" s="76" t="str">
        <f t="shared" si="5"/>
        <v/>
      </c>
      <c r="T25" s="76" t="str">
        <f t="shared" si="6"/>
        <v>-- 関連文書_関連の種別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milscm_2023_010.azn_202310_backup_merge_mml_sm_clinical_course.kanren_doc_type IS '関連文書_関連の種別';</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ENT_01_C4-30</v>
      </c>
      <c r="E6" s="272"/>
      <c r="F6" s="272"/>
      <c r="G6" s="272"/>
      <c r="H6" s="272"/>
      <c r="I6" s="272"/>
      <c r="J6" s="273"/>
    </row>
    <row r="7" spans="1:45">
      <c r="B7" s="261" t="s">
        <v>115</v>
      </c>
      <c r="C7" s="262"/>
      <c r="D7" s="263" t="s">
        <v>1532</v>
      </c>
      <c r="E7" s="264"/>
      <c r="F7" s="264"/>
      <c r="G7" s="264"/>
      <c r="H7" s="264"/>
      <c r="I7" s="264"/>
      <c r="J7" s="265"/>
    </row>
    <row r="8" spans="1:45">
      <c r="B8" s="261" t="s">
        <v>116</v>
      </c>
      <c r="C8" s="262"/>
      <c r="D8" s="263" t="str">
        <f>エンティティ一覧!AE2&amp;"_"&amp;D5&amp;"_merge_mml_sm_test_results"</f>
        <v>azn_202310_backup_merge_mml_sm_test_results</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臨床サマリーモジュール_検査結果レコードテーブルから組入れ条件の第一条件で絞り込んだ結果を格納するテーブル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milscm_2023_010.azn_202310_backup_merge_mml_sm_test_results;</v>
      </c>
      <c r="O10" s="76"/>
      <c r="P10" s="76"/>
      <c r="Q10" s="76"/>
      <c r="R10" s="76"/>
      <c r="S10" s="76"/>
      <c r="T10" s="76"/>
      <c r="AJ10" s="76" t="str">
        <f>"ALTER TABLE ONLY "&amp;エンティティ一覧!$O$2&amp;"."&amp;D$8</f>
        <v>ALTER TABLE ONLY milscm_2023_010.azn_202310_backup_merge_mml_sm_test_results</v>
      </c>
      <c r="AS10" s="76" t="str">
        <f>"ALTER TABLE "&amp;エンティティ一覧!$O$2&amp;"."&amp;D$8&amp;" OWNER TO pgmisgrp1;"</f>
        <v>ALTER TABLE milscm_2023_010.azn_202310_backup_merge_mml_sm_test_results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milscm_2023_010.azn_202310_backup_merge_mml_sm_test_results</v>
      </c>
      <c r="O11" s="76"/>
      <c r="P11" s="76"/>
      <c r="Q11" s="76"/>
      <c r="R11" s="76"/>
      <c r="S11" s="76"/>
      <c r="T11" s="76"/>
      <c r="AJ11" s="76" t="str">
        <f>"ADD CONSTRAINT "&amp;D$8&amp;"_pkey PRIMARY KEY"</f>
        <v>ADD CONSTRAINT azn_202310_backup_merge_mml_sm_test_results_pkey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milscm_2023_010.azn_202310_backup_merge_mml_sm_test_results IS 'バックアップ_臨床サマリーモジュール_検査結果レコード';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3" si="0">UPPER(G13)</f>
        <v>TEXT</v>
      </c>
      <c r="R13" s="76" t="str">
        <f t="shared" ref="R13:R2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milscm_2023_010.azn_202310_backup_merge_mml_sm_test_results.torikomi_ym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1280</v>
      </c>
      <c r="M14" s="4"/>
      <c r="N14" s="76"/>
      <c r="O14" s="76"/>
      <c r="P14" s="76" t="str">
        <f t="shared" ref="P14:P2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milscm_2023_010.azn_202310_backup_merge_mml_sm_test_results.mil_karute_id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3" si="5">IF(I15="○","NOT NULL","")</f>
        <v>NOT NULL</v>
      </c>
      <c r="T15" s="76" t="str">
        <f t="shared" ref="T15:T2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milscm_2023_010.azn_202310_backup_merge_mml_sm_test_results.facility_id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milscm_2023_010.azn_202310_backup_merge_mml_sm_test_results.shinryo_ymd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milscm_2023_010.azn_202310_backup_merge_mml_sm_test_results.data_type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milscm_2023_010.azn_202310_backup_merge_mml_sm_test_results.master_id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milscm_2023_010.azn_202310_backup_merge_mml_sm_test_results.uid IS '文書ユニークID';</v>
      </c>
    </row>
    <row r="20" spans="1:52" s="25" customFormat="1">
      <c r="A20" s="4"/>
      <c r="B20" s="21">
        <f t="shared" si="2"/>
        <v>8</v>
      </c>
      <c r="C20" s="13" t="s">
        <v>1533</v>
      </c>
      <c r="D20" s="13" t="s">
        <v>1434</v>
      </c>
      <c r="E20" s="7" t="s">
        <v>127</v>
      </c>
      <c r="F20" s="7" t="s">
        <v>203</v>
      </c>
      <c r="G20" s="7" t="str">
        <f t="shared" si="3"/>
        <v>integer</v>
      </c>
      <c r="H20" s="58"/>
      <c r="I20" s="23" t="s">
        <v>127</v>
      </c>
      <c r="J20" s="24" t="s">
        <v>1459</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milscm_2023_010.azn_202310_backup_merge_mml_sm_test_results.summary_seq IS '臨床サマリーSEQ';</v>
      </c>
    </row>
    <row r="21" spans="1:52" s="25" customFormat="1">
      <c r="A21" s="4"/>
      <c r="B21" s="21">
        <f t="shared" si="2"/>
        <v>9</v>
      </c>
      <c r="C21" s="13" t="s">
        <v>1534</v>
      </c>
      <c r="D21" s="13" t="s">
        <v>1535</v>
      </c>
      <c r="E21" s="7" t="s">
        <v>127</v>
      </c>
      <c r="F21" s="7" t="s">
        <v>203</v>
      </c>
      <c r="G21" s="7" t="str">
        <f t="shared" si="3"/>
        <v>integer</v>
      </c>
      <c r="H21" s="58"/>
      <c r="I21" s="23" t="s">
        <v>127</v>
      </c>
      <c r="J21" s="24" t="s">
        <v>1538</v>
      </c>
      <c r="M21" s="4"/>
      <c r="N21" s="76"/>
      <c r="O21" s="76"/>
      <c r="P21" s="76" t="str">
        <f t="shared" si="4"/>
        <v>,kensa_seq</v>
      </c>
      <c r="Q21" s="76" t="str">
        <f t="shared" si="0"/>
        <v>INTEGER</v>
      </c>
      <c r="R21" s="76" t="str">
        <f t="shared" si="1"/>
        <v/>
      </c>
      <c r="S21" s="76" t="str">
        <f t="shared" si="5"/>
        <v>NOT NULL</v>
      </c>
      <c r="T21" s="76" t="str">
        <f t="shared" si="6"/>
        <v>-- 個々の検査結果SEQ</v>
      </c>
      <c r="U21" s="4"/>
      <c r="AA21" s="4"/>
      <c r="AB21" s="4"/>
      <c r="AC21" s="4"/>
      <c r="AD21" s="4"/>
      <c r="AE21" s="4"/>
      <c r="AF21" s="4"/>
      <c r="AG21" s="4"/>
      <c r="AH21" s="4"/>
      <c r="AI21" s="4"/>
      <c r="AJ21" s="76" t="str">
        <f>IF(E21="○",IF(COUNTA(E$13:E21)=1,"",",")&amp;D21,"")</f>
        <v>,kensa_seq</v>
      </c>
      <c r="AK21" s="4"/>
      <c r="AL21" s="4"/>
      <c r="AM21" s="4"/>
      <c r="AN21" s="4"/>
      <c r="AO21" s="4"/>
      <c r="AP21" s="4"/>
      <c r="AQ21" s="4"/>
      <c r="AR21" s="4"/>
      <c r="AS21" s="76" t="str">
        <f>"COMMENT ON COLUMN "&amp;エンティティ一覧!$O$2&amp;"."&amp;D$8&amp;"."&amp;D21&amp;" IS '"&amp;C21&amp;"';"</f>
        <v>COMMENT ON COLUMN milscm_2023_010.azn_202310_backup_merge_mml_sm_test_results.kensa_seq IS '個々の検査結果SEQ';</v>
      </c>
    </row>
    <row r="22" spans="1:52" s="25" customFormat="1" ht="37.5">
      <c r="A22" s="4"/>
      <c r="B22" s="21">
        <f t="shared" si="2"/>
        <v>10</v>
      </c>
      <c r="C22" s="13" t="s">
        <v>1536</v>
      </c>
      <c r="D22" s="13" t="s">
        <v>1537</v>
      </c>
      <c r="E22" s="7"/>
      <c r="F22" s="7" t="s">
        <v>863</v>
      </c>
      <c r="G22" s="7" t="str">
        <f t="shared" si="3"/>
        <v>text</v>
      </c>
      <c r="H22" s="58"/>
      <c r="I22" s="23"/>
      <c r="J22" s="24" t="s">
        <v>1539</v>
      </c>
      <c r="M22" s="4"/>
      <c r="N22" s="76"/>
      <c r="O22" s="76"/>
      <c r="P22" s="76" t="str">
        <f t="shared" si="4"/>
        <v>,kensa_result_value</v>
      </c>
      <c r="Q22" s="76" t="str">
        <f t="shared" si="0"/>
        <v>TEXT</v>
      </c>
      <c r="R22" s="76" t="str">
        <f t="shared" si="1"/>
        <v/>
      </c>
      <c r="S22" s="76" t="str">
        <f t="shared" si="5"/>
        <v/>
      </c>
      <c r="T22" s="76" t="str">
        <f t="shared" si="6"/>
        <v>-- 個々の検査結果</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milscm_2023_010.azn_202310_backup_merge_mml_sm_test_results.kensa_result_value IS '個々の検査結果';</v>
      </c>
    </row>
    <row r="23" spans="1:52" s="25" customFormat="1" ht="38.25" thickBot="1">
      <c r="A23" s="4"/>
      <c r="B23" s="27">
        <f>ROW()-12</f>
        <v>11</v>
      </c>
      <c r="C23" s="57" t="s">
        <v>1520</v>
      </c>
      <c r="D23" s="57" t="s">
        <v>1521</v>
      </c>
      <c r="E23" s="56"/>
      <c r="F23" s="56" t="s">
        <v>863</v>
      </c>
      <c r="G23" s="56" t="str">
        <f t="shared" si="3"/>
        <v>text</v>
      </c>
      <c r="H23" s="59"/>
      <c r="I23" s="60"/>
      <c r="J23" s="63" t="s">
        <v>1540</v>
      </c>
      <c r="N23" s="76"/>
      <c r="O23" s="76"/>
      <c r="P23" s="76" t="str">
        <f t="shared" si="4"/>
        <v>,event_date</v>
      </c>
      <c r="Q23" s="76" t="str">
        <f t="shared" si="0"/>
        <v>TEXT</v>
      </c>
      <c r="R23" s="76" t="str">
        <f t="shared" si="1"/>
        <v/>
      </c>
      <c r="S23" s="76" t="str">
        <f t="shared" si="5"/>
        <v/>
      </c>
      <c r="T23" s="76" t="str">
        <f t="shared" si="6"/>
        <v>-- イベント発生日時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milscm_2023_010.azn_202310_backup_merge_mml_sm_test_results.event_date IS 'イベント発生日時';</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ENT_01_C4-31</v>
      </c>
      <c r="E6" s="272"/>
      <c r="F6" s="272"/>
      <c r="G6" s="272"/>
      <c r="H6" s="272"/>
      <c r="I6" s="272"/>
      <c r="J6" s="273"/>
    </row>
    <row r="7" spans="1:45">
      <c r="B7" s="261" t="s">
        <v>115</v>
      </c>
      <c r="C7" s="262"/>
      <c r="D7" s="263" t="s">
        <v>1541</v>
      </c>
      <c r="E7" s="264"/>
      <c r="F7" s="264"/>
      <c r="G7" s="264"/>
      <c r="H7" s="264"/>
      <c r="I7" s="264"/>
      <c r="J7" s="265"/>
    </row>
    <row r="8" spans="1:45">
      <c r="B8" s="261" t="s">
        <v>116</v>
      </c>
      <c r="C8" s="262"/>
      <c r="D8" s="263" t="str">
        <f>エンティティ一覧!AE2&amp;"_"&amp;D5&amp;"_merge_mml_lb_test"</f>
        <v>azn_202310_backup_merge_mml_lb_test</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検歴情報モジュール_検歴情報テーブルから組入れ条件の第一条件で絞り込んだ結果を格納するテーブル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milscm_2023_010.azn_202310_backup_merge_mml_lb_test;</v>
      </c>
      <c r="O10" s="76"/>
      <c r="P10" s="76"/>
      <c r="Q10" s="76"/>
      <c r="R10" s="76"/>
      <c r="S10" s="76"/>
      <c r="T10" s="76"/>
      <c r="AJ10" s="76" t="str">
        <f>"ALTER TABLE ONLY "&amp;エンティティ一覧!$O$2&amp;"."&amp;D$8</f>
        <v>ALTER TABLE ONLY milscm_2023_010.azn_202310_backup_merge_mml_lb_test</v>
      </c>
      <c r="AS10" s="76" t="str">
        <f>"ALTER TABLE "&amp;エンティティ一覧!$O$2&amp;"."&amp;D$8&amp;" OWNER TO pgmisgrp1;"</f>
        <v>ALTER TABLE milscm_2023_010.azn_202310_backup_merge_mml_lb_test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milscm_2023_010.azn_202310_backup_merge_mml_lb_test</v>
      </c>
      <c r="O11" s="76"/>
      <c r="P11" s="76"/>
      <c r="Q11" s="76"/>
      <c r="R11" s="76"/>
      <c r="S11" s="76"/>
      <c r="T11" s="76"/>
      <c r="AJ11" s="76" t="str">
        <f>"ADD CONSTRAINT "&amp;D$8&amp;"_pkey PRIMARY KEY"</f>
        <v>ADD CONSTRAINT azn_202310_backup_merge_mml_lb_test_pkey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milscm_2023_010.azn_202310_backup_merge_mml_lb_test IS 'バックアップ_検歴情報モジュール_検歴情報';</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8" si="0">UPPER(G13)</f>
        <v>TEXT</v>
      </c>
      <c r="R13" s="76" t="str">
        <f t="shared" ref="R13:R38"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milscm_2023_010.azn_202310_backup_merge_mml_lb_test.torikomi_ym IS '取込年月';</v>
      </c>
    </row>
    <row r="14" spans="1:45" s="25" customFormat="1">
      <c r="A14" s="4"/>
      <c r="B14" s="21">
        <f t="shared" ref="B14:B37" si="2">ROW()-12</f>
        <v>2</v>
      </c>
      <c r="C14" s="6" t="s">
        <v>201</v>
      </c>
      <c r="D14" s="6" t="s">
        <v>202</v>
      </c>
      <c r="E14" s="8"/>
      <c r="F14" s="7" t="s">
        <v>203</v>
      </c>
      <c r="G14" s="7" t="str">
        <f t="shared" ref="G14:G38" si="3">IF(F14="フラグ","boolean",IF(F14="文字列","text",IF(F14="整数","integer",IF(F14="実数","numeric",""))))</f>
        <v>integer</v>
      </c>
      <c r="H14" s="26"/>
      <c r="I14" s="10"/>
      <c r="J14" s="11" t="s">
        <v>256</v>
      </c>
      <c r="M14" s="4"/>
      <c r="N14" s="76"/>
      <c r="O14" s="76"/>
      <c r="P14" s="76" t="str">
        <f t="shared" ref="P14:P38"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milscm_2023_010.azn_202310_backup_merge_mml_lb_test.mil_karute_id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38" si="5">IF(I15="○","NOT NULL","")</f>
        <v>NOT NULL</v>
      </c>
      <c r="T15" s="76" t="str">
        <f t="shared" ref="T15:T38"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milscm_2023_010.azn_202310_backup_merge_mml_lb_test.facility_id IS '施設ID';</v>
      </c>
    </row>
    <row r="16" spans="1:45" s="25" customFormat="1" ht="75">
      <c r="A16" s="4"/>
      <c r="B16" s="21">
        <f t="shared" si="2"/>
        <v>4</v>
      </c>
      <c r="C16" s="13" t="s">
        <v>1240</v>
      </c>
      <c r="D16" s="13" t="s">
        <v>1241</v>
      </c>
      <c r="E16" s="7"/>
      <c r="F16" s="7" t="s">
        <v>863</v>
      </c>
      <c r="G16" s="7" t="str">
        <f t="shared" ref="G16:G20" si="7">IF(F16="フラグ","boolean",IF(F16="文字列","text",IF(F16="整数","integer",IF(F16="実数","numeric",""))))</f>
        <v>text</v>
      </c>
      <c r="H16" s="58"/>
      <c r="I16" s="23" t="s">
        <v>127</v>
      </c>
      <c r="J16" s="24" t="s">
        <v>1309</v>
      </c>
      <c r="M16" s="4"/>
      <c r="N16" s="76"/>
      <c r="O16" s="76"/>
      <c r="P16" s="76" t="str">
        <f t="shared" ref="P16:P20" si="8">IF(B16&lt;&gt;1,","&amp;D16,D16)</f>
        <v>,shinryo_ymd</v>
      </c>
      <c r="Q16" s="76" t="str">
        <f t="shared" ref="Q16:Q20" si="9">UPPER(G16)</f>
        <v>TEXT</v>
      </c>
      <c r="R16" s="76" t="str">
        <f t="shared" ref="R16:R20" si="10">IF(H16&lt;&gt;"","default "&amp;IF(G16="text","'"&amp;H16&amp;"'",H16),"")</f>
        <v/>
      </c>
      <c r="S16" s="76" t="str">
        <f t="shared" ref="S16:S20" si="11">IF(I16="○","NOT NULL","")</f>
        <v>NOT NULL</v>
      </c>
      <c r="T16" s="76" t="str">
        <f t="shared" ref="T16:T20" si="12">"-- "&amp;C16</f>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milscm_2023_010.azn_202310_backup_merge_mml_lb_test.shinryo_ymd IS '診療年月日';</v>
      </c>
    </row>
    <row r="17" spans="1:45" s="25" customFormat="1">
      <c r="A17" s="4"/>
      <c r="B17" s="21">
        <f t="shared" si="2"/>
        <v>5</v>
      </c>
      <c r="C17" s="13" t="s">
        <v>1298</v>
      </c>
      <c r="D17" s="13" t="s">
        <v>207</v>
      </c>
      <c r="E17" s="7"/>
      <c r="F17" s="7" t="s">
        <v>863</v>
      </c>
      <c r="G17" s="7" t="str">
        <f t="shared" si="7"/>
        <v>text</v>
      </c>
      <c r="H17" s="58" t="s">
        <v>1283</v>
      </c>
      <c r="I17" s="23" t="s">
        <v>127</v>
      </c>
      <c r="J17" s="24" t="s">
        <v>1284</v>
      </c>
      <c r="M17" s="4"/>
      <c r="N17" s="76"/>
      <c r="O17" s="76"/>
      <c r="P17" s="76" t="str">
        <f t="shared" si="8"/>
        <v>,data_type</v>
      </c>
      <c r="Q17" s="76" t="str">
        <f t="shared" si="9"/>
        <v>TEXT</v>
      </c>
      <c r="R17" s="76" t="str">
        <f t="shared" si="10"/>
        <v>default 'MML'</v>
      </c>
      <c r="S17" s="76" t="str">
        <f t="shared" si="11"/>
        <v>NOT NULL</v>
      </c>
      <c r="T17" s="76" t="str">
        <f t="shared" si="12"/>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milscm_2023_010.azn_202310_backup_merge_mml_lb_test.data_type IS 'データ種別';</v>
      </c>
    </row>
    <row r="18" spans="1:45" s="25" customFormat="1" ht="37.5">
      <c r="A18" s="4"/>
      <c r="B18" s="21">
        <f t="shared" si="2"/>
        <v>6</v>
      </c>
      <c r="C18" s="13" t="s">
        <v>1243</v>
      </c>
      <c r="D18" s="13" t="s">
        <v>1244</v>
      </c>
      <c r="E18" s="7" t="s">
        <v>127</v>
      </c>
      <c r="F18" s="7" t="s">
        <v>863</v>
      </c>
      <c r="G18" s="7" t="str">
        <f t="shared" si="7"/>
        <v>text</v>
      </c>
      <c r="H18" s="58"/>
      <c r="I18" s="23" t="s">
        <v>127</v>
      </c>
      <c r="J18" s="24" t="s">
        <v>1285</v>
      </c>
      <c r="M18" s="4"/>
      <c r="N18" s="76"/>
      <c r="O18" s="76"/>
      <c r="P18" s="76" t="str">
        <f t="shared" si="8"/>
        <v>,master_id</v>
      </c>
      <c r="Q18" s="76" t="str">
        <f t="shared" si="9"/>
        <v>TEXT</v>
      </c>
      <c r="R18" s="76" t="str">
        <f t="shared" si="10"/>
        <v/>
      </c>
      <c r="S18" s="76" t="str">
        <f t="shared" si="11"/>
        <v>NOT NULL</v>
      </c>
      <c r="T18" s="76" t="str">
        <f t="shared" si="12"/>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milscm_2023_010.azn_202310_backup_merge_mml_lb_test.master_id IS '患者ID';</v>
      </c>
    </row>
    <row r="19" spans="1:45" s="25" customFormat="1" ht="37.5">
      <c r="A19" s="4"/>
      <c r="B19" s="21">
        <f t="shared" si="2"/>
        <v>7</v>
      </c>
      <c r="C19" s="13" t="s">
        <v>1245</v>
      </c>
      <c r="D19" s="13" t="s">
        <v>1246</v>
      </c>
      <c r="E19" s="7" t="s">
        <v>127</v>
      </c>
      <c r="F19" s="7" t="s">
        <v>863</v>
      </c>
      <c r="G19" s="7" t="str">
        <f t="shared" si="7"/>
        <v>text</v>
      </c>
      <c r="H19" s="58"/>
      <c r="I19" s="23" t="s">
        <v>127</v>
      </c>
      <c r="J19" s="24" t="s">
        <v>1286</v>
      </c>
      <c r="M19" s="4"/>
      <c r="N19" s="76"/>
      <c r="O19" s="76"/>
      <c r="P19" s="76" t="str">
        <f t="shared" si="8"/>
        <v>,uid</v>
      </c>
      <c r="Q19" s="76" t="str">
        <f t="shared" si="9"/>
        <v>TEXT</v>
      </c>
      <c r="R19" s="76" t="str">
        <f t="shared" si="10"/>
        <v/>
      </c>
      <c r="S19" s="76" t="str">
        <f t="shared" si="11"/>
        <v>NOT NULL</v>
      </c>
      <c r="T19" s="76" t="str">
        <f t="shared" si="12"/>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milscm_2023_010.azn_202310_backup_merge_mml_lb_test.uid IS '文書ユニークID';</v>
      </c>
    </row>
    <row r="20" spans="1:45" s="25" customFormat="1">
      <c r="A20" s="4"/>
      <c r="B20" s="21">
        <f t="shared" si="2"/>
        <v>8</v>
      </c>
      <c r="C20" s="13" t="s">
        <v>1542</v>
      </c>
      <c r="D20" s="13" t="s">
        <v>1543</v>
      </c>
      <c r="E20" s="7" t="s">
        <v>127</v>
      </c>
      <c r="F20" s="7" t="s">
        <v>203</v>
      </c>
      <c r="G20" s="7" t="str">
        <f t="shared" si="7"/>
        <v>integer</v>
      </c>
      <c r="H20" s="58"/>
      <c r="I20" s="23" t="s">
        <v>127</v>
      </c>
      <c r="J20" s="24" t="s">
        <v>1580</v>
      </c>
      <c r="M20" s="4"/>
      <c r="N20" s="76"/>
      <c r="O20" s="76"/>
      <c r="P20" s="76" t="str">
        <f t="shared" si="8"/>
        <v>,kenreki_seq</v>
      </c>
      <c r="Q20" s="76" t="str">
        <f t="shared" si="9"/>
        <v>INTEGER</v>
      </c>
      <c r="R20" s="76" t="str">
        <f t="shared" si="10"/>
        <v/>
      </c>
      <c r="S20" s="76" t="str">
        <f t="shared" si="11"/>
        <v>NOT NULL</v>
      </c>
      <c r="T20" s="76" t="str">
        <f t="shared" si="12"/>
        <v>-- 検歴SEQ</v>
      </c>
      <c r="U20" s="4"/>
      <c r="AA20" s="4"/>
      <c r="AB20" s="4"/>
      <c r="AC20" s="4"/>
      <c r="AD20" s="4"/>
      <c r="AE20" s="4"/>
      <c r="AF20" s="4"/>
      <c r="AG20" s="4"/>
      <c r="AH20" s="4"/>
      <c r="AI20" s="4"/>
      <c r="AJ20" s="76" t="str">
        <f>IF(E20="○",IF(COUNTA(E$13:E20)=1,"",",")&amp;D20,"")</f>
        <v>,kenreki_seq</v>
      </c>
      <c r="AK20" s="4"/>
      <c r="AL20" s="4"/>
      <c r="AM20" s="4"/>
      <c r="AN20" s="4"/>
      <c r="AO20" s="4"/>
      <c r="AP20" s="4"/>
      <c r="AQ20" s="4"/>
      <c r="AR20" s="4"/>
      <c r="AS20" s="76" t="str">
        <f>"COMMENT ON COLUMN "&amp;エンティティ一覧!$O$2&amp;"."&amp;D$8&amp;"."&amp;D20&amp;" IS '"&amp;C20&amp;"';"</f>
        <v>COMMENT ON COLUMN milscm_2023_010.azn_202310_backup_merge_mml_lb_test.kenreki_seq IS '検歴SEQ';</v>
      </c>
    </row>
    <row r="21" spans="1:45" s="25" customFormat="1">
      <c r="A21" s="4"/>
      <c r="B21" s="21">
        <f t="shared" si="2"/>
        <v>9</v>
      </c>
      <c r="C21" s="13" t="s">
        <v>1544</v>
      </c>
      <c r="D21" s="13" t="s">
        <v>1545</v>
      </c>
      <c r="E21" s="7"/>
      <c r="F21" s="7" t="s">
        <v>863</v>
      </c>
      <c r="G21" s="7" t="str">
        <f t="shared" si="3"/>
        <v>text</v>
      </c>
      <c r="H21" s="58"/>
      <c r="I21" s="23"/>
      <c r="J21" s="24" t="s">
        <v>1581</v>
      </c>
      <c r="M21" s="4"/>
      <c r="N21" s="76"/>
      <c r="O21" s="76"/>
      <c r="P21" s="76" t="str">
        <f t="shared" si="4"/>
        <v>,irai_id</v>
      </c>
      <c r="Q21" s="76" t="str">
        <f t="shared" si="0"/>
        <v>TEXT</v>
      </c>
      <c r="R21" s="76" t="str">
        <f t="shared" si="1"/>
        <v/>
      </c>
      <c r="S21" s="76" t="str">
        <f t="shared" si="5"/>
        <v/>
      </c>
      <c r="T21" s="76" t="str">
        <f t="shared" si="6"/>
        <v>-- 依頼ID</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milscm_2023_010.azn_202310_backup_merge_mml_lb_test.irai_id IS '依頼ID';</v>
      </c>
    </row>
    <row r="22" spans="1:45" s="25" customFormat="1" ht="37.5">
      <c r="A22" s="4"/>
      <c r="B22" s="21">
        <f t="shared" si="2"/>
        <v>10</v>
      </c>
      <c r="C22" s="13" t="s">
        <v>1546</v>
      </c>
      <c r="D22" s="13" t="s">
        <v>1547</v>
      </c>
      <c r="E22" s="7"/>
      <c r="F22" s="7" t="s">
        <v>863</v>
      </c>
      <c r="G22" s="7" t="str">
        <f t="shared" si="3"/>
        <v>text</v>
      </c>
      <c r="H22" s="58"/>
      <c r="I22" s="23"/>
      <c r="J22" s="24" t="s">
        <v>1582</v>
      </c>
      <c r="M22" s="4"/>
      <c r="N22" s="76"/>
      <c r="O22" s="76"/>
      <c r="P22" s="76" t="str">
        <f t="shared" si="4"/>
        <v>,sample_time</v>
      </c>
      <c r="Q22" s="76" t="str">
        <f t="shared" si="0"/>
        <v>TEXT</v>
      </c>
      <c r="R22" s="76" t="str">
        <f t="shared" si="1"/>
        <v/>
      </c>
      <c r="S22" s="76" t="str">
        <f t="shared" si="5"/>
        <v/>
      </c>
      <c r="T22" s="76" t="str">
        <f t="shared" si="6"/>
        <v>-- 採取日時</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milscm_2023_010.azn_202310_backup_merge_mml_lb_test.sample_time IS '採取日時';</v>
      </c>
    </row>
    <row r="23" spans="1:45" s="25" customFormat="1" ht="37.5">
      <c r="A23" s="4"/>
      <c r="B23" s="21">
        <f t="shared" si="2"/>
        <v>11</v>
      </c>
      <c r="C23" s="13" t="s">
        <v>1548</v>
      </c>
      <c r="D23" s="13" t="s">
        <v>1549</v>
      </c>
      <c r="E23" s="7"/>
      <c r="F23" s="7" t="s">
        <v>863</v>
      </c>
      <c r="G23" s="7" t="str">
        <f t="shared" si="3"/>
        <v>text</v>
      </c>
      <c r="H23" s="58"/>
      <c r="I23" s="23"/>
      <c r="J23" s="24" t="s">
        <v>1583</v>
      </c>
      <c r="M23" s="4"/>
      <c r="N23" s="76"/>
      <c r="O23" s="76"/>
      <c r="P23" s="76" t="str">
        <f t="shared" si="4"/>
        <v>,uketsuke_time</v>
      </c>
      <c r="Q23" s="76" t="str">
        <f t="shared" si="0"/>
        <v>TEXT</v>
      </c>
      <c r="R23" s="76" t="str">
        <f t="shared" si="1"/>
        <v/>
      </c>
      <c r="S23" s="76" t="str">
        <f t="shared" si="5"/>
        <v/>
      </c>
      <c r="T23" s="76" t="str">
        <f t="shared" si="6"/>
        <v>-- 受付日時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milscm_2023_010.azn_202310_backup_merge_mml_lb_test.uketsuke_time IS '受付日時';</v>
      </c>
    </row>
    <row r="24" spans="1:45" s="25" customFormat="1" ht="37.5">
      <c r="A24" s="4"/>
      <c r="B24" s="21">
        <f t="shared" si="2"/>
        <v>12</v>
      </c>
      <c r="C24" s="13" t="s">
        <v>1550</v>
      </c>
      <c r="D24" s="13" t="s">
        <v>1551</v>
      </c>
      <c r="E24" s="7"/>
      <c r="F24" s="7" t="s">
        <v>863</v>
      </c>
      <c r="G24" s="7" t="str">
        <f t="shared" si="3"/>
        <v>text</v>
      </c>
      <c r="H24" s="58"/>
      <c r="I24" s="23"/>
      <c r="J24" s="24" t="s">
        <v>1584</v>
      </c>
      <c r="M24" s="4"/>
      <c r="N24" s="76"/>
      <c r="O24" s="76"/>
      <c r="P24" s="76" t="str">
        <f t="shared" si="4"/>
        <v>,report_time</v>
      </c>
      <c r="Q24" s="76" t="str">
        <f t="shared" si="0"/>
        <v>TEXT</v>
      </c>
      <c r="R24" s="76" t="str">
        <f t="shared" si="1"/>
        <v/>
      </c>
      <c r="S24" s="76" t="str">
        <f t="shared" si="5"/>
        <v/>
      </c>
      <c r="T24" s="76" t="str">
        <f t="shared" si="6"/>
        <v>-- 報告日時</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milscm_2023_010.azn_202310_backup_merge_mml_lb_test.report_time IS '報告日時';</v>
      </c>
    </row>
    <row r="25" spans="1:45" s="25" customFormat="1">
      <c r="A25" s="4"/>
      <c r="B25" s="21">
        <f t="shared" si="2"/>
        <v>13</v>
      </c>
      <c r="C25" s="13" t="s">
        <v>1552</v>
      </c>
      <c r="D25" s="13" t="s">
        <v>1553</v>
      </c>
      <c r="E25" s="7"/>
      <c r="F25" s="7" t="s">
        <v>863</v>
      </c>
      <c r="G25" s="7" t="str">
        <f t="shared" si="3"/>
        <v>text</v>
      </c>
      <c r="H25" s="58"/>
      <c r="I25" s="23"/>
      <c r="J25" s="24" t="s">
        <v>1585</v>
      </c>
      <c r="M25" s="4"/>
      <c r="N25" s="76"/>
      <c r="O25" s="76"/>
      <c r="P25" s="76" t="str">
        <f t="shared" si="4"/>
        <v>,status</v>
      </c>
      <c r="Q25" s="76" t="str">
        <f t="shared" si="0"/>
        <v>TEXT</v>
      </c>
      <c r="R25" s="76" t="str">
        <f t="shared" si="1"/>
        <v/>
      </c>
      <c r="S25" s="76" t="str">
        <f t="shared" si="5"/>
        <v/>
      </c>
      <c r="T25" s="76" t="str">
        <f t="shared" si="6"/>
        <v>-- 報告状態</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milscm_2023_010.azn_202310_backup_merge_mml_lb_test.status IS '報告状態';</v>
      </c>
    </row>
    <row r="26" spans="1:45" s="25" customFormat="1" ht="56.25">
      <c r="A26" s="4"/>
      <c r="B26" s="21">
        <f t="shared" si="2"/>
        <v>14</v>
      </c>
      <c r="C26" s="13" t="s">
        <v>1554</v>
      </c>
      <c r="D26" s="13" t="s">
        <v>1555</v>
      </c>
      <c r="E26" s="7"/>
      <c r="F26" s="7" t="s">
        <v>863</v>
      </c>
      <c r="G26" s="7" t="str">
        <f t="shared" si="3"/>
        <v>text</v>
      </c>
      <c r="H26" s="58"/>
      <c r="I26" s="23"/>
      <c r="J26" s="24" t="s">
        <v>1586</v>
      </c>
      <c r="M26" s="4"/>
      <c r="N26" s="76"/>
      <c r="O26" s="76"/>
      <c r="P26" s="76" t="str">
        <f t="shared" si="4"/>
        <v>,status_code</v>
      </c>
      <c r="Q26" s="76" t="str">
        <f t="shared" si="0"/>
        <v>TEXT</v>
      </c>
      <c r="R26" s="76" t="str">
        <f t="shared" si="1"/>
        <v/>
      </c>
      <c r="S26" s="76" t="str">
        <f t="shared" si="5"/>
        <v/>
      </c>
      <c r="T26" s="76" t="str">
        <f t="shared" si="6"/>
        <v>-- 報告状態コード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milscm_2023_010.azn_202310_backup_merge_mml_lb_test.status_code IS '報告状態コード';</v>
      </c>
    </row>
    <row r="27" spans="1:45" s="25" customFormat="1">
      <c r="A27" s="4"/>
      <c r="B27" s="21">
        <f t="shared" si="2"/>
        <v>15</v>
      </c>
      <c r="C27" s="13" t="s">
        <v>1556</v>
      </c>
      <c r="D27" s="13" t="s">
        <v>1557</v>
      </c>
      <c r="E27" s="7"/>
      <c r="F27" s="7" t="s">
        <v>863</v>
      </c>
      <c r="G27" s="7" t="str">
        <f t="shared" si="3"/>
        <v>text</v>
      </c>
      <c r="H27" s="58"/>
      <c r="I27" s="23"/>
      <c r="J27" s="24" t="s">
        <v>1587</v>
      </c>
      <c r="M27" s="4"/>
      <c r="N27" s="76"/>
      <c r="O27" s="76"/>
      <c r="P27" s="76" t="str">
        <f t="shared" si="4"/>
        <v>,set_name</v>
      </c>
      <c r="Q27" s="76" t="str">
        <f t="shared" si="0"/>
        <v>TEXT</v>
      </c>
      <c r="R27" s="76" t="str">
        <f t="shared" si="1"/>
        <v/>
      </c>
      <c r="S27" s="76" t="str">
        <f t="shared" si="5"/>
        <v/>
      </c>
      <c r="T27" s="76" t="str">
        <f t="shared" si="6"/>
        <v>-- セット名</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milscm_2023_010.azn_202310_backup_merge_mml_lb_test.set_name IS 'セット名';</v>
      </c>
    </row>
    <row r="28" spans="1:45" s="25" customFormat="1" ht="37.5">
      <c r="A28" s="4"/>
      <c r="B28" s="21">
        <f t="shared" si="2"/>
        <v>16</v>
      </c>
      <c r="C28" s="13" t="s">
        <v>1558</v>
      </c>
      <c r="D28" s="13" t="s">
        <v>1559</v>
      </c>
      <c r="E28" s="7"/>
      <c r="F28" s="7" t="s">
        <v>863</v>
      </c>
      <c r="G28" s="7" t="str">
        <f t="shared" si="3"/>
        <v>text</v>
      </c>
      <c r="H28" s="58"/>
      <c r="I28" s="23"/>
      <c r="J28" s="24" t="s">
        <v>1588</v>
      </c>
      <c r="M28" s="4"/>
      <c r="N28" s="76"/>
      <c r="O28" s="76"/>
      <c r="P28" s="76" t="str">
        <f t="shared" si="4"/>
        <v>,set_name_code</v>
      </c>
      <c r="Q28" s="76" t="str">
        <f t="shared" si="0"/>
        <v>TEXT</v>
      </c>
      <c r="R28" s="76" t="str">
        <f t="shared" si="1"/>
        <v/>
      </c>
      <c r="S28" s="76" t="str">
        <f t="shared" si="5"/>
        <v/>
      </c>
      <c r="T28" s="76" t="str">
        <f t="shared" si="6"/>
        <v>-- セット名コード</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milscm_2023_010.azn_202310_backup_merge_mml_lb_test.set_name_code IS 'セット名コード';</v>
      </c>
    </row>
    <row r="29" spans="1:45" s="25" customFormat="1" ht="37.5">
      <c r="A29" s="4"/>
      <c r="B29" s="21">
        <f t="shared" si="2"/>
        <v>17</v>
      </c>
      <c r="C29" s="13" t="s">
        <v>1560</v>
      </c>
      <c r="D29" s="13" t="s">
        <v>1561</v>
      </c>
      <c r="E29" s="7"/>
      <c r="F29" s="7" t="s">
        <v>863</v>
      </c>
      <c r="G29" s="7" t="str">
        <f t="shared" si="3"/>
        <v>text</v>
      </c>
      <c r="H29" s="58"/>
      <c r="I29" s="23"/>
      <c r="J29" s="24" t="s">
        <v>1589</v>
      </c>
      <c r="M29" s="4"/>
      <c r="N29" s="76"/>
      <c r="O29" s="76"/>
      <c r="P29" s="76" t="str">
        <f t="shared" si="4"/>
        <v>,set_name_code_id</v>
      </c>
      <c r="Q29" s="76" t="str">
        <f t="shared" si="0"/>
        <v>TEXT</v>
      </c>
      <c r="R29" s="76" t="str">
        <f t="shared" si="1"/>
        <v/>
      </c>
      <c r="S29" s="76" t="str">
        <f t="shared" si="5"/>
        <v/>
      </c>
      <c r="T29" s="76" t="str">
        <f t="shared" si="6"/>
        <v>-- セット名コードID</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milscm_2023_010.azn_202310_backup_merge_mml_lb_test.set_name_code_id IS 'セット名コードID';</v>
      </c>
    </row>
    <row r="30" spans="1:45" s="25" customFormat="1">
      <c r="A30" s="4"/>
      <c r="B30" s="21">
        <f t="shared" si="2"/>
        <v>18</v>
      </c>
      <c r="C30" s="13" t="s">
        <v>1562</v>
      </c>
      <c r="D30" s="13" t="s">
        <v>1563</v>
      </c>
      <c r="E30" s="7"/>
      <c r="F30" s="7" t="s">
        <v>863</v>
      </c>
      <c r="G30" s="7" t="str">
        <f t="shared" si="3"/>
        <v>text</v>
      </c>
      <c r="H30" s="58"/>
      <c r="I30" s="23"/>
      <c r="J30" s="24" t="s">
        <v>1590</v>
      </c>
      <c r="M30" s="4"/>
      <c r="N30" s="76"/>
      <c r="O30" s="76"/>
      <c r="P30" s="76" t="str">
        <f t="shared" si="4"/>
        <v>,irai_facility</v>
      </c>
      <c r="Q30" s="76" t="str">
        <f t="shared" si="0"/>
        <v>TEXT</v>
      </c>
      <c r="R30" s="76" t="str">
        <f t="shared" si="1"/>
        <v/>
      </c>
      <c r="S30" s="76" t="str">
        <f t="shared" si="5"/>
        <v/>
      </c>
      <c r="T30" s="76" t="str">
        <f t="shared" si="6"/>
        <v>-- 依頼施設</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milscm_2023_010.azn_202310_backup_merge_mml_lb_test.irai_facility IS '依頼施設';</v>
      </c>
    </row>
    <row r="31" spans="1:45" s="25" customFormat="1">
      <c r="A31" s="4"/>
      <c r="B31" s="21">
        <f t="shared" si="2"/>
        <v>19</v>
      </c>
      <c r="C31" s="13" t="s">
        <v>1564</v>
      </c>
      <c r="D31" s="13" t="s">
        <v>1565</v>
      </c>
      <c r="E31" s="7"/>
      <c r="F31" s="7" t="s">
        <v>863</v>
      </c>
      <c r="G31" s="7" t="str">
        <f t="shared" si="3"/>
        <v>text</v>
      </c>
      <c r="H31" s="58"/>
      <c r="I31" s="23"/>
      <c r="J31" s="24" t="s">
        <v>1591</v>
      </c>
      <c r="M31" s="4"/>
      <c r="N31" s="76"/>
      <c r="O31" s="76"/>
      <c r="P31" s="76" t="str">
        <f t="shared" si="4"/>
        <v>,irai_facility_code</v>
      </c>
      <c r="Q31" s="76" t="str">
        <f t="shared" si="0"/>
        <v>TEXT</v>
      </c>
      <c r="R31" s="76" t="str">
        <f t="shared" si="1"/>
        <v/>
      </c>
      <c r="S31" s="76" t="str">
        <f t="shared" si="5"/>
        <v/>
      </c>
      <c r="T31" s="76" t="str">
        <f t="shared" si="6"/>
        <v>-- 依頼施設コード</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milscm_2023_010.azn_202310_backup_merge_mml_lb_test.irai_facility_code IS '依頼施設コード';</v>
      </c>
    </row>
    <row r="32" spans="1:45" s="25" customFormat="1" ht="37.5">
      <c r="A32" s="4"/>
      <c r="B32" s="21">
        <f t="shared" si="2"/>
        <v>20</v>
      </c>
      <c r="C32" s="13" t="s">
        <v>1566</v>
      </c>
      <c r="D32" s="13" t="s">
        <v>1567</v>
      </c>
      <c r="E32" s="7"/>
      <c r="F32" s="7" t="s">
        <v>863</v>
      </c>
      <c r="G32" s="7" t="str">
        <f t="shared" si="3"/>
        <v>text</v>
      </c>
      <c r="H32" s="58"/>
      <c r="I32" s="23"/>
      <c r="J32" s="24" t="s">
        <v>1592</v>
      </c>
      <c r="M32" s="4"/>
      <c r="N32" s="76"/>
      <c r="O32" s="76"/>
      <c r="P32" s="76" t="str">
        <f t="shared" si="4"/>
        <v>,irai_facility_code_id</v>
      </c>
      <c r="Q32" s="76" t="str">
        <f t="shared" si="0"/>
        <v>TEXT</v>
      </c>
      <c r="R32" s="76" t="str">
        <f t="shared" si="1"/>
        <v/>
      </c>
      <c r="S32" s="76" t="str">
        <f t="shared" si="5"/>
        <v/>
      </c>
      <c r="T32" s="76" t="str">
        <f t="shared" si="6"/>
        <v>-- 依頼施設コードID</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milscm_2023_010.azn_202310_backup_merge_mml_lb_test.irai_facility_code_id IS '依頼施設コードID';</v>
      </c>
    </row>
    <row r="33" spans="1:52" s="25" customFormat="1">
      <c r="A33" s="4"/>
      <c r="B33" s="21">
        <f t="shared" si="2"/>
        <v>21</v>
      </c>
      <c r="C33" s="13" t="s">
        <v>1568</v>
      </c>
      <c r="D33" s="13" t="s">
        <v>1569</v>
      </c>
      <c r="E33" s="7"/>
      <c r="F33" s="7" t="s">
        <v>863</v>
      </c>
      <c r="G33" s="7" t="str">
        <f t="shared" si="3"/>
        <v>text</v>
      </c>
      <c r="H33" s="58"/>
      <c r="I33" s="23"/>
      <c r="J33" s="24" t="s">
        <v>1593</v>
      </c>
      <c r="M33" s="4"/>
      <c r="N33" s="76"/>
      <c r="O33" s="76"/>
      <c r="P33" s="76" t="str">
        <f t="shared" si="4"/>
        <v>,irai_department</v>
      </c>
      <c r="Q33" s="76" t="str">
        <f t="shared" si="0"/>
        <v>TEXT</v>
      </c>
      <c r="R33" s="76" t="str">
        <f t="shared" si="1"/>
        <v/>
      </c>
      <c r="S33" s="76" t="str">
        <f t="shared" si="5"/>
        <v/>
      </c>
      <c r="T33" s="76" t="str">
        <f t="shared" si="6"/>
        <v>-- 依頼診療科</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milscm_2023_010.azn_202310_backup_merge_mml_lb_test.irai_department IS '依頼診療科';</v>
      </c>
    </row>
    <row r="34" spans="1:52" s="25" customFormat="1" ht="37.5">
      <c r="A34" s="4"/>
      <c r="B34" s="21">
        <f t="shared" si="2"/>
        <v>22</v>
      </c>
      <c r="C34" s="13" t="s">
        <v>1570</v>
      </c>
      <c r="D34" s="13" t="s">
        <v>1571</v>
      </c>
      <c r="E34" s="7"/>
      <c r="F34" s="7" t="s">
        <v>863</v>
      </c>
      <c r="G34" s="7" t="str">
        <f t="shared" si="3"/>
        <v>text</v>
      </c>
      <c r="H34" s="58"/>
      <c r="I34" s="23"/>
      <c r="J34" s="24" t="s">
        <v>1594</v>
      </c>
      <c r="M34" s="4"/>
      <c r="N34" s="76"/>
      <c r="O34" s="76"/>
      <c r="P34" s="76" t="str">
        <f t="shared" si="4"/>
        <v>,irai_department_code</v>
      </c>
      <c r="Q34" s="76" t="str">
        <f t="shared" si="0"/>
        <v>TEXT</v>
      </c>
      <c r="R34" s="76" t="str">
        <f t="shared" si="1"/>
        <v/>
      </c>
      <c r="S34" s="76" t="str">
        <f t="shared" si="5"/>
        <v/>
      </c>
      <c r="T34" s="76" t="str">
        <f t="shared" si="6"/>
        <v>-- 依頼診療科コード</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milscm_2023_010.azn_202310_backup_merge_mml_lb_test.irai_department_code IS '依頼診療科コード';</v>
      </c>
    </row>
    <row r="35" spans="1:52" s="25" customFormat="1">
      <c r="A35" s="4"/>
      <c r="B35" s="21">
        <f t="shared" si="2"/>
        <v>23</v>
      </c>
      <c r="C35" s="13" t="s">
        <v>1572</v>
      </c>
      <c r="D35" s="13" t="s">
        <v>1573</v>
      </c>
      <c r="E35" s="7"/>
      <c r="F35" s="7" t="s">
        <v>863</v>
      </c>
      <c r="G35" s="7" t="str">
        <f t="shared" si="3"/>
        <v>text</v>
      </c>
      <c r="H35" s="58"/>
      <c r="I35" s="23"/>
      <c r="J35" s="24" t="s">
        <v>1595</v>
      </c>
      <c r="M35" s="4"/>
      <c r="N35" s="76"/>
      <c r="O35" s="76"/>
      <c r="P35" s="76" t="str">
        <f t="shared" si="4"/>
        <v>,irai_ward</v>
      </c>
      <c r="Q35" s="76" t="str">
        <f t="shared" si="0"/>
        <v>TEXT</v>
      </c>
      <c r="R35" s="76" t="str">
        <f t="shared" si="1"/>
        <v/>
      </c>
      <c r="S35" s="76" t="str">
        <f t="shared" si="5"/>
        <v/>
      </c>
      <c r="T35" s="76" t="str">
        <f t="shared" si="6"/>
        <v>-- 依頼病棟</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milscm_2023_010.azn_202310_backup_merge_mml_lb_test.irai_ward IS '依頼病棟';</v>
      </c>
    </row>
    <row r="36" spans="1:52" s="25" customFormat="1" ht="37.5">
      <c r="A36" s="4"/>
      <c r="B36" s="21">
        <f t="shared" si="2"/>
        <v>24</v>
      </c>
      <c r="C36" s="13" t="s">
        <v>1574</v>
      </c>
      <c r="D36" s="13" t="s">
        <v>1575</v>
      </c>
      <c r="E36" s="7"/>
      <c r="F36" s="7" t="s">
        <v>863</v>
      </c>
      <c r="G36" s="7" t="str">
        <f t="shared" si="3"/>
        <v>text</v>
      </c>
      <c r="H36" s="58"/>
      <c r="I36" s="23"/>
      <c r="J36" s="24" t="s">
        <v>1596</v>
      </c>
      <c r="M36" s="4"/>
      <c r="N36" s="76"/>
      <c r="O36" s="76"/>
      <c r="P36" s="76" t="str">
        <f t="shared" si="4"/>
        <v>,irai_ward_code</v>
      </c>
      <c r="Q36" s="76" t="str">
        <f t="shared" si="0"/>
        <v>TEXT</v>
      </c>
      <c r="R36" s="76" t="str">
        <f t="shared" si="1"/>
        <v/>
      </c>
      <c r="S36" s="76" t="str">
        <f t="shared" si="5"/>
        <v/>
      </c>
      <c r="T36" s="76" t="str">
        <f t="shared" si="6"/>
        <v>-- 依頼病棟コード</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milscm_2023_010.azn_202310_backup_merge_mml_lb_test.irai_ward_code IS '依頼病棟コード';</v>
      </c>
    </row>
    <row r="37" spans="1:52" s="25" customFormat="1" ht="37.5">
      <c r="A37" s="4"/>
      <c r="B37" s="21">
        <f t="shared" si="2"/>
        <v>25</v>
      </c>
      <c r="C37" s="13" t="s">
        <v>1576</v>
      </c>
      <c r="D37" s="13" t="s">
        <v>1577</v>
      </c>
      <c r="E37" s="7"/>
      <c r="F37" s="7" t="s">
        <v>863</v>
      </c>
      <c r="G37" s="7" t="str">
        <f t="shared" si="3"/>
        <v>text</v>
      </c>
      <c r="H37" s="58"/>
      <c r="I37" s="23"/>
      <c r="J37" s="24" t="s">
        <v>1597</v>
      </c>
      <c r="M37" s="4"/>
      <c r="N37" s="76"/>
      <c r="O37" s="76"/>
      <c r="P37" s="76" t="str">
        <f t="shared" si="4"/>
        <v>,irai_ward_code_id</v>
      </c>
      <c r="Q37" s="76" t="str">
        <f t="shared" si="0"/>
        <v>TEXT</v>
      </c>
      <c r="R37" s="76" t="str">
        <f t="shared" si="1"/>
        <v/>
      </c>
      <c r="S37" s="76" t="str">
        <f t="shared" si="5"/>
        <v/>
      </c>
      <c r="T37" s="76" t="str">
        <f t="shared" si="6"/>
        <v>-- 依頼病棟コードID</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milscm_2023_010.azn_202310_backup_merge_mml_lb_test.irai_ward_code_id IS '依頼病棟コードID';</v>
      </c>
    </row>
    <row r="38" spans="1:52" s="25" customFormat="1" ht="19.5" thickBot="1">
      <c r="A38" s="4"/>
      <c r="B38" s="27">
        <f>ROW()-12</f>
        <v>26</v>
      </c>
      <c r="C38" s="57" t="s">
        <v>1578</v>
      </c>
      <c r="D38" s="57" t="s">
        <v>1579</v>
      </c>
      <c r="E38" s="56"/>
      <c r="F38" s="56" t="s">
        <v>863</v>
      </c>
      <c r="G38" s="56" t="str">
        <f t="shared" si="3"/>
        <v>text</v>
      </c>
      <c r="H38" s="59"/>
      <c r="I38" s="60"/>
      <c r="J38" s="63" t="s">
        <v>1598</v>
      </c>
      <c r="N38" s="76"/>
      <c r="O38" s="76"/>
      <c r="P38" s="76" t="str">
        <f t="shared" si="4"/>
        <v>,report_free_comment</v>
      </c>
      <c r="Q38" s="76" t="str">
        <f t="shared" si="0"/>
        <v>TEXT</v>
      </c>
      <c r="R38" s="76" t="str">
        <f t="shared" si="1"/>
        <v/>
      </c>
      <c r="S38" s="76" t="str">
        <f t="shared" si="5"/>
        <v/>
      </c>
      <c r="T38" s="76" t="str">
        <f t="shared" si="6"/>
        <v>-- 報告フリーコメント</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milscm_2023_010.azn_202310_backup_merge_mml_lb_test.report_free_comment IS '報告フリーコメント';</v>
      </c>
    </row>
    <row r="39" spans="1:52">
      <c r="L39" s="25"/>
      <c r="M39" s="25"/>
      <c r="N39" s="76" t="s">
        <v>142</v>
      </c>
      <c r="O39" s="76"/>
      <c r="P39" s="76"/>
      <c r="Q39" s="76"/>
      <c r="R39" s="76"/>
      <c r="S39" s="76"/>
      <c r="T39" s="76"/>
      <c r="V39" s="25"/>
      <c r="W39" s="25"/>
      <c r="X39" s="25"/>
      <c r="Y39" s="25"/>
      <c r="Z39" s="25"/>
      <c r="AJ39" s="76"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ENT_01_C4-33</v>
      </c>
      <c r="E6" s="272"/>
      <c r="F6" s="272"/>
      <c r="G6" s="272"/>
      <c r="H6" s="272"/>
      <c r="I6" s="272"/>
      <c r="J6" s="273"/>
    </row>
    <row r="7" spans="1:45">
      <c r="B7" s="261" t="s">
        <v>115</v>
      </c>
      <c r="C7" s="262"/>
      <c r="D7" s="263" t="s">
        <v>1599</v>
      </c>
      <c r="E7" s="264"/>
      <c r="F7" s="264"/>
      <c r="G7" s="264"/>
      <c r="H7" s="264"/>
      <c r="I7" s="264"/>
      <c r="J7" s="265"/>
    </row>
    <row r="8" spans="1:45">
      <c r="B8" s="261" t="s">
        <v>116</v>
      </c>
      <c r="C8" s="262"/>
      <c r="D8" s="263" t="str">
        <f>エンティティ一覧!AE2&amp;"_"&amp;D5&amp;"_merge_mml_lb_specimen"</f>
        <v>azn_202310_backup_merge_mml_lb_specimen</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検歴情報モジュール_検歴検体材料テーブルから組入れ条件の第一条件で絞り込んだ結果を格納するテーブル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milscm_2023_010.azn_202310_backup_merge_mml_lb_specimen;</v>
      </c>
      <c r="O10" s="76"/>
      <c r="P10" s="76"/>
      <c r="Q10" s="76"/>
      <c r="R10" s="76"/>
      <c r="S10" s="76"/>
      <c r="T10" s="76"/>
      <c r="AJ10" s="76" t="str">
        <f>"ALTER TABLE ONLY "&amp;エンティティ一覧!$O$2&amp;"."&amp;D$8</f>
        <v>ALTER TABLE ONLY milscm_2023_010.azn_202310_backup_merge_mml_lb_specimen</v>
      </c>
      <c r="AS10" s="76" t="str">
        <f>"ALTER TABLE "&amp;エンティティ一覧!$O$2&amp;"."&amp;D$8&amp;" OWNER TO pgmisgrp1;"</f>
        <v>ALTER TABLE milscm_2023_010.azn_202310_backup_merge_mml_lb_specimen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milscm_2023_010.azn_202310_backup_merge_mml_lb_specimen</v>
      </c>
      <c r="O11" s="76"/>
      <c r="P11" s="76"/>
      <c r="Q11" s="76"/>
      <c r="R11" s="76"/>
      <c r="S11" s="76"/>
      <c r="T11" s="76"/>
      <c r="AJ11" s="76" t="str">
        <f>"ADD CONSTRAINT "&amp;D$8&amp;"_pkey PRIMARY KEY"</f>
        <v>ADD CONSTRAINT azn_202310_backup_merge_mml_lb_specimen_pkey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milscm_2023_010.azn_202310_backup_merge_mml_lb_specimen IS 'バックアップ_検歴情報モジュール_検歴検体材料';</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6" si="0">UPPER(G13)</f>
        <v>TEXT</v>
      </c>
      <c r="R13" s="76" t="str">
        <f t="shared" ref="R13:R2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milscm_2023_010.azn_202310_backup_merge_mml_lb_specimen.torikomi_ym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1280</v>
      </c>
      <c r="M14" s="4"/>
      <c r="N14" s="76"/>
      <c r="O14" s="76"/>
      <c r="P14" s="76" t="str">
        <f t="shared" ref="P14:P2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milscm_2023_010.azn_202310_backup_merge_mml_lb_specimen.mil_karute_id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6" si="5">IF(I15="○","NOT NULL","")</f>
        <v>NOT NULL</v>
      </c>
      <c r="T15" s="76" t="str">
        <f t="shared" ref="T15:T2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milscm_2023_010.azn_202310_backup_merge_mml_lb_specimen.facility_id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milscm_2023_010.azn_202310_backup_merge_mml_lb_specimen.shinryo_ymd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milscm_2023_010.azn_202310_backup_merge_mml_lb_specimen.data_type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milscm_2023_010.azn_202310_backup_merge_mml_lb_specimen.master_id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milscm_2023_010.azn_202310_backup_merge_mml_lb_specimen.uid IS '文書ユニークID';</v>
      </c>
    </row>
    <row r="20" spans="1:52" s="25" customFormat="1">
      <c r="A20" s="4"/>
      <c r="B20" s="21">
        <f t="shared" si="2"/>
        <v>8</v>
      </c>
      <c r="C20" s="13" t="s">
        <v>1542</v>
      </c>
      <c r="D20" s="13" t="s">
        <v>1543</v>
      </c>
      <c r="E20" s="7" t="s">
        <v>127</v>
      </c>
      <c r="F20" s="7" t="s">
        <v>203</v>
      </c>
      <c r="G20" s="7" t="str">
        <f t="shared" si="3"/>
        <v>integer</v>
      </c>
      <c r="H20" s="58"/>
      <c r="I20" s="23" t="s">
        <v>127</v>
      </c>
      <c r="J20" s="24" t="s">
        <v>1580</v>
      </c>
      <c r="M20" s="4"/>
      <c r="N20" s="76"/>
      <c r="O20" s="76"/>
      <c r="P20" s="76" t="str">
        <f t="shared" si="4"/>
        <v>,kenreki_seq</v>
      </c>
      <c r="Q20" s="76" t="str">
        <f t="shared" si="0"/>
        <v>INTEGER</v>
      </c>
      <c r="R20" s="76" t="str">
        <f t="shared" si="1"/>
        <v/>
      </c>
      <c r="S20" s="76" t="str">
        <f t="shared" si="5"/>
        <v>NOT NULL</v>
      </c>
      <c r="T20" s="76" t="str">
        <f t="shared" si="6"/>
        <v>-- 検歴SEQ</v>
      </c>
      <c r="U20" s="4"/>
      <c r="AA20" s="4"/>
      <c r="AB20" s="4"/>
      <c r="AC20" s="4"/>
      <c r="AD20" s="4"/>
      <c r="AE20" s="4"/>
      <c r="AF20" s="4"/>
      <c r="AG20" s="4"/>
      <c r="AH20" s="4"/>
      <c r="AI20" s="4"/>
      <c r="AJ20" s="76" t="str">
        <f>IF(E20="○",IF(COUNTA(E$13:E20)=1,"",",")&amp;D20,"")</f>
        <v>,kenreki_seq</v>
      </c>
      <c r="AK20" s="4"/>
      <c r="AL20" s="4"/>
      <c r="AM20" s="4"/>
      <c r="AN20" s="4"/>
      <c r="AO20" s="4"/>
      <c r="AP20" s="4"/>
      <c r="AQ20" s="4"/>
      <c r="AR20" s="4"/>
      <c r="AS20" s="76" t="str">
        <f>"COMMENT ON COLUMN "&amp;エンティティ一覧!$O$2&amp;"."&amp;D$8&amp;"."&amp;D20&amp;" IS '"&amp;C20&amp;"';"</f>
        <v>COMMENT ON COLUMN milscm_2023_010.azn_202310_backup_merge_mml_lb_specimen.kenreki_seq IS '検歴SEQ';</v>
      </c>
    </row>
    <row r="21" spans="1:52" s="25" customFormat="1">
      <c r="A21" s="4"/>
      <c r="B21" s="21">
        <f t="shared" si="2"/>
        <v>9</v>
      </c>
      <c r="C21" s="13" t="s">
        <v>1600</v>
      </c>
      <c r="D21" s="13" t="s">
        <v>1601</v>
      </c>
      <c r="E21" s="7" t="s">
        <v>127</v>
      </c>
      <c r="F21" s="7" t="s">
        <v>203</v>
      </c>
      <c r="G21" s="7" t="str">
        <f t="shared" si="3"/>
        <v>integer</v>
      </c>
      <c r="H21" s="58"/>
      <c r="I21" s="23" t="s">
        <v>127</v>
      </c>
      <c r="J21" s="24" t="s">
        <v>1612</v>
      </c>
      <c r="M21" s="4"/>
      <c r="N21" s="76"/>
      <c r="O21" s="76"/>
      <c r="P21" s="76" t="str">
        <f t="shared" si="4"/>
        <v>,labo_test_seq</v>
      </c>
      <c r="Q21" s="76" t="str">
        <f t="shared" si="0"/>
        <v>INTEGER</v>
      </c>
      <c r="R21" s="76" t="str">
        <f t="shared" si="1"/>
        <v/>
      </c>
      <c r="S21" s="76" t="str">
        <f t="shared" si="5"/>
        <v>NOT NULL</v>
      </c>
      <c r="T21" s="76" t="str">
        <f t="shared" si="6"/>
        <v>-- 検体結果情報SEQ</v>
      </c>
      <c r="U21" s="4"/>
      <c r="AA21" s="4"/>
      <c r="AB21" s="4"/>
      <c r="AC21" s="4"/>
      <c r="AD21" s="4"/>
      <c r="AE21" s="4"/>
      <c r="AF21" s="4"/>
      <c r="AG21" s="4"/>
      <c r="AH21" s="4"/>
      <c r="AI21" s="4"/>
      <c r="AJ21" s="76" t="str">
        <f>IF(E21="○",IF(COUNTA(E$13:E21)=1,"",",")&amp;D21,"")</f>
        <v>,labo_test_seq</v>
      </c>
      <c r="AK21" s="4"/>
      <c r="AL21" s="4"/>
      <c r="AM21" s="4"/>
      <c r="AN21" s="4"/>
      <c r="AO21" s="4"/>
      <c r="AP21" s="4"/>
      <c r="AQ21" s="4"/>
      <c r="AR21" s="4"/>
      <c r="AS21" s="76" t="str">
        <f>"COMMENT ON COLUMN "&amp;エンティティ一覧!$O$2&amp;"."&amp;D$8&amp;"."&amp;D21&amp;" IS '"&amp;C21&amp;"';"</f>
        <v>COMMENT ON COLUMN milscm_2023_010.azn_202310_backup_merge_mml_lb_specimen.labo_test_seq IS '検体結果情報SEQ';</v>
      </c>
    </row>
    <row r="22" spans="1:52" s="25" customFormat="1" ht="75">
      <c r="A22" s="4"/>
      <c r="B22" s="21">
        <f t="shared" si="2"/>
        <v>10</v>
      </c>
      <c r="C22" s="13" t="s">
        <v>1602</v>
      </c>
      <c r="D22" s="13" t="s">
        <v>1603</v>
      </c>
      <c r="E22" s="7" t="s">
        <v>127</v>
      </c>
      <c r="F22" s="7" t="s">
        <v>203</v>
      </c>
      <c r="G22" s="7" t="str">
        <f t="shared" si="3"/>
        <v>integer</v>
      </c>
      <c r="H22" s="58">
        <v>1</v>
      </c>
      <c r="I22" s="23" t="s">
        <v>127</v>
      </c>
      <c r="J22" s="24" t="s">
        <v>1613</v>
      </c>
      <c r="M22" s="4"/>
      <c r="N22" s="76"/>
      <c r="O22" s="76"/>
      <c r="P22" s="76" t="str">
        <f t="shared" si="4"/>
        <v>,specimen_seq</v>
      </c>
      <c r="Q22" s="76" t="str">
        <f t="shared" si="0"/>
        <v>INTEGER</v>
      </c>
      <c r="R22" s="76" t="str">
        <f t="shared" si="1"/>
        <v>default 1</v>
      </c>
      <c r="S22" s="76" t="str">
        <f t="shared" si="5"/>
        <v>NOT NULL</v>
      </c>
      <c r="T22" s="76" t="str">
        <f t="shared" si="6"/>
        <v>-- 検体材料SEQ</v>
      </c>
      <c r="U22" s="4"/>
      <c r="AA22" s="4"/>
      <c r="AB22" s="4"/>
      <c r="AC22" s="4"/>
      <c r="AD22" s="4"/>
      <c r="AE22" s="4"/>
      <c r="AF22" s="4"/>
      <c r="AG22" s="4"/>
      <c r="AH22" s="4"/>
      <c r="AI22" s="4"/>
      <c r="AJ22" s="76" t="str">
        <f>IF(E22="○",IF(COUNTA(E$13:E22)=1,"",",")&amp;D22,"")</f>
        <v>,specimen_seq</v>
      </c>
      <c r="AK22" s="4"/>
      <c r="AL22" s="4"/>
      <c r="AM22" s="4"/>
      <c r="AN22" s="4"/>
      <c r="AO22" s="4"/>
      <c r="AP22" s="4"/>
      <c r="AQ22" s="4"/>
      <c r="AR22" s="4"/>
      <c r="AS22" s="76" t="str">
        <f>"COMMENT ON COLUMN "&amp;エンティティ一覧!$O$2&amp;"."&amp;D$8&amp;"."&amp;D22&amp;" IS '"&amp;C22&amp;"';"</f>
        <v>COMMENT ON COLUMN milscm_2023_010.azn_202310_backup_merge_mml_lb_specimen.specimen_seq IS '検体材料SEQ';</v>
      </c>
    </row>
    <row r="23" spans="1:52" s="25" customFormat="1">
      <c r="A23" s="4"/>
      <c r="B23" s="21">
        <f t="shared" si="2"/>
        <v>11</v>
      </c>
      <c r="C23" s="13" t="s">
        <v>1604</v>
      </c>
      <c r="D23" s="13" t="s">
        <v>1605</v>
      </c>
      <c r="E23" s="7"/>
      <c r="F23" s="7" t="s">
        <v>863</v>
      </c>
      <c r="G23" s="7" t="str">
        <f t="shared" si="3"/>
        <v>text</v>
      </c>
      <c r="H23" s="58"/>
      <c r="I23" s="23"/>
      <c r="J23" s="24" t="s">
        <v>1614</v>
      </c>
      <c r="M23" s="4"/>
      <c r="N23" s="76"/>
      <c r="O23" s="76"/>
      <c r="P23" s="76" t="str">
        <f t="shared" si="4"/>
        <v>,specimen_name</v>
      </c>
      <c r="Q23" s="76" t="str">
        <f t="shared" si="0"/>
        <v>TEXT</v>
      </c>
      <c r="R23" s="76" t="str">
        <f t="shared" si="1"/>
        <v/>
      </c>
      <c r="S23" s="76" t="str">
        <f t="shared" si="5"/>
        <v/>
      </c>
      <c r="T23" s="76" t="str">
        <f t="shared" si="6"/>
        <v>-- 検体材料</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milscm_2023_010.azn_202310_backup_merge_mml_lb_specimen.specimen_name IS '検体材料';</v>
      </c>
    </row>
    <row r="24" spans="1:52" s="25" customFormat="1" ht="37.5">
      <c r="A24" s="4"/>
      <c r="B24" s="21">
        <f t="shared" si="2"/>
        <v>12</v>
      </c>
      <c r="C24" s="13" t="s">
        <v>1606</v>
      </c>
      <c r="D24" s="13" t="s">
        <v>1607</v>
      </c>
      <c r="E24" s="7"/>
      <c r="F24" s="7" t="s">
        <v>863</v>
      </c>
      <c r="G24" s="7" t="str">
        <f t="shared" si="3"/>
        <v>text</v>
      </c>
      <c r="H24" s="58"/>
      <c r="I24" s="23"/>
      <c r="J24" s="24" t="s">
        <v>1615</v>
      </c>
      <c r="M24" s="4"/>
      <c r="N24" s="76"/>
      <c r="O24" s="76"/>
      <c r="P24" s="76" t="str">
        <f t="shared" si="4"/>
        <v>,sp_code</v>
      </c>
      <c r="Q24" s="76" t="str">
        <f t="shared" si="0"/>
        <v>TEXT</v>
      </c>
      <c r="R24" s="76" t="str">
        <f t="shared" si="1"/>
        <v/>
      </c>
      <c r="S24" s="76" t="str">
        <f t="shared" si="5"/>
        <v/>
      </c>
      <c r="T24" s="76" t="str">
        <f t="shared" si="6"/>
        <v>-- 検体材料コード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milscm_2023_010.azn_202310_backup_merge_mml_lb_specimen.sp_code IS '検体材料コード';</v>
      </c>
    </row>
    <row r="25" spans="1:52" s="25" customFormat="1" ht="37.5">
      <c r="A25" s="4"/>
      <c r="B25" s="21">
        <f t="shared" si="2"/>
        <v>13</v>
      </c>
      <c r="C25" s="13" t="s">
        <v>1608</v>
      </c>
      <c r="D25" s="13" t="s">
        <v>1609</v>
      </c>
      <c r="E25" s="7"/>
      <c r="F25" s="7" t="s">
        <v>863</v>
      </c>
      <c r="G25" s="7" t="str">
        <f t="shared" si="3"/>
        <v>text</v>
      </c>
      <c r="H25" s="58"/>
      <c r="I25" s="23"/>
      <c r="J25" s="24" t="s">
        <v>1616</v>
      </c>
      <c r="M25" s="4"/>
      <c r="N25" s="76"/>
      <c r="O25" s="76"/>
      <c r="P25" s="76" t="str">
        <f t="shared" si="4"/>
        <v>,sp_code_id</v>
      </c>
      <c r="Q25" s="76" t="str">
        <f t="shared" si="0"/>
        <v>TEXT</v>
      </c>
      <c r="R25" s="76" t="str">
        <f t="shared" si="1"/>
        <v/>
      </c>
      <c r="S25" s="76" t="str">
        <f t="shared" si="5"/>
        <v/>
      </c>
      <c r="T25" s="76" t="str">
        <f t="shared" si="6"/>
        <v>-- 検体材料コードのテーブル名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milscm_2023_010.azn_202310_backup_merge_mml_lb_specimen.sp_code_id IS '検体材料コードのテーブル名';</v>
      </c>
    </row>
    <row r="26" spans="1:52" s="25" customFormat="1" ht="19.5" thickBot="1">
      <c r="A26" s="4"/>
      <c r="B26" s="27">
        <f>ROW()-12</f>
        <v>14</v>
      </c>
      <c r="C26" s="57" t="s">
        <v>1610</v>
      </c>
      <c r="D26" s="57" t="s">
        <v>1611</v>
      </c>
      <c r="E26" s="56"/>
      <c r="F26" s="56" t="s">
        <v>863</v>
      </c>
      <c r="G26" s="56" t="str">
        <f t="shared" si="3"/>
        <v>text</v>
      </c>
      <c r="H26" s="59"/>
      <c r="I26" s="60"/>
      <c r="J26" s="63" t="s">
        <v>1617</v>
      </c>
      <c r="N26" s="76"/>
      <c r="O26" s="76"/>
      <c r="P26" s="76" t="str">
        <f t="shared" si="4"/>
        <v>,specimen_free_comment</v>
      </c>
      <c r="Q26" s="76" t="str">
        <f t="shared" si="0"/>
        <v>TEXT</v>
      </c>
      <c r="R26" s="76" t="str">
        <f t="shared" si="1"/>
        <v/>
      </c>
      <c r="S26" s="76" t="str">
        <f t="shared" si="5"/>
        <v/>
      </c>
      <c r="T26" s="76" t="str">
        <f t="shared" si="6"/>
        <v>-- 検体フリーコメント</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milscm_2023_010.azn_202310_backup_merge_mml_lb_specimen.specimen_free_comment IS '検体フリーコメント';</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ENT_01_C4-35</v>
      </c>
      <c r="E6" s="272"/>
      <c r="F6" s="272"/>
      <c r="G6" s="272"/>
      <c r="H6" s="272"/>
      <c r="I6" s="272"/>
      <c r="J6" s="273"/>
    </row>
    <row r="7" spans="1:45">
      <c r="B7" s="261" t="s">
        <v>115</v>
      </c>
      <c r="C7" s="262"/>
      <c r="D7" s="263" t="s">
        <v>1618</v>
      </c>
      <c r="E7" s="264"/>
      <c r="F7" s="264"/>
      <c r="G7" s="264"/>
      <c r="H7" s="264"/>
      <c r="I7" s="264"/>
      <c r="J7" s="265"/>
    </row>
    <row r="8" spans="1:45">
      <c r="B8" s="261" t="s">
        <v>116</v>
      </c>
      <c r="C8" s="262"/>
      <c r="D8" s="263" t="str">
        <f>エンティティ一覧!AE2&amp;"_"&amp;D5&amp;"_merge_mml_lb_item"</f>
        <v>azn_202310_backup_merge_mml_lb_item</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検歴情報モジュール_検歴項目情報テーブルから組入れ条件の第一条件で絞り込んだ結果を格納するテーブル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milscm_2023_010.azn_202310_backup_merge_mml_lb_item;</v>
      </c>
      <c r="O10" s="76"/>
      <c r="P10" s="76"/>
      <c r="Q10" s="76"/>
      <c r="R10" s="76"/>
      <c r="S10" s="76"/>
      <c r="T10" s="76"/>
      <c r="AJ10" s="76" t="str">
        <f>"ALTER TABLE ONLY "&amp;エンティティ一覧!$O$2&amp;"."&amp;D$8</f>
        <v>ALTER TABLE ONLY milscm_2023_010.azn_202310_backup_merge_mml_lb_item</v>
      </c>
      <c r="AS10" s="76" t="str">
        <f>"ALTER TABLE "&amp;エンティティ一覧!$O$2&amp;"."&amp;D$8&amp;" OWNER TO pgmisgrp1;"</f>
        <v>ALTER TABLE milscm_2023_010.azn_202310_backup_merge_mml_lb_item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milscm_2023_010.azn_202310_backup_merge_mml_lb_item</v>
      </c>
      <c r="O11" s="76"/>
      <c r="P11" s="76"/>
      <c r="Q11" s="76"/>
      <c r="R11" s="76"/>
      <c r="S11" s="76"/>
      <c r="T11" s="76"/>
      <c r="AJ11" s="76" t="str">
        <f>"ADD CONSTRAINT "&amp;D$8&amp;"_pkey PRIMARY KEY"</f>
        <v>ADD CONSTRAINT azn_202310_backup_merge_mml_lb_item_pkey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milscm_2023_010.azn_202310_backup_merge_mml_lb_item IS 'バックアップ_検歴情報モジュール_検歴項目情報';</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40" si="0">UPPER(G13)</f>
        <v>TEXT</v>
      </c>
      <c r="R13" s="76" t="str">
        <f t="shared" ref="R13:R4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milscm_2023_010.azn_202310_backup_merge_mml_lb_item.torikomi_ym IS '取込年月';</v>
      </c>
    </row>
    <row r="14" spans="1:45" s="25" customFormat="1">
      <c r="A14" s="4"/>
      <c r="B14" s="21">
        <f t="shared" ref="B14:B39" si="2">ROW()-12</f>
        <v>2</v>
      </c>
      <c r="C14" s="6" t="s">
        <v>201</v>
      </c>
      <c r="D14" s="6" t="s">
        <v>202</v>
      </c>
      <c r="E14" s="8"/>
      <c r="F14" s="7" t="s">
        <v>203</v>
      </c>
      <c r="G14" s="7" t="str">
        <f t="shared" ref="G14:G40" si="3">IF(F14="フラグ","boolean",IF(F14="文字列","text",IF(F14="整数","integer",IF(F14="実数","numeric",""))))</f>
        <v>integer</v>
      </c>
      <c r="H14" s="26"/>
      <c r="I14" s="10"/>
      <c r="J14" s="11" t="s">
        <v>1280</v>
      </c>
      <c r="M14" s="4"/>
      <c r="N14" s="76"/>
      <c r="O14" s="76"/>
      <c r="P14" s="76" t="str">
        <f t="shared" ref="P14:P4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milscm_2023_010.azn_202310_backup_merge_mml_lb_item.mil_karute_id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40" si="5">IF(I15="○","NOT NULL","")</f>
        <v>NOT NULL</v>
      </c>
      <c r="T15" s="76" t="str">
        <f t="shared" ref="T15:T40"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milscm_2023_010.azn_202310_backup_merge_mml_lb_item.facility_id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milscm_2023_010.azn_202310_backup_merge_mml_lb_item.shinryo_ymd IS '診療年月日';</v>
      </c>
    </row>
    <row r="17" spans="1:45"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milscm_2023_010.azn_202310_backup_merge_mml_lb_item.data_type IS 'データ種別';</v>
      </c>
    </row>
    <row r="18" spans="1:45"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milscm_2023_010.azn_202310_backup_merge_mml_lb_item.master_id IS '患者ID';</v>
      </c>
    </row>
    <row r="19" spans="1:45"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milscm_2023_010.azn_202310_backup_merge_mml_lb_item.uid IS '文書ユニークID';</v>
      </c>
    </row>
    <row r="20" spans="1:45" s="25" customFormat="1">
      <c r="A20" s="4"/>
      <c r="B20" s="21">
        <f t="shared" si="2"/>
        <v>8</v>
      </c>
      <c r="C20" s="13" t="s">
        <v>1542</v>
      </c>
      <c r="D20" s="13" t="s">
        <v>1543</v>
      </c>
      <c r="E20" s="7" t="s">
        <v>127</v>
      </c>
      <c r="F20" s="7" t="s">
        <v>203</v>
      </c>
      <c r="G20" s="7" t="str">
        <f t="shared" si="3"/>
        <v>integer</v>
      </c>
      <c r="H20" s="58"/>
      <c r="I20" s="23" t="s">
        <v>127</v>
      </c>
      <c r="J20" s="24" t="s">
        <v>1580</v>
      </c>
      <c r="M20" s="4"/>
      <c r="N20" s="76"/>
      <c r="O20" s="76"/>
      <c r="P20" s="76" t="str">
        <f t="shared" si="4"/>
        <v>,kenreki_seq</v>
      </c>
      <c r="Q20" s="76" t="str">
        <f t="shared" si="0"/>
        <v>INTEGER</v>
      </c>
      <c r="R20" s="76" t="str">
        <f t="shared" si="1"/>
        <v/>
      </c>
      <c r="S20" s="76" t="str">
        <f t="shared" si="5"/>
        <v>NOT NULL</v>
      </c>
      <c r="T20" s="76" t="str">
        <f t="shared" si="6"/>
        <v>-- 検歴SEQ</v>
      </c>
      <c r="U20" s="4"/>
      <c r="AA20" s="4"/>
      <c r="AB20" s="4"/>
      <c r="AC20" s="4"/>
      <c r="AD20" s="4"/>
      <c r="AE20" s="4"/>
      <c r="AF20" s="4"/>
      <c r="AG20" s="4"/>
      <c r="AH20" s="4"/>
      <c r="AI20" s="4"/>
      <c r="AJ20" s="76" t="str">
        <f>IF(E20="○",IF(COUNTA(E$13:E20)=1,"",",")&amp;D20,"")</f>
        <v>,kenreki_seq</v>
      </c>
      <c r="AK20" s="4"/>
      <c r="AL20" s="4"/>
      <c r="AM20" s="4"/>
      <c r="AN20" s="4"/>
      <c r="AO20" s="4"/>
      <c r="AP20" s="4"/>
      <c r="AQ20" s="4"/>
      <c r="AR20" s="4"/>
      <c r="AS20" s="76" t="str">
        <f>"COMMENT ON COLUMN "&amp;エンティティ一覧!$O$2&amp;"."&amp;D$8&amp;"."&amp;D20&amp;" IS '"&amp;C20&amp;"';"</f>
        <v>COMMENT ON COLUMN milscm_2023_010.azn_202310_backup_merge_mml_lb_item.kenreki_seq IS '検歴SEQ';</v>
      </c>
    </row>
    <row r="21" spans="1:45" s="25" customFormat="1">
      <c r="A21" s="4"/>
      <c r="B21" s="21">
        <f t="shared" si="2"/>
        <v>9</v>
      </c>
      <c r="C21" s="13" t="s">
        <v>1600</v>
      </c>
      <c r="D21" s="13" t="s">
        <v>1601</v>
      </c>
      <c r="E21" s="7" t="s">
        <v>127</v>
      </c>
      <c r="F21" s="7" t="s">
        <v>203</v>
      </c>
      <c r="G21" s="7" t="str">
        <f t="shared" si="3"/>
        <v>integer</v>
      </c>
      <c r="H21" s="58"/>
      <c r="I21" s="23" t="s">
        <v>127</v>
      </c>
      <c r="J21" s="24" t="s">
        <v>1656</v>
      </c>
      <c r="M21" s="4"/>
      <c r="N21" s="76"/>
      <c r="O21" s="76"/>
      <c r="P21" s="76" t="str">
        <f t="shared" si="4"/>
        <v>,labo_test_seq</v>
      </c>
      <c r="Q21" s="76" t="str">
        <f t="shared" si="0"/>
        <v>INTEGER</v>
      </c>
      <c r="R21" s="76" t="str">
        <f t="shared" si="1"/>
        <v/>
      </c>
      <c r="S21" s="76" t="str">
        <f t="shared" si="5"/>
        <v>NOT NULL</v>
      </c>
      <c r="T21" s="76" t="str">
        <f t="shared" si="6"/>
        <v>-- 検体結果情報SEQ</v>
      </c>
      <c r="U21" s="4"/>
      <c r="AA21" s="4"/>
      <c r="AB21" s="4"/>
      <c r="AC21" s="4"/>
      <c r="AD21" s="4"/>
      <c r="AE21" s="4"/>
      <c r="AF21" s="4"/>
      <c r="AG21" s="4"/>
      <c r="AH21" s="4"/>
      <c r="AI21" s="4"/>
      <c r="AJ21" s="76" t="str">
        <f>IF(E21="○",IF(COUNTA(E$13:E21)=1,"",",")&amp;D21,"")</f>
        <v>,labo_test_seq</v>
      </c>
      <c r="AK21" s="4"/>
      <c r="AL21" s="4"/>
      <c r="AM21" s="4"/>
      <c r="AN21" s="4"/>
      <c r="AO21" s="4"/>
      <c r="AP21" s="4"/>
      <c r="AQ21" s="4"/>
      <c r="AR21" s="4"/>
      <c r="AS21" s="76" t="str">
        <f>"COMMENT ON COLUMN "&amp;エンティティ一覧!$O$2&amp;"."&amp;D$8&amp;"."&amp;D21&amp;" IS '"&amp;C21&amp;"';"</f>
        <v>COMMENT ON COLUMN milscm_2023_010.azn_202310_backup_merge_mml_lb_item.labo_test_seq IS '検体結果情報SEQ';</v>
      </c>
    </row>
    <row r="22" spans="1:45" s="25" customFormat="1">
      <c r="A22" s="4"/>
      <c r="B22" s="21">
        <f t="shared" si="2"/>
        <v>10</v>
      </c>
      <c r="C22" s="13" t="s">
        <v>1619</v>
      </c>
      <c r="D22" s="13" t="s">
        <v>1620</v>
      </c>
      <c r="E22" s="7" t="s">
        <v>127</v>
      </c>
      <c r="F22" s="7" t="s">
        <v>203</v>
      </c>
      <c r="G22" s="7" t="str">
        <f t="shared" si="3"/>
        <v>integer</v>
      </c>
      <c r="H22" s="58"/>
      <c r="I22" s="23" t="s">
        <v>127</v>
      </c>
      <c r="J22" s="24" t="s">
        <v>1657</v>
      </c>
      <c r="M22" s="4"/>
      <c r="N22" s="76"/>
      <c r="O22" s="76"/>
      <c r="P22" s="76" t="str">
        <f t="shared" si="4"/>
        <v>,item_info_seq</v>
      </c>
      <c r="Q22" s="76" t="str">
        <f t="shared" si="0"/>
        <v>INTEGER</v>
      </c>
      <c r="R22" s="76" t="str">
        <f t="shared" si="1"/>
        <v/>
      </c>
      <c r="S22" s="76" t="str">
        <f t="shared" si="5"/>
        <v>NOT NULL</v>
      </c>
      <c r="T22" s="76" t="str">
        <f t="shared" si="6"/>
        <v>-- 項目情報SEQ</v>
      </c>
      <c r="U22" s="4"/>
      <c r="AA22" s="4"/>
      <c r="AB22" s="4"/>
      <c r="AC22" s="4"/>
      <c r="AD22" s="4"/>
      <c r="AE22" s="4"/>
      <c r="AF22" s="4"/>
      <c r="AG22" s="4"/>
      <c r="AH22" s="4"/>
      <c r="AI22" s="4"/>
      <c r="AJ22" s="76" t="str">
        <f>IF(E22="○",IF(COUNTA(E$13:E22)=1,"",",")&amp;D22,"")</f>
        <v>,item_info_seq</v>
      </c>
      <c r="AK22" s="4"/>
      <c r="AL22" s="4"/>
      <c r="AM22" s="4"/>
      <c r="AN22" s="4"/>
      <c r="AO22" s="4"/>
      <c r="AP22" s="4"/>
      <c r="AQ22" s="4"/>
      <c r="AR22" s="4"/>
      <c r="AS22" s="76" t="str">
        <f>"COMMENT ON COLUMN "&amp;エンティティ一覧!$O$2&amp;"."&amp;D$8&amp;"."&amp;D22&amp;" IS '"&amp;C22&amp;"';"</f>
        <v>COMMENT ON COLUMN milscm_2023_010.azn_202310_backup_merge_mml_lb_item.item_info_seq IS '項目情報SEQ';</v>
      </c>
    </row>
    <row r="23" spans="1:45" s="25" customFormat="1">
      <c r="A23" s="4"/>
      <c r="B23" s="21">
        <f t="shared" si="2"/>
        <v>11</v>
      </c>
      <c r="C23" s="13" t="s">
        <v>1621</v>
      </c>
      <c r="D23" s="13" t="s">
        <v>1622</v>
      </c>
      <c r="E23" s="7"/>
      <c r="F23" s="7" t="s">
        <v>863</v>
      </c>
      <c r="G23" s="7" t="str">
        <f t="shared" si="3"/>
        <v>text</v>
      </c>
      <c r="H23" s="58"/>
      <c r="I23" s="23"/>
      <c r="J23" s="24" t="s">
        <v>1658</v>
      </c>
      <c r="M23" s="4"/>
      <c r="N23" s="76"/>
      <c r="O23" s="76"/>
      <c r="P23" s="76" t="str">
        <f t="shared" si="4"/>
        <v>,item_name</v>
      </c>
      <c r="Q23" s="76" t="str">
        <f t="shared" si="0"/>
        <v>TEXT</v>
      </c>
      <c r="R23" s="76" t="str">
        <f t="shared" si="1"/>
        <v/>
      </c>
      <c r="S23" s="76" t="str">
        <f t="shared" si="5"/>
        <v/>
      </c>
      <c r="T23" s="76" t="str">
        <f t="shared" si="6"/>
        <v>-- 項目名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milscm_2023_010.azn_202310_backup_merge_mml_lb_item.item_name IS '項目名';</v>
      </c>
    </row>
    <row r="24" spans="1:45" s="25" customFormat="1">
      <c r="A24" s="4"/>
      <c r="B24" s="21">
        <f t="shared" si="2"/>
        <v>12</v>
      </c>
      <c r="C24" s="13" t="s">
        <v>1623</v>
      </c>
      <c r="D24" s="13" t="s">
        <v>1624</v>
      </c>
      <c r="E24" s="7"/>
      <c r="F24" s="7" t="s">
        <v>863</v>
      </c>
      <c r="G24" s="7" t="str">
        <f t="shared" si="3"/>
        <v>text</v>
      </c>
      <c r="H24" s="58"/>
      <c r="I24" s="23"/>
      <c r="J24" s="24" t="s">
        <v>1659</v>
      </c>
      <c r="M24" s="4"/>
      <c r="N24" s="76"/>
      <c r="O24" s="76"/>
      <c r="P24" s="76" t="str">
        <f t="shared" si="4"/>
        <v>,facility_it_code</v>
      </c>
      <c r="Q24" s="76" t="str">
        <f t="shared" si="0"/>
        <v>TEXT</v>
      </c>
      <c r="R24" s="76" t="str">
        <f t="shared" si="1"/>
        <v/>
      </c>
      <c r="S24" s="76" t="str">
        <f t="shared" si="5"/>
        <v/>
      </c>
      <c r="T24" s="76" t="str">
        <f t="shared" si="6"/>
        <v>-- 施設固有コード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milscm_2023_010.azn_202310_backup_merge_mml_lb_item.facility_it_code IS '施設固有コード';</v>
      </c>
    </row>
    <row r="25" spans="1:45" s="25" customFormat="1">
      <c r="A25" s="4"/>
      <c r="B25" s="21">
        <f t="shared" si="2"/>
        <v>13</v>
      </c>
      <c r="C25" s="13" t="s">
        <v>1625</v>
      </c>
      <c r="D25" s="13" t="s">
        <v>1626</v>
      </c>
      <c r="E25" s="7"/>
      <c r="F25" s="7" t="s">
        <v>863</v>
      </c>
      <c r="G25" s="7" t="str">
        <f t="shared" si="3"/>
        <v>text</v>
      </c>
      <c r="H25" s="58"/>
      <c r="I25" s="23"/>
      <c r="J25" s="24" t="s">
        <v>1660</v>
      </c>
      <c r="M25" s="4"/>
      <c r="N25" s="76"/>
      <c r="O25" s="76"/>
      <c r="P25" s="76" t="str">
        <f t="shared" si="4"/>
        <v>,facility_it_code_id</v>
      </c>
      <c r="Q25" s="76" t="str">
        <f t="shared" si="0"/>
        <v>TEXT</v>
      </c>
      <c r="R25" s="76" t="str">
        <f t="shared" si="1"/>
        <v/>
      </c>
      <c r="S25" s="76" t="str">
        <f t="shared" si="5"/>
        <v/>
      </c>
      <c r="T25" s="76" t="str">
        <f t="shared" si="6"/>
        <v>-- 施設固有コード体系名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milscm_2023_010.azn_202310_backup_merge_mml_lb_item.facility_it_code_id IS '施設固有コード体系名';</v>
      </c>
    </row>
    <row r="26" spans="1:45" s="25" customFormat="1">
      <c r="A26" s="4"/>
      <c r="B26" s="21">
        <f t="shared" si="2"/>
        <v>14</v>
      </c>
      <c r="C26" s="13" t="s">
        <v>1627</v>
      </c>
      <c r="D26" s="13" t="s">
        <v>1628</v>
      </c>
      <c r="E26" s="7"/>
      <c r="F26" s="7" t="s">
        <v>863</v>
      </c>
      <c r="G26" s="7" t="str">
        <f t="shared" si="3"/>
        <v>text</v>
      </c>
      <c r="H26" s="58"/>
      <c r="I26" s="23"/>
      <c r="J26" s="24" t="s">
        <v>1661</v>
      </c>
      <c r="M26" s="4"/>
      <c r="N26" s="76"/>
      <c r="O26" s="76"/>
      <c r="P26" s="76" t="str">
        <f t="shared" si="4"/>
        <v>,jlac10_a_code</v>
      </c>
      <c r="Q26" s="76" t="str">
        <f t="shared" si="0"/>
        <v>TEXT</v>
      </c>
      <c r="R26" s="76" t="str">
        <f t="shared" si="1"/>
        <v/>
      </c>
      <c r="S26" s="76" t="str">
        <f t="shared" si="5"/>
        <v/>
      </c>
      <c r="T26" s="76" t="str">
        <f t="shared" si="6"/>
        <v>-- JLAC10の分析物コード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milscm_2023_010.azn_202310_backup_merge_mml_lb_item.jlac10_a_code IS 'JLAC10の分析物コード';</v>
      </c>
    </row>
    <row r="27" spans="1:45" s="25" customFormat="1">
      <c r="A27" s="4"/>
      <c r="B27" s="21">
        <f t="shared" si="2"/>
        <v>15</v>
      </c>
      <c r="C27" s="13" t="s">
        <v>1629</v>
      </c>
      <c r="D27" s="13" t="s">
        <v>1630</v>
      </c>
      <c r="E27" s="7"/>
      <c r="F27" s="7" t="s">
        <v>863</v>
      </c>
      <c r="G27" s="7" t="str">
        <f t="shared" si="3"/>
        <v>text</v>
      </c>
      <c r="H27" s="58"/>
      <c r="I27" s="23"/>
      <c r="J27" s="24" t="s">
        <v>1662</v>
      </c>
      <c r="M27" s="4"/>
      <c r="N27" s="76"/>
      <c r="O27" s="76"/>
      <c r="P27" s="76" t="str">
        <f t="shared" si="4"/>
        <v>,jlac10_i_code</v>
      </c>
      <c r="Q27" s="76" t="str">
        <f t="shared" si="0"/>
        <v>TEXT</v>
      </c>
      <c r="R27" s="76" t="str">
        <f t="shared" si="1"/>
        <v/>
      </c>
      <c r="S27" s="76" t="str">
        <f t="shared" si="5"/>
        <v/>
      </c>
      <c r="T27" s="76" t="str">
        <f t="shared" si="6"/>
        <v>-- JLAC10の識別コード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milscm_2023_010.azn_202310_backup_merge_mml_lb_item.jlac10_i_code IS 'JLAC10の識別コード';</v>
      </c>
    </row>
    <row r="28" spans="1:45" s="25" customFormat="1">
      <c r="A28" s="4"/>
      <c r="B28" s="21">
        <f t="shared" si="2"/>
        <v>16</v>
      </c>
      <c r="C28" s="13" t="s">
        <v>1631</v>
      </c>
      <c r="D28" s="13" t="s">
        <v>1632</v>
      </c>
      <c r="E28" s="7"/>
      <c r="F28" s="7" t="s">
        <v>863</v>
      </c>
      <c r="G28" s="7" t="str">
        <f t="shared" si="3"/>
        <v>text</v>
      </c>
      <c r="H28" s="58"/>
      <c r="I28" s="23"/>
      <c r="J28" s="24" t="s">
        <v>1663</v>
      </c>
      <c r="M28" s="4"/>
      <c r="N28" s="76"/>
      <c r="O28" s="76"/>
      <c r="P28" s="76" t="str">
        <f t="shared" si="4"/>
        <v>,jlac10_s_code</v>
      </c>
      <c r="Q28" s="76" t="str">
        <f t="shared" si="0"/>
        <v>TEXT</v>
      </c>
      <c r="R28" s="76" t="str">
        <f t="shared" si="1"/>
        <v/>
      </c>
      <c r="S28" s="76" t="str">
        <f t="shared" si="5"/>
        <v/>
      </c>
      <c r="T28" s="76" t="str">
        <f t="shared" si="6"/>
        <v>-- JLAC10の材料コード</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milscm_2023_010.azn_202310_backup_merge_mml_lb_item.jlac10_s_code IS 'JLAC10の材料コード';</v>
      </c>
    </row>
    <row r="29" spans="1:45" s="25" customFormat="1">
      <c r="A29" s="4"/>
      <c r="B29" s="21">
        <f t="shared" si="2"/>
        <v>17</v>
      </c>
      <c r="C29" s="13" t="s">
        <v>1633</v>
      </c>
      <c r="D29" s="13" t="s">
        <v>1634</v>
      </c>
      <c r="E29" s="7"/>
      <c r="F29" s="7" t="s">
        <v>863</v>
      </c>
      <c r="G29" s="7" t="str">
        <f t="shared" si="3"/>
        <v>text</v>
      </c>
      <c r="H29" s="58"/>
      <c r="I29" s="23"/>
      <c r="J29" s="24" t="s">
        <v>1664</v>
      </c>
      <c r="M29" s="4"/>
      <c r="N29" s="76"/>
      <c r="O29" s="76"/>
      <c r="P29" s="76" t="str">
        <f t="shared" si="4"/>
        <v>,jlac10_m_code</v>
      </c>
      <c r="Q29" s="76" t="str">
        <f t="shared" si="0"/>
        <v>TEXT</v>
      </c>
      <c r="R29" s="76" t="str">
        <f t="shared" si="1"/>
        <v/>
      </c>
      <c r="S29" s="76" t="str">
        <f t="shared" si="5"/>
        <v/>
      </c>
      <c r="T29" s="76" t="str">
        <f t="shared" si="6"/>
        <v>-- JLAC10の測定法コード</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milscm_2023_010.azn_202310_backup_merge_mml_lb_item.jlac10_m_code IS 'JLAC10の測定法コード';</v>
      </c>
    </row>
    <row r="30" spans="1:45" s="25" customFormat="1">
      <c r="A30" s="4"/>
      <c r="B30" s="21">
        <f t="shared" si="2"/>
        <v>18</v>
      </c>
      <c r="C30" s="13" t="s">
        <v>1635</v>
      </c>
      <c r="D30" s="13" t="s">
        <v>1636</v>
      </c>
      <c r="E30" s="7"/>
      <c r="F30" s="7" t="s">
        <v>863</v>
      </c>
      <c r="G30" s="7" t="str">
        <f t="shared" si="3"/>
        <v>text</v>
      </c>
      <c r="H30" s="58"/>
      <c r="I30" s="23"/>
      <c r="J30" s="24" t="s">
        <v>1665</v>
      </c>
      <c r="M30" s="4"/>
      <c r="N30" s="76"/>
      <c r="O30" s="76"/>
      <c r="P30" s="76" t="str">
        <f t="shared" si="4"/>
        <v>,jlac10_r_code</v>
      </c>
      <c r="Q30" s="76" t="str">
        <f t="shared" si="0"/>
        <v>TEXT</v>
      </c>
      <c r="R30" s="76" t="str">
        <f t="shared" si="1"/>
        <v/>
      </c>
      <c r="S30" s="76" t="str">
        <f t="shared" si="5"/>
        <v/>
      </c>
      <c r="T30" s="76" t="str">
        <f t="shared" si="6"/>
        <v>-- JLAC10の結果識別コード</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milscm_2023_010.azn_202310_backup_merge_mml_lb_item.jlac10_r_code IS 'JLAC10の結果識別コード';</v>
      </c>
    </row>
    <row r="31" spans="1:45" s="25" customFormat="1">
      <c r="A31" s="4"/>
      <c r="B31" s="21">
        <f t="shared" si="2"/>
        <v>19</v>
      </c>
      <c r="C31" s="13" t="s">
        <v>1637</v>
      </c>
      <c r="D31" s="13" t="s">
        <v>1638</v>
      </c>
      <c r="E31" s="7"/>
      <c r="F31" s="7" t="s">
        <v>863</v>
      </c>
      <c r="G31" s="7" t="str">
        <f t="shared" si="3"/>
        <v>text</v>
      </c>
      <c r="H31" s="58"/>
      <c r="I31" s="23"/>
      <c r="J31" s="24" t="s">
        <v>1666</v>
      </c>
      <c r="M31" s="4"/>
      <c r="N31" s="76"/>
      <c r="O31" s="76"/>
      <c r="P31" s="76" t="str">
        <f t="shared" si="4"/>
        <v>,value</v>
      </c>
      <c r="Q31" s="76" t="str">
        <f t="shared" si="0"/>
        <v>TEXT</v>
      </c>
      <c r="R31" s="76" t="str">
        <f t="shared" si="1"/>
        <v/>
      </c>
      <c r="S31" s="76" t="str">
        <f t="shared" si="5"/>
        <v/>
      </c>
      <c r="T31" s="76" t="str">
        <f t="shared" si="6"/>
        <v>-- 検査結果値</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milscm_2023_010.azn_202310_backup_merge_mml_lb_item.value IS '検査結果値';</v>
      </c>
    </row>
    <row r="32" spans="1:45" s="25" customFormat="1">
      <c r="A32" s="4"/>
      <c r="B32" s="21">
        <f t="shared" si="2"/>
        <v>20</v>
      </c>
      <c r="C32" s="13" t="s">
        <v>1639</v>
      </c>
      <c r="D32" s="13" t="s">
        <v>1640</v>
      </c>
      <c r="E32" s="7"/>
      <c r="F32" s="7" t="s">
        <v>863</v>
      </c>
      <c r="G32" s="7" t="str">
        <f t="shared" si="3"/>
        <v>text</v>
      </c>
      <c r="H32" s="58"/>
      <c r="I32" s="23"/>
      <c r="J32" s="24" t="s">
        <v>1667</v>
      </c>
      <c r="M32" s="4"/>
      <c r="N32" s="76"/>
      <c r="O32" s="76"/>
      <c r="P32" s="76" t="str">
        <f t="shared" si="4"/>
        <v>,num_value</v>
      </c>
      <c r="Q32" s="76" t="str">
        <f t="shared" si="0"/>
        <v>TEXT</v>
      </c>
      <c r="R32" s="76" t="str">
        <f t="shared" si="1"/>
        <v/>
      </c>
      <c r="S32" s="76" t="str">
        <f t="shared" si="5"/>
        <v/>
      </c>
      <c r="T32" s="76" t="str">
        <f t="shared" si="6"/>
        <v>-- 数値結果</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milscm_2023_010.azn_202310_backup_merge_mml_lb_item.num_value IS '数値結果';</v>
      </c>
    </row>
    <row r="33" spans="1:52" s="25" customFormat="1">
      <c r="A33" s="4"/>
      <c r="B33" s="21">
        <f t="shared" si="2"/>
        <v>21</v>
      </c>
      <c r="C33" s="13" t="s">
        <v>1641</v>
      </c>
      <c r="D33" s="13" t="s">
        <v>1642</v>
      </c>
      <c r="E33" s="7"/>
      <c r="F33" s="7" t="s">
        <v>863</v>
      </c>
      <c r="G33" s="7" t="str">
        <f t="shared" si="3"/>
        <v>text</v>
      </c>
      <c r="H33" s="58"/>
      <c r="I33" s="23"/>
      <c r="J33" s="24" t="s">
        <v>1668</v>
      </c>
      <c r="M33" s="4"/>
      <c r="N33" s="76"/>
      <c r="O33" s="76"/>
      <c r="P33" s="76" t="str">
        <f t="shared" si="4"/>
        <v>,up_value</v>
      </c>
      <c r="Q33" s="76" t="str">
        <f t="shared" si="0"/>
        <v>TEXT</v>
      </c>
      <c r="R33" s="76" t="str">
        <f t="shared" si="1"/>
        <v/>
      </c>
      <c r="S33" s="76" t="str">
        <f t="shared" si="5"/>
        <v/>
      </c>
      <c r="T33" s="76" t="str">
        <f t="shared" si="6"/>
        <v>-- 上限値</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milscm_2023_010.azn_202310_backup_merge_mml_lb_item.up_value IS '上限値';</v>
      </c>
    </row>
    <row r="34" spans="1:52" s="25" customFormat="1">
      <c r="A34" s="4"/>
      <c r="B34" s="21">
        <f t="shared" si="2"/>
        <v>22</v>
      </c>
      <c r="C34" s="13" t="s">
        <v>1643</v>
      </c>
      <c r="D34" s="13" t="s">
        <v>1644</v>
      </c>
      <c r="E34" s="7"/>
      <c r="F34" s="7" t="s">
        <v>863</v>
      </c>
      <c r="G34" s="7" t="str">
        <f t="shared" si="3"/>
        <v>text</v>
      </c>
      <c r="H34" s="58"/>
      <c r="I34" s="23"/>
      <c r="J34" s="24" t="s">
        <v>1669</v>
      </c>
      <c r="M34" s="4"/>
      <c r="N34" s="76"/>
      <c r="O34" s="76"/>
      <c r="P34" s="76" t="str">
        <f t="shared" si="4"/>
        <v>,low_value</v>
      </c>
      <c r="Q34" s="76" t="str">
        <f t="shared" si="0"/>
        <v>TEXT</v>
      </c>
      <c r="R34" s="76" t="str">
        <f t="shared" si="1"/>
        <v/>
      </c>
      <c r="S34" s="76" t="str">
        <f t="shared" si="5"/>
        <v/>
      </c>
      <c r="T34" s="76" t="str">
        <f t="shared" si="6"/>
        <v>-- 下限値</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milscm_2023_010.azn_202310_backup_merge_mml_lb_item.low_value IS '下限値';</v>
      </c>
    </row>
    <row r="35" spans="1:52" s="25" customFormat="1">
      <c r="A35" s="4"/>
      <c r="B35" s="21">
        <f t="shared" si="2"/>
        <v>23</v>
      </c>
      <c r="C35" s="13" t="s">
        <v>1645</v>
      </c>
      <c r="D35" s="13" t="s">
        <v>1646</v>
      </c>
      <c r="E35" s="7"/>
      <c r="F35" s="7" t="s">
        <v>863</v>
      </c>
      <c r="G35" s="7" t="str">
        <f t="shared" si="3"/>
        <v>text</v>
      </c>
      <c r="H35" s="58"/>
      <c r="I35" s="23"/>
      <c r="J35" s="24" t="s">
        <v>1670</v>
      </c>
      <c r="M35" s="4"/>
      <c r="N35" s="76"/>
      <c r="O35" s="76"/>
      <c r="P35" s="76" t="str">
        <f t="shared" si="4"/>
        <v>,normal_value</v>
      </c>
      <c r="Q35" s="76" t="str">
        <f t="shared" si="0"/>
        <v>TEXT</v>
      </c>
      <c r="R35" s="76" t="str">
        <f t="shared" si="1"/>
        <v/>
      </c>
      <c r="S35" s="76" t="str">
        <f t="shared" si="5"/>
        <v/>
      </c>
      <c r="T35" s="76" t="str">
        <f t="shared" si="6"/>
        <v>-- 文字列で示す基準値</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milscm_2023_010.azn_202310_backup_merge_mml_lb_item.normal_value IS '文字列で示す基準値';</v>
      </c>
    </row>
    <row r="36" spans="1:52" s="25" customFormat="1" ht="56.25">
      <c r="A36" s="4"/>
      <c r="B36" s="21">
        <f t="shared" si="2"/>
        <v>24</v>
      </c>
      <c r="C36" s="13" t="s">
        <v>1647</v>
      </c>
      <c r="D36" s="13" t="s">
        <v>1648</v>
      </c>
      <c r="E36" s="7"/>
      <c r="F36" s="7" t="s">
        <v>863</v>
      </c>
      <c r="G36" s="7" t="str">
        <f t="shared" ref="G36:G37" si="7">IF(F36="フラグ","boolean",IF(F36="文字列","text",IF(F36="整数","integer",IF(F36="実数","numeric",""))))</f>
        <v>text</v>
      </c>
      <c r="H36" s="58"/>
      <c r="I36" s="23"/>
      <c r="J36" s="24" t="s">
        <v>1671</v>
      </c>
      <c r="M36" s="4"/>
      <c r="N36" s="76"/>
      <c r="O36" s="76"/>
      <c r="P36" s="76" t="str">
        <f t="shared" ref="P36:P37" si="8">IF(B36&lt;&gt;1,","&amp;D36,D36)</f>
        <v>,out_flag</v>
      </c>
      <c r="Q36" s="76" t="str">
        <f t="shared" ref="Q36:Q37" si="9">UPPER(G36)</f>
        <v>TEXT</v>
      </c>
      <c r="R36" s="76" t="str">
        <f t="shared" ref="R36:R37" si="10">IF(H36&lt;&gt;"","default "&amp;IF(G36="text","'"&amp;H36&amp;"'",H36),"")</f>
        <v/>
      </c>
      <c r="S36" s="76" t="str">
        <f t="shared" ref="S36:S37" si="11">IF(I36="○","NOT NULL","")</f>
        <v/>
      </c>
      <c r="T36" s="76" t="str">
        <f t="shared" ref="T36:T37" si="12">"-- "&amp;C36</f>
        <v>-- 異常値フラグ</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milscm_2023_010.azn_202310_backup_merge_mml_lb_item.out_flag IS '異常値フラグ';</v>
      </c>
    </row>
    <row r="37" spans="1:52" s="25" customFormat="1">
      <c r="A37" s="4"/>
      <c r="B37" s="21">
        <f t="shared" si="2"/>
        <v>25</v>
      </c>
      <c r="C37" s="13" t="s">
        <v>1649</v>
      </c>
      <c r="D37" s="13" t="s">
        <v>275</v>
      </c>
      <c r="E37" s="7"/>
      <c r="F37" s="7" t="s">
        <v>863</v>
      </c>
      <c r="G37" s="7" t="str">
        <f t="shared" si="7"/>
        <v>text</v>
      </c>
      <c r="H37" s="58"/>
      <c r="I37" s="23"/>
      <c r="J37" s="24" t="s">
        <v>1672</v>
      </c>
      <c r="M37" s="4"/>
      <c r="N37" s="76"/>
      <c r="O37" s="76"/>
      <c r="P37" s="76" t="str">
        <f t="shared" si="8"/>
        <v>,unit</v>
      </c>
      <c r="Q37" s="76" t="str">
        <f t="shared" si="9"/>
        <v>TEXT</v>
      </c>
      <c r="R37" s="76" t="str">
        <f t="shared" si="10"/>
        <v/>
      </c>
      <c r="S37" s="76" t="str">
        <f t="shared" si="11"/>
        <v/>
      </c>
      <c r="T37" s="76" t="str">
        <f t="shared" si="12"/>
        <v>-- 単位</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milscm_2023_010.azn_202310_backup_merge_mml_lb_item.unit IS '単位';</v>
      </c>
    </row>
    <row r="38" spans="1:52" s="25" customFormat="1" ht="37.5">
      <c r="A38" s="4"/>
      <c r="B38" s="21">
        <f t="shared" si="2"/>
        <v>26</v>
      </c>
      <c r="C38" s="13" t="s">
        <v>1650</v>
      </c>
      <c r="D38" s="13" t="s">
        <v>1651</v>
      </c>
      <c r="E38" s="7"/>
      <c r="F38" s="7" t="s">
        <v>863</v>
      </c>
      <c r="G38" s="7" t="str">
        <f t="shared" si="3"/>
        <v>text</v>
      </c>
      <c r="H38" s="58"/>
      <c r="I38" s="23"/>
      <c r="J38" s="24" t="s">
        <v>1673</v>
      </c>
      <c r="M38" s="4"/>
      <c r="N38" s="76"/>
      <c r="O38" s="76"/>
      <c r="P38" s="76" t="str">
        <f t="shared" si="4"/>
        <v>,unit_code</v>
      </c>
      <c r="Q38" s="76" t="str">
        <f t="shared" si="0"/>
        <v>TEXT</v>
      </c>
      <c r="R38" s="76" t="str">
        <f t="shared" si="1"/>
        <v/>
      </c>
      <c r="S38" s="76" t="str">
        <f t="shared" si="5"/>
        <v/>
      </c>
      <c r="T38" s="76" t="str">
        <f t="shared" si="6"/>
        <v>-- 単位コード</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milscm_2023_010.azn_202310_backup_merge_mml_lb_item.unit_code IS '単位コード';</v>
      </c>
    </row>
    <row r="39" spans="1:52" s="25" customFormat="1" ht="37.5">
      <c r="A39" s="4"/>
      <c r="B39" s="21">
        <f t="shared" si="2"/>
        <v>27</v>
      </c>
      <c r="C39" s="13" t="s">
        <v>1652</v>
      </c>
      <c r="D39" s="13" t="s">
        <v>1653</v>
      </c>
      <c r="E39" s="7"/>
      <c r="F39" s="7" t="s">
        <v>863</v>
      </c>
      <c r="G39" s="7" t="str">
        <f t="shared" si="3"/>
        <v>text</v>
      </c>
      <c r="H39" s="58"/>
      <c r="I39" s="23"/>
      <c r="J39" s="24" t="s">
        <v>1674</v>
      </c>
      <c r="M39" s="4"/>
      <c r="N39" s="76"/>
      <c r="O39" s="76"/>
      <c r="P39" s="76" t="str">
        <f t="shared" si="4"/>
        <v>,unit_code_id</v>
      </c>
      <c r="Q39" s="76" t="str">
        <f t="shared" si="0"/>
        <v>TEXT</v>
      </c>
      <c r="R39" s="76" t="str">
        <f t="shared" si="1"/>
        <v/>
      </c>
      <c r="S39" s="76" t="str">
        <f t="shared" si="5"/>
        <v/>
      </c>
      <c r="T39" s="76" t="str">
        <f t="shared" si="6"/>
        <v>-- 単位コードID</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milscm_2023_010.azn_202310_backup_merge_mml_lb_item.unit_code_id IS '単位コードID';</v>
      </c>
    </row>
    <row r="40" spans="1:52" s="25" customFormat="1" ht="19.5" thickBot="1">
      <c r="A40" s="4"/>
      <c r="B40" s="27">
        <f>ROW()-12</f>
        <v>28</v>
      </c>
      <c r="C40" s="57" t="s">
        <v>1654</v>
      </c>
      <c r="D40" s="57" t="s">
        <v>1655</v>
      </c>
      <c r="E40" s="56"/>
      <c r="F40" s="56" t="s">
        <v>863</v>
      </c>
      <c r="G40" s="56" t="str">
        <f t="shared" si="3"/>
        <v>text</v>
      </c>
      <c r="H40" s="59"/>
      <c r="I40" s="60"/>
      <c r="J40" s="63" t="s">
        <v>1675</v>
      </c>
      <c r="N40" s="76"/>
      <c r="O40" s="76"/>
      <c r="P40" s="76" t="str">
        <f t="shared" si="4"/>
        <v>,item_free_comment</v>
      </c>
      <c r="Q40" s="76" t="str">
        <f t="shared" si="0"/>
        <v>TEXT</v>
      </c>
      <c r="R40" s="76" t="str">
        <f t="shared" si="1"/>
        <v/>
      </c>
      <c r="S40" s="76" t="str">
        <f t="shared" si="5"/>
        <v/>
      </c>
      <c r="T40" s="76" t="str">
        <f t="shared" si="6"/>
        <v>-- 項目フリーコメント</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milscm_2023_010.azn_202310_backup_merge_mml_lb_item.item_free_comment IS '項目フリーコメント';</v>
      </c>
    </row>
    <row r="41" spans="1:52">
      <c r="L41" s="25"/>
      <c r="M41" s="25"/>
      <c r="N41" s="76" t="s">
        <v>142</v>
      </c>
      <c r="O41" s="76"/>
      <c r="P41" s="76"/>
      <c r="Q41" s="76"/>
      <c r="R41" s="76"/>
      <c r="S41" s="76"/>
      <c r="T41" s="76"/>
      <c r="V41" s="25"/>
      <c r="W41" s="25"/>
      <c r="X41" s="25"/>
      <c r="Y41" s="25"/>
      <c r="Z41" s="25"/>
      <c r="AJ41" s="76" t="s">
        <v>142</v>
      </c>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V56" s="25"/>
      <c r="AW56" s="25"/>
      <c r="AX56" s="25"/>
      <c r="AY56" s="25"/>
      <c r="AZ56" s="25"/>
    </row>
    <row r="57" spans="12:52">
      <c r="M57" s="25"/>
    </row>
    <row r="58" spans="12:52">
      <c r="M58" s="25"/>
    </row>
    <row r="59" spans="12:52">
      <c r="M59" s="25"/>
    </row>
    <row r="60" spans="12:52">
      <c r="M60" s="25"/>
    </row>
    <row r="61" spans="12:52">
      <c r="M61" s="25"/>
    </row>
    <row r="62" spans="12:52">
      <c r="M6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ENT_01_C4-37</v>
      </c>
      <c r="E6" s="272"/>
      <c r="F6" s="272"/>
      <c r="G6" s="272"/>
      <c r="H6" s="272"/>
      <c r="I6" s="272"/>
      <c r="J6" s="273"/>
    </row>
    <row r="7" spans="1:45">
      <c r="B7" s="261" t="s">
        <v>115</v>
      </c>
      <c r="C7" s="262"/>
      <c r="D7" s="263" t="s">
        <v>1676</v>
      </c>
      <c r="E7" s="264"/>
      <c r="F7" s="264"/>
      <c r="G7" s="264"/>
      <c r="H7" s="264"/>
      <c r="I7" s="264"/>
      <c r="J7" s="265"/>
    </row>
    <row r="8" spans="1:45">
      <c r="B8" s="261" t="s">
        <v>116</v>
      </c>
      <c r="C8" s="262"/>
      <c r="D8" s="263" t="str">
        <f>エンティティ一覧!AE2&amp;"_"&amp;D5&amp;"_merge_mml_vs_vitalsign"</f>
        <v>azn_202310_backup_merge_mml_vs_vitalsign</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バイタルサインモジュール_バイタルサインテーブルから組入れ条件の第一条件で絞り込んだ結果を格納するテーブル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milscm_2023_010.azn_202310_backup_merge_mml_vs_vitalsign;</v>
      </c>
      <c r="O10" s="76"/>
      <c r="P10" s="76"/>
      <c r="Q10" s="76"/>
      <c r="R10" s="76"/>
      <c r="S10" s="76"/>
      <c r="T10" s="76"/>
      <c r="AJ10" s="76" t="str">
        <f>"ALTER TABLE ONLY "&amp;エンティティ一覧!$O$2&amp;"."&amp;D$8</f>
        <v>ALTER TABLE ONLY milscm_2023_010.azn_202310_backup_merge_mml_vs_vitalsign</v>
      </c>
      <c r="AS10" s="76" t="str">
        <f>"ALTER TABLE "&amp;エンティティ一覧!$O$2&amp;"."&amp;D$8&amp;" OWNER TO pgmisgrp1;"</f>
        <v>ALTER TABLE milscm_2023_010.azn_202310_backup_merge_mml_vs_vitalsign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milscm_2023_010.azn_202310_backup_merge_mml_vs_vitalsign</v>
      </c>
      <c r="O11" s="76"/>
      <c r="P11" s="76"/>
      <c r="Q11" s="76"/>
      <c r="R11" s="76"/>
      <c r="S11" s="76"/>
      <c r="T11" s="76"/>
      <c r="AJ11" s="76" t="str">
        <f>"ADD CONSTRAINT "&amp;D$8&amp;"_pkey PRIMARY KEY"</f>
        <v>ADD CONSTRAINT azn_202310_backup_merge_mml_vs_vitalsign_pkey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milscm_2023_010.azn_202310_backup_merge_mml_vs_vitalsign IS 'バックアップ_バイタルサインモジュール_バイタルサイン';</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2" si="0">UPPER(G13)</f>
        <v>TEXT</v>
      </c>
      <c r="R13" s="76" t="str">
        <f t="shared" ref="R13:R32"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milscm_2023_010.azn_202310_backup_merge_mml_vs_vitalsign.torikomi_ym IS '取込年月';</v>
      </c>
    </row>
    <row r="14" spans="1:45" s="25" customFormat="1">
      <c r="A14" s="4"/>
      <c r="B14" s="21">
        <f t="shared" ref="B14:B31" si="2">ROW()-12</f>
        <v>2</v>
      </c>
      <c r="C14" s="6" t="s">
        <v>201</v>
      </c>
      <c r="D14" s="6" t="s">
        <v>202</v>
      </c>
      <c r="E14" s="8"/>
      <c r="F14" s="7" t="s">
        <v>203</v>
      </c>
      <c r="G14" s="7" t="str">
        <f t="shared" ref="G14:G32" si="3">IF(F14="フラグ","boolean",IF(F14="文字列","text",IF(F14="整数","integer",IF(F14="実数","numeric",""))))</f>
        <v>integer</v>
      </c>
      <c r="H14" s="26"/>
      <c r="I14" s="10"/>
      <c r="J14" s="11" t="s">
        <v>1280</v>
      </c>
      <c r="M14" s="4"/>
      <c r="N14" s="76"/>
      <c r="O14" s="76"/>
      <c r="P14" s="76" t="str">
        <f t="shared" ref="P14:P32"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milscm_2023_010.azn_202310_backup_merge_mml_vs_vitalsign.mil_karute_id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32" si="5">IF(I15="○","NOT NULL","")</f>
        <v>NOT NULL</v>
      </c>
      <c r="T15" s="76" t="str">
        <f t="shared" ref="T15:T32"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milscm_2023_010.azn_202310_backup_merge_mml_vs_vitalsign.facility_id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milscm_2023_010.azn_202310_backup_merge_mml_vs_vitalsign.shinryo_ymd IS '診療年月日';</v>
      </c>
    </row>
    <row r="17" spans="1:45"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milscm_2023_010.azn_202310_backup_merge_mml_vs_vitalsign.data_type IS 'データ種別';</v>
      </c>
    </row>
    <row r="18" spans="1:45"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milscm_2023_010.azn_202310_backup_merge_mml_vs_vitalsign.master_id IS '患者ID';</v>
      </c>
    </row>
    <row r="19" spans="1:45"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milscm_2023_010.azn_202310_backup_merge_mml_vs_vitalsign.uid IS '文書ユニークID';</v>
      </c>
    </row>
    <row r="20" spans="1:45" s="25" customFormat="1">
      <c r="A20" s="4"/>
      <c r="B20" s="21">
        <f t="shared" si="2"/>
        <v>8</v>
      </c>
      <c r="C20" s="13" t="s">
        <v>1677</v>
      </c>
      <c r="D20" s="13" t="s">
        <v>1678</v>
      </c>
      <c r="E20" s="7" t="s">
        <v>127</v>
      </c>
      <c r="F20" s="7" t="s">
        <v>203</v>
      </c>
      <c r="G20" s="7" t="str">
        <f t="shared" si="3"/>
        <v>integer</v>
      </c>
      <c r="H20" s="58"/>
      <c r="I20" s="23" t="s">
        <v>127</v>
      </c>
      <c r="J20" s="24" t="s">
        <v>1700</v>
      </c>
      <c r="M20" s="4"/>
      <c r="N20" s="76"/>
      <c r="O20" s="76"/>
      <c r="P20" s="76" t="str">
        <f t="shared" si="4"/>
        <v>,vital_seq</v>
      </c>
      <c r="Q20" s="76" t="str">
        <f t="shared" si="0"/>
        <v>INTEGER</v>
      </c>
      <c r="R20" s="76" t="str">
        <f t="shared" si="1"/>
        <v/>
      </c>
      <c r="S20" s="76" t="str">
        <f t="shared" si="5"/>
        <v>NOT NULL</v>
      </c>
      <c r="T20" s="76" t="str">
        <f t="shared" si="6"/>
        <v>-- バイタルSEQ</v>
      </c>
      <c r="U20" s="4"/>
      <c r="AA20" s="4"/>
      <c r="AB20" s="4"/>
      <c r="AC20" s="4"/>
      <c r="AD20" s="4"/>
      <c r="AE20" s="4"/>
      <c r="AF20" s="4"/>
      <c r="AG20" s="4"/>
      <c r="AH20" s="4"/>
      <c r="AI20" s="4"/>
      <c r="AJ20" s="76" t="str">
        <f>IF(E20="○",IF(COUNTA(E$13:E20)=1,"",",")&amp;D20,"")</f>
        <v>,vital_seq</v>
      </c>
      <c r="AK20" s="4"/>
      <c r="AL20" s="4"/>
      <c r="AM20" s="4"/>
      <c r="AN20" s="4"/>
      <c r="AO20" s="4"/>
      <c r="AP20" s="4"/>
      <c r="AQ20" s="4"/>
      <c r="AR20" s="4"/>
      <c r="AS20" s="76" t="str">
        <f>"COMMENT ON COLUMN "&amp;エンティティ一覧!$O$2&amp;"."&amp;D$8&amp;"."&amp;D20&amp;" IS '"&amp;C20&amp;"';"</f>
        <v>COMMENT ON COLUMN milscm_2023_010.azn_202310_backup_merge_mml_vs_vitalsign.vital_seq IS 'バイタルSEQ';</v>
      </c>
    </row>
    <row r="21" spans="1:45" s="25" customFormat="1">
      <c r="A21" s="4"/>
      <c r="B21" s="21">
        <f t="shared" si="2"/>
        <v>9</v>
      </c>
      <c r="C21" s="13" t="s">
        <v>1679</v>
      </c>
      <c r="D21" s="13" t="s">
        <v>1680</v>
      </c>
      <c r="E21" s="7"/>
      <c r="F21" s="7" t="s">
        <v>863</v>
      </c>
      <c r="G21" s="7" t="str">
        <f t="shared" si="3"/>
        <v>text</v>
      </c>
      <c r="H21" s="58"/>
      <c r="I21" s="23"/>
      <c r="J21" s="24" t="s">
        <v>1701</v>
      </c>
      <c r="M21" s="4"/>
      <c r="N21" s="76"/>
      <c r="O21" s="76"/>
      <c r="P21" s="76" t="str">
        <f t="shared" si="4"/>
        <v>,department_name</v>
      </c>
      <c r="Q21" s="76" t="str">
        <f t="shared" si="0"/>
        <v>TEXT</v>
      </c>
      <c r="R21" s="76" t="str">
        <f t="shared" si="1"/>
        <v/>
      </c>
      <c r="S21" s="76" t="str">
        <f t="shared" si="5"/>
        <v/>
      </c>
      <c r="T21" s="76" t="str">
        <f t="shared" si="6"/>
        <v>-- 診療科名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milscm_2023_010.azn_202310_backup_merge_mml_vs_vitalsign.department_name IS '診療科名';</v>
      </c>
    </row>
    <row r="22" spans="1:45" s="25" customFormat="1" ht="37.5">
      <c r="A22" s="4"/>
      <c r="B22" s="21">
        <f t="shared" si="2"/>
        <v>10</v>
      </c>
      <c r="C22" s="13" t="s">
        <v>601</v>
      </c>
      <c r="D22" s="13" t="s">
        <v>1681</v>
      </c>
      <c r="E22" s="7"/>
      <c r="F22" s="7" t="s">
        <v>863</v>
      </c>
      <c r="G22" s="7" t="str">
        <f t="shared" si="3"/>
        <v>text</v>
      </c>
      <c r="H22" s="58"/>
      <c r="I22" s="23"/>
      <c r="J22" s="24" t="s">
        <v>1702</v>
      </c>
      <c r="M22" s="4"/>
      <c r="N22" s="76"/>
      <c r="O22" s="76"/>
      <c r="P22" s="76" t="str">
        <f t="shared" si="4"/>
        <v>,department_code</v>
      </c>
      <c r="Q22" s="76" t="str">
        <f t="shared" si="0"/>
        <v>TEXT</v>
      </c>
      <c r="R22" s="76" t="str">
        <f t="shared" si="1"/>
        <v/>
      </c>
      <c r="S22" s="76" t="str">
        <f t="shared" si="5"/>
        <v/>
      </c>
      <c r="T22" s="76" t="str">
        <f t="shared" si="6"/>
        <v>-- 診療科コード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milscm_2023_010.azn_202310_backup_merge_mml_vs_vitalsign.department_code IS '診療科コード';</v>
      </c>
    </row>
    <row r="23" spans="1:45" s="25" customFormat="1">
      <c r="A23" s="4"/>
      <c r="B23" s="21">
        <f t="shared" si="2"/>
        <v>11</v>
      </c>
      <c r="C23" s="13" t="s">
        <v>1682</v>
      </c>
      <c r="D23" s="13" t="s">
        <v>1683</v>
      </c>
      <c r="E23" s="7"/>
      <c r="F23" s="7" t="s">
        <v>863</v>
      </c>
      <c r="G23" s="7" t="str">
        <f t="shared" si="3"/>
        <v>text</v>
      </c>
      <c r="H23" s="58"/>
      <c r="I23" s="23"/>
      <c r="J23" s="24" t="s">
        <v>1703</v>
      </c>
      <c r="M23" s="4"/>
      <c r="N23" s="76"/>
      <c r="O23" s="76"/>
      <c r="P23" s="76" t="str">
        <f t="shared" si="4"/>
        <v>,ward</v>
      </c>
      <c r="Q23" s="76" t="str">
        <f t="shared" si="0"/>
        <v>TEXT</v>
      </c>
      <c r="R23" s="76" t="str">
        <f t="shared" si="1"/>
        <v/>
      </c>
      <c r="S23" s="76" t="str">
        <f t="shared" si="5"/>
        <v/>
      </c>
      <c r="T23" s="76" t="str">
        <f t="shared" si="6"/>
        <v>-- 病棟</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milscm_2023_010.azn_202310_backup_merge_mml_vs_vitalsign.ward IS '病棟';</v>
      </c>
    </row>
    <row r="24" spans="1:45" s="25" customFormat="1" ht="37.5">
      <c r="A24" s="4"/>
      <c r="B24" s="21">
        <f t="shared" si="2"/>
        <v>12</v>
      </c>
      <c r="C24" s="13" t="s">
        <v>237</v>
      </c>
      <c r="D24" s="13" t="s">
        <v>238</v>
      </c>
      <c r="E24" s="7"/>
      <c r="F24" s="7" t="s">
        <v>863</v>
      </c>
      <c r="G24" s="7" t="str">
        <f t="shared" si="3"/>
        <v>text</v>
      </c>
      <c r="H24" s="58"/>
      <c r="I24" s="23"/>
      <c r="J24" s="24" t="s">
        <v>1704</v>
      </c>
      <c r="M24" s="4"/>
      <c r="N24" s="76"/>
      <c r="O24" s="76"/>
      <c r="P24" s="76" t="str">
        <f t="shared" si="4"/>
        <v>,ward_code</v>
      </c>
      <c r="Q24" s="76" t="str">
        <f t="shared" si="0"/>
        <v>TEXT</v>
      </c>
      <c r="R24" s="76" t="str">
        <f t="shared" si="1"/>
        <v/>
      </c>
      <c r="S24" s="76" t="str">
        <f t="shared" si="5"/>
        <v/>
      </c>
      <c r="T24" s="76" t="str">
        <f t="shared" si="6"/>
        <v>-- 病棟コード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milscm_2023_010.azn_202310_backup_merge_mml_vs_vitalsign.ward_code IS '病棟コード';</v>
      </c>
    </row>
    <row r="25" spans="1:45" s="25" customFormat="1" ht="37.5">
      <c r="A25" s="4"/>
      <c r="B25" s="21">
        <f t="shared" si="2"/>
        <v>13</v>
      </c>
      <c r="C25" s="13" t="s">
        <v>1684</v>
      </c>
      <c r="D25" s="13" t="s">
        <v>1685</v>
      </c>
      <c r="E25" s="7"/>
      <c r="F25" s="7" t="s">
        <v>863</v>
      </c>
      <c r="G25" s="7" t="str">
        <f t="shared" si="3"/>
        <v>text</v>
      </c>
      <c r="H25" s="58"/>
      <c r="I25" s="23"/>
      <c r="J25" s="24" t="s">
        <v>1705</v>
      </c>
      <c r="M25" s="4"/>
      <c r="N25" s="76"/>
      <c r="O25" s="76"/>
      <c r="P25" s="76" t="str">
        <f t="shared" si="4"/>
        <v>,ward_code_id</v>
      </c>
      <c r="Q25" s="76" t="str">
        <f t="shared" si="0"/>
        <v>TEXT</v>
      </c>
      <c r="R25" s="76" t="str">
        <f t="shared" si="1"/>
        <v/>
      </c>
      <c r="S25" s="76" t="str">
        <f t="shared" si="5"/>
        <v/>
      </c>
      <c r="T25" s="76" t="str">
        <f t="shared" si="6"/>
        <v>-- 病棟コードID</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milscm_2023_010.azn_202310_backup_merge_mml_vs_vitalsign.ward_code_id IS '病棟コードID';</v>
      </c>
    </row>
    <row r="26" spans="1:45" s="25" customFormat="1" ht="37.5">
      <c r="A26" s="4"/>
      <c r="B26" s="21">
        <f t="shared" si="2"/>
        <v>14</v>
      </c>
      <c r="C26" s="13" t="s">
        <v>1686</v>
      </c>
      <c r="D26" s="13" t="s">
        <v>1687</v>
      </c>
      <c r="E26" s="7"/>
      <c r="F26" s="7" t="s">
        <v>863</v>
      </c>
      <c r="G26" s="7" t="str">
        <f t="shared" si="3"/>
        <v>text</v>
      </c>
      <c r="H26" s="58"/>
      <c r="I26" s="23"/>
      <c r="J26" s="24" t="s">
        <v>1706</v>
      </c>
      <c r="M26" s="4"/>
      <c r="N26" s="76"/>
      <c r="O26" s="76"/>
      <c r="P26" s="76" t="str">
        <f t="shared" si="4"/>
        <v>,vital_sign_time</v>
      </c>
      <c r="Q26" s="76" t="str">
        <f t="shared" si="0"/>
        <v>TEXT</v>
      </c>
      <c r="R26" s="76" t="str">
        <f t="shared" si="1"/>
        <v/>
      </c>
      <c r="S26" s="76" t="str">
        <f t="shared" si="5"/>
        <v/>
      </c>
      <c r="T26" s="76" t="str">
        <f t="shared" si="6"/>
        <v>-- バイタルサインの計測時間</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milscm_2023_010.azn_202310_backup_merge_mml_vs_vitalsign.vital_sign_time IS 'バイタルサインの計測時間';</v>
      </c>
    </row>
    <row r="27" spans="1:45" s="25" customFormat="1">
      <c r="A27" s="4"/>
      <c r="B27" s="21">
        <f t="shared" si="2"/>
        <v>15</v>
      </c>
      <c r="C27" s="13" t="s">
        <v>1688</v>
      </c>
      <c r="D27" s="13" t="s">
        <v>1689</v>
      </c>
      <c r="E27" s="7"/>
      <c r="F27" s="7" t="s">
        <v>863</v>
      </c>
      <c r="G27" s="7" t="str">
        <f t="shared" si="3"/>
        <v>text</v>
      </c>
      <c r="H27" s="58"/>
      <c r="I27" s="23"/>
      <c r="J27" s="24" t="s">
        <v>1707</v>
      </c>
      <c r="M27" s="4"/>
      <c r="N27" s="76"/>
      <c r="O27" s="76"/>
      <c r="P27" s="76" t="str">
        <f t="shared" si="4"/>
        <v>,keisoku_tejun</v>
      </c>
      <c r="Q27" s="76" t="str">
        <f t="shared" si="0"/>
        <v>TEXT</v>
      </c>
      <c r="R27" s="76" t="str">
        <f t="shared" si="1"/>
        <v/>
      </c>
      <c r="S27" s="76" t="str">
        <f t="shared" si="5"/>
        <v/>
      </c>
      <c r="T27" s="76" t="str">
        <f t="shared" si="6"/>
        <v>-- 計測手順</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milscm_2023_010.azn_202310_backup_merge_mml_vs_vitalsign.keisoku_tejun IS '計測手順';</v>
      </c>
    </row>
    <row r="28" spans="1:45" s="25" customFormat="1">
      <c r="A28" s="4"/>
      <c r="B28" s="21">
        <f t="shared" si="2"/>
        <v>16</v>
      </c>
      <c r="C28" s="13" t="s">
        <v>1690</v>
      </c>
      <c r="D28" s="13" t="s">
        <v>1691</v>
      </c>
      <c r="E28" s="7"/>
      <c r="F28" s="7" t="s">
        <v>863</v>
      </c>
      <c r="G28" s="7" t="str">
        <f t="shared" si="3"/>
        <v>text</v>
      </c>
      <c r="H28" s="58"/>
      <c r="I28" s="23"/>
      <c r="J28" s="24" t="s">
        <v>1708</v>
      </c>
      <c r="M28" s="4"/>
      <c r="N28" s="76"/>
      <c r="O28" s="76"/>
      <c r="P28" s="76" t="str">
        <f t="shared" si="4"/>
        <v>,keisoku_device</v>
      </c>
      <c r="Q28" s="76" t="str">
        <f t="shared" si="0"/>
        <v>TEXT</v>
      </c>
      <c r="R28" s="76" t="str">
        <f t="shared" si="1"/>
        <v/>
      </c>
      <c r="S28" s="76" t="str">
        <f t="shared" si="5"/>
        <v/>
      </c>
      <c r="T28" s="76" t="str">
        <f t="shared" si="6"/>
        <v>-- 計測器具</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milscm_2023_010.azn_202310_backup_merge_mml_vs_vitalsign.keisoku_device IS '計測器具';</v>
      </c>
    </row>
    <row r="29" spans="1:45" s="25" customFormat="1">
      <c r="A29" s="4"/>
      <c r="B29" s="21">
        <f t="shared" si="2"/>
        <v>17</v>
      </c>
      <c r="C29" s="13" t="s">
        <v>1692</v>
      </c>
      <c r="D29" s="13" t="s">
        <v>1693</v>
      </c>
      <c r="E29" s="7"/>
      <c r="F29" s="7" t="s">
        <v>863</v>
      </c>
      <c r="G29" s="7" t="str">
        <f t="shared" si="3"/>
        <v>text</v>
      </c>
      <c r="H29" s="58"/>
      <c r="I29" s="23"/>
      <c r="J29" s="24" t="s">
        <v>1709</v>
      </c>
      <c r="M29" s="4"/>
      <c r="N29" s="76"/>
      <c r="O29" s="76"/>
      <c r="P29" s="76" t="str">
        <f t="shared" si="4"/>
        <v>,keisoku_bui</v>
      </c>
      <c r="Q29" s="76" t="str">
        <f t="shared" si="0"/>
        <v>TEXT</v>
      </c>
      <c r="R29" s="76" t="str">
        <f t="shared" si="1"/>
        <v/>
      </c>
      <c r="S29" s="76" t="str">
        <f t="shared" si="5"/>
        <v/>
      </c>
      <c r="T29" s="76" t="str">
        <f t="shared" si="6"/>
        <v>-- 計測部位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milscm_2023_010.azn_202310_backup_merge_mml_vs_vitalsign.keisoku_bui IS '計測部位';</v>
      </c>
    </row>
    <row r="30" spans="1:45" s="25" customFormat="1">
      <c r="A30" s="4"/>
      <c r="B30" s="21">
        <f t="shared" si="2"/>
        <v>18</v>
      </c>
      <c r="C30" s="13" t="s">
        <v>1694</v>
      </c>
      <c r="D30" s="13" t="s">
        <v>1695</v>
      </c>
      <c r="E30" s="7"/>
      <c r="F30" s="7" t="s">
        <v>863</v>
      </c>
      <c r="G30" s="7" t="str">
        <f t="shared" si="3"/>
        <v>text</v>
      </c>
      <c r="H30" s="58"/>
      <c r="I30" s="23"/>
      <c r="J30" s="24" t="s">
        <v>1710</v>
      </c>
      <c r="M30" s="4"/>
      <c r="N30" s="76"/>
      <c r="O30" s="76"/>
      <c r="P30" s="76" t="str">
        <f t="shared" si="4"/>
        <v>,keisoku_position</v>
      </c>
      <c r="Q30" s="76" t="str">
        <f t="shared" si="0"/>
        <v>TEXT</v>
      </c>
      <c r="R30" s="76" t="str">
        <f t="shared" si="1"/>
        <v/>
      </c>
      <c r="S30" s="76" t="str">
        <f t="shared" si="5"/>
        <v/>
      </c>
      <c r="T30" s="76" t="str">
        <f t="shared" si="6"/>
        <v>-- 計測時体位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milscm_2023_010.azn_202310_backup_merge_mml_vs_vitalsign.keisoku_position IS '計測時体位';</v>
      </c>
    </row>
    <row r="31" spans="1:45" s="25" customFormat="1" ht="31.5">
      <c r="A31" s="4"/>
      <c r="B31" s="21">
        <f t="shared" si="2"/>
        <v>19</v>
      </c>
      <c r="C31" s="13" t="s">
        <v>1696</v>
      </c>
      <c r="D31" s="13" t="s">
        <v>1697</v>
      </c>
      <c r="E31" s="7"/>
      <c r="F31" s="7" t="s">
        <v>863</v>
      </c>
      <c r="G31" s="7" t="str">
        <f t="shared" si="3"/>
        <v>text</v>
      </c>
      <c r="H31" s="58"/>
      <c r="I31" s="23"/>
      <c r="J31" s="24" t="s">
        <v>1711</v>
      </c>
      <c r="M31" s="4"/>
      <c r="N31" s="76"/>
      <c r="O31" s="76"/>
      <c r="P31" s="76" t="str">
        <f t="shared" si="4"/>
        <v>,keisoku_method_comment</v>
      </c>
      <c r="Q31" s="76" t="str">
        <f t="shared" si="0"/>
        <v>TEXT</v>
      </c>
      <c r="R31" s="76" t="str">
        <f t="shared" si="1"/>
        <v/>
      </c>
      <c r="S31" s="76" t="str">
        <f t="shared" si="5"/>
        <v/>
      </c>
      <c r="T31" s="76" t="str">
        <f t="shared" si="6"/>
        <v>-- 計測方法コメント</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milscm_2023_010.azn_202310_backup_merge_mml_vs_vitalsign.keisoku_method_comment IS '計測方法コメント';</v>
      </c>
    </row>
    <row r="32" spans="1:45" s="25" customFormat="1" ht="19.5" thickBot="1">
      <c r="A32" s="4"/>
      <c r="B32" s="27">
        <f>ROW()-12</f>
        <v>20</v>
      </c>
      <c r="C32" s="57" t="s">
        <v>1698</v>
      </c>
      <c r="D32" s="57" t="s">
        <v>1699</v>
      </c>
      <c r="E32" s="56"/>
      <c r="F32" s="56" t="s">
        <v>863</v>
      </c>
      <c r="G32" s="56" t="str">
        <f t="shared" si="3"/>
        <v>text</v>
      </c>
      <c r="H32" s="59"/>
      <c r="I32" s="60"/>
      <c r="J32" s="63" t="s">
        <v>1712</v>
      </c>
      <c r="N32" s="76"/>
      <c r="O32" s="76"/>
      <c r="P32" s="76" t="str">
        <f t="shared" si="4"/>
        <v>,kiroku_comment</v>
      </c>
      <c r="Q32" s="76" t="str">
        <f t="shared" si="0"/>
        <v>TEXT</v>
      </c>
      <c r="R32" s="76" t="str">
        <f t="shared" si="1"/>
        <v/>
      </c>
      <c r="S32" s="76" t="str">
        <f t="shared" si="5"/>
        <v/>
      </c>
      <c r="T32" s="76" t="str">
        <f t="shared" si="6"/>
        <v>-- 記録コメント</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milscm_2023_010.azn_202310_backup_merge_mml_vs_vitalsign.kiroku_comment IS '記録コメント';</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ENT_01_C4-38</v>
      </c>
      <c r="E6" s="272"/>
      <c r="F6" s="272"/>
      <c r="G6" s="272"/>
      <c r="H6" s="272"/>
      <c r="I6" s="272"/>
      <c r="J6" s="273"/>
    </row>
    <row r="7" spans="1:45">
      <c r="B7" s="261" t="s">
        <v>115</v>
      </c>
      <c r="C7" s="262"/>
      <c r="D7" s="263" t="s">
        <v>1713</v>
      </c>
      <c r="E7" s="264"/>
      <c r="F7" s="264"/>
      <c r="G7" s="264"/>
      <c r="H7" s="264"/>
      <c r="I7" s="264"/>
      <c r="J7" s="265"/>
    </row>
    <row r="8" spans="1:45">
      <c r="B8" s="261" t="s">
        <v>116</v>
      </c>
      <c r="C8" s="262"/>
      <c r="D8" s="263" t="str">
        <f>エンティティ一覧!AE2&amp;"_"&amp;D5&amp;"_merge_mml_vs_item"</f>
        <v>azn_202310_backup_merge_mml_vs_item</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バイタルサインモジュール_記録項目テーブルから組入れ条件の第一条件で絞り込んだ結果を格納するテーブル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milscm_2023_010.azn_202310_backup_merge_mml_vs_item;</v>
      </c>
      <c r="O10" s="76"/>
      <c r="P10" s="76"/>
      <c r="Q10" s="76"/>
      <c r="R10" s="76"/>
      <c r="S10" s="76"/>
      <c r="T10" s="76"/>
      <c r="AJ10" s="76" t="str">
        <f>"ALTER TABLE ONLY "&amp;エンティティ一覧!$O$2&amp;"."&amp;D$8</f>
        <v>ALTER TABLE ONLY milscm_2023_010.azn_202310_backup_merge_mml_vs_item</v>
      </c>
      <c r="AS10" s="76" t="str">
        <f>"ALTER TABLE "&amp;エンティティ一覧!$O$2&amp;"."&amp;D$8&amp;" OWNER TO pgmisgrp1;"</f>
        <v>ALTER TABLE milscm_2023_010.azn_202310_backup_merge_mml_vs_item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milscm_2023_010.azn_202310_backup_merge_mml_vs_item</v>
      </c>
      <c r="O11" s="76"/>
      <c r="P11" s="76"/>
      <c r="Q11" s="76"/>
      <c r="R11" s="76"/>
      <c r="S11" s="76"/>
      <c r="T11" s="76"/>
      <c r="AJ11" s="76" t="str">
        <f>"ADD CONSTRAINT "&amp;D$8&amp;"_pkey PRIMARY KEY"</f>
        <v>ADD CONSTRAINT azn_202310_backup_merge_mml_vs_item_pkey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milscm_2023_010.azn_202310_backup_merge_mml_vs_item IS 'バックアップ_バイタルサインモジュール_記録項目';</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milscm_2023_010.azn_202310_backup_merge_mml_vs_item.torikomi_ym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1280</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milscm_2023_010.azn_202310_backup_merge_mml_vs_item.mil_karute_id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milscm_2023_010.azn_202310_backup_merge_mml_vs_item.facility_id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milscm_2023_010.azn_202310_backup_merge_mml_vs_item.shinryo_ymd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milscm_2023_010.azn_202310_backup_merge_mml_vs_item.data_type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milscm_2023_010.azn_202310_backup_merge_mml_vs_item.master_id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milscm_2023_010.azn_202310_backup_merge_mml_vs_item.uid IS '文書ユニークID';</v>
      </c>
    </row>
    <row r="20" spans="1:52" s="25" customFormat="1">
      <c r="A20" s="4"/>
      <c r="B20" s="21">
        <f t="shared" si="2"/>
        <v>8</v>
      </c>
      <c r="C20" s="13" t="s">
        <v>1677</v>
      </c>
      <c r="D20" s="13" t="s">
        <v>1678</v>
      </c>
      <c r="E20" s="7" t="s">
        <v>127</v>
      </c>
      <c r="F20" s="7" t="s">
        <v>203</v>
      </c>
      <c r="G20" s="7" t="str">
        <f t="shared" si="3"/>
        <v>integer</v>
      </c>
      <c r="H20" s="58"/>
      <c r="I20" s="23" t="s">
        <v>127</v>
      </c>
      <c r="J20" s="24" t="s">
        <v>1700</v>
      </c>
      <c r="M20" s="4"/>
      <c r="N20" s="76"/>
      <c r="O20" s="76"/>
      <c r="P20" s="76" t="str">
        <f t="shared" si="4"/>
        <v>,vital_seq</v>
      </c>
      <c r="Q20" s="76" t="str">
        <f t="shared" si="0"/>
        <v>INTEGER</v>
      </c>
      <c r="R20" s="76" t="str">
        <f t="shared" si="1"/>
        <v/>
      </c>
      <c r="S20" s="76" t="str">
        <f t="shared" si="5"/>
        <v>NOT NULL</v>
      </c>
      <c r="T20" s="76" t="str">
        <f t="shared" si="6"/>
        <v>-- バイタルSEQ</v>
      </c>
      <c r="U20" s="4"/>
      <c r="AA20" s="4"/>
      <c r="AB20" s="4"/>
      <c r="AC20" s="4"/>
      <c r="AD20" s="4"/>
      <c r="AE20" s="4"/>
      <c r="AF20" s="4"/>
      <c r="AG20" s="4"/>
      <c r="AH20" s="4"/>
      <c r="AI20" s="4"/>
      <c r="AJ20" s="76" t="str">
        <f>IF(E20="○",IF(COUNTA(E$13:E20)=1,"",",")&amp;D20,"")</f>
        <v>,vital_seq</v>
      </c>
      <c r="AK20" s="4"/>
      <c r="AL20" s="4"/>
      <c r="AM20" s="4"/>
      <c r="AN20" s="4"/>
      <c r="AO20" s="4"/>
      <c r="AP20" s="4"/>
      <c r="AQ20" s="4"/>
      <c r="AR20" s="4"/>
      <c r="AS20" s="76" t="str">
        <f>"COMMENT ON COLUMN "&amp;エンティティ一覧!$O$2&amp;"."&amp;D$8&amp;"."&amp;D20&amp;" IS '"&amp;C20&amp;"';"</f>
        <v>COMMENT ON COLUMN milscm_2023_010.azn_202310_backup_merge_mml_vs_item.vital_seq IS 'バイタルSEQ';</v>
      </c>
    </row>
    <row r="21" spans="1:52" s="25" customFormat="1">
      <c r="A21" s="4"/>
      <c r="B21" s="21">
        <f t="shared" si="2"/>
        <v>9</v>
      </c>
      <c r="C21" s="13" t="s">
        <v>1714</v>
      </c>
      <c r="D21" s="13" t="s">
        <v>1715</v>
      </c>
      <c r="E21" s="7" t="s">
        <v>127</v>
      </c>
      <c r="F21" s="7" t="s">
        <v>203</v>
      </c>
      <c r="G21" s="7" t="str">
        <f t="shared" si="3"/>
        <v>integer</v>
      </c>
      <c r="H21" s="58"/>
      <c r="I21" s="23" t="s">
        <v>127</v>
      </c>
      <c r="J21" s="24" t="s">
        <v>1722</v>
      </c>
      <c r="M21" s="4"/>
      <c r="N21" s="76"/>
      <c r="O21" s="76"/>
      <c r="P21" s="76" t="str">
        <f t="shared" si="4"/>
        <v>,item_seq</v>
      </c>
      <c r="Q21" s="76" t="str">
        <f t="shared" si="0"/>
        <v>INTEGER</v>
      </c>
      <c r="R21" s="76" t="str">
        <f t="shared" si="1"/>
        <v/>
      </c>
      <c r="S21" s="76" t="str">
        <f t="shared" si="5"/>
        <v>NOT NULL</v>
      </c>
      <c r="T21" s="76" t="str">
        <f t="shared" si="6"/>
        <v>-- 項目SEQ</v>
      </c>
      <c r="U21" s="4"/>
      <c r="AA21" s="4"/>
      <c r="AB21" s="4"/>
      <c r="AC21" s="4"/>
      <c r="AD21" s="4"/>
      <c r="AE21" s="4"/>
      <c r="AF21" s="4"/>
      <c r="AG21" s="4"/>
      <c r="AH21" s="4"/>
      <c r="AI21" s="4"/>
      <c r="AJ21" s="76" t="str">
        <f>IF(E21="○",IF(COUNTA(E$13:E21)=1,"",",")&amp;D21,"")</f>
        <v>,item_seq</v>
      </c>
      <c r="AK21" s="4"/>
      <c r="AL21" s="4"/>
      <c r="AM21" s="4"/>
      <c r="AN21" s="4"/>
      <c r="AO21" s="4"/>
      <c r="AP21" s="4"/>
      <c r="AQ21" s="4"/>
      <c r="AR21" s="4"/>
      <c r="AS21" s="76" t="str">
        <f>"COMMENT ON COLUMN "&amp;エンティティ一覧!$O$2&amp;"."&amp;D$8&amp;"."&amp;D21&amp;" IS '"&amp;C21&amp;"';"</f>
        <v>COMMENT ON COLUMN milscm_2023_010.azn_202310_backup_merge_mml_vs_item.item_seq IS '項目SEQ';</v>
      </c>
    </row>
    <row r="22" spans="1:52" s="25" customFormat="1" ht="37.5">
      <c r="A22" s="4"/>
      <c r="B22" s="21">
        <f t="shared" si="2"/>
        <v>10</v>
      </c>
      <c r="C22" s="13" t="s">
        <v>1621</v>
      </c>
      <c r="D22" s="13" t="s">
        <v>1622</v>
      </c>
      <c r="E22" s="7"/>
      <c r="F22" s="7" t="s">
        <v>863</v>
      </c>
      <c r="G22" s="7" t="str">
        <f t="shared" si="3"/>
        <v>text</v>
      </c>
      <c r="H22" s="58"/>
      <c r="I22" s="23"/>
      <c r="J22" s="24" t="s">
        <v>1723</v>
      </c>
      <c r="M22" s="4"/>
      <c r="N22" s="76"/>
      <c r="O22" s="76"/>
      <c r="P22" s="76" t="str">
        <f t="shared" si="4"/>
        <v>,item_name</v>
      </c>
      <c r="Q22" s="76" t="str">
        <f t="shared" si="0"/>
        <v>TEXT</v>
      </c>
      <c r="R22" s="76" t="str">
        <f t="shared" si="1"/>
        <v/>
      </c>
      <c r="S22" s="76" t="str">
        <f t="shared" si="5"/>
        <v/>
      </c>
      <c r="T22" s="76" t="str">
        <f t="shared" si="6"/>
        <v>-- 項目名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milscm_2023_010.azn_202310_backup_merge_mml_vs_item.item_name IS '項目名';</v>
      </c>
    </row>
    <row r="23" spans="1:52" s="25" customFormat="1" ht="31.5">
      <c r="A23" s="4"/>
      <c r="B23" s="21">
        <f t="shared" si="2"/>
        <v>11</v>
      </c>
      <c r="C23" s="13" t="s">
        <v>1716</v>
      </c>
      <c r="D23" s="13" t="s">
        <v>1717</v>
      </c>
      <c r="E23" s="7"/>
      <c r="F23" s="7" t="s">
        <v>863</v>
      </c>
      <c r="G23" s="7" t="str">
        <f t="shared" si="3"/>
        <v>text</v>
      </c>
      <c r="H23" s="58"/>
      <c r="I23" s="23"/>
      <c r="J23" s="24" t="s">
        <v>1724</v>
      </c>
      <c r="M23" s="4"/>
      <c r="N23" s="76"/>
      <c r="O23" s="76"/>
      <c r="P23" s="76" t="str">
        <f t="shared" si="4"/>
        <v>,vital_sign_value</v>
      </c>
      <c r="Q23" s="76" t="str">
        <f t="shared" si="0"/>
        <v>TEXT</v>
      </c>
      <c r="R23" s="76" t="str">
        <f t="shared" si="1"/>
        <v/>
      </c>
      <c r="S23" s="76" t="str">
        <f t="shared" si="5"/>
        <v/>
      </c>
      <c r="T23" s="76" t="str">
        <f t="shared" si="6"/>
        <v>-- 文字列で表記されるバイタルサインの値</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milscm_2023_010.azn_202310_backup_merge_mml_vs_item.vital_sign_value IS '文字列で表記されるバイタルサインの値';</v>
      </c>
    </row>
    <row r="24" spans="1:52" s="25" customFormat="1">
      <c r="A24" s="4"/>
      <c r="B24" s="21">
        <f t="shared" si="2"/>
        <v>12</v>
      </c>
      <c r="C24" s="13" t="s">
        <v>1718</v>
      </c>
      <c r="D24" s="13" t="s">
        <v>1719</v>
      </c>
      <c r="E24" s="7"/>
      <c r="F24" s="7" t="s">
        <v>863</v>
      </c>
      <c r="G24" s="7" t="str">
        <f t="shared" si="3"/>
        <v>text</v>
      </c>
      <c r="H24" s="58"/>
      <c r="I24" s="23"/>
      <c r="J24" s="24" t="s">
        <v>1725</v>
      </c>
      <c r="M24" s="4"/>
      <c r="N24" s="76"/>
      <c r="O24" s="76"/>
      <c r="P24" s="76" t="str">
        <f t="shared" si="4"/>
        <v>,vital_sign_num_value</v>
      </c>
      <c r="Q24" s="76" t="str">
        <f t="shared" si="0"/>
        <v>TEXT</v>
      </c>
      <c r="R24" s="76" t="str">
        <f t="shared" si="1"/>
        <v/>
      </c>
      <c r="S24" s="76" t="str">
        <f t="shared" si="5"/>
        <v/>
      </c>
      <c r="T24" s="76" t="str">
        <f t="shared" si="6"/>
        <v>-- 数値で表記されるバイタルサインの値</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milscm_2023_010.azn_202310_backup_merge_mml_vs_item.vital_sign_num_value IS '数値で表記されるバイタルサインの値';</v>
      </c>
    </row>
    <row r="25" spans="1:52" s="25" customFormat="1" ht="38.25" thickBot="1">
      <c r="A25" s="4"/>
      <c r="B25" s="27">
        <f>ROW()-12</f>
        <v>13</v>
      </c>
      <c r="C25" s="57" t="s">
        <v>1720</v>
      </c>
      <c r="D25" s="57" t="s">
        <v>1721</v>
      </c>
      <c r="E25" s="56"/>
      <c r="F25" s="56" t="s">
        <v>863</v>
      </c>
      <c r="G25" s="56" t="str">
        <f t="shared" si="3"/>
        <v>text</v>
      </c>
      <c r="H25" s="59"/>
      <c r="I25" s="60"/>
      <c r="J25" s="63" t="s">
        <v>1726</v>
      </c>
      <c r="N25" s="76"/>
      <c r="O25" s="76"/>
      <c r="P25" s="76" t="str">
        <f t="shared" si="4"/>
        <v>,vital_sign_unit</v>
      </c>
      <c r="Q25" s="76" t="str">
        <f t="shared" si="0"/>
        <v>TEXT</v>
      </c>
      <c r="R25" s="76" t="str">
        <f t="shared" si="1"/>
        <v/>
      </c>
      <c r="S25" s="76" t="str">
        <f t="shared" si="5"/>
        <v/>
      </c>
      <c r="T25" s="76" t="str">
        <f t="shared" si="6"/>
        <v>-- バイタルサインの単位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milscm_2023_010.azn_202310_backup_merge_mml_vs_item.vital_sign_unit IS 'バイタルサインの単位';</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ENT_01_C4-40</v>
      </c>
      <c r="E6" s="272"/>
      <c r="F6" s="272"/>
      <c r="G6" s="272"/>
      <c r="H6" s="272"/>
      <c r="I6" s="272"/>
      <c r="J6" s="273"/>
    </row>
    <row r="7" spans="1:45">
      <c r="B7" s="261" t="s">
        <v>115</v>
      </c>
      <c r="C7" s="262"/>
      <c r="D7" s="263" t="s">
        <v>1727</v>
      </c>
      <c r="E7" s="264"/>
      <c r="F7" s="264"/>
      <c r="G7" s="264"/>
      <c r="H7" s="264"/>
      <c r="I7" s="264"/>
      <c r="J7" s="265"/>
    </row>
    <row r="8" spans="1:45">
      <c r="B8" s="261" t="s">
        <v>116</v>
      </c>
      <c r="C8" s="262"/>
      <c r="D8" s="263" t="str">
        <f>エンティティ一覧!AE2&amp;"_"&amp;D5&amp;"_merge_mml_fs_vitalsign"</f>
        <v>azn_202310_backup_merge_mml_fs_vitalsign</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体温表モジュール_バイタルサインテーブルから組入れ条件の第一条件で絞り込んだ結果を格納するテーブル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milscm_2023_010.azn_202310_backup_merge_mml_fs_vitalsign;</v>
      </c>
      <c r="O10" s="76"/>
      <c r="P10" s="76"/>
      <c r="Q10" s="76"/>
      <c r="R10" s="76"/>
      <c r="S10" s="76"/>
      <c r="T10" s="76"/>
      <c r="AJ10" s="76" t="str">
        <f>"ALTER TABLE ONLY "&amp;エンティティ一覧!$O$2&amp;"."&amp;D$8</f>
        <v>ALTER TABLE ONLY milscm_2023_010.azn_202310_backup_merge_mml_fs_vitalsign</v>
      </c>
      <c r="AS10" s="76" t="str">
        <f>"ALTER TABLE "&amp;エンティティ一覧!$O$2&amp;"."&amp;D$8&amp;" OWNER TO pgmisgrp1;"</f>
        <v>ALTER TABLE milscm_2023_010.azn_202310_backup_merge_mml_fs_vitalsign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milscm_2023_010.azn_202310_backup_merge_mml_fs_vitalsign</v>
      </c>
      <c r="O11" s="76"/>
      <c r="P11" s="76"/>
      <c r="Q11" s="76"/>
      <c r="R11" s="76"/>
      <c r="S11" s="76"/>
      <c r="T11" s="76"/>
      <c r="AJ11" s="76" t="str">
        <f>"ADD CONSTRAINT "&amp;D$8&amp;"_pkey PRIMARY KEY"</f>
        <v>ADD CONSTRAINT azn_202310_backup_merge_mml_fs_vitalsign_pkey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milscm_2023_010.azn_202310_backup_merge_mml_fs_vitalsign IS 'バックアップ_体温表モジュール_バイタルサイン';</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3" si="0">UPPER(G13)</f>
        <v>TEXT</v>
      </c>
      <c r="R13" s="76" t="str">
        <f t="shared" ref="R13:R3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milscm_2023_010.azn_202310_backup_merge_mml_fs_vitalsign.torikomi_ym IS '取込年月';</v>
      </c>
    </row>
    <row r="14" spans="1:45" s="25" customFormat="1">
      <c r="A14" s="4"/>
      <c r="B14" s="21">
        <f t="shared" ref="B14:B32" si="2">ROW()-12</f>
        <v>2</v>
      </c>
      <c r="C14" s="6" t="s">
        <v>201</v>
      </c>
      <c r="D14" s="6" t="s">
        <v>202</v>
      </c>
      <c r="E14" s="8"/>
      <c r="F14" s="7" t="s">
        <v>203</v>
      </c>
      <c r="G14" s="7" t="str">
        <f t="shared" ref="G14:G33" si="3">IF(F14="フラグ","boolean",IF(F14="文字列","text",IF(F14="整数","integer",IF(F14="実数","numeric",""))))</f>
        <v>integer</v>
      </c>
      <c r="H14" s="26"/>
      <c r="I14" s="10"/>
      <c r="J14" s="11" t="s">
        <v>1280</v>
      </c>
      <c r="M14" s="4"/>
      <c r="N14" s="76"/>
      <c r="O14" s="76"/>
      <c r="P14" s="76" t="str">
        <f t="shared" ref="P14:P3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milscm_2023_010.azn_202310_backup_merge_mml_fs_vitalsign.mil_karute_id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33" si="5">IF(I15="○","NOT NULL","")</f>
        <v>NOT NULL</v>
      </c>
      <c r="T15" s="76" t="str">
        <f t="shared" ref="T15:T3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milscm_2023_010.azn_202310_backup_merge_mml_fs_vitalsign.facility_id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milscm_2023_010.azn_202310_backup_merge_mml_fs_vitalsign.shinryo_ymd IS '診療年月日';</v>
      </c>
    </row>
    <row r="17" spans="1:45"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milscm_2023_010.azn_202310_backup_merge_mml_fs_vitalsign.data_type IS 'データ種別';</v>
      </c>
    </row>
    <row r="18" spans="1:45"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milscm_2023_010.azn_202310_backup_merge_mml_fs_vitalsign.master_id IS '患者ID';</v>
      </c>
    </row>
    <row r="19" spans="1:45"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milscm_2023_010.azn_202310_backup_merge_mml_fs_vitalsign.uid IS '文書ユニークID';</v>
      </c>
    </row>
    <row r="20" spans="1:45" s="25" customFormat="1">
      <c r="A20" s="4"/>
      <c r="B20" s="21">
        <f t="shared" si="2"/>
        <v>8</v>
      </c>
      <c r="C20" s="13" t="s">
        <v>1728</v>
      </c>
      <c r="D20" s="13" t="s">
        <v>1729</v>
      </c>
      <c r="E20" s="7" t="s">
        <v>127</v>
      </c>
      <c r="F20" s="7" t="s">
        <v>203</v>
      </c>
      <c r="G20" s="7" t="str">
        <f t="shared" si="3"/>
        <v>integer</v>
      </c>
      <c r="H20" s="58"/>
      <c r="I20" s="23" t="s">
        <v>127</v>
      </c>
      <c r="J20" s="24" t="s">
        <v>1730</v>
      </c>
      <c r="M20" s="4"/>
      <c r="N20" s="76"/>
      <c r="O20" s="76"/>
      <c r="P20" s="76" t="str">
        <f t="shared" si="4"/>
        <v>,taionhyo_seq</v>
      </c>
      <c r="Q20" s="76" t="str">
        <f t="shared" si="0"/>
        <v>INTEGER</v>
      </c>
      <c r="R20" s="76" t="str">
        <f t="shared" si="1"/>
        <v/>
      </c>
      <c r="S20" s="76" t="str">
        <f t="shared" si="5"/>
        <v>NOT NULL</v>
      </c>
      <c r="T20" s="76" t="str">
        <f t="shared" si="6"/>
        <v>-- 体温表SEQ</v>
      </c>
      <c r="U20" s="4"/>
      <c r="AA20" s="4"/>
      <c r="AB20" s="4"/>
      <c r="AC20" s="4"/>
      <c r="AD20" s="4"/>
      <c r="AE20" s="4"/>
      <c r="AF20" s="4"/>
      <c r="AG20" s="4"/>
      <c r="AH20" s="4"/>
      <c r="AI20" s="4"/>
      <c r="AJ20" s="76" t="str">
        <f>IF(E20="○",IF(COUNTA(E$13:E20)=1,"",",")&amp;D20,"")</f>
        <v>,taionhyo_seq</v>
      </c>
      <c r="AK20" s="4"/>
      <c r="AL20" s="4"/>
      <c r="AM20" s="4"/>
      <c r="AN20" s="4"/>
      <c r="AO20" s="4"/>
      <c r="AP20" s="4"/>
      <c r="AQ20" s="4"/>
      <c r="AR20" s="4"/>
      <c r="AS20" s="76" t="str">
        <f>"COMMENT ON COLUMN "&amp;エンティティ一覧!$O$2&amp;"."&amp;D$8&amp;"."&amp;D20&amp;" IS '"&amp;C20&amp;"';"</f>
        <v>COMMENT ON COLUMN milscm_2023_010.azn_202310_backup_merge_mml_fs_vitalsign.taionhyo_seq IS '体温表SEQ';</v>
      </c>
    </row>
    <row r="21" spans="1:45" s="25" customFormat="1">
      <c r="A21" s="4"/>
      <c r="B21" s="21">
        <f t="shared" si="2"/>
        <v>9</v>
      </c>
      <c r="C21" s="13" t="s">
        <v>1677</v>
      </c>
      <c r="D21" s="13" t="s">
        <v>1678</v>
      </c>
      <c r="E21" s="7" t="s">
        <v>127</v>
      </c>
      <c r="F21" s="7" t="s">
        <v>203</v>
      </c>
      <c r="G21" s="7" t="str">
        <f t="shared" si="3"/>
        <v>integer</v>
      </c>
      <c r="H21" s="58"/>
      <c r="I21" s="23" t="s">
        <v>127</v>
      </c>
      <c r="J21" s="24" t="s">
        <v>1700</v>
      </c>
      <c r="M21" s="4"/>
      <c r="N21" s="76"/>
      <c r="O21" s="76"/>
      <c r="P21" s="76" t="str">
        <f t="shared" si="4"/>
        <v>,vital_seq</v>
      </c>
      <c r="Q21" s="76" t="str">
        <f t="shared" si="0"/>
        <v>INTEGER</v>
      </c>
      <c r="R21" s="76" t="str">
        <f t="shared" si="1"/>
        <v/>
      </c>
      <c r="S21" s="76" t="str">
        <f t="shared" si="5"/>
        <v>NOT NULL</v>
      </c>
      <c r="T21" s="76" t="str">
        <f t="shared" si="6"/>
        <v>-- バイタルSEQ</v>
      </c>
      <c r="U21" s="4"/>
      <c r="AA21" s="4"/>
      <c r="AB21" s="4"/>
      <c r="AC21" s="4"/>
      <c r="AD21" s="4"/>
      <c r="AE21" s="4"/>
      <c r="AF21" s="4"/>
      <c r="AG21" s="4"/>
      <c r="AH21" s="4"/>
      <c r="AI21" s="4"/>
      <c r="AJ21" s="76" t="str">
        <f>IF(E21="○",IF(COUNTA(E$13:E21)=1,"",",")&amp;D21,"")</f>
        <v>,vital_seq</v>
      </c>
      <c r="AK21" s="4"/>
      <c r="AL21" s="4"/>
      <c r="AM21" s="4"/>
      <c r="AN21" s="4"/>
      <c r="AO21" s="4"/>
      <c r="AP21" s="4"/>
      <c r="AQ21" s="4"/>
      <c r="AR21" s="4"/>
      <c r="AS21" s="76" t="str">
        <f>"COMMENT ON COLUMN "&amp;エンティティ一覧!$O$2&amp;"."&amp;D$8&amp;"."&amp;D21&amp;" IS '"&amp;C21&amp;"';"</f>
        <v>COMMENT ON COLUMN milscm_2023_010.azn_202310_backup_merge_mml_fs_vitalsign.vital_seq IS 'バイタルSEQ';</v>
      </c>
    </row>
    <row r="22" spans="1:45" s="25" customFormat="1">
      <c r="A22" s="4"/>
      <c r="B22" s="21">
        <f t="shared" si="2"/>
        <v>10</v>
      </c>
      <c r="C22" s="13" t="s">
        <v>1679</v>
      </c>
      <c r="D22" s="13" t="s">
        <v>1680</v>
      </c>
      <c r="E22" s="7"/>
      <c r="F22" s="7" t="s">
        <v>863</v>
      </c>
      <c r="G22" s="7" t="str">
        <f t="shared" si="3"/>
        <v>text</v>
      </c>
      <c r="H22" s="58"/>
      <c r="I22" s="23"/>
      <c r="J22" s="24" t="s">
        <v>1701</v>
      </c>
      <c r="M22" s="4"/>
      <c r="N22" s="76"/>
      <c r="O22" s="76"/>
      <c r="P22" s="76" t="str">
        <f t="shared" si="4"/>
        <v>,department_name</v>
      </c>
      <c r="Q22" s="76" t="str">
        <f t="shared" si="0"/>
        <v>TEXT</v>
      </c>
      <c r="R22" s="76" t="str">
        <f t="shared" si="1"/>
        <v/>
      </c>
      <c r="S22" s="76" t="str">
        <f t="shared" si="5"/>
        <v/>
      </c>
      <c r="T22" s="76" t="str">
        <f t="shared" si="6"/>
        <v>-- 診療科名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milscm_2023_010.azn_202310_backup_merge_mml_fs_vitalsign.department_name IS '診療科名';</v>
      </c>
    </row>
    <row r="23" spans="1:45" s="25" customFormat="1" ht="37.5">
      <c r="A23" s="4"/>
      <c r="B23" s="21">
        <f t="shared" si="2"/>
        <v>11</v>
      </c>
      <c r="C23" s="13" t="s">
        <v>601</v>
      </c>
      <c r="D23" s="13" t="s">
        <v>1681</v>
      </c>
      <c r="E23" s="7"/>
      <c r="F23" s="7" t="s">
        <v>863</v>
      </c>
      <c r="G23" s="7" t="str">
        <f t="shared" si="3"/>
        <v>text</v>
      </c>
      <c r="H23" s="58"/>
      <c r="I23" s="23"/>
      <c r="J23" s="24" t="s">
        <v>1702</v>
      </c>
      <c r="M23" s="4"/>
      <c r="N23" s="76"/>
      <c r="O23" s="76"/>
      <c r="P23" s="76" t="str">
        <f t="shared" si="4"/>
        <v>,department_code</v>
      </c>
      <c r="Q23" s="76" t="str">
        <f t="shared" si="0"/>
        <v>TEXT</v>
      </c>
      <c r="R23" s="76" t="str">
        <f t="shared" si="1"/>
        <v/>
      </c>
      <c r="S23" s="76" t="str">
        <f t="shared" si="5"/>
        <v/>
      </c>
      <c r="T23" s="76" t="str">
        <f t="shared" si="6"/>
        <v>-- 診療科コード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milscm_2023_010.azn_202310_backup_merge_mml_fs_vitalsign.department_code IS '診療科コード';</v>
      </c>
    </row>
    <row r="24" spans="1:45" s="25" customFormat="1">
      <c r="A24" s="4"/>
      <c r="B24" s="21">
        <f t="shared" si="2"/>
        <v>12</v>
      </c>
      <c r="C24" s="13" t="s">
        <v>1682</v>
      </c>
      <c r="D24" s="13" t="s">
        <v>1683</v>
      </c>
      <c r="E24" s="7"/>
      <c r="F24" s="7" t="s">
        <v>863</v>
      </c>
      <c r="G24" s="7" t="str">
        <f t="shared" si="3"/>
        <v>text</v>
      </c>
      <c r="H24" s="58"/>
      <c r="I24" s="23"/>
      <c r="J24" s="24" t="s">
        <v>1703</v>
      </c>
      <c r="M24" s="4"/>
      <c r="N24" s="76"/>
      <c r="O24" s="76"/>
      <c r="P24" s="76" t="str">
        <f t="shared" si="4"/>
        <v>,ward</v>
      </c>
      <c r="Q24" s="76" t="str">
        <f t="shared" si="0"/>
        <v>TEXT</v>
      </c>
      <c r="R24" s="76" t="str">
        <f t="shared" si="1"/>
        <v/>
      </c>
      <c r="S24" s="76" t="str">
        <f t="shared" si="5"/>
        <v/>
      </c>
      <c r="T24" s="76" t="str">
        <f t="shared" si="6"/>
        <v>-- 病棟</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milscm_2023_010.azn_202310_backup_merge_mml_fs_vitalsign.ward IS '病棟';</v>
      </c>
    </row>
    <row r="25" spans="1:45" s="25" customFormat="1" ht="37.5">
      <c r="A25" s="4"/>
      <c r="B25" s="21">
        <f t="shared" si="2"/>
        <v>13</v>
      </c>
      <c r="C25" s="13" t="s">
        <v>237</v>
      </c>
      <c r="D25" s="13" t="s">
        <v>238</v>
      </c>
      <c r="E25" s="7"/>
      <c r="F25" s="7" t="s">
        <v>863</v>
      </c>
      <c r="G25" s="7" t="str">
        <f t="shared" si="3"/>
        <v>text</v>
      </c>
      <c r="H25" s="58"/>
      <c r="I25" s="23"/>
      <c r="J25" s="24" t="s">
        <v>1704</v>
      </c>
      <c r="M25" s="4"/>
      <c r="N25" s="76"/>
      <c r="O25" s="76"/>
      <c r="P25" s="76" t="str">
        <f t="shared" si="4"/>
        <v>,ward_code</v>
      </c>
      <c r="Q25" s="76" t="str">
        <f t="shared" si="0"/>
        <v>TEXT</v>
      </c>
      <c r="R25" s="76" t="str">
        <f t="shared" si="1"/>
        <v/>
      </c>
      <c r="S25" s="76" t="str">
        <f t="shared" si="5"/>
        <v/>
      </c>
      <c r="T25" s="76" t="str">
        <f t="shared" si="6"/>
        <v>-- 病棟コード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milscm_2023_010.azn_202310_backup_merge_mml_fs_vitalsign.ward_code IS '病棟コード';</v>
      </c>
    </row>
    <row r="26" spans="1:45" s="25" customFormat="1" ht="37.5">
      <c r="A26" s="4"/>
      <c r="B26" s="21">
        <f t="shared" si="2"/>
        <v>14</v>
      </c>
      <c r="C26" s="13" t="s">
        <v>1684</v>
      </c>
      <c r="D26" s="13" t="s">
        <v>1685</v>
      </c>
      <c r="E26" s="7"/>
      <c r="F26" s="7" t="s">
        <v>863</v>
      </c>
      <c r="G26" s="7" t="str">
        <f t="shared" si="3"/>
        <v>text</v>
      </c>
      <c r="H26" s="58"/>
      <c r="I26" s="23"/>
      <c r="J26" s="24" t="s">
        <v>1705</v>
      </c>
      <c r="M26" s="4"/>
      <c r="N26" s="76"/>
      <c r="O26" s="76"/>
      <c r="P26" s="76" t="str">
        <f t="shared" si="4"/>
        <v>,ward_code_id</v>
      </c>
      <c r="Q26" s="76" t="str">
        <f t="shared" si="0"/>
        <v>TEXT</v>
      </c>
      <c r="R26" s="76" t="str">
        <f t="shared" si="1"/>
        <v/>
      </c>
      <c r="S26" s="76" t="str">
        <f t="shared" si="5"/>
        <v/>
      </c>
      <c r="T26" s="76" t="str">
        <f t="shared" si="6"/>
        <v>-- 病棟コードID</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milscm_2023_010.azn_202310_backup_merge_mml_fs_vitalsign.ward_code_id IS '病棟コードID';</v>
      </c>
    </row>
    <row r="27" spans="1:45" s="25" customFormat="1">
      <c r="A27" s="4"/>
      <c r="B27" s="21">
        <f t="shared" si="2"/>
        <v>15</v>
      </c>
      <c r="C27" s="13" t="s">
        <v>1686</v>
      </c>
      <c r="D27" s="13" t="s">
        <v>1687</v>
      </c>
      <c r="E27" s="7"/>
      <c r="F27" s="7" t="s">
        <v>863</v>
      </c>
      <c r="G27" s="7" t="str">
        <f t="shared" si="3"/>
        <v>text</v>
      </c>
      <c r="H27" s="58"/>
      <c r="I27" s="23"/>
      <c r="J27" s="24" t="s">
        <v>1295</v>
      </c>
      <c r="M27" s="4"/>
      <c r="N27" s="76"/>
      <c r="O27" s="76"/>
      <c r="P27" s="76" t="str">
        <f t="shared" si="4"/>
        <v>,vital_sign_time</v>
      </c>
      <c r="Q27" s="76" t="str">
        <f t="shared" si="0"/>
        <v>TEXT</v>
      </c>
      <c r="R27" s="76" t="str">
        <f t="shared" si="1"/>
        <v/>
      </c>
      <c r="S27" s="76" t="str">
        <f t="shared" si="5"/>
        <v/>
      </c>
      <c r="T27" s="76" t="str">
        <f t="shared" si="6"/>
        <v>-- バイタルサインの計測時間</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milscm_2023_010.azn_202310_backup_merge_mml_fs_vitalsign.vital_sign_time IS 'バイタルサインの計測時間';</v>
      </c>
    </row>
    <row r="28" spans="1:45" s="25" customFormat="1">
      <c r="A28" s="4"/>
      <c r="B28" s="21">
        <f t="shared" si="2"/>
        <v>16</v>
      </c>
      <c r="C28" s="13" t="s">
        <v>1688</v>
      </c>
      <c r="D28" s="13" t="s">
        <v>1689</v>
      </c>
      <c r="E28" s="7"/>
      <c r="F28" s="7" t="s">
        <v>863</v>
      </c>
      <c r="G28" s="7" t="str">
        <f t="shared" si="3"/>
        <v>text</v>
      </c>
      <c r="H28" s="58"/>
      <c r="I28" s="23"/>
      <c r="J28" s="24" t="s">
        <v>1707</v>
      </c>
      <c r="M28" s="4"/>
      <c r="N28" s="76"/>
      <c r="O28" s="76"/>
      <c r="P28" s="76" t="str">
        <f t="shared" si="4"/>
        <v>,keisoku_tejun</v>
      </c>
      <c r="Q28" s="76" t="str">
        <f t="shared" si="0"/>
        <v>TEXT</v>
      </c>
      <c r="R28" s="76" t="str">
        <f t="shared" si="1"/>
        <v/>
      </c>
      <c r="S28" s="76" t="str">
        <f t="shared" si="5"/>
        <v/>
      </c>
      <c r="T28" s="76" t="str">
        <f t="shared" si="6"/>
        <v>-- 計測手順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milscm_2023_010.azn_202310_backup_merge_mml_fs_vitalsign.keisoku_tejun IS '計測手順';</v>
      </c>
    </row>
    <row r="29" spans="1:45" s="25" customFormat="1">
      <c r="A29" s="4"/>
      <c r="B29" s="21">
        <f t="shared" si="2"/>
        <v>17</v>
      </c>
      <c r="C29" s="13" t="s">
        <v>1690</v>
      </c>
      <c r="D29" s="13" t="s">
        <v>1691</v>
      </c>
      <c r="E29" s="7"/>
      <c r="F29" s="7" t="s">
        <v>863</v>
      </c>
      <c r="G29" s="7" t="str">
        <f t="shared" si="3"/>
        <v>text</v>
      </c>
      <c r="H29" s="58"/>
      <c r="I29" s="23"/>
      <c r="J29" s="24" t="s">
        <v>1708</v>
      </c>
      <c r="M29" s="4"/>
      <c r="N29" s="76"/>
      <c r="O29" s="76"/>
      <c r="P29" s="76" t="str">
        <f t="shared" si="4"/>
        <v>,keisoku_device</v>
      </c>
      <c r="Q29" s="76" t="str">
        <f t="shared" si="0"/>
        <v>TEXT</v>
      </c>
      <c r="R29" s="76" t="str">
        <f t="shared" si="1"/>
        <v/>
      </c>
      <c r="S29" s="76" t="str">
        <f t="shared" si="5"/>
        <v/>
      </c>
      <c r="T29" s="76" t="str">
        <f t="shared" si="6"/>
        <v>-- 計測器具</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milscm_2023_010.azn_202310_backup_merge_mml_fs_vitalsign.keisoku_device IS '計測器具';</v>
      </c>
    </row>
    <row r="30" spans="1:45" s="25" customFormat="1">
      <c r="A30" s="4"/>
      <c r="B30" s="21">
        <f t="shared" si="2"/>
        <v>18</v>
      </c>
      <c r="C30" s="13" t="s">
        <v>1692</v>
      </c>
      <c r="D30" s="13" t="s">
        <v>1693</v>
      </c>
      <c r="E30" s="7"/>
      <c r="F30" s="7" t="s">
        <v>863</v>
      </c>
      <c r="G30" s="7" t="str">
        <f t="shared" si="3"/>
        <v>text</v>
      </c>
      <c r="H30" s="58"/>
      <c r="I30" s="23"/>
      <c r="J30" s="24" t="s">
        <v>1709</v>
      </c>
      <c r="M30" s="4"/>
      <c r="N30" s="76"/>
      <c r="O30" s="76"/>
      <c r="P30" s="76" t="str">
        <f t="shared" si="4"/>
        <v>,keisoku_bui</v>
      </c>
      <c r="Q30" s="76" t="str">
        <f t="shared" si="0"/>
        <v>TEXT</v>
      </c>
      <c r="R30" s="76" t="str">
        <f t="shared" si="1"/>
        <v/>
      </c>
      <c r="S30" s="76" t="str">
        <f t="shared" si="5"/>
        <v/>
      </c>
      <c r="T30" s="76" t="str">
        <f t="shared" si="6"/>
        <v>-- 計測部位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milscm_2023_010.azn_202310_backup_merge_mml_fs_vitalsign.keisoku_bui IS '計測部位';</v>
      </c>
    </row>
    <row r="31" spans="1:45" s="25" customFormat="1">
      <c r="A31" s="4"/>
      <c r="B31" s="21">
        <f t="shared" si="2"/>
        <v>19</v>
      </c>
      <c r="C31" s="13" t="s">
        <v>1694</v>
      </c>
      <c r="D31" s="13" t="s">
        <v>1695</v>
      </c>
      <c r="E31" s="7"/>
      <c r="F31" s="7" t="s">
        <v>863</v>
      </c>
      <c r="G31" s="7" t="str">
        <f t="shared" si="3"/>
        <v>text</v>
      </c>
      <c r="H31" s="58"/>
      <c r="I31" s="23"/>
      <c r="J31" s="24" t="s">
        <v>1710</v>
      </c>
      <c r="M31" s="4"/>
      <c r="N31" s="76"/>
      <c r="O31" s="76"/>
      <c r="P31" s="76" t="str">
        <f t="shared" si="4"/>
        <v>,keisoku_position</v>
      </c>
      <c r="Q31" s="76" t="str">
        <f t="shared" si="0"/>
        <v>TEXT</v>
      </c>
      <c r="R31" s="76" t="str">
        <f t="shared" si="1"/>
        <v/>
      </c>
      <c r="S31" s="76" t="str">
        <f t="shared" si="5"/>
        <v/>
      </c>
      <c r="T31" s="76" t="str">
        <f t="shared" si="6"/>
        <v>-- 計測時体位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milscm_2023_010.azn_202310_backup_merge_mml_fs_vitalsign.keisoku_position IS '計測時体位';</v>
      </c>
    </row>
    <row r="32" spans="1:45" s="25" customFormat="1" ht="31.5">
      <c r="A32" s="4"/>
      <c r="B32" s="21">
        <f t="shared" si="2"/>
        <v>20</v>
      </c>
      <c r="C32" s="13" t="s">
        <v>1696</v>
      </c>
      <c r="D32" s="13" t="s">
        <v>1697</v>
      </c>
      <c r="E32" s="7"/>
      <c r="F32" s="7" t="s">
        <v>863</v>
      </c>
      <c r="G32" s="7" t="str">
        <f t="shared" si="3"/>
        <v>text</v>
      </c>
      <c r="H32" s="58"/>
      <c r="I32" s="23"/>
      <c r="J32" s="24" t="s">
        <v>1711</v>
      </c>
      <c r="M32" s="4"/>
      <c r="N32" s="76"/>
      <c r="O32" s="76"/>
      <c r="P32" s="76" t="str">
        <f t="shared" si="4"/>
        <v>,keisoku_method_comment</v>
      </c>
      <c r="Q32" s="76" t="str">
        <f t="shared" si="0"/>
        <v>TEXT</v>
      </c>
      <c r="R32" s="76" t="str">
        <f t="shared" si="1"/>
        <v/>
      </c>
      <c r="S32" s="76" t="str">
        <f t="shared" si="5"/>
        <v/>
      </c>
      <c r="T32" s="76" t="str">
        <f t="shared" si="6"/>
        <v>-- 計測方法コメント</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milscm_2023_010.azn_202310_backup_merge_mml_fs_vitalsign.keisoku_method_comment IS '計測方法コメント';</v>
      </c>
    </row>
    <row r="33" spans="1:52" s="25" customFormat="1" ht="19.5" thickBot="1">
      <c r="A33" s="4"/>
      <c r="B33" s="27">
        <f>ROW()-12</f>
        <v>21</v>
      </c>
      <c r="C33" s="57" t="s">
        <v>1698</v>
      </c>
      <c r="D33" s="57" t="s">
        <v>1699</v>
      </c>
      <c r="E33" s="56"/>
      <c r="F33" s="56" t="s">
        <v>863</v>
      </c>
      <c r="G33" s="56" t="str">
        <f t="shared" si="3"/>
        <v>text</v>
      </c>
      <c r="H33" s="59"/>
      <c r="I33" s="60"/>
      <c r="J33" s="63" t="s">
        <v>1712</v>
      </c>
      <c r="N33" s="76"/>
      <c r="O33" s="76"/>
      <c r="P33" s="76" t="str">
        <f t="shared" si="4"/>
        <v>,kiroku_comment</v>
      </c>
      <c r="Q33" s="76" t="str">
        <f t="shared" si="0"/>
        <v>TEXT</v>
      </c>
      <c r="R33" s="76" t="str">
        <f t="shared" si="1"/>
        <v/>
      </c>
      <c r="S33" s="76" t="str">
        <f t="shared" si="5"/>
        <v/>
      </c>
      <c r="T33" s="76" t="str">
        <f t="shared" si="6"/>
        <v>-- 記録コメント</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milscm_2023_010.azn_202310_backup_merge_mml_fs_vitalsign.kiroku_comment IS '記録コメント';</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01</v>
      </c>
      <c r="E4" s="248"/>
      <c r="F4" s="248"/>
      <c r="G4" s="248"/>
      <c r="H4" s="248"/>
      <c r="I4" s="248"/>
      <c r="J4" s="249"/>
    </row>
    <row r="5" spans="1:45">
      <c r="B5" s="261" t="s">
        <v>3704</v>
      </c>
      <c r="C5" s="262"/>
      <c r="D5" s="271" t="str">
        <f>VLOOKUP(D7,エンティティ一覧!A1:'エンティティ一覧'!AM10203,7,FALSE)</f>
        <v>backup</v>
      </c>
      <c r="E5" s="272"/>
      <c r="F5" s="272"/>
      <c r="G5" s="272"/>
      <c r="H5" s="272"/>
      <c r="I5" s="272"/>
      <c r="J5" s="273"/>
    </row>
    <row r="6" spans="1:45">
      <c r="B6" s="261" t="s">
        <v>3705</v>
      </c>
      <c r="C6" s="262"/>
      <c r="D6" s="271" t="str">
        <f>VLOOKUP(D7,エンティティ一覧!A1:'エンティティ一覧'!AM10203,15,FALSE)</f>
        <v>ENT_01_C4-41</v>
      </c>
      <c r="E6" s="272"/>
      <c r="F6" s="272"/>
      <c r="G6" s="272"/>
      <c r="H6" s="272"/>
      <c r="I6" s="272"/>
      <c r="J6" s="273"/>
    </row>
    <row r="7" spans="1:45">
      <c r="B7" s="261" t="s">
        <v>115</v>
      </c>
      <c r="C7" s="262"/>
      <c r="D7" s="263" t="s">
        <v>1731</v>
      </c>
      <c r="E7" s="264"/>
      <c r="F7" s="264"/>
      <c r="G7" s="264"/>
      <c r="H7" s="264"/>
      <c r="I7" s="264"/>
      <c r="J7" s="265"/>
    </row>
    <row r="8" spans="1:45">
      <c r="B8" s="261" t="s">
        <v>116</v>
      </c>
      <c r="C8" s="262"/>
      <c r="D8" s="263" t="str">
        <f>エンティティ一覧!AE2&amp;"_"&amp;D5&amp;"_merge_mml_fs_item"</f>
        <v>azn_202310_backup_merge_mml_fs_item</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体温表モジュール_記録項目テーブルから組入れ条件の第一条件で絞り込んだ結果を格納するテーブル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milscm_2023_010.azn_202310_backup_merge_mml_fs_item;</v>
      </c>
      <c r="O10" s="76"/>
      <c r="P10" s="76"/>
      <c r="Q10" s="76"/>
      <c r="R10" s="76"/>
      <c r="S10" s="76"/>
      <c r="T10" s="76"/>
      <c r="AJ10" s="76" t="str">
        <f>"ALTER TABLE ONLY "&amp;エンティティ一覧!$O$2&amp;"."&amp;D$8</f>
        <v>ALTER TABLE ONLY milscm_2023_010.azn_202310_backup_merge_mml_fs_item</v>
      </c>
      <c r="AS10" s="76" t="str">
        <f>"ALTER TABLE "&amp;エンティティ一覧!$O$2&amp;"."&amp;D$8&amp;" OWNER TO pgmisgrp1;"</f>
        <v>ALTER TABLE milscm_2023_010.azn_202310_backup_merge_mml_fs_item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milscm_2023_010.azn_202310_backup_merge_mml_fs_item</v>
      </c>
      <c r="O11" s="76"/>
      <c r="P11" s="76"/>
      <c r="Q11" s="76"/>
      <c r="R11" s="76"/>
      <c r="S11" s="76"/>
      <c r="T11" s="76"/>
      <c r="AJ11" s="76" t="str">
        <f>"ADD CONSTRAINT "&amp;D$8&amp;"_pkey PRIMARY KEY"</f>
        <v>ADD CONSTRAINT azn_202310_backup_merge_mml_fs_item_pkey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milscm_2023_010.azn_202310_backup_merge_mml_fs_item IS 'バックアップ_体温表モジュール_記録項目';</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6" si="0">UPPER(G13)</f>
        <v>TEXT</v>
      </c>
      <c r="R13" s="76" t="str">
        <f t="shared" ref="R13:R2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milscm_2023_010.azn_202310_backup_merge_mml_fs_item.torikomi_ym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1280</v>
      </c>
      <c r="M14" s="4"/>
      <c r="N14" s="76"/>
      <c r="O14" s="76"/>
      <c r="P14" s="76" t="str">
        <f t="shared" ref="P14:P2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milscm_2023_010.azn_202310_backup_merge_mml_fs_item.mil_karute_id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6" si="5">IF(I15="○","NOT NULL","")</f>
        <v>NOT NULL</v>
      </c>
      <c r="T15" s="76" t="str">
        <f t="shared" ref="T15:T2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milscm_2023_010.azn_202310_backup_merge_mml_fs_item.facility_id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milscm_2023_010.azn_202310_backup_merge_mml_fs_item.shinryo_ymd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milscm_2023_010.azn_202310_backup_merge_mml_fs_item.data_type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milscm_2023_010.azn_202310_backup_merge_mml_fs_item.master_id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milscm_2023_010.azn_202310_backup_merge_mml_fs_item.uid IS '文書ユニークID';</v>
      </c>
    </row>
    <row r="20" spans="1:52" s="25" customFormat="1">
      <c r="A20" s="4"/>
      <c r="B20" s="21">
        <f t="shared" si="2"/>
        <v>8</v>
      </c>
      <c r="C20" s="13" t="s">
        <v>1728</v>
      </c>
      <c r="D20" s="13" t="s">
        <v>1729</v>
      </c>
      <c r="E20" s="7" t="s">
        <v>127</v>
      </c>
      <c r="F20" s="7" t="s">
        <v>203</v>
      </c>
      <c r="G20" s="7" t="str">
        <f t="shared" si="3"/>
        <v>integer</v>
      </c>
      <c r="H20" s="58"/>
      <c r="I20" s="23" t="s">
        <v>127</v>
      </c>
      <c r="J20" s="24" t="s">
        <v>1730</v>
      </c>
      <c r="M20" s="4"/>
      <c r="N20" s="76"/>
      <c r="O20" s="76"/>
      <c r="P20" s="76" t="str">
        <f t="shared" si="4"/>
        <v>,taionhyo_seq</v>
      </c>
      <c r="Q20" s="76" t="str">
        <f t="shared" si="0"/>
        <v>INTEGER</v>
      </c>
      <c r="R20" s="76" t="str">
        <f t="shared" si="1"/>
        <v/>
      </c>
      <c r="S20" s="76" t="str">
        <f t="shared" si="5"/>
        <v>NOT NULL</v>
      </c>
      <c r="T20" s="76" t="str">
        <f t="shared" si="6"/>
        <v>-- 体温表SEQ</v>
      </c>
      <c r="U20" s="4"/>
      <c r="AA20" s="4"/>
      <c r="AB20" s="4"/>
      <c r="AC20" s="4"/>
      <c r="AD20" s="4"/>
      <c r="AE20" s="4"/>
      <c r="AF20" s="4"/>
      <c r="AG20" s="4"/>
      <c r="AH20" s="4"/>
      <c r="AI20" s="4"/>
      <c r="AJ20" s="76" t="str">
        <f>IF(E20="○",IF(COUNTA(E$13:E20)=1,"",",")&amp;D20,"")</f>
        <v>,taionhyo_seq</v>
      </c>
      <c r="AK20" s="4"/>
      <c r="AL20" s="4"/>
      <c r="AM20" s="4"/>
      <c r="AN20" s="4"/>
      <c r="AO20" s="4"/>
      <c r="AP20" s="4"/>
      <c r="AQ20" s="4"/>
      <c r="AR20" s="4"/>
      <c r="AS20" s="76" t="str">
        <f>"COMMENT ON COLUMN "&amp;エンティティ一覧!$O$2&amp;"."&amp;D$8&amp;"."&amp;D20&amp;" IS '"&amp;C20&amp;"';"</f>
        <v>COMMENT ON COLUMN milscm_2023_010.azn_202310_backup_merge_mml_fs_item.taionhyo_seq IS '体温表SEQ';</v>
      </c>
    </row>
    <row r="21" spans="1:52" s="25" customFormat="1">
      <c r="A21" s="4"/>
      <c r="B21" s="21">
        <f t="shared" si="2"/>
        <v>9</v>
      </c>
      <c r="C21" s="13" t="s">
        <v>1677</v>
      </c>
      <c r="D21" s="13" t="s">
        <v>1678</v>
      </c>
      <c r="E21" s="7" t="s">
        <v>127</v>
      </c>
      <c r="F21" s="7" t="s">
        <v>203</v>
      </c>
      <c r="G21" s="7" t="str">
        <f t="shared" si="3"/>
        <v>integer</v>
      </c>
      <c r="H21" s="58"/>
      <c r="I21" s="23" t="s">
        <v>127</v>
      </c>
      <c r="J21" s="24" t="s">
        <v>1700</v>
      </c>
      <c r="M21" s="4"/>
      <c r="N21" s="76"/>
      <c r="O21" s="76"/>
      <c r="P21" s="76" t="str">
        <f t="shared" si="4"/>
        <v>,vital_seq</v>
      </c>
      <c r="Q21" s="76" t="str">
        <f t="shared" si="0"/>
        <v>INTEGER</v>
      </c>
      <c r="R21" s="76" t="str">
        <f t="shared" si="1"/>
        <v/>
      </c>
      <c r="S21" s="76" t="str">
        <f t="shared" si="5"/>
        <v>NOT NULL</v>
      </c>
      <c r="T21" s="76" t="str">
        <f t="shared" si="6"/>
        <v>-- バイタルSEQ</v>
      </c>
      <c r="U21" s="4"/>
      <c r="AA21" s="4"/>
      <c r="AB21" s="4"/>
      <c r="AC21" s="4"/>
      <c r="AD21" s="4"/>
      <c r="AE21" s="4"/>
      <c r="AF21" s="4"/>
      <c r="AG21" s="4"/>
      <c r="AH21" s="4"/>
      <c r="AI21" s="4"/>
      <c r="AJ21" s="76" t="str">
        <f>IF(E21="○",IF(COUNTA(E$13:E21)=1,"",",")&amp;D21,"")</f>
        <v>,vital_seq</v>
      </c>
      <c r="AK21" s="4"/>
      <c r="AL21" s="4"/>
      <c r="AM21" s="4"/>
      <c r="AN21" s="4"/>
      <c r="AO21" s="4"/>
      <c r="AP21" s="4"/>
      <c r="AQ21" s="4"/>
      <c r="AR21" s="4"/>
      <c r="AS21" s="76" t="str">
        <f>"COMMENT ON COLUMN "&amp;エンティティ一覧!$O$2&amp;"."&amp;D$8&amp;"."&amp;D21&amp;" IS '"&amp;C21&amp;"';"</f>
        <v>COMMENT ON COLUMN milscm_2023_010.azn_202310_backup_merge_mml_fs_item.vital_seq IS 'バイタルSEQ';</v>
      </c>
    </row>
    <row r="22" spans="1:52" s="25" customFormat="1">
      <c r="A22" s="4"/>
      <c r="B22" s="21">
        <f t="shared" si="2"/>
        <v>10</v>
      </c>
      <c r="C22" s="13" t="s">
        <v>1732</v>
      </c>
      <c r="D22" s="13" t="s">
        <v>1715</v>
      </c>
      <c r="E22" s="7" t="s">
        <v>127</v>
      </c>
      <c r="F22" s="7" t="s">
        <v>203</v>
      </c>
      <c r="G22" s="7" t="str">
        <f t="shared" si="3"/>
        <v>integer</v>
      </c>
      <c r="H22" s="58"/>
      <c r="I22" s="23" t="s">
        <v>127</v>
      </c>
      <c r="J22" s="24"/>
      <c r="M22" s="4"/>
      <c r="N22" s="76"/>
      <c r="O22" s="76"/>
      <c r="P22" s="76" t="str">
        <f t="shared" si="4"/>
        <v>,item_seq</v>
      </c>
      <c r="Q22" s="76" t="str">
        <f t="shared" si="0"/>
        <v>INTEGER</v>
      </c>
      <c r="R22" s="76" t="str">
        <f t="shared" si="1"/>
        <v/>
      </c>
      <c r="S22" s="76" t="str">
        <f t="shared" si="5"/>
        <v>NOT NULL</v>
      </c>
      <c r="T22" s="76" t="str">
        <f t="shared" si="6"/>
        <v>-- 項目SEQ</v>
      </c>
      <c r="U22" s="4"/>
      <c r="AA22" s="4"/>
      <c r="AB22" s="4"/>
      <c r="AC22" s="4"/>
      <c r="AD22" s="4"/>
      <c r="AE22" s="4"/>
      <c r="AF22" s="4"/>
      <c r="AG22" s="4"/>
      <c r="AH22" s="4"/>
      <c r="AI22" s="4"/>
      <c r="AJ22" s="76" t="str">
        <f>IF(E22="○",IF(COUNTA(E$13:E22)=1,"",",")&amp;D22,"")</f>
        <v>,item_seq</v>
      </c>
      <c r="AK22" s="4"/>
      <c r="AL22" s="4"/>
      <c r="AM22" s="4"/>
      <c r="AN22" s="4"/>
      <c r="AO22" s="4"/>
      <c r="AP22" s="4"/>
      <c r="AQ22" s="4"/>
      <c r="AR22" s="4"/>
      <c r="AS22" s="76" t="str">
        <f>"COMMENT ON COLUMN "&amp;エンティティ一覧!$O$2&amp;"."&amp;D$8&amp;"."&amp;D22&amp;" IS '"&amp;C22&amp;"';"</f>
        <v>COMMENT ON COLUMN milscm_2023_010.azn_202310_backup_merge_mml_fs_item.item_seq IS '項目SEQ';</v>
      </c>
    </row>
    <row r="23" spans="1:52" s="25" customFormat="1">
      <c r="A23" s="4"/>
      <c r="B23" s="21">
        <f t="shared" si="2"/>
        <v>11</v>
      </c>
      <c r="C23" s="13" t="s">
        <v>1621</v>
      </c>
      <c r="D23" s="13" t="s">
        <v>1622</v>
      </c>
      <c r="E23" s="7"/>
      <c r="F23" s="7" t="s">
        <v>863</v>
      </c>
      <c r="G23" s="7" t="str">
        <f t="shared" ref="G23" si="7">IF(F23="フラグ","boolean",IF(F23="文字列","text",IF(F23="整数","integer",IF(F23="実数","numeric",""))))</f>
        <v>text</v>
      </c>
      <c r="H23" s="58"/>
      <c r="I23" s="23"/>
      <c r="J23" s="24"/>
      <c r="M23" s="4"/>
      <c r="N23" s="76"/>
      <c r="O23" s="76"/>
      <c r="P23" s="76" t="str">
        <f t="shared" ref="P23" si="8">IF(B23&lt;&gt;1,","&amp;D23,D23)</f>
        <v>,item_name</v>
      </c>
      <c r="Q23" s="76" t="str">
        <f t="shared" ref="Q23" si="9">UPPER(G23)</f>
        <v>TEXT</v>
      </c>
      <c r="R23" s="76" t="str">
        <f t="shared" ref="R23" si="10">IF(H23&lt;&gt;"","default "&amp;IF(G23="text","'"&amp;H23&amp;"'",H23),"")</f>
        <v/>
      </c>
      <c r="S23" s="76" t="str">
        <f t="shared" ref="S23" si="11">IF(I23="○","NOT NULL","")</f>
        <v/>
      </c>
      <c r="T23" s="76" t="str">
        <f t="shared" ref="T23" si="12">"-- "&amp;C23</f>
        <v>-- 項目名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milscm_2023_010.azn_202310_backup_merge_mml_fs_item.item_name IS '項目名';</v>
      </c>
    </row>
    <row r="24" spans="1:52" s="25" customFormat="1" ht="31.5">
      <c r="A24" s="4"/>
      <c r="B24" s="21">
        <f t="shared" si="2"/>
        <v>12</v>
      </c>
      <c r="C24" s="13" t="s">
        <v>1716</v>
      </c>
      <c r="D24" s="13" t="s">
        <v>1717</v>
      </c>
      <c r="E24" s="7"/>
      <c r="F24" s="7" t="s">
        <v>863</v>
      </c>
      <c r="G24" s="7" t="str">
        <f t="shared" si="3"/>
        <v>text</v>
      </c>
      <c r="H24" s="58"/>
      <c r="I24" s="23"/>
      <c r="J24" s="24"/>
      <c r="M24" s="4"/>
      <c r="N24" s="76"/>
      <c r="O24" s="76"/>
      <c r="P24" s="76" t="str">
        <f t="shared" si="4"/>
        <v>,vital_sign_value</v>
      </c>
      <c r="Q24" s="76" t="str">
        <f t="shared" si="0"/>
        <v>TEXT</v>
      </c>
      <c r="R24" s="76" t="str">
        <f t="shared" si="1"/>
        <v/>
      </c>
      <c r="S24" s="76" t="str">
        <f t="shared" si="5"/>
        <v/>
      </c>
      <c r="T24" s="76" t="str">
        <f t="shared" si="6"/>
        <v>-- 文字列で表記されるバイタルサインの値</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milscm_2023_010.azn_202310_backup_merge_mml_fs_item.vital_sign_value IS '文字列で表記されるバイタルサインの値';</v>
      </c>
    </row>
    <row r="25" spans="1:52" s="25" customFormat="1">
      <c r="A25" s="4"/>
      <c r="B25" s="21">
        <f t="shared" si="2"/>
        <v>13</v>
      </c>
      <c r="C25" s="13" t="s">
        <v>1718</v>
      </c>
      <c r="D25" s="13" t="s">
        <v>1719</v>
      </c>
      <c r="E25" s="7"/>
      <c r="F25" s="7" t="s">
        <v>863</v>
      </c>
      <c r="G25" s="7" t="str">
        <f t="shared" si="3"/>
        <v>text</v>
      </c>
      <c r="H25" s="58"/>
      <c r="I25" s="23"/>
      <c r="J25" s="24"/>
      <c r="M25" s="4"/>
      <c r="N25" s="76"/>
      <c r="O25" s="76"/>
      <c r="P25" s="76" t="str">
        <f t="shared" si="4"/>
        <v>,vital_sign_num_value</v>
      </c>
      <c r="Q25" s="76" t="str">
        <f t="shared" si="0"/>
        <v>TEXT</v>
      </c>
      <c r="R25" s="76" t="str">
        <f t="shared" si="1"/>
        <v/>
      </c>
      <c r="S25" s="76" t="str">
        <f t="shared" si="5"/>
        <v/>
      </c>
      <c r="T25" s="76" t="str">
        <f t="shared" si="6"/>
        <v>-- 数値で表記されるバイタルサインの値</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milscm_2023_010.azn_202310_backup_merge_mml_fs_item.vital_sign_num_value IS '数値で表記されるバイタルサインの値';</v>
      </c>
    </row>
    <row r="26" spans="1:52" s="25" customFormat="1" ht="19.5" thickBot="1">
      <c r="A26" s="4"/>
      <c r="B26" s="27">
        <f>ROW()-12</f>
        <v>14</v>
      </c>
      <c r="C26" s="57" t="s">
        <v>1720</v>
      </c>
      <c r="D26" s="57" t="s">
        <v>1721</v>
      </c>
      <c r="E26" s="56"/>
      <c r="F26" s="56" t="s">
        <v>863</v>
      </c>
      <c r="G26" s="56" t="str">
        <f t="shared" si="3"/>
        <v>text</v>
      </c>
      <c r="H26" s="59"/>
      <c r="I26" s="60"/>
      <c r="J26" s="63"/>
      <c r="N26" s="76"/>
      <c r="O26" s="76"/>
      <c r="P26" s="76" t="str">
        <f t="shared" si="4"/>
        <v>,vital_sign_unit</v>
      </c>
      <c r="Q26" s="76" t="str">
        <f t="shared" si="0"/>
        <v>TEXT</v>
      </c>
      <c r="R26" s="76" t="str">
        <f t="shared" si="1"/>
        <v/>
      </c>
      <c r="S26" s="76" t="str">
        <f t="shared" si="5"/>
        <v/>
      </c>
      <c r="T26" s="76" t="str">
        <f t="shared" si="6"/>
        <v>-- バイタルサインの単位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milscm_2023_010.azn_202310_backup_merge_mml_fs_item.vital_sign_unit IS 'バイタルサインの単位';</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election activeCell="D9" sqref="D9:J9"/>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11</v>
      </c>
      <c r="E4" s="248"/>
      <c r="F4" s="248"/>
      <c r="G4" s="248"/>
      <c r="H4" s="248"/>
      <c r="I4" s="248"/>
      <c r="J4" s="249"/>
    </row>
    <row r="5" spans="1:45">
      <c r="B5" s="261" t="s">
        <v>3704</v>
      </c>
      <c r="C5" s="262"/>
      <c r="D5" s="271" t="str">
        <f>VLOOKUP(D7,エンティティ一覧!A1:'エンティティ一覧'!AM10203,7,FALSE)</f>
        <v>enroll</v>
      </c>
      <c r="E5" s="272"/>
      <c r="F5" s="272"/>
      <c r="G5" s="272"/>
      <c r="H5" s="272"/>
      <c r="I5" s="272"/>
      <c r="J5" s="273"/>
    </row>
    <row r="6" spans="1:45">
      <c r="B6" s="261" t="s">
        <v>3705</v>
      </c>
      <c r="C6" s="262"/>
      <c r="D6" s="271" t="str">
        <f>VLOOKUP(D7,エンティティ一覧!A1:'エンティティ一覧'!AM10203,15,FALSE)</f>
        <v>ENT_11_01</v>
      </c>
      <c r="E6" s="272"/>
      <c r="F6" s="272"/>
      <c r="G6" s="272"/>
      <c r="H6" s="272"/>
      <c r="I6" s="272"/>
      <c r="J6" s="273"/>
    </row>
    <row r="7" spans="1:45">
      <c r="B7" s="261" t="s">
        <v>115</v>
      </c>
      <c r="C7" s="262"/>
      <c r="D7" s="263" t="s">
        <v>3788</v>
      </c>
      <c r="E7" s="264"/>
      <c r="F7" s="264"/>
      <c r="G7" s="264"/>
      <c r="H7" s="264"/>
      <c r="I7" s="264"/>
      <c r="J7" s="265"/>
    </row>
    <row r="8" spans="1:45">
      <c r="B8" s="261" t="s">
        <v>116</v>
      </c>
      <c r="C8" s="262"/>
      <c r="D8" s="263" t="str">
        <f>エンティティ一覧!AE2&amp;"_"&amp;D5&amp;"_shisetsu"</f>
        <v>azn_202310_enroll_shisetsu</v>
      </c>
      <c r="E8" s="264"/>
      <c r="F8" s="264"/>
      <c r="G8" s="264"/>
      <c r="H8" s="264"/>
      <c r="I8" s="264"/>
      <c r="J8" s="265"/>
    </row>
    <row r="9" spans="1:45" ht="19.5" customHeight="1" thickBot="1">
      <c r="B9" s="266" t="s">
        <v>117</v>
      </c>
      <c r="C9" s="267"/>
      <c r="D9" s="268" t="s">
        <v>3991</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milscm_2023_010.azn_202310_enroll_shisetsu;</v>
      </c>
      <c r="O10" s="76"/>
      <c r="P10" s="76"/>
      <c r="Q10" s="76"/>
      <c r="R10" s="76"/>
      <c r="S10" s="76"/>
      <c r="T10" s="76"/>
      <c r="AJ10" s="76" t="str">
        <f>"ALTER TABLE ONLY "&amp;エンティティ一覧!$O$2&amp;"."&amp;D$8</f>
        <v>ALTER TABLE ONLY milscm_2023_010.azn_202310_enroll_shisetsu</v>
      </c>
      <c r="AS10" s="76" t="str">
        <f>"ALTER TABLE "&amp;エンティティ一覧!$O$2&amp;"."&amp;D$8&amp;" OWNER TO pgmisgrp1;"</f>
        <v>ALTER TABLE milscm_2023_010.azn_202310_enroll_shisetsu OWNER TO pgmisgrp1;</v>
      </c>
    </row>
    <row r="11" spans="1:45" ht="19.5" thickBot="1">
      <c r="B11" s="20" t="s">
        <v>118</v>
      </c>
      <c r="C11" s="19"/>
      <c r="D11" s="5"/>
      <c r="E11" s="5"/>
      <c r="F11" s="5"/>
      <c r="G11" s="5"/>
      <c r="H11" s="5"/>
      <c r="I11" s="5"/>
      <c r="J11" s="18"/>
      <c r="N11" s="76" t="str">
        <f>"CREATE TABLE  "&amp;エンティティ一覧!$O$2&amp;"."&amp;D$8</f>
        <v>CREATE TABLE  milscm_2023_010.azn_202310_enroll_shisetsu</v>
      </c>
      <c r="O11" s="76"/>
      <c r="P11" s="76"/>
      <c r="Q11" s="76"/>
      <c r="R11" s="76"/>
      <c r="S11" s="76"/>
      <c r="T11" s="76"/>
      <c r="AJ11" s="76" t="str">
        <f>"ADD CONSTRAINT "&amp;D$8&amp;"_pkey PRIMARY KEY"</f>
        <v>ADD CONSTRAINT azn_202310_enroll_shisetsu_pkey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milscm_2023_010.azn_202310_enroll_shisetsu IS '組入れ_対象施設';</v>
      </c>
    </row>
    <row r="13" spans="1:45" s="25" customFormat="1">
      <c r="A13" s="4"/>
      <c r="B13" s="21">
        <f>ROW()-12</f>
        <v>1</v>
      </c>
      <c r="C13" s="13" t="s">
        <v>137</v>
      </c>
      <c r="D13" s="13" t="s">
        <v>128</v>
      </c>
      <c r="E13" s="7" t="s">
        <v>127</v>
      </c>
      <c r="F13" s="7" t="s">
        <v>3792</v>
      </c>
      <c r="G13" s="7" t="str">
        <f>IF(F13="フラグ","boolean",IF(F13="文字列","text",IF(F13="整数","integer",IF(F13="実数","numeric",""))))</f>
        <v>text</v>
      </c>
      <c r="H13" s="9"/>
      <c r="I13" s="10" t="s">
        <v>127</v>
      </c>
      <c r="J13" s="24"/>
      <c r="M13" s="4"/>
      <c r="N13" s="76"/>
      <c r="O13" s="76"/>
      <c r="P13" s="76" t="str">
        <f>IF(B13&lt;&gt;1,","&amp;D13,D13)</f>
        <v>facility_id</v>
      </c>
      <c r="Q13" s="76" t="str">
        <f t="shared" ref="Q13" si="0">UPPER(G13)</f>
        <v>TEXT</v>
      </c>
      <c r="R13" s="76" t="str">
        <f t="shared" ref="R13" si="1">IF(H13&lt;&gt;"","default "&amp;IF(G13="text","'"&amp;H13&amp;"'",H13),"")</f>
        <v/>
      </c>
      <c r="S13" s="76" t="str">
        <f t="shared" ref="S13:S18" si="2">IF(I13="○","NOT NULL","")</f>
        <v>NOT NULL</v>
      </c>
      <c r="T13" s="76" t="str">
        <f t="shared" ref="T13:T18" si="3">"-- "&amp;C13</f>
        <v>-- 施設ID</v>
      </c>
      <c r="U13" s="4"/>
      <c r="AA13" s="4"/>
      <c r="AB13" s="4"/>
      <c r="AC13" s="4"/>
      <c r="AD13" s="4"/>
      <c r="AE13" s="4"/>
      <c r="AF13" s="4"/>
      <c r="AG13" s="4"/>
      <c r="AH13" s="4"/>
      <c r="AI13" s="4"/>
      <c r="AJ13" s="97"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milscm_2023_010.azn_202310_enroll_shisetsu.facility_id IS '施設ID';</v>
      </c>
    </row>
    <row r="14" spans="1:45" s="25" customFormat="1">
      <c r="A14" s="4"/>
      <c r="B14" s="21">
        <f>ROW()-12</f>
        <v>2</v>
      </c>
      <c r="C14" s="13" t="s">
        <v>2400</v>
      </c>
      <c r="D14" s="13" t="s">
        <v>2401</v>
      </c>
      <c r="E14" s="7"/>
      <c r="F14" s="7" t="s">
        <v>3793</v>
      </c>
      <c r="G14" s="7" t="str">
        <f>IF(F14="フラグ","boolean",IF(F14="文字列","text",IF(F14="整数","integer",IF(F14="実数","numeric",""))))</f>
        <v>text</v>
      </c>
      <c r="H14" s="9"/>
      <c r="I14" s="10"/>
      <c r="J14" s="24"/>
      <c r="M14" s="4"/>
      <c r="N14" s="76"/>
      <c r="O14" s="76"/>
      <c r="P14" s="76" t="str">
        <f>IF(B14&lt;&gt;1,","&amp;D14,D14)</f>
        <v>,facility_id_mml</v>
      </c>
      <c r="Q14" s="76" t="str">
        <f t="shared" ref="Q14:Q15" si="4">UPPER(G14)</f>
        <v>TEXT</v>
      </c>
      <c r="R14" s="76" t="str">
        <f t="shared" ref="R14:R15" si="5">IF(H14&lt;&gt;"","default "&amp;IF(G14="text","'"&amp;H14&amp;"'",H14),"")</f>
        <v/>
      </c>
      <c r="S14" s="76" t="str">
        <f t="shared" si="2"/>
        <v/>
      </c>
      <c r="T14" s="76" t="str">
        <f t="shared" si="3"/>
        <v>-- 施設ID（MML）</v>
      </c>
      <c r="U14" s="4"/>
      <c r="AA14" s="4"/>
      <c r="AB14" s="4"/>
      <c r="AC14" s="4"/>
      <c r="AD14" s="4"/>
      <c r="AE14" s="4"/>
      <c r="AF14" s="4"/>
      <c r="AG14" s="4"/>
      <c r="AH14" s="4"/>
      <c r="AI14" s="4"/>
      <c r="AJ14" s="97" t="str">
        <f>IF(E14="○",IF(COUNTA(E$13:E14)=1,"",",")&amp;D14,"")</f>
        <v/>
      </c>
      <c r="AK14" s="4"/>
      <c r="AL14" s="4"/>
      <c r="AM14" s="4"/>
      <c r="AN14" s="4"/>
      <c r="AO14" s="4"/>
      <c r="AP14" s="4"/>
      <c r="AQ14" s="4"/>
      <c r="AR14" s="4"/>
      <c r="AS14" s="76" t="str">
        <f>"COMMENT ON COLUMN "&amp;エンティティ一覧!$O$2&amp;"."&amp;D$8&amp;"."&amp;D14&amp;" IS '"&amp;C14&amp;"';"</f>
        <v>COMMENT ON COLUMN milscm_2023_010.azn_202310_enroll_shisetsu.facility_id_mml IS '施設ID（MML）';</v>
      </c>
    </row>
    <row r="15" spans="1:45" s="25" customFormat="1">
      <c r="A15" s="4"/>
      <c r="B15" s="21">
        <f t="shared" ref="B15:B18" si="6">ROW()-12</f>
        <v>3</v>
      </c>
      <c r="C15" s="6" t="s">
        <v>3794</v>
      </c>
      <c r="D15" s="6" t="s">
        <v>2403</v>
      </c>
      <c r="E15" s="8"/>
      <c r="F15" s="7" t="s">
        <v>3795</v>
      </c>
      <c r="G15" s="7" t="str">
        <f t="shared" ref="G15" si="7">IF(F15="フラグ","boolean",IF(F15="文字列","text",IF(F15="整数","integer",IF(F15="実数","numeric",""))))</f>
        <v>text</v>
      </c>
      <c r="H15" s="58"/>
      <c r="I15" s="23" t="s">
        <v>127</v>
      </c>
      <c r="J15" s="24"/>
      <c r="M15" s="4"/>
      <c r="N15" s="76"/>
      <c r="O15" s="76"/>
      <c r="P15" s="76" t="str">
        <f t="shared" ref="P15" si="8">IF(B15&lt;&gt;1,","&amp;D15,D15)</f>
        <v>,facility_name</v>
      </c>
      <c r="Q15" s="76" t="str">
        <f t="shared" si="4"/>
        <v>TEXT</v>
      </c>
      <c r="R15" s="76" t="str">
        <f t="shared" si="5"/>
        <v/>
      </c>
      <c r="S15" s="76" t="str">
        <f t="shared" si="2"/>
        <v>NOT NULL</v>
      </c>
      <c r="T15" s="76" t="str">
        <f t="shared" si="3"/>
        <v>-- 施設名</v>
      </c>
      <c r="U15" s="4"/>
      <c r="AA15" s="4"/>
      <c r="AB15" s="4"/>
      <c r="AC15" s="4"/>
      <c r="AD15" s="4"/>
      <c r="AE15" s="4"/>
      <c r="AF15" s="4"/>
      <c r="AG15" s="4"/>
      <c r="AH15" s="4"/>
      <c r="AI15" s="4"/>
      <c r="AJ15" s="97" t="str">
        <f>IF(E15="○",IF(COUNTA(E$13:E15)=1,"",",")&amp;D15,"")</f>
        <v/>
      </c>
      <c r="AK15" s="4"/>
      <c r="AL15" s="4"/>
      <c r="AM15" s="4"/>
      <c r="AN15" s="4"/>
      <c r="AO15" s="4"/>
      <c r="AP15" s="4"/>
      <c r="AQ15" s="4"/>
      <c r="AR15" s="4"/>
      <c r="AS15" s="76" t="str">
        <f>"COMMENT ON COLUMN "&amp;エンティティ一覧!$O$2&amp;"."&amp;D$8&amp;"."&amp;D15&amp;" IS '"&amp;C15&amp;"';"</f>
        <v>COMMENT ON COLUMN milscm_2023_010.azn_202310_enroll_shisetsu.facility_name IS '施設名';</v>
      </c>
    </row>
    <row r="16" spans="1:45" s="25" customFormat="1">
      <c r="A16" s="4"/>
      <c r="B16" s="21">
        <f>ROW()-12</f>
        <v>4</v>
      </c>
      <c r="C16" s="13" t="s">
        <v>3796</v>
      </c>
      <c r="D16" s="13" t="s">
        <v>2409</v>
      </c>
      <c r="E16" s="7"/>
      <c r="F16" s="7" t="s">
        <v>3793</v>
      </c>
      <c r="G16" s="7" t="str">
        <f>IF(F16="フラグ","boolean",IF(F16="文字列","text",IF(F16="整数","integer",IF(F16="実数","numeric",""))))</f>
        <v>text</v>
      </c>
      <c r="H16" s="9"/>
      <c r="I16" s="10"/>
      <c r="J16" s="24"/>
      <c r="M16" s="4"/>
      <c r="N16" s="76"/>
      <c r="O16" s="76"/>
      <c r="P16" s="76" t="str">
        <f>IF(B16&lt;&gt;1,","&amp;D16,D16)</f>
        <v>,facility_contract_start</v>
      </c>
      <c r="Q16" s="76" t="str">
        <f t="shared" ref="Q16:Q18" si="9">UPPER(G16)</f>
        <v>TEXT</v>
      </c>
      <c r="R16" s="76" t="str">
        <f t="shared" ref="R16:R18" si="10">IF(H16&lt;&gt;"","default "&amp;IF(G16="text","'"&amp;H16&amp;"'",H16),"")</f>
        <v/>
      </c>
      <c r="S16" s="76" t="str">
        <f t="shared" si="2"/>
        <v/>
      </c>
      <c r="T16" s="76" t="str">
        <f t="shared" si="3"/>
        <v>-- 施設データ提供開始日</v>
      </c>
      <c r="U16" s="4"/>
      <c r="AA16" s="4"/>
      <c r="AB16" s="4"/>
      <c r="AC16" s="4"/>
      <c r="AD16" s="4"/>
      <c r="AE16" s="4"/>
      <c r="AF16" s="4"/>
      <c r="AG16" s="4"/>
      <c r="AH16" s="4"/>
      <c r="AI16" s="4"/>
      <c r="AJ16" s="97" t="str">
        <f>IF(E16="○",IF(COUNTA(E$13:E16)=1,"",",")&amp;D16,"")</f>
        <v/>
      </c>
      <c r="AK16" s="4"/>
      <c r="AL16" s="4"/>
      <c r="AM16" s="4"/>
      <c r="AN16" s="4"/>
      <c r="AO16" s="4"/>
      <c r="AP16" s="4"/>
      <c r="AQ16" s="4"/>
      <c r="AR16" s="4"/>
      <c r="AS16" s="76" t="str">
        <f>"COMMENT ON COLUMN "&amp;エンティティ一覧!$O$2&amp;"."&amp;D$8&amp;"."&amp;D16&amp;" IS '"&amp;C16&amp;"';"</f>
        <v>COMMENT ON COLUMN milscm_2023_010.azn_202310_enroll_shisetsu.facility_contract_start IS '施設データ提供開始日';</v>
      </c>
    </row>
    <row r="17" spans="1:52" s="25" customFormat="1">
      <c r="A17" s="4"/>
      <c r="B17" s="21">
        <f t="shared" si="6"/>
        <v>5</v>
      </c>
      <c r="C17" s="6" t="s">
        <v>3797</v>
      </c>
      <c r="D17" s="6" t="s">
        <v>2411</v>
      </c>
      <c r="E17" s="8"/>
      <c r="F17" s="7" t="s">
        <v>3793</v>
      </c>
      <c r="G17" s="7" t="str">
        <f t="shared" ref="G17:G18" si="11">IF(F17="フラグ","boolean",IF(F17="文字列","text",IF(F17="整数","integer",IF(F17="実数","numeric",""))))</f>
        <v>text</v>
      </c>
      <c r="H17" s="58"/>
      <c r="I17" s="23"/>
      <c r="J17" s="24"/>
      <c r="M17" s="4"/>
      <c r="N17" s="76"/>
      <c r="O17" s="76"/>
      <c r="P17" s="76" t="str">
        <f t="shared" ref="P17:P18" si="12">IF(B17&lt;&gt;1,","&amp;D17,D17)</f>
        <v>,facility_contract_end</v>
      </c>
      <c r="Q17" s="76" t="str">
        <f t="shared" si="9"/>
        <v>TEXT</v>
      </c>
      <c r="R17" s="76" t="str">
        <f t="shared" si="10"/>
        <v/>
      </c>
      <c r="S17" s="76" t="str">
        <f t="shared" si="2"/>
        <v/>
      </c>
      <c r="T17" s="76" t="str">
        <f t="shared" si="3"/>
        <v>-- 施設データ提供終了日</v>
      </c>
      <c r="U17" s="4"/>
      <c r="AA17" s="4"/>
      <c r="AB17" s="4"/>
      <c r="AC17" s="4"/>
      <c r="AD17" s="4"/>
      <c r="AE17" s="4"/>
      <c r="AF17" s="4"/>
      <c r="AG17" s="4"/>
      <c r="AH17" s="4"/>
      <c r="AI17" s="4"/>
      <c r="AJ17" s="97" t="str">
        <f>IF(E17="○",IF(COUNTA(E$13:E17)=1,"",",")&amp;D17,"")</f>
        <v/>
      </c>
      <c r="AK17" s="4"/>
      <c r="AL17" s="4"/>
      <c r="AM17" s="4"/>
      <c r="AN17" s="4"/>
      <c r="AO17" s="4"/>
      <c r="AP17" s="4"/>
      <c r="AQ17" s="4"/>
      <c r="AR17" s="4"/>
      <c r="AS17" s="76" t="str">
        <f>"COMMENT ON COLUMN "&amp;エンティティ一覧!$O$2&amp;"."&amp;D$8&amp;"."&amp;D17&amp;" IS '"&amp;C17&amp;"';"</f>
        <v>COMMENT ON COLUMN milscm_2023_010.azn_202310_enroll_shisetsu.facility_contract_end IS '施設データ提供終了日';</v>
      </c>
    </row>
    <row r="18" spans="1:52" s="25" customFormat="1" ht="19.5" thickBot="1">
      <c r="A18" s="4"/>
      <c r="B18" s="69">
        <f t="shared" si="6"/>
        <v>6</v>
      </c>
      <c r="C18" s="70" t="s">
        <v>3798</v>
      </c>
      <c r="D18" s="70" t="s">
        <v>2413</v>
      </c>
      <c r="E18" s="73"/>
      <c r="F18" s="71" t="s">
        <v>203</v>
      </c>
      <c r="G18" s="71" t="str">
        <f t="shared" si="11"/>
        <v>integer</v>
      </c>
      <c r="H18" s="72"/>
      <c r="I18" s="73"/>
      <c r="J18" s="74"/>
      <c r="M18" s="4"/>
      <c r="N18" s="76"/>
      <c r="O18" s="76"/>
      <c r="P18" s="76" t="str">
        <f t="shared" si="12"/>
        <v>,size</v>
      </c>
      <c r="Q18" s="76" t="str">
        <f t="shared" si="9"/>
        <v>INTEGER</v>
      </c>
      <c r="R18" s="76" t="str">
        <f t="shared" si="10"/>
        <v/>
      </c>
      <c r="S18" s="76" t="str">
        <f t="shared" si="2"/>
        <v/>
      </c>
      <c r="T18" s="76" t="str">
        <f t="shared" si="3"/>
        <v>-- 施設規模</v>
      </c>
      <c r="U18" s="4"/>
      <c r="AA18" s="4"/>
      <c r="AB18" s="4"/>
      <c r="AC18" s="4"/>
      <c r="AD18" s="4"/>
      <c r="AE18" s="4"/>
      <c r="AF18" s="4"/>
      <c r="AG18" s="4"/>
      <c r="AH18" s="4"/>
      <c r="AI18" s="4"/>
      <c r="AJ18" s="97" t="str">
        <f>IF(E18="○",IF(COUNTA(E$13:E18)=1,"",",")&amp;D18,"")</f>
        <v/>
      </c>
      <c r="AK18" s="4"/>
      <c r="AL18" s="4"/>
      <c r="AM18" s="4"/>
      <c r="AN18" s="4"/>
      <c r="AO18" s="4"/>
      <c r="AP18" s="4"/>
      <c r="AQ18" s="4"/>
      <c r="AR18" s="4"/>
      <c r="AS18" s="76" t="str">
        <f>"COMMENT ON COLUMN "&amp;エンティティ一覧!$O$2&amp;"."&amp;D$8&amp;"."&amp;D18&amp;" IS '"&amp;C18&amp;"';"</f>
        <v>COMMENT ON COLUMN milscm_2023_010.azn_202310_enroll_shisetsu.size IS '施設規模';</v>
      </c>
    </row>
    <row r="19" spans="1:52">
      <c r="L19" s="25"/>
      <c r="N19" s="76" t="s">
        <v>142</v>
      </c>
      <c r="O19" s="76"/>
      <c r="P19" s="76"/>
      <c r="Q19" s="76"/>
      <c r="R19" s="76"/>
      <c r="S19" s="76"/>
      <c r="T19" s="76"/>
      <c r="V19" s="25"/>
      <c r="W19" s="25"/>
      <c r="X19" s="25"/>
      <c r="Y19" s="25"/>
      <c r="Z19" s="25"/>
      <c r="AJ19" s="76"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11</v>
      </c>
      <c r="E4" s="248"/>
      <c r="F4" s="248"/>
      <c r="G4" s="248"/>
      <c r="H4" s="248"/>
      <c r="I4" s="248"/>
      <c r="J4" s="249"/>
    </row>
    <row r="5" spans="1:45">
      <c r="B5" s="261" t="s">
        <v>3704</v>
      </c>
      <c r="C5" s="262"/>
      <c r="D5" s="271" t="str">
        <f>VLOOKUP(D7,エンティティ一覧!A1:'エンティティ一覧'!AM10203,7,FALSE)</f>
        <v>enroll</v>
      </c>
      <c r="E5" s="272"/>
      <c r="F5" s="272"/>
      <c r="G5" s="272"/>
      <c r="H5" s="272"/>
      <c r="I5" s="272"/>
      <c r="J5" s="273"/>
    </row>
    <row r="6" spans="1:45">
      <c r="B6" s="261" t="s">
        <v>3705</v>
      </c>
      <c r="C6" s="262"/>
      <c r="D6" s="271" t="str">
        <f>VLOOKUP(D7,エンティティ一覧!A1:'エンティティ一覧'!AM10203,15,FALSE)</f>
        <v>ENT_11_02</v>
      </c>
      <c r="E6" s="272"/>
      <c r="F6" s="272"/>
      <c r="G6" s="272"/>
      <c r="H6" s="272"/>
      <c r="I6" s="272"/>
      <c r="J6" s="273"/>
    </row>
    <row r="7" spans="1:45">
      <c r="B7" s="261" t="s">
        <v>115</v>
      </c>
      <c r="C7" s="262"/>
      <c r="D7" s="263" t="s">
        <v>3988</v>
      </c>
      <c r="E7" s="264"/>
      <c r="F7" s="264"/>
      <c r="G7" s="264"/>
      <c r="H7" s="264"/>
      <c r="I7" s="264"/>
      <c r="J7" s="265"/>
    </row>
    <row r="8" spans="1:45">
      <c r="B8" s="261" t="s">
        <v>116</v>
      </c>
      <c r="C8" s="262"/>
      <c r="D8" s="263" t="str">
        <f>エンティティ一覧!AE2&amp;"_"&amp;D5&amp;"_shikkan"</f>
        <v>azn_202310_enroll_shikkan</v>
      </c>
      <c r="E8" s="264"/>
      <c r="F8" s="264"/>
      <c r="G8" s="264"/>
      <c r="H8" s="264"/>
      <c r="I8" s="264"/>
      <c r="J8" s="265"/>
    </row>
    <row r="9" spans="1:45" ht="19.5" customHeight="1" thickBot="1">
      <c r="B9" s="266" t="s">
        <v>117</v>
      </c>
      <c r="C9" s="267"/>
      <c r="D9" s="268" t="s">
        <v>3990</v>
      </c>
      <c r="E9" s="269"/>
      <c r="F9" s="269"/>
      <c r="G9" s="269"/>
      <c r="H9" s="269"/>
      <c r="I9" s="269"/>
      <c r="J9" s="270"/>
    </row>
    <row r="10" spans="1:45">
      <c r="B10" s="19"/>
      <c r="C10" s="19"/>
      <c r="D10" s="5"/>
      <c r="E10" s="5"/>
      <c r="F10" s="5"/>
      <c r="G10" s="5"/>
      <c r="H10" s="5"/>
      <c r="I10" s="5"/>
      <c r="J10" s="18"/>
      <c r="N10" s="97" t="str">
        <f>"--DROP TABLE  "&amp;エンティティ一覧!$O$2&amp;"."&amp;D$8&amp;";"</f>
        <v>--DROP TABLE  milscm_2023_010.azn_202310_enroll_shikkan;</v>
      </c>
      <c r="O10" s="97"/>
      <c r="P10" s="97"/>
      <c r="Q10" s="97"/>
      <c r="R10" s="97"/>
      <c r="S10" s="97"/>
      <c r="T10" s="97"/>
      <c r="AJ10" s="97" t="str">
        <f>"ALTER TABLE ONLY "&amp;エンティティ一覧!$O$2&amp;"."&amp;D$8</f>
        <v>ALTER TABLE ONLY milscm_2023_010.azn_202310_enroll_shikkan</v>
      </c>
      <c r="AS10" s="97" t="str">
        <f>"ALTER TABLE "&amp;エンティティ一覧!$O$2&amp;"."&amp;D$8&amp;" OWNER TO pgmisgrp1;"</f>
        <v>ALTER TABLE milscm_2023_010.azn_202310_enroll_shikkan OWNER TO pgmisgrp1;</v>
      </c>
    </row>
    <row r="11" spans="1:45" ht="19.5" thickBot="1">
      <c r="B11" s="20" t="s">
        <v>118</v>
      </c>
      <c r="C11" s="19"/>
      <c r="D11" s="5"/>
      <c r="E11" s="5"/>
      <c r="F11" s="5"/>
      <c r="G11" s="5"/>
      <c r="H11" s="5"/>
      <c r="I11" s="5"/>
      <c r="J11" s="18"/>
      <c r="N11" s="97" t="str">
        <f>"CREATE TABLE  "&amp;エンティティ一覧!$O$2&amp;"."&amp;D$8</f>
        <v>CREATE TABLE  milscm_2023_010.azn_202310_enroll_shikkan</v>
      </c>
      <c r="O11" s="97"/>
      <c r="P11" s="97"/>
      <c r="Q11" s="97"/>
      <c r="R11" s="97"/>
      <c r="S11" s="97"/>
      <c r="T11" s="97"/>
      <c r="AJ11" s="97" t="str">
        <f>"ADD CONSTRAINT "&amp;D$8&amp;"_pkey PRIMARY KEY"</f>
        <v>ADD CONSTRAINT azn_202310_enroll_shikkan_pkey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milscm_2023_010.azn_202310_enroll_shikkan IS '組入れ_対象疾患';</v>
      </c>
    </row>
    <row r="13" spans="1:45" s="25" customFormat="1">
      <c r="A13" s="4"/>
      <c r="B13" s="21">
        <f>ROW()-12</f>
        <v>1</v>
      </c>
      <c r="C13" s="13" t="s">
        <v>137</v>
      </c>
      <c r="D13" s="13" t="s">
        <v>128</v>
      </c>
      <c r="E13" s="7" t="s">
        <v>127</v>
      </c>
      <c r="F13" s="7" t="s">
        <v>316</v>
      </c>
      <c r="G13" s="7" t="str">
        <f>IF(F13="フラグ","boolean",IF(F13="文字列","text",IF(F13="整数","integer",IF(F13="実数","numeric",""))))</f>
        <v>text</v>
      </c>
      <c r="H13" s="9"/>
      <c r="I13" s="10" t="s">
        <v>127</v>
      </c>
      <c r="J13" s="24"/>
      <c r="M13" s="4"/>
      <c r="N13" s="97"/>
      <c r="O13" s="97"/>
      <c r="P13" s="97" t="str">
        <f>IF(B13&lt;&gt;1,","&amp;D13,D13)</f>
        <v>facility_id</v>
      </c>
      <c r="Q13" s="97" t="str">
        <f t="shared" ref="Q13:Q16" si="0">UPPER(G13)</f>
        <v>TEXT</v>
      </c>
      <c r="R13" s="97" t="str">
        <f t="shared" ref="R13:R16" si="1">IF(H13&lt;&gt;"","default "&amp;IF(G13="text","'"&amp;H13&amp;"'",H13),"")</f>
        <v/>
      </c>
      <c r="S13" s="97" t="str">
        <f>IF(I13="○","NOT NULL","")</f>
        <v>NOT NULL</v>
      </c>
      <c r="T13" s="97" t="str">
        <f>"-- "&amp;C13</f>
        <v>-- 施設ID</v>
      </c>
      <c r="U13" s="4"/>
      <c r="AA13" s="4"/>
      <c r="AB13" s="4"/>
      <c r="AC13" s="4"/>
      <c r="AD13" s="4"/>
      <c r="AE13" s="4"/>
      <c r="AF13" s="4"/>
      <c r="AG13" s="4"/>
      <c r="AH13" s="4"/>
      <c r="AI13" s="4"/>
      <c r="AJ13" s="97" t="str">
        <f>IF(E13="○",IF(COUNTA(E$13:E13)=1,"",",")&amp;D13,"")</f>
        <v>facility_id</v>
      </c>
      <c r="AK13" s="4"/>
      <c r="AL13" s="4"/>
      <c r="AM13" s="4"/>
      <c r="AN13" s="4"/>
      <c r="AO13" s="4"/>
      <c r="AP13" s="4"/>
      <c r="AQ13" s="4"/>
      <c r="AR13" s="4"/>
      <c r="AS13" s="97" t="str">
        <f>"COMMENT ON COLUMN "&amp;エンティティ一覧!$O$2&amp;"."&amp;D$8&amp;"."&amp;D13&amp;" IS '"&amp;C13&amp;"';"</f>
        <v>COMMENT ON COLUMN milscm_2023_010.azn_202310_enroll_shikkan.facility_id IS '施設ID';</v>
      </c>
    </row>
    <row r="14" spans="1:45" s="25" customFormat="1">
      <c r="A14" s="4"/>
      <c r="B14" s="21">
        <f>ROW()-12</f>
        <v>2</v>
      </c>
      <c r="C14" s="13" t="s">
        <v>1243</v>
      </c>
      <c r="D14" s="13" t="s">
        <v>1244</v>
      </c>
      <c r="E14" s="7" t="s">
        <v>127</v>
      </c>
      <c r="F14" s="7" t="s">
        <v>863</v>
      </c>
      <c r="G14" s="7" t="str">
        <f>IF(F14="フラグ","boolean",IF(F14="文字列","text",IF(F14="整数","integer",IF(F14="実数","numeric",""))))</f>
        <v>text</v>
      </c>
      <c r="H14" s="9"/>
      <c r="I14" s="10" t="s">
        <v>127</v>
      </c>
      <c r="J14" s="24"/>
      <c r="M14" s="4"/>
      <c r="N14" s="97"/>
      <c r="O14" s="97"/>
      <c r="P14" s="97" t="str">
        <f>IF(B14&lt;&gt;1,","&amp;D14,D14)</f>
        <v>,master_id</v>
      </c>
      <c r="Q14" s="97" t="str">
        <f t="shared" si="0"/>
        <v>TEXT</v>
      </c>
      <c r="R14" s="97" t="str">
        <f t="shared" si="1"/>
        <v/>
      </c>
      <c r="S14" s="97" t="str">
        <f>IF(I14="○","NOT NULL","")</f>
        <v>NOT NULL</v>
      </c>
      <c r="T14" s="97" t="str">
        <f>"-- "&amp;C14</f>
        <v>-- 患者ID</v>
      </c>
      <c r="U14" s="4"/>
      <c r="AA14" s="4"/>
      <c r="AB14" s="4"/>
      <c r="AC14" s="4"/>
      <c r="AD14" s="4"/>
      <c r="AE14" s="4"/>
      <c r="AF14" s="4"/>
      <c r="AG14" s="4"/>
      <c r="AH14" s="4"/>
      <c r="AI14" s="4"/>
      <c r="AJ14" s="97" t="str">
        <f>IF(E14="○",IF(COUNTA(E$13:E14)=1,"",",")&amp;D14,"")</f>
        <v>,master_id</v>
      </c>
      <c r="AK14" s="4"/>
      <c r="AL14" s="4"/>
      <c r="AM14" s="4"/>
      <c r="AN14" s="4"/>
      <c r="AO14" s="4"/>
      <c r="AP14" s="4"/>
      <c r="AQ14" s="4"/>
      <c r="AR14" s="4"/>
      <c r="AS14" s="97" t="str">
        <f>"COMMENT ON COLUMN "&amp;エンティティ一覧!$O$2&amp;"."&amp;D$8&amp;"."&amp;D14&amp;" IS '"&amp;C14&amp;"';"</f>
        <v>COMMENT ON COLUMN milscm_2023_010.azn_202310_enroll_shikkan.master_id IS '患者ID';</v>
      </c>
    </row>
    <row r="15" spans="1:45" s="25" customFormat="1">
      <c r="A15" s="4"/>
      <c r="B15" s="21">
        <f>ROW()-12</f>
        <v>3</v>
      </c>
      <c r="C15" s="13" t="s">
        <v>1319</v>
      </c>
      <c r="D15" s="13" t="s">
        <v>1320</v>
      </c>
      <c r="E15" s="7" t="s">
        <v>127</v>
      </c>
      <c r="F15" s="7" t="s">
        <v>863</v>
      </c>
      <c r="G15" s="7" t="str">
        <f>IF(F15="フラグ","boolean",IF(F15="文字列","text",IF(F15="整数","integer",IF(F15="実数","numeric",""))))</f>
        <v>text</v>
      </c>
      <c r="H15" s="9"/>
      <c r="I15" s="10" t="s">
        <v>127</v>
      </c>
      <c r="J15" s="24"/>
      <c r="M15" s="4"/>
      <c r="N15" s="97"/>
      <c r="O15" s="97"/>
      <c r="P15" s="97" t="str">
        <f>IF(B15&lt;&gt;1,","&amp;D15,D15)</f>
        <v>,byomei</v>
      </c>
      <c r="Q15" s="97" t="str">
        <f t="shared" si="0"/>
        <v>TEXT</v>
      </c>
      <c r="R15" s="97" t="str">
        <f t="shared" si="1"/>
        <v/>
      </c>
      <c r="S15" s="97" t="str">
        <f>IF(I15="○","NOT NULL","")</f>
        <v>NOT NULL</v>
      </c>
      <c r="T15" s="97" t="str">
        <f>"-- "&amp;C15</f>
        <v>-- 病名</v>
      </c>
      <c r="U15" s="4"/>
      <c r="AA15" s="4"/>
      <c r="AB15" s="4"/>
      <c r="AC15" s="4"/>
      <c r="AD15" s="4"/>
      <c r="AE15" s="4"/>
      <c r="AF15" s="4"/>
      <c r="AG15" s="4"/>
      <c r="AH15" s="4"/>
      <c r="AI15" s="4"/>
      <c r="AJ15" s="97" t="str">
        <f>IF(E15="○",IF(COUNTA(E$13:E15)=1,"",",")&amp;D15,"")</f>
        <v>,byomei</v>
      </c>
      <c r="AK15" s="4"/>
      <c r="AL15" s="4"/>
      <c r="AM15" s="4"/>
      <c r="AN15" s="4"/>
      <c r="AO15" s="4"/>
      <c r="AP15" s="4"/>
      <c r="AQ15" s="4"/>
      <c r="AR15" s="4"/>
      <c r="AS15" s="97" t="str">
        <f>"COMMENT ON COLUMN "&amp;エンティティ一覧!$O$2&amp;"."&amp;D$8&amp;"."&amp;D15&amp;" IS '"&amp;C15&amp;"';"</f>
        <v>COMMENT ON COLUMN milscm_2023_010.azn_202310_enroll_shikkan.byomei IS '病名';</v>
      </c>
    </row>
    <row r="16" spans="1:45" s="25" customFormat="1" ht="19.5" thickBot="1">
      <c r="A16" s="4"/>
      <c r="B16" s="65">
        <f t="shared" ref="B16" si="2">ROW()-12</f>
        <v>4</v>
      </c>
      <c r="C16" s="28" t="s">
        <v>1321</v>
      </c>
      <c r="D16" s="28" t="s">
        <v>1322</v>
      </c>
      <c r="E16" s="29" t="s">
        <v>127</v>
      </c>
      <c r="F16" s="56" t="s">
        <v>863</v>
      </c>
      <c r="G16" s="56" t="str">
        <f t="shared" ref="G16" si="3">IF(F16="フラグ","boolean",IF(F16="文字列","text",IF(F16="整数","integer",IF(F16="実数","numeric",""))))</f>
        <v>text</v>
      </c>
      <c r="H16" s="59"/>
      <c r="I16" s="60" t="s">
        <v>127</v>
      </c>
      <c r="J16" s="61"/>
      <c r="M16" s="4"/>
      <c r="N16" s="97"/>
      <c r="O16" s="97"/>
      <c r="P16" s="97" t="str">
        <f t="shared" ref="P16" si="4">IF(B16&lt;&gt;1,","&amp;D16,D16)</f>
        <v>,byomei_code</v>
      </c>
      <c r="Q16" s="97" t="str">
        <f t="shared" si="0"/>
        <v>TEXT</v>
      </c>
      <c r="R16" s="97" t="str">
        <f t="shared" si="1"/>
        <v/>
      </c>
      <c r="S16" s="97" t="str">
        <f>IF(I16="○","NOT NULL","")</f>
        <v>NOT NULL</v>
      </c>
      <c r="T16" s="97" t="str">
        <f>"-- "&amp;C16</f>
        <v>-- 病名コード値</v>
      </c>
      <c r="U16" s="4"/>
      <c r="AA16" s="4"/>
      <c r="AB16" s="4"/>
      <c r="AC16" s="4"/>
      <c r="AD16" s="4"/>
      <c r="AE16" s="4"/>
      <c r="AF16" s="4"/>
      <c r="AG16" s="4"/>
      <c r="AH16" s="4"/>
      <c r="AI16" s="4"/>
      <c r="AJ16" s="97" t="str">
        <f>IF(E16="○",IF(COUNTA(E$13:E16)=1,"",",")&amp;D16,"")</f>
        <v>,byomei_code</v>
      </c>
      <c r="AK16" s="4"/>
      <c r="AL16" s="4"/>
      <c r="AM16" s="4"/>
      <c r="AN16" s="4"/>
      <c r="AO16" s="4"/>
      <c r="AP16" s="4"/>
      <c r="AQ16" s="4"/>
      <c r="AR16" s="4"/>
      <c r="AS16" s="97" t="str">
        <f>"COMMENT ON COLUMN "&amp;エンティティ一覧!$O$2&amp;"."&amp;D$8&amp;"."&amp;D16&amp;" IS '"&amp;C16&amp;"';"</f>
        <v>COMMENT ON COLUMN milscm_2023_010.azn_202310_enroll_shikkan.byomei_code IS '病名コード値';</v>
      </c>
    </row>
    <row r="17" spans="12:52">
      <c r="L17" s="25"/>
      <c r="N17" s="97" t="s">
        <v>142</v>
      </c>
      <c r="O17" s="97"/>
      <c r="P17" s="97"/>
      <c r="Q17" s="97"/>
      <c r="R17" s="97"/>
      <c r="S17" s="97"/>
      <c r="T17" s="97"/>
      <c r="V17" s="25"/>
      <c r="W17" s="25"/>
      <c r="X17" s="25"/>
      <c r="Y17" s="25"/>
      <c r="Z17" s="25"/>
      <c r="AJ17" s="97" t="s">
        <v>142</v>
      </c>
      <c r="AT17" s="25"/>
      <c r="AU17" s="25"/>
      <c r="AV17" s="25"/>
      <c r="AW17" s="25"/>
      <c r="AX17" s="25"/>
      <c r="AY17" s="25"/>
      <c r="AZ17" s="25"/>
    </row>
    <row r="18" spans="12:52">
      <c r="L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11</v>
      </c>
      <c r="E4" s="248"/>
      <c r="F4" s="248"/>
      <c r="G4" s="248"/>
      <c r="H4" s="248"/>
      <c r="I4" s="248"/>
      <c r="J4" s="249"/>
    </row>
    <row r="5" spans="1:45">
      <c r="B5" s="261" t="s">
        <v>3704</v>
      </c>
      <c r="C5" s="262"/>
      <c r="D5" s="271" t="str">
        <f>VLOOKUP(D7,エンティティ一覧!A1:'エンティティ一覧'!AM10203,7,FALSE)</f>
        <v>enroll</v>
      </c>
      <c r="E5" s="272"/>
      <c r="F5" s="272"/>
      <c r="G5" s="272"/>
      <c r="H5" s="272"/>
      <c r="I5" s="272"/>
      <c r="J5" s="273"/>
    </row>
    <row r="6" spans="1:45">
      <c r="B6" s="261" t="s">
        <v>3705</v>
      </c>
      <c r="C6" s="262"/>
      <c r="D6" s="271" t="str">
        <f>VLOOKUP(D7,エンティティ一覧!A1:'エンティティ一覧'!AM10203,15,FALSE)</f>
        <v>ENT_11_03</v>
      </c>
      <c r="E6" s="272"/>
      <c r="F6" s="272"/>
      <c r="G6" s="272"/>
      <c r="H6" s="272"/>
      <c r="I6" s="272"/>
      <c r="J6" s="273"/>
    </row>
    <row r="7" spans="1:45">
      <c r="B7" s="261" t="s">
        <v>115</v>
      </c>
      <c r="C7" s="262"/>
      <c r="D7" s="263" t="s">
        <v>3789</v>
      </c>
      <c r="E7" s="264"/>
      <c r="F7" s="264"/>
      <c r="G7" s="264"/>
      <c r="H7" s="264"/>
      <c r="I7" s="264"/>
      <c r="J7" s="265"/>
    </row>
    <row r="8" spans="1:45">
      <c r="B8" s="261" t="s">
        <v>116</v>
      </c>
      <c r="C8" s="262"/>
      <c r="D8" s="263" t="str">
        <f>エンティティ一覧!AE2&amp;"_"&amp;D5&amp;"_shoho"</f>
        <v>azn_202310_enroll_shoho</v>
      </c>
      <c r="E8" s="264"/>
      <c r="F8" s="264"/>
      <c r="G8" s="264"/>
      <c r="H8" s="264"/>
      <c r="I8" s="264"/>
      <c r="J8" s="265"/>
    </row>
    <row r="9" spans="1:45" ht="19.5" customHeight="1" thickBot="1">
      <c r="B9" s="266" t="s">
        <v>117</v>
      </c>
      <c r="C9" s="267"/>
      <c r="D9" s="268" t="s">
        <v>892</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milscm_2023_010.azn_202310_enroll_shoho;</v>
      </c>
      <c r="O10" s="76"/>
      <c r="P10" s="76"/>
      <c r="Q10" s="76"/>
      <c r="R10" s="76"/>
      <c r="S10" s="76"/>
      <c r="T10" s="76"/>
      <c r="AJ10" s="76" t="str">
        <f>"ALTER TABLE ONLY "&amp;エンティティ一覧!$O$2&amp;"."&amp;D$8</f>
        <v>ALTER TABLE ONLY milscm_2023_010.azn_202310_enroll_shoho</v>
      </c>
      <c r="AS10" s="76" t="str">
        <f>"ALTER TABLE "&amp;エンティティ一覧!$O$2&amp;"."&amp;D$8&amp;" OWNER TO pgmisgrp1;"</f>
        <v>ALTER TABLE milscm_2023_010.azn_202310_enroll_shoho OWNER TO pgmisgrp1;</v>
      </c>
    </row>
    <row r="11" spans="1:45" ht="19.5" thickBot="1">
      <c r="B11" s="20" t="s">
        <v>118</v>
      </c>
      <c r="C11" s="19"/>
      <c r="D11" s="5"/>
      <c r="E11" s="5"/>
      <c r="F11" s="5"/>
      <c r="G11" s="5"/>
      <c r="H11" s="5"/>
      <c r="I11" s="5"/>
      <c r="J11" s="18"/>
      <c r="N11" s="76" t="str">
        <f>"CREATE TABLE  "&amp;エンティティ一覧!$O$2&amp;"."&amp;D$8</f>
        <v>CREATE TABLE  milscm_2023_010.azn_202310_enroll_shoho</v>
      </c>
      <c r="O11" s="76"/>
      <c r="P11" s="76"/>
      <c r="Q11" s="76"/>
      <c r="R11" s="76"/>
      <c r="S11" s="76"/>
      <c r="T11" s="76"/>
      <c r="AJ11" s="76" t="str">
        <f>"ADD CONSTRAINT "&amp;D$8&amp;"_pkey PRIMARY KEY"</f>
        <v>ADD CONSTRAINT azn_202310_enroll_shoho_pkey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milscm_2023_010.azn_202310_enroll_shoho IS '組入れ_対象処方';</v>
      </c>
    </row>
    <row r="13" spans="1:45" s="25" customFormat="1">
      <c r="A13" s="4"/>
      <c r="B13" s="21">
        <f>ROW()-12</f>
        <v>1</v>
      </c>
      <c r="C13" s="13" t="s">
        <v>137</v>
      </c>
      <c r="D13" s="13" t="s">
        <v>128</v>
      </c>
      <c r="E13" s="7" t="s">
        <v>127</v>
      </c>
      <c r="F13" s="7" t="s">
        <v>200</v>
      </c>
      <c r="G13" s="7" t="str">
        <f>IF(F13="フラグ","boolean",IF(F13="文字列","text",IF(F13="整数","integer",IF(F13="実数","numeric",""))))</f>
        <v>text</v>
      </c>
      <c r="H13" s="9"/>
      <c r="I13" s="10" t="s">
        <v>127</v>
      </c>
      <c r="J13" s="24"/>
      <c r="M13" s="4"/>
      <c r="N13" s="76"/>
      <c r="O13" s="76"/>
      <c r="P13" s="76" t="str">
        <f>IF(B13&lt;&gt;1,","&amp;D13,D13)</f>
        <v>facility_id</v>
      </c>
      <c r="Q13" s="76" t="str">
        <f t="shared" ref="Q13" si="0">UPPER(G13)</f>
        <v>TEXT</v>
      </c>
      <c r="R13" s="76" t="str">
        <f t="shared" ref="R13" si="1">IF(H13&lt;&gt;"","default "&amp;IF(G13="text","'"&amp;H13&amp;"'",H13),"")</f>
        <v/>
      </c>
      <c r="S13" s="76" t="str">
        <f>IF(I13="○","NOT NULL","")</f>
        <v>NOT NULL</v>
      </c>
      <c r="T13" s="76" t="str">
        <f>"-- "&amp;C13</f>
        <v>-- 施設ID</v>
      </c>
      <c r="U13" s="4"/>
      <c r="AA13" s="4"/>
      <c r="AB13" s="4"/>
      <c r="AC13" s="4"/>
      <c r="AD13" s="4"/>
      <c r="AE13" s="4"/>
      <c r="AF13" s="4"/>
      <c r="AG13" s="4"/>
      <c r="AH13" s="4"/>
      <c r="AI13" s="4"/>
      <c r="AJ13" s="97"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milscm_2023_010.azn_202310_enroll_shoho.facility_id IS '施設ID';</v>
      </c>
    </row>
    <row r="14" spans="1:45" s="25" customFormat="1">
      <c r="A14" s="4"/>
      <c r="B14" s="21">
        <f>ROW()-12</f>
        <v>2</v>
      </c>
      <c r="C14" s="13" t="s">
        <v>208</v>
      </c>
      <c r="D14" s="13" t="s">
        <v>209</v>
      </c>
      <c r="E14" s="7" t="s">
        <v>127</v>
      </c>
      <c r="F14" s="7" t="s">
        <v>200</v>
      </c>
      <c r="G14" s="7" t="str">
        <f>IF(F14="フラグ","boolean",IF(F14="文字列","text",IF(F14="整数","integer",IF(F14="実数","numeric",""))))</f>
        <v>text</v>
      </c>
      <c r="H14" s="9"/>
      <c r="I14" s="10" t="s">
        <v>127</v>
      </c>
      <c r="J14" s="24"/>
      <c r="M14" s="4"/>
      <c r="N14" s="76"/>
      <c r="O14" s="76"/>
      <c r="P14" s="76" t="str">
        <f>IF(B14&lt;&gt;1,","&amp;D14,D14)</f>
        <v>,shikibetsu_no</v>
      </c>
      <c r="Q14" s="76" t="str">
        <f t="shared" ref="Q14" si="2">UPPER(G14)</f>
        <v>TEXT</v>
      </c>
      <c r="R14" s="76" t="str">
        <f t="shared" ref="R14" si="3">IF(H14&lt;&gt;"","default "&amp;IF(G14="text","'"&amp;H14&amp;"'",H14),"")</f>
        <v/>
      </c>
      <c r="S14" s="76" t="str">
        <f>IF(I14="○","NOT NULL","")</f>
        <v>NOT NULL</v>
      </c>
      <c r="T14" s="76" t="str">
        <f>"-- "&amp;C14</f>
        <v>-- データ識別番号</v>
      </c>
      <c r="U14" s="4"/>
      <c r="AA14" s="4"/>
      <c r="AB14" s="4"/>
      <c r="AC14" s="4"/>
      <c r="AD14" s="4"/>
      <c r="AE14" s="4"/>
      <c r="AF14" s="4"/>
      <c r="AG14" s="4"/>
      <c r="AH14" s="4"/>
      <c r="AI14" s="4"/>
      <c r="AJ14" s="97" t="str">
        <f>IF(E14="○",IF(COUNTA(E$13:E14)=1,"",",")&amp;D14,"")</f>
        <v>,shikibetsu_no</v>
      </c>
      <c r="AK14" s="4"/>
      <c r="AL14" s="4"/>
      <c r="AM14" s="4"/>
      <c r="AN14" s="4"/>
      <c r="AO14" s="4"/>
      <c r="AP14" s="4"/>
      <c r="AQ14" s="4"/>
      <c r="AR14" s="4"/>
      <c r="AS14" s="76" t="str">
        <f>"COMMENT ON COLUMN "&amp;エンティティ一覧!$O$2&amp;"."&amp;D$8&amp;"."&amp;D14&amp;" IS '"&amp;C14&amp;"';"</f>
        <v>COMMENT ON COLUMN milscm_2023_010.azn_202310_enroll_shoho.shikibetsu_no IS 'データ識別番号';</v>
      </c>
    </row>
    <row r="15" spans="1:45" s="25" customFormat="1">
      <c r="A15" s="4"/>
      <c r="B15" s="21">
        <f>ROW()-12</f>
        <v>3</v>
      </c>
      <c r="C15" s="13" t="s">
        <v>145</v>
      </c>
      <c r="D15" s="13" t="s">
        <v>154</v>
      </c>
      <c r="E15" s="7" t="s">
        <v>127</v>
      </c>
      <c r="F15" s="7" t="s">
        <v>200</v>
      </c>
      <c r="G15" s="7" t="str">
        <f>IF(F15="フラグ","boolean",IF(F15="文字列","text",IF(F15="整数","integer",IF(F15="実数","numeric",""))))</f>
        <v>text</v>
      </c>
      <c r="H15" s="9"/>
      <c r="I15" s="10" t="s">
        <v>127</v>
      </c>
      <c r="J15" s="24"/>
      <c r="M15" s="4"/>
      <c r="N15" s="76"/>
      <c r="O15" s="76"/>
      <c r="P15" s="76" t="str">
        <f>IF(B15&lt;&gt;1,","&amp;D15,D15)</f>
        <v>,receipt_densan_code</v>
      </c>
      <c r="Q15" s="76" t="str">
        <f t="shared" ref="Q15:Q16" si="4">UPPER(G15)</f>
        <v>TEXT</v>
      </c>
      <c r="R15" s="76" t="str">
        <f t="shared" ref="R15:R16" si="5">IF(H15&lt;&gt;"","default "&amp;IF(G15="text","'"&amp;H15&amp;"'",H15),"")</f>
        <v/>
      </c>
      <c r="S15" s="76" t="str">
        <f>IF(I15="○","NOT NULL","")</f>
        <v>NOT NULL</v>
      </c>
      <c r="T15" s="76" t="str">
        <f>"-- "&amp;C15</f>
        <v>-- レセプト電算処理システム用コード</v>
      </c>
      <c r="U15" s="4"/>
      <c r="AA15" s="4"/>
      <c r="AB15" s="4"/>
      <c r="AC15" s="4"/>
      <c r="AD15" s="4"/>
      <c r="AE15" s="4"/>
      <c r="AF15" s="4"/>
      <c r="AG15" s="4"/>
      <c r="AH15" s="4"/>
      <c r="AI15" s="4"/>
      <c r="AJ15" s="97" t="str">
        <f>IF(E15="○",IF(COUNTA(E$13:E15)=1,"",",")&amp;D15,"")</f>
        <v>,receipt_densan_code</v>
      </c>
      <c r="AK15" s="4"/>
      <c r="AL15" s="4"/>
      <c r="AM15" s="4"/>
      <c r="AN15" s="4"/>
      <c r="AO15" s="4"/>
      <c r="AP15" s="4"/>
      <c r="AQ15" s="4"/>
      <c r="AR15" s="4"/>
      <c r="AS15" s="76" t="str">
        <f>"COMMENT ON COLUMN "&amp;エンティティ一覧!$O$2&amp;"."&amp;D$8&amp;"."&amp;D15&amp;" IS '"&amp;C15&amp;"';"</f>
        <v>COMMENT ON COLUMN milscm_2023_010.azn_202310_enroll_shoho.receipt_densan_code IS 'レセプト電算処理システム用コード';</v>
      </c>
    </row>
    <row r="16" spans="1:45" s="25" customFormat="1" ht="19.5" thickBot="1">
      <c r="A16" s="4"/>
      <c r="B16" s="65">
        <f t="shared" ref="B16" si="6">ROW()-12</f>
        <v>4</v>
      </c>
      <c r="C16" s="28" t="s">
        <v>1749</v>
      </c>
      <c r="D16" s="28" t="s">
        <v>155</v>
      </c>
      <c r="E16" s="29" t="s">
        <v>127</v>
      </c>
      <c r="F16" s="56" t="s">
        <v>316</v>
      </c>
      <c r="G16" s="56" t="str">
        <f t="shared" ref="G16" si="7">IF(F16="フラグ","boolean",IF(F16="文字列","text",IF(F16="整数","integer",IF(F16="実数","numeric",""))))</f>
        <v>text</v>
      </c>
      <c r="H16" s="59"/>
      <c r="I16" s="60" t="s">
        <v>127</v>
      </c>
      <c r="J16" s="61"/>
      <c r="M16" s="4"/>
      <c r="N16" s="76"/>
      <c r="O16" s="76"/>
      <c r="P16" s="76" t="str">
        <f t="shared" ref="P16" si="8">IF(B16&lt;&gt;1,","&amp;D16,D16)</f>
        <v>,jisshi_ymd</v>
      </c>
      <c r="Q16" s="76" t="str">
        <f t="shared" si="4"/>
        <v>TEXT</v>
      </c>
      <c r="R16" s="76" t="str">
        <f t="shared" si="5"/>
        <v/>
      </c>
      <c r="S16" s="76" t="str">
        <f>IF(I16="○","NOT NULL","")</f>
        <v>NOT NULL</v>
      </c>
      <c r="T16" s="76" t="str">
        <f>"-- "&amp;C16</f>
        <v>-- 実施年月日</v>
      </c>
      <c r="U16" s="4"/>
      <c r="AA16" s="4"/>
      <c r="AB16" s="4"/>
      <c r="AC16" s="4"/>
      <c r="AD16" s="4"/>
      <c r="AE16" s="4"/>
      <c r="AF16" s="4"/>
      <c r="AG16" s="4"/>
      <c r="AH16" s="4"/>
      <c r="AI16" s="4"/>
      <c r="AJ16" s="97" t="str">
        <f>IF(E16="○",IF(COUNTA(E$13:E16)=1,"",",")&amp;D16,"")</f>
        <v>,jisshi_ymd</v>
      </c>
      <c r="AK16" s="4"/>
      <c r="AL16" s="4"/>
      <c r="AM16" s="4"/>
      <c r="AN16" s="4"/>
      <c r="AO16" s="4"/>
      <c r="AP16" s="4"/>
      <c r="AQ16" s="4"/>
      <c r="AR16" s="4"/>
      <c r="AS16" s="76" t="str">
        <f>"COMMENT ON COLUMN "&amp;エンティティ一覧!$O$2&amp;"."&amp;D$8&amp;"."&amp;D16&amp;" IS '"&amp;C16&amp;"';"</f>
        <v>COMMENT ON COLUMN milscm_2023_010.azn_202310_enroll_shoho.jisshi_ymd IS '実施年月日';</v>
      </c>
    </row>
    <row r="17" spans="12:52">
      <c r="L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50" t="s">
        <v>110</v>
      </c>
      <c r="C1" s="251"/>
      <c r="D1" s="254" t="s">
        <v>111</v>
      </c>
      <c r="E1" s="255"/>
      <c r="F1" s="255"/>
      <c r="G1" s="246"/>
      <c r="H1" s="254" t="s">
        <v>112</v>
      </c>
      <c r="I1" s="246"/>
      <c r="J1" s="15" t="s">
        <v>113</v>
      </c>
    </row>
    <row r="2" spans="1:52" ht="19.5" thickBot="1">
      <c r="B2" s="252"/>
      <c r="C2" s="253"/>
      <c r="D2" s="256" t="s">
        <v>114</v>
      </c>
      <c r="E2" s="257"/>
      <c r="F2" s="257"/>
      <c r="G2" s="258"/>
      <c r="H2" s="259"/>
      <c r="I2" s="260"/>
      <c r="J2" s="17"/>
    </row>
    <row r="3" spans="1:52" ht="19.5" thickBot="1">
      <c r="B3" s="5"/>
      <c r="C3" s="5"/>
      <c r="D3" s="5"/>
      <c r="E3" s="5"/>
      <c r="F3" s="5"/>
      <c r="G3" s="5"/>
      <c r="H3" s="5"/>
      <c r="I3" s="5"/>
      <c r="J3" s="18"/>
    </row>
    <row r="4" spans="1:52">
      <c r="B4" s="245" t="s">
        <v>3703</v>
      </c>
      <c r="C4" s="246"/>
      <c r="D4" s="247" t="str">
        <f>VLOOKUP(D7,エンティティ一覧!A1:'エンティティ一覧'!AM10203,2,FALSE)</f>
        <v>11</v>
      </c>
      <c r="E4" s="248"/>
      <c r="F4" s="248"/>
      <c r="G4" s="248"/>
      <c r="H4" s="248"/>
      <c r="I4" s="248"/>
      <c r="J4" s="249"/>
    </row>
    <row r="5" spans="1:52">
      <c r="B5" s="261" t="s">
        <v>3704</v>
      </c>
      <c r="C5" s="262"/>
      <c r="D5" s="271" t="str">
        <f>VLOOKUP(D7,エンティティ一覧!A1:'エンティティ一覧'!AM10203,7,FALSE)</f>
        <v>enroll</v>
      </c>
      <c r="E5" s="272"/>
      <c r="F5" s="272"/>
      <c r="G5" s="272"/>
      <c r="H5" s="272"/>
      <c r="I5" s="272"/>
      <c r="J5" s="273"/>
    </row>
    <row r="6" spans="1:52">
      <c r="B6" s="261" t="s">
        <v>3705</v>
      </c>
      <c r="C6" s="262"/>
      <c r="D6" s="271" t="str">
        <f>VLOOKUP(D7,エンティティ一覧!A1:'エンティティ一覧'!AM10203,15,FALSE)</f>
        <v>ENT_11_04</v>
      </c>
      <c r="E6" s="272"/>
      <c r="F6" s="272"/>
      <c r="G6" s="272"/>
      <c r="H6" s="272"/>
      <c r="I6" s="272"/>
      <c r="J6" s="273"/>
    </row>
    <row r="7" spans="1:52">
      <c r="B7" s="261" t="s">
        <v>115</v>
      </c>
      <c r="C7" s="262"/>
      <c r="D7" s="263" t="s">
        <v>303</v>
      </c>
      <c r="E7" s="264"/>
      <c r="F7" s="264"/>
      <c r="G7" s="264"/>
      <c r="H7" s="264"/>
      <c r="I7" s="264"/>
      <c r="J7" s="265"/>
    </row>
    <row r="8" spans="1:52">
      <c r="B8" s="261" t="s">
        <v>116</v>
      </c>
      <c r="C8" s="262"/>
      <c r="D8" s="263" t="str">
        <f>エンティティ一覧!AE2&amp;"_"&amp;D5&amp;"_kanja"</f>
        <v>azn_202310_enroll_kanja</v>
      </c>
      <c r="E8" s="264"/>
      <c r="F8" s="264"/>
      <c r="G8" s="264"/>
      <c r="H8" s="264"/>
      <c r="I8" s="264"/>
      <c r="J8" s="265"/>
    </row>
    <row r="9" spans="1:52" ht="19.5" customHeight="1" thickBot="1">
      <c r="B9" s="266" t="s">
        <v>117</v>
      </c>
      <c r="C9" s="267"/>
      <c r="D9" s="268" t="s">
        <v>3992</v>
      </c>
      <c r="E9" s="269"/>
      <c r="F9" s="269"/>
      <c r="G9" s="269"/>
      <c r="H9" s="269"/>
      <c r="I9" s="269"/>
      <c r="J9" s="270"/>
    </row>
    <row r="10" spans="1:52">
      <c r="B10" s="19"/>
      <c r="C10" s="19"/>
      <c r="D10" s="5"/>
      <c r="E10" s="5"/>
      <c r="F10" s="5"/>
      <c r="G10" s="5"/>
      <c r="H10" s="5"/>
      <c r="I10" s="5"/>
      <c r="J10" s="18"/>
      <c r="N10" s="76" t="str">
        <f>"--DROP TABLE  "&amp;エンティティ一覧!$O$2&amp;"."&amp;D$8&amp;";"</f>
        <v>--DROP TABLE  milscm_2023_010.azn_202310_enroll_kanja;</v>
      </c>
      <c r="O10" s="76"/>
      <c r="P10" s="76"/>
      <c r="Q10" s="76"/>
      <c r="R10" s="76"/>
      <c r="S10" s="76"/>
      <c r="T10" s="76"/>
      <c r="AJ10" s="76" t="str">
        <f>"ALTER TABLE ONLY "&amp;エンティティ一覧!$O$2&amp;"."&amp;D$8</f>
        <v>ALTER TABLE ONLY milscm_2023_010.azn_202310_enroll_kanja</v>
      </c>
      <c r="AS10" s="76" t="str">
        <f>"ALTER TABLE "&amp;エンティティ一覧!$O$2&amp;"."&amp;D$8&amp;" OWNER TO pgmisgrp1;"</f>
        <v>ALTER TABLE milscm_2023_010.azn_202310_enroll_kanja OWNER TO pgmisgrp1;</v>
      </c>
    </row>
    <row r="11" spans="1:52" ht="19.5" thickBot="1">
      <c r="B11" s="20" t="s">
        <v>118</v>
      </c>
      <c r="C11" s="19"/>
      <c r="D11" s="5"/>
      <c r="E11" s="5"/>
      <c r="F11" s="5"/>
      <c r="G11" s="5"/>
      <c r="H11" s="5"/>
      <c r="I11" s="5"/>
      <c r="J11" s="18"/>
      <c r="N11" s="76" t="str">
        <f>"CREATE TABLE  "&amp;エンティティ一覧!$O$2&amp;"."&amp;D$8</f>
        <v>CREATE TABLE  milscm_2023_010.azn_202310_enroll_kanja</v>
      </c>
      <c r="O11" s="76"/>
      <c r="P11" s="76"/>
      <c r="Q11" s="76"/>
      <c r="R11" s="76"/>
      <c r="S11" s="76"/>
      <c r="T11" s="76"/>
      <c r="AJ11" s="76" t="str">
        <f>"ADD CONSTRAINT "&amp;D$8&amp;"_pkey PRIMARY KEY"</f>
        <v>ADD CONSTRAINT azn_202310_enroll_kanja_pkey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milscm_2023_010.azn_202310_enroll_kanja IS '組入れ_対象患者';</v>
      </c>
    </row>
    <row r="13" spans="1:52" s="25" customFormat="1">
      <c r="A13" s="4"/>
      <c r="B13" s="21">
        <f>ROW()-12</f>
        <v>1</v>
      </c>
      <c r="C13" s="13" t="s">
        <v>137</v>
      </c>
      <c r="D13" s="13" t="s">
        <v>128</v>
      </c>
      <c r="E13" s="7" t="s">
        <v>127</v>
      </c>
      <c r="F13" s="7" t="s">
        <v>316</v>
      </c>
      <c r="G13" s="7" t="str">
        <f>IF(F13="フラグ","boolean",IF(F13="文字列","text",IF(F13="整数","integer",IF(F13="実数","numeric",""))))</f>
        <v>text</v>
      </c>
      <c r="H13" s="9"/>
      <c r="I13" s="10" t="s">
        <v>127</v>
      </c>
      <c r="J13" s="24"/>
      <c r="M13" s="4"/>
      <c r="N13" s="76"/>
      <c r="O13" s="76"/>
      <c r="P13" s="76" t="str">
        <f>IF(B13&lt;&gt;1,","&amp;D13,D13)</f>
        <v>facility_id</v>
      </c>
      <c r="Q13" s="76" t="str">
        <f t="shared" ref="Q13:Q14" si="0">UPPER(G13)</f>
        <v>TEXT</v>
      </c>
      <c r="R13" s="76" t="str">
        <f t="shared" ref="R13:R14"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milscm_2023_010.azn_202310_enroll_kanja.facility_id IS '施設ID';</v>
      </c>
    </row>
    <row r="14" spans="1:52" s="25" customFormat="1" ht="19.5" thickBot="1">
      <c r="A14" s="4"/>
      <c r="B14" s="69">
        <f t="shared" ref="B14" si="2">ROW()-12</f>
        <v>2</v>
      </c>
      <c r="C14" s="70" t="s">
        <v>319</v>
      </c>
      <c r="D14" s="70" t="s">
        <v>209</v>
      </c>
      <c r="E14" s="73" t="s">
        <v>127</v>
      </c>
      <c r="F14" s="71" t="s">
        <v>316</v>
      </c>
      <c r="G14" s="71" t="str">
        <f t="shared" ref="G14" si="3">IF(F14="フラグ","boolean",IF(F14="文字列","text",IF(F14="整数","integer",IF(F14="実数","numeric",""))))</f>
        <v>text</v>
      </c>
      <c r="H14" s="72"/>
      <c r="I14" s="73" t="s">
        <v>127</v>
      </c>
      <c r="J14" s="74"/>
      <c r="M14" s="4"/>
      <c r="N14" s="76"/>
      <c r="O14" s="76"/>
      <c r="P14" s="76" t="str">
        <f t="shared" ref="P14" si="4">IF(B14&lt;&gt;1,","&amp;D14,D14)</f>
        <v>,shikibetsu_no</v>
      </c>
      <c r="Q14" s="76" t="str">
        <f t="shared" si="0"/>
        <v>TEXT</v>
      </c>
      <c r="R14" s="76" t="str">
        <f t="shared" si="1"/>
        <v/>
      </c>
      <c r="S14" s="76" t="str">
        <f>IF(I14="○","NOT NULL","")</f>
        <v>NOT NULL</v>
      </c>
      <c r="T14" s="76" t="str">
        <f>"-- "&amp;C14</f>
        <v>-- データ識別番号</v>
      </c>
      <c r="U14" s="4"/>
      <c r="AA14" s="4"/>
      <c r="AB14" s="4"/>
      <c r="AC14" s="4"/>
      <c r="AD14" s="4"/>
      <c r="AE14" s="4"/>
      <c r="AF14" s="4"/>
      <c r="AG14" s="4"/>
      <c r="AH14" s="4"/>
      <c r="AI14" s="4"/>
      <c r="AJ14" s="76" t="str">
        <f>IF(E14="○",IF(COUNTA(E$13:E14)=1,"",",")&amp;D14,"")</f>
        <v>,shikibetsu_no</v>
      </c>
      <c r="AK14" s="4"/>
      <c r="AL14" s="4"/>
      <c r="AM14" s="4"/>
      <c r="AN14" s="4"/>
      <c r="AO14" s="4"/>
      <c r="AP14" s="4"/>
      <c r="AQ14" s="4"/>
      <c r="AR14" s="4"/>
      <c r="AS14" s="76" t="str">
        <f>"COMMENT ON COLUMN "&amp;エンティティ一覧!$O$2&amp;"."&amp;D$8&amp;"."&amp;D14&amp;" IS '"&amp;C14&amp;"';"</f>
        <v>COMMENT ON COLUMN milscm_2023_010.azn_202310_enroll_kanja.shikibetsu_no IS 'データ識別番号';</v>
      </c>
    </row>
    <row r="15" spans="1:52">
      <c r="L15" s="25"/>
      <c r="N15" s="76" t="s">
        <v>142</v>
      </c>
      <c r="O15" s="76"/>
      <c r="P15" s="76"/>
      <c r="Q15" s="76"/>
      <c r="R15" s="76"/>
      <c r="S15" s="76"/>
      <c r="T15" s="76"/>
      <c r="V15" s="25"/>
      <c r="W15" s="25"/>
      <c r="X15" s="25"/>
      <c r="Y15" s="25"/>
      <c r="Z15" s="25"/>
      <c r="AJ15" s="76" t="s">
        <v>142</v>
      </c>
      <c r="AT15" s="25"/>
      <c r="AU15" s="25"/>
      <c r="AV15" s="25"/>
      <c r="AW15" s="25"/>
      <c r="AX15" s="25"/>
      <c r="AY15" s="25"/>
      <c r="AZ15" s="25"/>
    </row>
    <row r="16" spans="1:52">
      <c r="L16" s="25"/>
      <c r="M16" s="25"/>
      <c r="V16" s="25"/>
      <c r="W16" s="25"/>
      <c r="X16" s="25"/>
      <c r="Y16" s="25"/>
      <c r="Z16" s="25"/>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4335</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21</v>
      </c>
      <c r="E4" s="248"/>
      <c r="F4" s="248"/>
      <c r="G4" s="248"/>
      <c r="H4" s="248"/>
      <c r="I4" s="248"/>
      <c r="J4" s="249"/>
    </row>
    <row r="5" spans="1:45">
      <c r="B5" s="261" t="s">
        <v>3704</v>
      </c>
      <c r="C5" s="262"/>
      <c r="D5" s="271" t="str">
        <f>VLOOKUP(D7,エンティティ一覧!A1:'エンティティ一覧'!AM10203,7,FALSE)</f>
        <v>mt</v>
      </c>
      <c r="E5" s="272"/>
      <c r="F5" s="272"/>
      <c r="G5" s="272"/>
      <c r="H5" s="272"/>
      <c r="I5" s="272"/>
      <c r="J5" s="273"/>
    </row>
    <row r="6" spans="1:45">
      <c r="B6" s="261" t="s">
        <v>3705</v>
      </c>
      <c r="C6" s="262"/>
      <c r="D6" s="271" t="str">
        <f>VLOOKUP(D7,エンティティ一覧!A1:'エンティティ一覧'!AM10203,15,FALSE)</f>
        <v>ENT_21_01</v>
      </c>
      <c r="E6" s="272"/>
      <c r="F6" s="272"/>
      <c r="G6" s="272"/>
      <c r="H6" s="272"/>
      <c r="I6" s="272"/>
      <c r="J6" s="273"/>
    </row>
    <row r="7" spans="1:45">
      <c r="B7" s="261" t="s">
        <v>115</v>
      </c>
      <c r="C7" s="262"/>
      <c r="D7" s="263" t="s">
        <v>3993</v>
      </c>
      <c r="E7" s="264"/>
      <c r="F7" s="264"/>
      <c r="G7" s="264"/>
      <c r="H7" s="264"/>
      <c r="I7" s="264"/>
      <c r="J7" s="265"/>
    </row>
    <row r="8" spans="1:45">
      <c r="B8" s="261" t="s">
        <v>116</v>
      </c>
      <c r="C8" s="262"/>
      <c r="D8" s="263" t="str">
        <f>エンティティ一覧!AE2&amp;"_"&amp;D5&amp;"_kanja_id_list"</f>
        <v>azn_202310_mt_kanja_id_list</v>
      </c>
      <c r="E8" s="264"/>
      <c r="F8" s="264"/>
      <c r="G8" s="264"/>
      <c r="H8" s="264"/>
      <c r="I8" s="264"/>
      <c r="J8" s="265"/>
    </row>
    <row r="9" spans="1:45" ht="19.5" customHeight="1" thickBot="1">
      <c r="B9" s="266" t="s">
        <v>117</v>
      </c>
      <c r="C9" s="267"/>
      <c r="D9" s="268" t="s">
        <v>4031</v>
      </c>
      <c r="E9" s="269"/>
      <c r="F9" s="269"/>
      <c r="G9" s="269"/>
      <c r="H9" s="269"/>
      <c r="I9" s="269"/>
      <c r="J9" s="270"/>
    </row>
    <row r="10" spans="1:45">
      <c r="B10" s="19"/>
      <c r="C10" s="19"/>
      <c r="D10" s="5"/>
      <c r="E10" s="5"/>
      <c r="F10" s="5"/>
      <c r="G10" s="5"/>
      <c r="H10" s="5"/>
      <c r="I10" s="5"/>
      <c r="J10" s="18"/>
      <c r="N10" s="97" t="str">
        <f>"--DROP TABLE  "&amp;エンティティ一覧!$O$2&amp;"."&amp;D$8&amp;";"</f>
        <v>--DROP TABLE  milscm_2023_010.azn_202310_mt_kanja_id_list;</v>
      </c>
      <c r="O10" s="97"/>
      <c r="P10" s="97"/>
      <c r="Q10" s="97"/>
      <c r="R10" s="97"/>
      <c r="S10" s="97"/>
      <c r="T10" s="97"/>
      <c r="AJ10" s="97" t="str">
        <f>"ALTER TABLE ONLY "&amp;エンティティ一覧!$O$2&amp;"."&amp;D$8</f>
        <v>ALTER TABLE ONLY milscm_2023_010.azn_202310_mt_kanja_id_list</v>
      </c>
      <c r="AS10" s="97" t="str">
        <f>"ALTER TABLE "&amp;エンティティ一覧!$O$2&amp;"."&amp;D$8&amp;" OWNER TO pgmisgrp1;"</f>
        <v>ALTER TABLE milscm_2023_010.azn_202310_mt_kanja_id_list OWNER TO pgmisgrp1;</v>
      </c>
    </row>
    <row r="11" spans="1:45" ht="19.5" thickBot="1">
      <c r="B11" s="20" t="s">
        <v>118</v>
      </c>
      <c r="C11" s="19"/>
      <c r="D11" s="5"/>
      <c r="E11" s="5"/>
      <c r="F11" s="5"/>
      <c r="G11" s="5"/>
      <c r="H11" s="5"/>
      <c r="I11" s="5"/>
      <c r="J11" s="18"/>
      <c r="N11" s="97" t="str">
        <f>"CREATE TABLE  "&amp;エンティティ一覧!$O$2&amp;"."&amp;D$8</f>
        <v>CREATE TABLE  milscm_2023_010.azn_202310_mt_kanja_id_list</v>
      </c>
      <c r="O11" s="97"/>
      <c r="P11" s="97"/>
      <c r="Q11" s="97"/>
      <c r="R11" s="97"/>
      <c r="S11" s="97"/>
      <c r="T11" s="97"/>
      <c r="AJ11" s="97" t="str">
        <f>"ADD CONSTRAINT "&amp;D$8&amp;"_pkey PRIMARY KEY"</f>
        <v>ADD CONSTRAINT azn_202310_mt_kanja_id_list_pkey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milscm_2023_010.azn_202310_mt_kanja_id_list IS '患者ID一覧マスタ';</v>
      </c>
    </row>
    <row r="13" spans="1:45" s="25" customFormat="1">
      <c r="A13" s="4"/>
      <c r="B13" s="21">
        <f>ROW()-12</f>
        <v>1</v>
      </c>
      <c r="C13" s="13" t="s">
        <v>137</v>
      </c>
      <c r="D13" s="13" t="s">
        <v>128</v>
      </c>
      <c r="E13" s="7" t="s">
        <v>127</v>
      </c>
      <c r="F13" s="7" t="s">
        <v>316</v>
      </c>
      <c r="G13" s="7" t="str">
        <f>IF(F13="フラグ","boolean",IF(F13="文字列","text",IF(F13="整数","integer",IF(F13="実数","numeric",""))))</f>
        <v>text</v>
      </c>
      <c r="H13" s="9"/>
      <c r="I13" s="10" t="s">
        <v>127</v>
      </c>
      <c r="J13" s="11"/>
      <c r="M13" s="4"/>
      <c r="N13" s="97"/>
      <c r="O13" s="97"/>
      <c r="P13" s="97" t="str">
        <f>IF(B13&lt;&gt;1,","&amp;D13,D13)</f>
        <v>facility_id</v>
      </c>
      <c r="Q13" s="97" t="str">
        <f t="shared" ref="Q13:Q17" si="0">UPPER(G13)</f>
        <v>TEXT</v>
      </c>
      <c r="R13" s="97" t="str">
        <f t="shared" ref="R13:R17" si="1">IF(H13&lt;&gt;"","default "&amp;IF(G13="text","'"&amp;H13&amp;"'",H13),"")</f>
        <v/>
      </c>
      <c r="S13" s="97" t="str">
        <f>IF(I13="○","NOT NULL","")</f>
        <v>NOT NULL</v>
      </c>
      <c r="T13" s="97" t="str">
        <f>"-- "&amp;C13</f>
        <v>-- 施設ID</v>
      </c>
      <c r="U13" s="4"/>
      <c r="AA13" s="4"/>
      <c r="AB13" s="4"/>
      <c r="AC13" s="4"/>
      <c r="AD13" s="4"/>
      <c r="AE13" s="4"/>
      <c r="AF13" s="4"/>
      <c r="AG13" s="4"/>
      <c r="AH13" s="4"/>
      <c r="AI13" s="4"/>
      <c r="AJ13" s="97" t="str">
        <f>IF(E13="○",IF(COUNTA(E$13:E13)=1,"",",")&amp;D13,"")</f>
        <v>facility_id</v>
      </c>
      <c r="AK13" s="4"/>
      <c r="AL13" s="4"/>
      <c r="AM13" s="4"/>
      <c r="AN13" s="4"/>
      <c r="AO13" s="4"/>
      <c r="AP13" s="4"/>
      <c r="AQ13" s="4"/>
      <c r="AR13" s="4"/>
      <c r="AS13" s="97" t="str">
        <f>"COMMENT ON COLUMN "&amp;エンティティ一覧!$O$2&amp;"."&amp;D$8&amp;"."&amp;D13&amp;" IS '"&amp;C13&amp;"';"</f>
        <v>COMMENT ON COLUMN milscm_2023_010.azn_202310_mt_kanja_id_list.facility_id IS '施設ID';</v>
      </c>
    </row>
    <row r="14" spans="1:45" s="25" customFormat="1">
      <c r="A14" s="4"/>
      <c r="B14" s="21">
        <f t="shared" ref="B14:B17" si="2">ROW()-12</f>
        <v>2</v>
      </c>
      <c r="C14" s="6" t="s">
        <v>2400</v>
      </c>
      <c r="D14" s="6" t="s">
        <v>2401</v>
      </c>
      <c r="E14" s="8"/>
      <c r="F14" s="7" t="s">
        <v>316</v>
      </c>
      <c r="G14" s="7" t="str">
        <f t="shared" ref="G14:G17" si="3">IF(F14="フラグ","boolean",IF(F14="文字列","text",IF(F14="整数","integer",IF(F14="実数","numeric",""))))</f>
        <v>text</v>
      </c>
      <c r="H14" s="58"/>
      <c r="I14" s="23" t="s">
        <v>127</v>
      </c>
      <c r="J14" s="11" t="s">
        <v>2791</v>
      </c>
      <c r="M14" s="4"/>
      <c r="N14" s="97"/>
      <c r="O14" s="97"/>
      <c r="P14" s="97" t="str">
        <f>IF(B14&lt;&gt;1,","&amp;D14,D14)</f>
        <v>,facility_id_mml</v>
      </c>
      <c r="Q14" s="97" t="str">
        <f t="shared" si="0"/>
        <v>TEXT</v>
      </c>
      <c r="R14" s="97" t="str">
        <f t="shared" si="1"/>
        <v/>
      </c>
      <c r="S14" s="97" t="str">
        <f>IF(I14="○","NOT NULL","")</f>
        <v>NOT NULL</v>
      </c>
      <c r="T14" s="97" t="str">
        <f>"-- "&amp;C14</f>
        <v>-- 施設ID（MML）</v>
      </c>
      <c r="U14" s="4"/>
      <c r="AA14" s="4"/>
      <c r="AB14" s="4"/>
      <c r="AC14" s="4"/>
      <c r="AD14" s="4"/>
      <c r="AE14" s="4"/>
      <c r="AF14" s="4"/>
      <c r="AG14" s="4"/>
      <c r="AH14" s="4"/>
      <c r="AI14" s="4"/>
      <c r="AJ14" s="97" t="str">
        <f>IF(E14="○",IF(COUNTA(E$13:E14)=1,"",",")&amp;D14,"")</f>
        <v/>
      </c>
      <c r="AK14" s="4"/>
      <c r="AL14" s="4"/>
      <c r="AM14" s="4"/>
      <c r="AN14" s="4"/>
      <c r="AO14" s="4"/>
      <c r="AP14" s="4"/>
      <c r="AQ14" s="4"/>
      <c r="AR14" s="4"/>
      <c r="AS14" s="97" t="str">
        <f>"COMMENT ON COLUMN "&amp;エンティティ一覧!$O$2&amp;"."&amp;D$8&amp;"."&amp;D14&amp;" IS '"&amp;C14&amp;"';"</f>
        <v>COMMENT ON COLUMN milscm_2023_010.azn_202310_mt_kanja_id_list.facility_id_mml IS '施設ID（MML）';</v>
      </c>
    </row>
    <row r="15" spans="1:45" s="25" customFormat="1">
      <c r="A15" s="4"/>
      <c r="B15" s="21">
        <f t="shared" si="2"/>
        <v>3</v>
      </c>
      <c r="C15" s="6" t="s">
        <v>4015</v>
      </c>
      <c r="D15" s="6" t="s">
        <v>4019</v>
      </c>
      <c r="E15" s="8" t="s">
        <v>127</v>
      </c>
      <c r="F15" s="7" t="s">
        <v>316</v>
      </c>
      <c r="G15" s="7" t="str">
        <f t="shared" si="3"/>
        <v>text</v>
      </c>
      <c r="H15" s="58"/>
      <c r="I15" s="23" t="s">
        <v>127</v>
      </c>
      <c r="J15" s="11" t="s">
        <v>1844</v>
      </c>
      <c r="M15" s="4"/>
      <c r="N15" s="97"/>
      <c r="O15" s="97"/>
      <c r="P15" s="97" t="str">
        <f t="shared" ref="P15:P17" si="4">IF(B15&lt;&gt;1,","&amp;D15,D15)</f>
        <v>,himoduke_id</v>
      </c>
      <c r="Q15" s="97" t="str">
        <f t="shared" si="0"/>
        <v>TEXT</v>
      </c>
      <c r="R15" s="97" t="str">
        <f t="shared" si="1"/>
        <v/>
      </c>
      <c r="S15" s="97" t="str">
        <f t="shared" ref="S15:S16" si="5">IF(I15="○","NOT NULL","")</f>
        <v>NOT NULL</v>
      </c>
      <c r="T15" s="97" t="str">
        <f t="shared" ref="T15:T16" si="6">"-- "&amp;C15</f>
        <v>-- 紐付けID</v>
      </c>
      <c r="U15" s="4"/>
      <c r="AA15" s="4"/>
      <c r="AB15" s="4"/>
      <c r="AC15" s="4"/>
      <c r="AD15" s="4"/>
      <c r="AE15" s="4"/>
      <c r="AF15" s="4"/>
      <c r="AG15" s="4"/>
      <c r="AH15" s="4"/>
      <c r="AI15" s="4"/>
      <c r="AJ15" s="97" t="str">
        <f>IF(E15="○",IF(COUNTA(E$13:E15)=1,"",",")&amp;D15,"")</f>
        <v>,himoduke_id</v>
      </c>
      <c r="AK15" s="4"/>
      <c r="AL15" s="4"/>
      <c r="AM15" s="4"/>
      <c r="AN15" s="4"/>
      <c r="AO15" s="4"/>
      <c r="AP15" s="4"/>
      <c r="AQ15" s="4"/>
      <c r="AR15" s="4"/>
      <c r="AS15" s="97" t="str">
        <f>"COMMENT ON COLUMN "&amp;エンティティ一覧!$O$2&amp;"."&amp;D$8&amp;"."&amp;D15&amp;" IS '"&amp;C15&amp;"';"</f>
        <v>COMMENT ON COLUMN milscm_2023_010.azn_202310_mt_kanja_id_list.himoduke_id IS '紐付けID';</v>
      </c>
    </row>
    <row r="16" spans="1:45" s="25" customFormat="1">
      <c r="A16" s="4"/>
      <c r="B16" s="21">
        <f t="shared" si="2"/>
        <v>4</v>
      </c>
      <c r="C16" s="6" t="s">
        <v>4028</v>
      </c>
      <c r="D16" s="6" t="s">
        <v>4029</v>
      </c>
      <c r="E16" s="8" t="s">
        <v>127</v>
      </c>
      <c r="F16" s="7" t="s">
        <v>316</v>
      </c>
      <c r="G16" s="7" t="str">
        <f t="shared" si="3"/>
        <v>text</v>
      </c>
      <c r="H16" s="58"/>
      <c r="I16" s="23" t="s">
        <v>127</v>
      </c>
      <c r="J16" s="11" t="s">
        <v>1822</v>
      </c>
      <c r="M16" s="4"/>
      <c r="N16" s="97"/>
      <c r="O16" s="97"/>
      <c r="P16" s="97" t="str">
        <f t="shared" si="4"/>
        <v>,data_type</v>
      </c>
      <c r="Q16" s="97" t="str">
        <f t="shared" si="0"/>
        <v>TEXT</v>
      </c>
      <c r="R16" s="97" t="str">
        <f t="shared" si="1"/>
        <v/>
      </c>
      <c r="S16" s="97" t="str">
        <f t="shared" si="5"/>
        <v>NOT NULL</v>
      </c>
      <c r="T16" s="97" t="str">
        <f t="shared" si="6"/>
        <v>-- データ種別</v>
      </c>
      <c r="U16" s="4"/>
      <c r="AA16" s="4"/>
      <c r="AB16" s="4"/>
      <c r="AC16" s="4"/>
      <c r="AD16" s="4"/>
      <c r="AE16" s="4"/>
      <c r="AF16" s="4"/>
      <c r="AG16" s="4"/>
      <c r="AH16" s="4"/>
      <c r="AI16" s="4"/>
      <c r="AJ16" s="97" t="str">
        <f>IF(E16="○",IF(COUNTA(E$13:E16)=1,"",",")&amp;D16,"")</f>
        <v>,data_type</v>
      </c>
      <c r="AK16" s="4"/>
      <c r="AL16" s="4"/>
      <c r="AM16" s="4"/>
      <c r="AN16" s="4"/>
      <c r="AO16" s="4"/>
      <c r="AP16" s="4"/>
      <c r="AQ16" s="4"/>
      <c r="AR16" s="4"/>
      <c r="AS16" s="97" t="str">
        <f>"COMMENT ON COLUMN "&amp;エンティティ一覧!$O$2&amp;"."&amp;D$8&amp;"."&amp;D16&amp;" IS '"&amp;C16&amp;"';"</f>
        <v>COMMENT ON COLUMN milscm_2023_010.azn_202310_mt_kanja_id_list.data_type IS 'データ種別';</v>
      </c>
    </row>
    <row r="17" spans="1:52" s="25" customFormat="1" ht="19.5" thickBot="1">
      <c r="A17" s="4"/>
      <c r="B17" s="69">
        <f t="shared" si="2"/>
        <v>5</v>
      </c>
      <c r="C17" s="70" t="s">
        <v>2786</v>
      </c>
      <c r="D17" s="70" t="s">
        <v>4030</v>
      </c>
      <c r="E17" s="73" t="s">
        <v>127</v>
      </c>
      <c r="F17" s="71" t="s">
        <v>316</v>
      </c>
      <c r="G17" s="71" t="str">
        <f t="shared" si="3"/>
        <v>text</v>
      </c>
      <c r="H17" s="72"/>
      <c r="I17" s="73" t="s">
        <v>127</v>
      </c>
      <c r="J17" s="74"/>
      <c r="M17" s="4"/>
      <c r="N17" s="97"/>
      <c r="O17" s="97"/>
      <c r="P17" s="97" t="str">
        <f t="shared" si="4"/>
        <v>,patient_id</v>
      </c>
      <c r="Q17" s="97" t="str">
        <f t="shared" si="0"/>
        <v>TEXT</v>
      </c>
      <c r="R17" s="97" t="str">
        <f t="shared" si="1"/>
        <v/>
      </c>
      <c r="S17" s="97" t="str">
        <f>IF(I17="○","NOT NULL","")</f>
        <v>NOT NULL</v>
      </c>
      <c r="T17" s="97" t="str">
        <f>"-- "&amp;C17</f>
        <v>-- 患者ID</v>
      </c>
      <c r="U17" s="4"/>
      <c r="AA17" s="4"/>
      <c r="AB17" s="4"/>
      <c r="AC17" s="4"/>
      <c r="AD17" s="4"/>
      <c r="AE17" s="4"/>
      <c r="AF17" s="4"/>
      <c r="AG17" s="4"/>
      <c r="AH17" s="4"/>
      <c r="AI17" s="4"/>
      <c r="AJ17" s="97" t="str">
        <f>IF(E17="○",IF(COUNTA(E$13:E17)=1,"",",")&amp;D17,"")</f>
        <v>,patient_id</v>
      </c>
      <c r="AK17" s="4"/>
      <c r="AL17" s="4"/>
      <c r="AM17" s="4"/>
      <c r="AN17" s="4"/>
      <c r="AO17" s="4"/>
      <c r="AP17" s="4"/>
      <c r="AQ17" s="4"/>
      <c r="AR17" s="4"/>
      <c r="AS17" s="97" t="str">
        <f>"COMMENT ON COLUMN "&amp;エンティティ一覧!$O$2&amp;"."&amp;D$8&amp;"."&amp;D17&amp;" IS '"&amp;C17&amp;"';"</f>
        <v>COMMENT ON COLUMN milscm_2023_010.azn_202310_mt_kanja_id_list.patient_id IS '患者ID';</v>
      </c>
    </row>
    <row r="18" spans="1:52">
      <c r="L18" s="25"/>
      <c r="N18" s="97" t="s">
        <v>142</v>
      </c>
      <c r="O18" s="97"/>
      <c r="P18" s="97"/>
      <c r="Q18" s="97"/>
      <c r="R18" s="97"/>
      <c r="S18" s="97"/>
      <c r="T18" s="97"/>
      <c r="V18" s="25"/>
      <c r="W18" s="25"/>
      <c r="X18" s="25"/>
      <c r="Y18" s="25"/>
      <c r="Z18" s="25"/>
      <c r="AJ18" s="97"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21</v>
      </c>
      <c r="E4" s="248"/>
      <c r="F4" s="248"/>
      <c r="G4" s="248"/>
      <c r="H4" s="248"/>
      <c r="I4" s="248"/>
      <c r="J4" s="249"/>
    </row>
    <row r="5" spans="1:45">
      <c r="B5" s="261" t="s">
        <v>3704</v>
      </c>
      <c r="C5" s="262"/>
      <c r="D5" s="271" t="str">
        <f>VLOOKUP(D7,エンティティ一覧!A1:'エンティティ一覧'!AM10203,7,FALSE)</f>
        <v>mt</v>
      </c>
      <c r="E5" s="272"/>
      <c r="F5" s="272"/>
      <c r="G5" s="272"/>
      <c r="H5" s="272"/>
      <c r="I5" s="272"/>
      <c r="J5" s="273"/>
    </row>
    <row r="6" spans="1:45">
      <c r="B6" s="261" t="s">
        <v>3705</v>
      </c>
      <c r="C6" s="262"/>
      <c r="D6" s="271" t="str">
        <f>VLOOKUP(D7,エンティティ一覧!A1:'エンティティ一覧'!AM10203,15,FALSE)</f>
        <v>ENT_21_02</v>
      </c>
      <c r="E6" s="272"/>
      <c r="F6" s="272"/>
      <c r="G6" s="272"/>
      <c r="H6" s="272"/>
      <c r="I6" s="272"/>
      <c r="J6" s="273"/>
    </row>
    <row r="7" spans="1:45">
      <c r="B7" s="261" t="s">
        <v>115</v>
      </c>
      <c r="C7" s="262"/>
      <c r="D7" s="263" t="s">
        <v>3994</v>
      </c>
      <c r="E7" s="264"/>
      <c r="F7" s="264"/>
      <c r="G7" s="264"/>
      <c r="H7" s="264"/>
      <c r="I7" s="264"/>
      <c r="J7" s="265"/>
    </row>
    <row r="8" spans="1:45">
      <c r="B8" s="261" t="s">
        <v>116</v>
      </c>
      <c r="C8" s="262"/>
      <c r="D8" s="263" t="str">
        <f>エンティティ一覧!AE2&amp;"_"&amp;D5&amp;"_shisetsu"</f>
        <v>azn_202310_mt_shisetsu</v>
      </c>
      <c r="E8" s="264"/>
      <c r="F8" s="264"/>
      <c r="G8" s="264"/>
      <c r="H8" s="264"/>
      <c r="I8" s="264"/>
      <c r="J8" s="265"/>
    </row>
    <row r="9" spans="1:45" ht="19.5" customHeight="1" thickBot="1">
      <c r="B9" s="266" t="s">
        <v>117</v>
      </c>
      <c r="C9" s="267"/>
      <c r="D9" s="268" t="s">
        <v>4032</v>
      </c>
      <c r="E9" s="269"/>
      <c r="F9" s="269"/>
      <c r="G9" s="269"/>
      <c r="H9" s="269"/>
      <c r="I9" s="269"/>
      <c r="J9" s="270"/>
    </row>
    <row r="10" spans="1:45">
      <c r="B10" s="19"/>
      <c r="C10" s="19"/>
      <c r="D10" s="5"/>
      <c r="E10" s="5"/>
      <c r="F10" s="5"/>
      <c r="G10" s="5"/>
      <c r="H10" s="5"/>
      <c r="I10" s="5"/>
      <c r="J10" s="18"/>
      <c r="N10" s="97" t="str">
        <f>"--DROP TABLE  "&amp;エンティティ一覧!$O$2&amp;"."&amp;D$8&amp;";"</f>
        <v>--DROP TABLE  milscm_2023_010.azn_202310_mt_shisetsu;</v>
      </c>
      <c r="O10" s="97"/>
      <c r="P10" s="97"/>
      <c r="Q10" s="97"/>
      <c r="R10" s="97"/>
      <c r="S10" s="97"/>
      <c r="T10" s="97"/>
      <c r="AJ10" s="97" t="str">
        <f>"ALTER TABLE ONLY "&amp;エンティティ一覧!$O$2&amp;"."&amp;D$8</f>
        <v>ALTER TABLE ONLY milscm_2023_010.azn_202310_mt_shisetsu</v>
      </c>
      <c r="AS10" s="97" t="str">
        <f>"ALTER TABLE "&amp;エンティティ一覧!$O$2&amp;"."&amp;D$8&amp;" OWNER TO pgmisgrp1;"</f>
        <v>ALTER TABLE milscm_2023_010.azn_202310_mt_shisetsu OWNER TO pgmisgrp1;</v>
      </c>
    </row>
    <row r="11" spans="1:45" ht="19.5" thickBot="1">
      <c r="B11" s="20" t="s">
        <v>118</v>
      </c>
      <c r="C11" s="19"/>
      <c r="D11" s="5"/>
      <c r="E11" s="5"/>
      <c r="F11" s="5"/>
      <c r="G11" s="5"/>
      <c r="H11" s="5"/>
      <c r="I11" s="5"/>
      <c r="J11" s="18"/>
      <c r="N11" s="97" t="str">
        <f>"CREATE TABLE  "&amp;エンティティ一覧!$O$2&amp;"."&amp;D$8</f>
        <v>CREATE TABLE  milscm_2023_010.azn_202310_mt_shisetsu</v>
      </c>
      <c r="O11" s="97"/>
      <c r="P11" s="97"/>
      <c r="Q11" s="97"/>
      <c r="R11" s="97"/>
      <c r="S11" s="97"/>
      <c r="T11" s="97"/>
      <c r="AJ11" s="97" t="str">
        <f>"ADD CONSTRAINT "&amp;D$8&amp;"_pkey PRIMARY KEY"</f>
        <v>ADD CONSTRAINT azn_202310_mt_shisetsu_pkey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milscm_2023_010.azn_202310_mt_shisetsu IS '施設マスタ';</v>
      </c>
    </row>
    <row r="13" spans="1:45" s="25" customFormat="1">
      <c r="A13" s="4"/>
      <c r="B13" s="21">
        <f>ROW()-12</f>
        <v>1</v>
      </c>
      <c r="C13" s="13" t="s">
        <v>4020</v>
      </c>
      <c r="D13" s="13" t="s">
        <v>4023</v>
      </c>
      <c r="E13" s="7" t="s">
        <v>127</v>
      </c>
      <c r="F13" s="7" t="s">
        <v>316</v>
      </c>
      <c r="G13" s="7" t="str">
        <f>IF(F13="フラグ","boolean",IF(F13="文字列","text",IF(F13="整数","integer",IF(F13="実数","numeric",""))))</f>
        <v>text</v>
      </c>
      <c r="H13" s="9"/>
      <c r="I13" s="10" t="s">
        <v>127</v>
      </c>
      <c r="J13" s="24" t="s">
        <v>4066</v>
      </c>
      <c r="M13" s="4"/>
      <c r="N13" s="97"/>
      <c r="O13" s="97"/>
      <c r="P13" s="97" t="str">
        <f>IF(B13&lt;&gt;1,","&amp;D13,D13)</f>
        <v>facility_mask_id</v>
      </c>
      <c r="Q13" s="97" t="str">
        <f t="shared" ref="Q13:Q19" si="0">UPPER(G13)</f>
        <v>TEXT</v>
      </c>
      <c r="R13" s="97" t="str">
        <f t="shared" ref="R13:R19" si="1">IF(H13&lt;&gt;"","default "&amp;IF(G13="text","'"&amp;H13&amp;"'",H13),"")</f>
        <v/>
      </c>
      <c r="S13" s="97" t="str">
        <f>IF(I13="○","NOT NULL","")</f>
        <v>NOT NULL</v>
      </c>
      <c r="T13" s="97" t="str">
        <f>"-- "&amp;C13</f>
        <v>-- 施設マスクID</v>
      </c>
      <c r="U13" s="4"/>
      <c r="AA13" s="4"/>
      <c r="AB13" s="4"/>
      <c r="AC13" s="4"/>
      <c r="AD13" s="4"/>
      <c r="AE13" s="4"/>
      <c r="AF13" s="4"/>
      <c r="AG13" s="4"/>
      <c r="AH13" s="4"/>
      <c r="AI13" s="4"/>
      <c r="AJ13" s="97" t="str">
        <f>IF(E13="○",IF(COUNTA(E$13:E13)=1,"",",")&amp;D13,"")</f>
        <v>facility_mask_id</v>
      </c>
      <c r="AK13" s="4"/>
      <c r="AL13" s="4"/>
      <c r="AM13" s="4"/>
      <c r="AN13" s="4"/>
      <c r="AO13" s="4"/>
      <c r="AP13" s="4"/>
      <c r="AQ13" s="4"/>
      <c r="AR13" s="4"/>
      <c r="AS13" s="97" t="str">
        <f>"COMMENT ON COLUMN "&amp;エンティティ一覧!$O$2&amp;"."&amp;D$8&amp;"."&amp;D13&amp;" IS '"&amp;C13&amp;"';"</f>
        <v>COMMENT ON COLUMN milscm_2023_010.azn_202310_mt_shisetsu.facility_mask_id IS '施設マスクID';</v>
      </c>
    </row>
    <row r="14" spans="1:45" s="25" customFormat="1">
      <c r="A14" s="4"/>
      <c r="B14" s="21">
        <f t="shared" ref="B14:B19" si="2">ROW()-12</f>
        <v>2</v>
      </c>
      <c r="C14" s="6" t="s">
        <v>137</v>
      </c>
      <c r="D14" s="6" t="s">
        <v>4017</v>
      </c>
      <c r="E14" s="8"/>
      <c r="F14" s="7" t="s">
        <v>316</v>
      </c>
      <c r="G14" s="7" t="str">
        <f t="shared" ref="G14:G19" si="3">IF(F14="フラグ","boolean",IF(F14="文字列","text",IF(F14="整数","integer",IF(F14="実数","numeric",""))))</f>
        <v>text</v>
      </c>
      <c r="H14" s="58"/>
      <c r="I14" s="23" t="s">
        <v>127</v>
      </c>
      <c r="J14" s="24"/>
      <c r="M14" s="4"/>
      <c r="N14" s="97"/>
      <c r="O14" s="97"/>
      <c r="P14" s="97" t="str">
        <f>IF(B14&lt;&gt;1,","&amp;D14,D14)</f>
        <v>,facility_id</v>
      </c>
      <c r="Q14" s="97" t="str">
        <f t="shared" si="0"/>
        <v>TEXT</v>
      </c>
      <c r="R14" s="97" t="str">
        <f t="shared" si="1"/>
        <v/>
      </c>
      <c r="S14" s="97" t="str">
        <f>IF(I14="○","NOT NULL","")</f>
        <v>NOT NULL</v>
      </c>
      <c r="T14" s="97" t="str">
        <f>"-- "&amp;C14</f>
        <v>-- 施設ID</v>
      </c>
      <c r="U14" s="4"/>
      <c r="AA14" s="4"/>
      <c r="AB14" s="4"/>
      <c r="AC14" s="4"/>
      <c r="AD14" s="4"/>
      <c r="AE14" s="4"/>
      <c r="AF14" s="4"/>
      <c r="AG14" s="4"/>
      <c r="AH14" s="4"/>
      <c r="AI14" s="4"/>
      <c r="AJ14" s="97" t="str">
        <f>IF(E14="○",IF(COUNTA(E$13:E14)=1,"",",")&amp;D14,"")</f>
        <v/>
      </c>
      <c r="AK14" s="4"/>
      <c r="AL14" s="4"/>
      <c r="AM14" s="4"/>
      <c r="AN14" s="4"/>
      <c r="AO14" s="4"/>
      <c r="AP14" s="4"/>
      <c r="AQ14" s="4"/>
      <c r="AR14" s="4"/>
      <c r="AS14" s="97" t="str">
        <f>"COMMENT ON COLUMN "&amp;エンティティ一覧!$O$2&amp;"."&amp;D$8&amp;"."&amp;D14&amp;" IS '"&amp;C14&amp;"';"</f>
        <v>COMMENT ON COLUMN milscm_2023_010.azn_202310_mt_shisetsu.facility_id IS '施設ID';</v>
      </c>
    </row>
    <row r="15" spans="1:45" s="25" customFormat="1">
      <c r="A15" s="4"/>
      <c r="B15" s="21">
        <f t="shared" si="2"/>
        <v>3</v>
      </c>
      <c r="C15" s="6" t="s">
        <v>2400</v>
      </c>
      <c r="D15" s="6" t="s">
        <v>4018</v>
      </c>
      <c r="E15" s="8"/>
      <c r="F15" s="7" t="s">
        <v>316</v>
      </c>
      <c r="G15" s="7" t="str">
        <f t="shared" ref="G15:G17" si="4">IF(F15="フラグ","boolean",IF(F15="文字列","text",IF(F15="整数","integer",IF(F15="実数","numeric",""))))</f>
        <v>text</v>
      </c>
      <c r="H15" s="58"/>
      <c r="I15" s="23"/>
      <c r="J15" s="24"/>
      <c r="M15" s="4"/>
      <c r="N15" s="97"/>
      <c r="O15" s="97"/>
      <c r="P15" s="97" t="str">
        <f t="shared" ref="P15:P17" si="5">IF(B15&lt;&gt;1,","&amp;D15,D15)</f>
        <v>,facility_id_mml</v>
      </c>
      <c r="Q15" s="97" t="str">
        <f t="shared" ref="Q15:Q17" si="6">UPPER(G15)</f>
        <v>TEXT</v>
      </c>
      <c r="R15" s="97" t="str">
        <f t="shared" ref="R15:R17" si="7">IF(H15&lt;&gt;"","default "&amp;IF(G15="text","'"&amp;H15&amp;"'",H15),"")</f>
        <v/>
      </c>
      <c r="S15" s="97" t="str">
        <f t="shared" ref="S15:S17" si="8">IF(I15="○","NOT NULL","")</f>
        <v/>
      </c>
      <c r="T15" s="97" t="str">
        <f t="shared" ref="T15:T17" si="9">"-- "&amp;C15</f>
        <v>-- 施設ID（MML）</v>
      </c>
      <c r="U15" s="4"/>
      <c r="AA15" s="4"/>
      <c r="AB15" s="4"/>
      <c r="AC15" s="4"/>
      <c r="AD15" s="4"/>
      <c r="AE15" s="4"/>
      <c r="AF15" s="4"/>
      <c r="AG15" s="4"/>
      <c r="AH15" s="4"/>
      <c r="AI15" s="4"/>
      <c r="AJ15" s="97" t="str">
        <f>IF(E15="○",IF(COUNTA(E$13:E15)=1,"",",")&amp;D15,"")</f>
        <v/>
      </c>
      <c r="AK15" s="4"/>
      <c r="AL15" s="4"/>
      <c r="AM15" s="4"/>
      <c r="AN15" s="4"/>
      <c r="AO15" s="4"/>
      <c r="AP15" s="4"/>
      <c r="AQ15" s="4"/>
      <c r="AR15" s="4"/>
      <c r="AS15" s="97" t="str">
        <f>"COMMENT ON COLUMN "&amp;エンティティ一覧!$O$2&amp;"."&amp;D$8&amp;"."&amp;D15&amp;" IS '"&amp;C15&amp;"';"</f>
        <v>COMMENT ON COLUMN milscm_2023_010.azn_202310_mt_shisetsu.facility_id_mml IS '施設ID（MML）';</v>
      </c>
    </row>
    <row r="16" spans="1:45" s="25" customFormat="1">
      <c r="A16" s="4"/>
      <c r="B16" s="21">
        <f t="shared" si="2"/>
        <v>4</v>
      </c>
      <c r="C16" s="6" t="s">
        <v>2491</v>
      </c>
      <c r="D16" s="6" t="s">
        <v>4024</v>
      </c>
      <c r="E16" s="8"/>
      <c r="F16" s="7" t="s">
        <v>316</v>
      </c>
      <c r="G16" s="7" t="str">
        <f t="shared" si="4"/>
        <v>text</v>
      </c>
      <c r="H16" s="58"/>
      <c r="I16" s="23" t="s">
        <v>127</v>
      </c>
      <c r="J16" s="24"/>
      <c r="M16" s="4"/>
      <c r="N16" s="97"/>
      <c r="O16" s="97"/>
      <c r="P16" s="97" t="str">
        <f t="shared" si="5"/>
        <v>,facility_name</v>
      </c>
      <c r="Q16" s="97" t="str">
        <f t="shared" si="6"/>
        <v>TEXT</v>
      </c>
      <c r="R16" s="97" t="str">
        <f t="shared" si="7"/>
        <v/>
      </c>
      <c r="S16" s="97" t="str">
        <f t="shared" si="8"/>
        <v>NOT NULL</v>
      </c>
      <c r="T16" s="97" t="str">
        <f t="shared" si="9"/>
        <v>-- 施設名</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"&amp;エンティティ一覧!$O$2&amp;"."&amp;D$8&amp;"."&amp;D16&amp;" IS '"&amp;C16&amp;"';"</f>
        <v>COMMENT ON COLUMN milscm_2023_010.azn_202310_mt_shisetsu.facility_name IS '施設名';</v>
      </c>
    </row>
    <row r="17" spans="1:52" s="25" customFormat="1">
      <c r="A17" s="4"/>
      <c r="B17" s="21">
        <f t="shared" si="2"/>
        <v>5</v>
      </c>
      <c r="C17" s="6" t="s">
        <v>4021</v>
      </c>
      <c r="D17" s="6" t="s">
        <v>4025</v>
      </c>
      <c r="E17" s="8"/>
      <c r="F17" s="7" t="s">
        <v>316</v>
      </c>
      <c r="G17" s="7" t="str">
        <f t="shared" si="4"/>
        <v>text</v>
      </c>
      <c r="H17" s="58"/>
      <c r="I17" s="23"/>
      <c r="J17" s="24"/>
      <c r="M17" s="4"/>
      <c r="N17" s="97"/>
      <c r="O17" s="97"/>
      <c r="P17" s="97" t="str">
        <f t="shared" si="5"/>
        <v>,facility_contract_start</v>
      </c>
      <c r="Q17" s="97" t="str">
        <f t="shared" si="6"/>
        <v>TEXT</v>
      </c>
      <c r="R17" s="97" t="str">
        <f t="shared" si="7"/>
        <v/>
      </c>
      <c r="S17" s="97" t="str">
        <f t="shared" si="8"/>
        <v/>
      </c>
      <c r="T17" s="97" t="str">
        <f t="shared" si="9"/>
        <v>-- 施設データ提供開始日</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milscm_2023_010.azn_202310_mt_shisetsu.facility_contract_start IS '施設データ提供開始日';</v>
      </c>
    </row>
    <row r="18" spans="1:52" s="25" customFormat="1">
      <c r="A18" s="4"/>
      <c r="B18" s="21">
        <f t="shared" si="2"/>
        <v>6</v>
      </c>
      <c r="C18" s="6" t="s">
        <v>4022</v>
      </c>
      <c r="D18" s="6" t="s">
        <v>4026</v>
      </c>
      <c r="E18" s="8"/>
      <c r="F18" s="7" t="s">
        <v>316</v>
      </c>
      <c r="G18" s="7" t="str">
        <f t="shared" si="3"/>
        <v>text</v>
      </c>
      <c r="H18" s="58"/>
      <c r="I18" s="23"/>
      <c r="J18" s="24"/>
      <c r="M18" s="4"/>
      <c r="N18" s="97"/>
      <c r="O18" s="97"/>
      <c r="P18" s="97" t="str">
        <f t="shared" ref="P18:P19" si="10">IF(B18&lt;&gt;1,","&amp;D18,D18)</f>
        <v>,facility_contract_end</v>
      </c>
      <c r="Q18" s="97" t="str">
        <f t="shared" si="0"/>
        <v>TEXT</v>
      </c>
      <c r="R18" s="97" t="str">
        <f t="shared" si="1"/>
        <v/>
      </c>
      <c r="S18" s="97" t="str">
        <f>IF(I18="○","NOT NULL","")</f>
        <v/>
      </c>
      <c r="T18" s="97" t="str">
        <f>"-- "&amp;C18</f>
        <v>-- 施設データ提供終了日</v>
      </c>
      <c r="U18" s="4"/>
      <c r="AA18" s="4"/>
      <c r="AB18" s="4"/>
      <c r="AC18" s="4"/>
      <c r="AD18" s="4"/>
      <c r="AE18" s="4"/>
      <c r="AF18" s="4"/>
      <c r="AG18" s="4"/>
      <c r="AH18" s="4"/>
      <c r="AI18" s="4"/>
      <c r="AJ18" s="97" t="str">
        <f>IF(E18="○",IF(COUNTA(E$13:E18)=1,"",",")&amp;D18,"")</f>
        <v/>
      </c>
      <c r="AK18" s="4"/>
      <c r="AL18" s="4"/>
      <c r="AM18" s="4"/>
      <c r="AN18" s="4"/>
      <c r="AO18" s="4"/>
      <c r="AP18" s="4"/>
      <c r="AQ18" s="4"/>
      <c r="AR18" s="4"/>
      <c r="AS18" s="97" t="str">
        <f>"COMMENT ON COLUMN "&amp;エンティティ一覧!$O$2&amp;"."&amp;D$8&amp;"."&amp;D18&amp;" IS '"&amp;C18&amp;"';"</f>
        <v>COMMENT ON COLUMN milscm_2023_010.azn_202310_mt_shisetsu.facility_contract_end IS '施設データ提供終了日';</v>
      </c>
    </row>
    <row r="19" spans="1:52" s="25" customFormat="1" ht="19.5" thickBot="1">
      <c r="A19" s="4"/>
      <c r="B19" s="69">
        <f t="shared" si="2"/>
        <v>7</v>
      </c>
      <c r="C19" s="70" t="s">
        <v>3798</v>
      </c>
      <c r="D19" s="70" t="s">
        <v>4027</v>
      </c>
      <c r="E19" s="73"/>
      <c r="F19" s="71" t="s">
        <v>3270</v>
      </c>
      <c r="G19" s="71" t="str">
        <f t="shared" si="3"/>
        <v>integer</v>
      </c>
      <c r="H19" s="72"/>
      <c r="I19" s="73"/>
      <c r="J19" s="74"/>
      <c r="M19" s="4"/>
      <c r="N19" s="97"/>
      <c r="O19" s="97"/>
      <c r="P19" s="97" t="str">
        <f t="shared" si="10"/>
        <v>,size</v>
      </c>
      <c r="Q19" s="97" t="str">
        <f t="shared" si="0"/>
        <v>INTEGER</v>
      </c>
      <c r="R19" s="97" t="str">
        <f t="shared" si="1"/>
        <v/>
      </c>
      <c r="S19" s="97" t="str">
        <f>IF(I19="○","NOT NULL","")</f>
        <v/>
      </c>
      <c r="T19" s="97" t="str">
        <f>"-- "&amp;C19</f>
        <v>-- 施設規模</v>
      </c>
      <c r="U19" s="4"/>
      <c r="AA19" s="4"/>
      <c r="AB19" s="4"/>
      <c r="AC19" s="4"/>
      <c r="AD19" s="4"/>
      <c r="AE19" s="4"/>
      <c r="AF19" s="4"/>
      <c r="AG19" s="4"/>
      <c r="AH19" s="4"/>
      <c r="AI19" s="4"/>
      <c r="AJ19" s="97" t="str">
        <f>IF(E19="○",IF(COUNTA(E$13:E19)=1,"",",")&amp;D19,"")</f>
        <v/>
      </c>
      <c r="AK19" s="4"/>
      <c r="AL19" s="4"/>
      <c r="AM19" s="4"/>
      <c r="AN19" s="4"/>
      <c r="AO19" s="4"/>
      <c r="AP19" s="4"/>
      <c r="AQ19" s="4"/>
      <c r="AR19" s="4"/>
      <c r="AS19" s="97" t="str">
        <f>"COMMENT ON COLUMN "&amp;エンティティ一覧!$O$2&amp;"."&amp;D$8&amp;"."&amp;D19&amp;" IS '"&amp;C19&amp;"';"</f>
        <v>COMMENT ON COLUMN milscm_2023_010.azn_202310_mt_shisetsu.size IS '施設規模';</v>
      </c>
    </row>
    <row r="20" spans="1:52">
      <c r="L20" s="25"/>
      <c r="N20" s="97" t="s">
        <v>142</v>
      </c>
      <c r="O20" s="97"/>
      <c r="P20" s="97"/>
      <c r="Q20" s="97"/>
      <c r="R20" s="97"/>
      <c r="S20" s="97"/>
      <c r="T20" s="97"/>
      <c r="V20" s="25"/>
      <c r="W20" s="25"/>
      <c r="X20" s="25"/>
      <c r="Y20" s="25"/>
      <c r="Z20" s="25"/>
      <c r="AJ20" s="97"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V50" s="25"/>
      <c r="AW50" s="25"/>
      <c r="AX50" s="25"/>
      <c r="AY50" s="25"/>
      <c r="AZ50" s="25"/>
    </row>
    <row r="51" spans="12:52">
      <c r="M51" s="25"/>
    </row>
    <row r="52" spans="12:52">
      <c r="M52" s="25"/>
    </row>
    <row r="53" spans="12:52">
      <c r="M53" s="25"/>
    </row>
    <row r="54" spans="12:52">
      <c r="M54" s="25"/>
    </row>
    <row r="55" spans="12:52">
      <c r="M55" s="25"/>
    </row>
    <row r="56" spans="12:52">
      <c r="M5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21</v>
      </c>
      <c r="E4" s="248"/>
      <c r="F4" s="248"/>
      <c r="G4" s="248"/>
      <c r="H4" s="248"/>
      <c r="I4" s="248"/>
      <c r="J4" s="249"/>
    </row>
    <row r="5" spans="1:45">
      <c r="B5" s="261" t="s">
        <v>3704</v>
      </c>
      <c r="C5" s="262"/>
      <c r="D5" s="271" t="str">
        <f>VLOOKUP(D7,エンティティ一覧!A1:'エンティティ一覧'!AM10203,7,FALSE)</f>
        <v>mt</v>
      </c>
      <c r="E5" s="272"/>
      <c r="F5" s="272"/>
      <c r="G5" s="272"/>
      <c r="H5" s="272"/>
      <c r="I5" s="272"/>
      <c r="J5" s="273"/>
    </row>
    <row r="6" spans="1:45">
      <c r="B6" s="261" t="s">
        <v>3705</v>
      </c>
      <c r="C6" s="262"/>
      <c r="D6" s="271" t="str">
        <f>VLOOKUP(D7,エンティティ一覧!A1:'エンティティ一覧'!AM10203,15,FALSE)</f>
        <v>ENT_21_03</v>
      </c>
      <c r="E6" s="272"/>
      <c r="F6" s="272"/>
      <c r="G6" s="272"/>
      <c r="H6" s="272"/>
      <c r="I6" s="272"/>
      <c r="J6" s="273"/>
    </row>
    <row r="7" spans="1:45">
      <c r="B7" s="261" t="s">
        <v>115</v>
      </c>
      <c r="C7" s="262"/>
      <c r="D7" s="263" t="s">
        <v>305</v>
      </c>
      <c r="E7" s="264"/>
      <c r="F7" s="264"/>
      <c r="G7" s="264"/>
      <c r="H7" s="264"/>
      <c r="I7" s="264"/>
      <c r="J7" s="265"/>
    </row>
    <row r="8" spans="1:45">
      <c r="B8" s="261" t="s">
        <v>116</v>
      </c>
      <c r="C8" s="262"/>
      <c r="D8" s="263" t="str">
        <f>エンティティ一覧!AE2&amp;"_"&amp;D5&amp;"_kanja"</f>
        <v>azn_202310_mt_kanja</v>
      </c>
      <c r="E8" s="264"/>
      <c r="F8" s="264"/>
      <c r="G8" s="264"/>
      <c r="H8" s="264"/>
      <c r="I8" s="264"/>
      <c r="J8" s="265"/>
    </row>
    <row r="9" spans="1:45" ht="19.5" customHeight="1" thickBot="1">
      <c r="B9" s="266" t="s">
        <v>117</v>
      </c>
      <c r="C9" s="267"/>
      <c r="D9" s="268" t="s">
        <v>4033</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milscm_2023_010.azn_202310_mt_kanja;</v>
      </c>
      <c r="O10" s="76"/>
      <c r="P10" s="76"/>
      <c r="Q10" s="76"/>
      <c r="R10" s="76"/>
      <c r="S10" s="76"/>
      <c r="T10" s="76"/>
      <c r="AJ10" s="76" t="str">
        <f>"ALTER TABLE ONLY "&amp;エンティティ一覧!$O$2&amp;"."&amp;D$8</f>
        <v>ALTER TABLE ONLY milscm_2023_010.azn_202310_mt_kanja</v>
      </c>
      <c r="AS10" s="76" t="str">
        <f>"ALTER TABLE "&amp;エンティティ一覧!$O$2&amp;"."&amp;D$8&amp;" OWNER TO pgmisgrp1;"</f>
        <v>ALTER TABLE milscm_2023_010.azn_202310_mt_kanja OWNER TO pgmisgrp1;</v>
      </c>
    </row>
    <row r="11" spans="1:45" ht="19.5" thickBot="1">
      <c r="B11" s="20" t="s">
        <v>118</v>
      </c>
      <c r="C11" s="19"/>
      <c r="D11" s="5"/>
      <c r="E11" s="5"/>
      <c r="F11" s="5"/>
      <c r="G11" s="5"/>
      <c r="H11" s="5"/>
      <c r="I11" s="5"/>
      <c r="J11" s="18"/>
      <c r="N11" s="76" t="str">
        <f>"CREATE TABLE  "&amp;エンティティ一覧!$O$2&amp;"."&amp;D$8</f>
        <v>CREATE TABLE  milscm_2023_010.azn_202310_mt_kanja</v>
      </c>
      <c r="O11" s="76"/>
      <c r="P11" s="76"/>
      <c r="Q11" s="76"/>
      <c r="R11" s="76"/>
      <c r="S11" s="76"/>
      <c r="T11" s="76"/>
      <c r="AJ11" s="76" t="str">
        <f>"ADD CONSTRAINT "&amp;D$8&amp;"_pkey PRIMARY KEY"</f>
        <v>ADD CONSTRAINT azn_202310_mt_kanja_pkey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milscm_2023_010.azn_202310_mt_kanja IS '患者マスタ';</v>
      </c>
    </row>
    <row r="13" spans="1:45" s="25" customFormat="1" ht="37.5">
      <c r="A13" s="4"/>
      <c r="B13" s="21">
        <f>ROW()-12</f>
        <v>1</v>
      </c>
      <c r="C13" s="13" t="s">
        <v>4014</v>
      </c>
      <c r="D13" s="13" t="s">
        <v>4016</v>
      </c>
      <c r="E13" s="7" t="s">
        <v>127</v>
      </c>
      <c r="F13" s="7" t="s">
        <v>316</v>
      </c>
      <c r="G13" s="7" t="str">
        <f>IF(F13="フラグ","boolean",IF(F13="文字列","text",IF(F13="整数","integer",IF(F13="実数","numeric",""))))</f>
        <v>text</v>
      </c>
      <c r="H13" s="9"/>
      <c r="I13" s="10" t="s">
        <v>127</v>
      </c>
      <c r="J13" s="24" t="s">
        <v>4067</v>
      </c>
      <c r="M13" s="4"/>
      <c r="N13" s="76"/>
      <c r="O13" s="76"/>
      <c r="P13" s="76" t="str">
        <f>IF(B13&lt;&gt;1,","&amp;D13,D13)</f>
        <v>mask_id</v>
      </c>
      <c r="Q13" s="76" t="str">
        <f t="shared" ref="Q13:Q16" si="0">UPPER(G13)</f>
        <v>TEXT</v>
      </c>
      <c r="R13" s="76" t="str">
        <f t="shared" ref="R13:R16"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milscm_2023_010.azn_202310_mt_kanja.mask_id IS 'マスクID';</v>
      </c>
    </row>
    <row r="14" spans="1:45" s="25" customFormat="1">
      <c r="A14" s="4"/>
      <c r="B14" s="21">
        <f t="shared" ref="B14:B16" si="2">ROW()-12</f>
        <v>2</v>
      </c>
      <c r="C14" s="6" t="s">
        <v>137</v>
      </c>
      <c r="D14" s="6" t="s">
        <v>4017</v>
      </c>
      <c r="E14" s="8"/>
      <c r="F14" s="7" t="s">
        <v>316</v>
      </c>
      <c r="G14" s="7" t="str">
        <f t="shared" ref="G14" si="3">IF(F14="フラグ","boolean",IF(F14="文字列","text",IF(F14="整数","integer",IF(F14="実数","numeric",""))))</f>
        <v>text</v>
      </c>
      <c r="H14" s="58"/>
      <c r="I14" s="23" t="s">
        <v>127</v>
      </c>
      <c r="J14" s="24"/>
      <c r="M14" s="4"/>
      <c r="N14" s="97"/>
      <c r="O14" s="97"/>
      <c r="P14" s="97" t="str">
        <f>IF(B14&lt;&gt;1,","&amp;D14,D14)</f>
        <v>,facility_id</v>
      </c>
      <c r="Q14" s="97" t="str">
        <f t="shared" ref="Q14" si="4">UPPER(G14)</f>
        <v>TEXT</v>
      </c>
      <c r="R14" s="97" t="str">
        <f t="shared" ref="R14" si="5">IF(H14&lt;&gt;"","default "&amp;IF(G14="text","'"&amp;H14&amp;"'",H14),"")</f>
        <v/>
      </c>
      <c r="S14" s="97" t="str">
        <f>IF(I14="○","NOT NULL","")</f>
        <v>NOT NULL</v>
      </c>
      <c r="T14" s="97" t="str">
        <f>"-- "&amp;C14</f>
        <v>-- 施設ID</v>
      </c>
      <c r="U14" s="4"/>
      <c r="AA14" s="4"/>
      <c r="AB14" s="4"/>
      <c r="AC14" s="4"/>
      <c r="AD14" s="4"/>
      <c r="AE14" s="4"/>
      <c r="AF14" s="4"/>
      <c r="AG14" s="4"/>
      <c r="AH14" s="4"/>
      <c r="AI14" s="4"/>
      <c r="AJ14" s="97" t="str">
        <f>IF(E14="○",IF(COUNTA(E$13:E14)=1,"",",")&amp;D14,"")</f>
        <v/>
      </c>
      <c r="AK14" s="4"/>
      <c r="AL14" s="4"/>
      <c r="AM14" s="4"/>
      <c r="AN14" s="4"/>
      <c r="AO14" s="4"/>
      <c r="AP14" s="4"/>
      <c r="AQ14" s="4"/>
      <c r="AR14" s="4"/>
      <c r="AS14" s="97" t="str">
        <f>"COMMENT ON COLUMN "&amp;エンティティ一覧!$O$2&amp;"."&amp;D$8&amp;"."&amp;D14&amp;" IS '"&amp;C14&amp;"';"</f>
        <v>COMMENT ON COLUMN milscm_2023_010.azn_202310_mt_kanja.facility_id IS '施設ID';</v>
      </c>
    </row>
    <row r="15" spans="1:45" s="25" customFormat="1">
      <c r="A15" s="4"/>
      <c r="B15" s="21">
        <f t="shared" si="2"/>
        <v>3</v>
      </c>
      <c r="C15" s="6" t="s">
        <v>2400</v>
      </c>
      <c r="D15" s="6" t="s">
        <v>4018</v>
      </c>
      <c r="E15" s="8"/>
      <c r="F15" s="7" t="s">
        <v>316</v>
      </c>
      <c r="G15" s="7" t="str">
        <f t="shared" ref="G15" si="6">IF(F15="フラグ","boolean",IF(F15="文字列","text",IF(F15="整数","integer",IF(F15="実数","numeric",""))))</f>
        <v>text</v>
      </c>
      <c r="H15" s="58"/>
      <c r="I15" s="23"/>
      <c r="J15" s="24"/>
      <c r="M15" s="4"/>
      <c r="N15" s="76"/>
      <c r="O15" s="76"/>
      <c r="P15" s="76" t="str">
        <f t="shared" ref="P15:P16" si="7">IF(B15&lt;&gt;1,","&amp;D15,D15)</f>
        <v>,facility_id_mml</v>
      </c>
      <c r="Q15" s="76" t="str">
        <f t="shared" si="0"/>
        <v>TEXT</v>
      </c>
      <c r="R15" s="76" t="str">
        <f t="shared" si="1"/>
        <v/>
      </c>
      <c r="S15" s="76" t="str">
        <f>IF(I15="○","NOT NULL","")</f>
        <v/>
      </c>
      <c r="T15" s="76" t="str">
        <f>"-- "&amp;C15</f>
        <v>-- 施設ID（MML）</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milscm_2023_010.azn_202310_mt_kanja.facility_id_mml IS '施設ID（MML）';</v>
      </c>
    </row>
    <row r="16" spans="1:45" s="25" customFormat="1" ht="19.5" thickBot="1">
      <c r="A16" s="4"/>
      <c r="B16" s="69">
        <f t="shared" si="2"/>
        <v>4</v>
      </c>
      <c r="C16" s="70" t="s">
        <v>4015</v>
      </c>
      <c r="D16" s="70" t="s">
        <v>4019</v>
      </c>
      <c r="E16" s="73"/>
      <c r="F16" s="71" t="s">
        <v>316</v>
      </c>
      <c r="G16" s="71" t="str">
        <f t="shared" ref="G16" si="8">IF(F16="フラグ","boolean",IF(F16="文字列","text",IF(F16="整数","integer",IF(F16="実数","numeric",""))))</f>
        <v>text</v>
      </c>
      <c r="H16" s="72"/>
      <c r="I16" s="73" t="s">
        <v>127</v>
      </c>
      <c r="J16" s="74"/>
      <c r="M16" s="4"/>
      <c r="N16" s="76"/>
      <c r="O16" s="76"/>
      <c r="P16" s="76" t="str">
        <f t="shared" si="7"/>
        <v>,himoduke_id</v>
      </c>
      <c r="Q16" s="76" t="str">
        <f t="shared" si="0"/>
        <v>TEXT</v>
      </c>
      <c r="R16" s="76" t="str">
        <f t="shared" si="1"/>
        <v/>
      </c>
      <c r="S16" s="76" t="str">
        <f>IF(I16="○","NOT NULL","")</f>
        <v>NOT NULL</v>
      </c>
      <c r="T16" s="76" t="str">
        <f>"-- "&amp;C16</f>
        <v>-- 紐付けID</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milscm_2023_010.azn_202310_mt_kanja.himoduke_id IS '紐付けID';</v>
      </c>
    </row>
    <row r="17" spans="12:52">
      <c r="L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21</v>
      </c>
      <c r="E4" s="248"/>
      <c r="F4" s="248"/>
      <c r="G4" s="248"/>
      <c r="H4" s="248"/>
      <c r="I4" s="248"/>
      <c r="J4" s="249"/>
    </row>
    <row r="5" spans="1:45">
      <c r="B5" s="261" t="s">
        <v>3704</v>
      </c>
      <c r="C5" s="262"/>
      <c r="D5" s="271" t="str">
        <f>VLOOKUP(D7,エンティティ一覧!A1:'エンティティ一覧'!AM10203,7,FALSE)</f>
        <v>mt</v>
      </c>
      <c r="E5" s="272"/>
      <c r="F5" s="272"/>
      <c r="G5" s="272"/>
      <c r="H5" s="272"/>
      <c r="I5" s="272"/>
      <c r="J5" s="273"/>
    </row>
    <row r="6" spans="1:45">
      <c r="B6" s="261" t="s">
        <v>3705</v>
      </c>
      <c r="C6" s="262"/>
      <c r="D6" s="271" t="str">
        <f>VLOOKUP(D7,エンティティ一覧!A1:'エンティティ一覧'!AM10203,15,FALSE)</f>
        <v>ENT_21_04</v>
      </c>
      <c r="E6" s="272"/>
      <c r="F6" s="272"/>
      <c r="G6" s="272"/>
      <c r="H6" s="272"/>
      <c r="I6" s="272"/>
      <c r="J6" s="273"/>
    </row>
    <row r="7" spans="1:45">
      <c r="B7" s="261" t="s">
        <v>115</v>
      </c>
      <c r="C7" s="262"/>
      <c r="D7" s="263" t="s">
        <v>306</v>
      </c>
      <c r="E7" s="264"/>
      <c r="F7" s="264"/>
      <c r="G7" s="264"/>
      <c r="H7" s="264"/>
      <c r="I7" s="264"/>
      <c r="J7" s="265"/>
    </row>
    <row r="8" spans="1:45">
      <c r="B8" s="261" t="s">
        <v>116</v>
      </c>
      <c r="C8" s="262"/>
      <c r="D8" s="263" t="str">
        <f>エンティティ一覧!AE2&amp;"_"&amp;D5&amp;"_shikkan"</f>
        <v>azn_202310_mt_shikkan</v>
      </c>
      <c r="E8" s="264"/>
      <c r="F8" s="264"/>
      <c r="G8" s="264"/>
      <c r="H8" s="264"/>
      <c r="I8" s="264"/>
      <c r="J8" s="265"/>
    </row>
    <row r="9" spans="1:45" ht="19.5" customHeight="1" thickBot="1">
      <c r="B9" s="266" t="s">
        <v>117</v>
      </c>
      <c r="C9" s="267"/>
      <c r="D9" s="268" t="str">
        <f>D7&amp;"情報を格納するテーブル"</f>
        <v>疾患マスタ情報を格納するテーブル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milscm_2023_010.azn_202310_mt_shikkan;</v>
      </c>
      <c r="O10" s="76"/>
      <c r="P10" s="76"/>
      <c r="Q10" s="76"/>
      <c r="R10" s="76"/>
      <c r="S10" s="76"/>
      <c r="T10" s="76"/>
      <c r="AJ10" s="76" t="str">
        <f>"ALTER TABLE ONLY "&amp;エンティティ一覧!$O$2&amp;"."&amp;D$8</f>
        <v>ALTER TABLE ONLY milscm_2023_010.azn_202310_mt_shikkan</v>
      </c>
      <c r="AS10" s="76" t="str">
        <f>"ALTER TABLE "&amp;エンティティ一覧!$O$2&amp;"."&amp;D$8&amp;" OWNER TO pgmisgrp1;"</f>
        <v>ALTER TABLE milscm_2023_010.azn_202310_mt_shikkan OWNER TO pgmisgrp1;</v>
      </c>
    </row>
    <row r="11" spans="1:45" ht="19.5" thickBot="1">
      <c r="B11" s="20" t="s">
        <v>118</v>
      </c>
      <c r="C11" s="19"/>
      <c r="D11" s="5"/>
      <c r="E11" s="5"/>
      <c r="F11" s="5"/>
      <c r="G11" s="5"/>
      <c r="H11" s="5"/>
      <c r="I11" s="5"/>
      <c r="J11" s="18"/>
      <c r="N11" s="76" t="str">
        <f>"CREATE TABLE  "&amp;エンティティ一覧!$O$2&amp;"."&amp;D$8</f>
        <v>CREATE TABLE  milscm_2023_010.azn_202310_mt_shikkan</v>
      </c>
      <c r="O11" s="76"/>
      <c r="P11" s="76"/>
      <c r="Q11" s="76"/>
      <c r="R11" s="76"/>
      <c r="S11" s="76"/>
      <c r="T11" s="76"/>
      <c r="AJ11" s="76" t="str">
        <f>"ADD CONSTRAINT "&amp;D$8&amp;"_pkey PRIMARY KEY"</f>
        <v>ADD CONSTRAINT azn_202310_mt_shikkan_pkey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milscm_2023_010.azn_202310_mt_shikkan IS '疾患マスタ';</v>
      </c>
    </row>
    <row r="13" spans="1:45" s="25" customFormat="1">
      <c r="A13" s="4"/>
      <c r="B13" s="21">
        <f>ROW()-12</f>
        <v>1</v>
      </c>
      <c r="C13" s="6" t="s">
        <v>663</v>
      </c>
      <c r="D13" s="6" t="s">
        <v>895</v>
      </c>
      <c r="E13" s="8" t="s">
        <v>4013</v>
      </c>
      <c r="F13" s="7" t="s">
        <v>735</v>
      </c>
      <c r="G13" s="7" t="str">
        <f>IF(F13="フラグ","boolean",IF(F13="文字列","text",IF(F13="整数","integer",IF(F13="実数","numeric",""))))</f>
        <v>text</v>
      </c>
      <c r="H13" s="66"/>
      <c r="I13" s="8" t="s">
        <v>4013</v>
      </c>
      <c r="J13" s="11"/>
      <c r="M13" s="4"/>
      <c r="N13" s="76"/>
      <c r="O13" s="76"/>
      <c r="P13" s="76" t="str">
        <f>IF(B13&lt;&gt;1,","&amp;D13,D13)</f>
        <v>shobyo_name_cd</v>
      </c>
      <c r="Q13" s="76" t="str">
        <f t="shared" ref="Q13:Q20" si="0">UPPER(G13)</f>
        <v>TEXT</v>
      </c>
      <c r="R13" s="76" t="str">
        <f t="shared" ref="R13:R20" si="1">IF(H13&lt;&gt;"","default "&amp;IF(G13="text","'"&amp;H13&amp;"'",H13),"")</f>
        <v/>
      </c>
      <c r="S13" s="76" t="str">
        <f>IF(I13="○","NOT NULL","")</f>
        <v>NOT NULL</v>
      </c>
      <c r="T13" s="76" t="str">
        <f>"-- "&amp;C13</f>
        <v>-- 傷病名コード</v>
      </c>
      <c r="U13" s="4"/>
      <c r="AA13" s="4"/>
      <c r="AB13" s="4"/>
      <c r="AC13" s="4"/>
      <c r="AD13" s="4"/>
      <c r="AE13" s="4"/>
      <c r="AF13" s="4"/>
      <c r="AG13" s="4"/>
      <c r="AH13" s="4"/>
      <c r="AI13" s="4"/>
      <c r="AJ13" s="76" t="str">
        <f>IF(E13="○",IF(COUNTA(E$13:E13)=1,"",",")&amp;D13,"")</f>
        <v>shobyo_name_cd</v>
      </c>
      <c r="AK13" s="4"/>
      <c r="AL13" s="4"/>
      <c r="AM13" s="4"/>
      <c r="AN13" s="4"/>
      <c r="AO13" s="4"/>
      <c r="AP13" s="4"/>
      <c r="AQ13" s="4"/>
      <c r="AR13" s="4"/>
      <c r="AS13" s="76" t="str">
        <f>"COMMENT ON COLUMN "&amp;エンティティ一覧!$O$2&amp;"."&amp;D$8&amp;"."&amp;D13&amp;" IS '"&amp;C13&amp;"';"</f>
        <v>COMMENT ON COLUMN milscm_2023_010.azn_202310_mt_shikkan.shobyo_name_cd IS '傷病名コード';</v>
      </c>
    </row>
    <row r="14" spans="1:45" s="25" customFormat="1">
      <c r="A14" s="4"/>
      <c r="B14" s="21">
        <f t="shared" ref="B14:B20" si="2">ROW()-12</f>
        <v>2</v>
      </c>
      <c r="C14" s="6" t="s">
        <v>3999</v>
      </c>
      <c r="D14" s="6" t="s">
        <v>4006</v>
      </c>
      <c r="E14" s="8"/>
      <c r="F14" s="7" t="s">
        <v>735</v>
      </c>
      <c r="G14" s="7" t="str">
        <f t="shared" ref="G14:G20" si="3">IF(F14="フラグ","boolean",IF(F14="文字列","text",IF(F14="整数","integer",IF(F14="実数","numeric",""))))</f>
        <v>text</v>
      </c>
      <c r="H14" s="66"/>
      <c r="I14" s="8" t="s">
        <v>127</v>
      </c>
      <c r="J14" s="11"/>
      <c r="M14" s="4"/>
      <c r="N14" s="76"/>
      <c r="O14" s="76"/>
      <c r="P14" s="76" t="str">
        <f t="shared" ref="P14:P20" si="4">IF(B14&lt;&gt;1,","&amp;D14,D14)</f>
        <v>,shobyo_name</v>
      </c>
      <c r="Q14" s="76" t="str">
        <f t="shared" si="0"/>
        <v>TEXT</v>
      </c>
      <c r="R14" s="76" t="str">
        <f t="shared" si="1"/>
        <v/>
      </c>
      <c r="S14" s="76" t="str">
        <f>IF(I14="○","NOT NULL","")</f>
        <v>NOT NULL</v>
      </c>
      <c r="T14" s="76" t="str">
        <f>"-- "&amp;C14</f>
        <v>-- 傷病名</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milscm_2023_010.azn_202310_mt_shikkan.shobyo_name IS '傷病名';</v>
      </c>
    </row>
    <row r="15" spans="1:45" s="25" customFormat="1">
      <c r="A15" s="4"/>
      <c r="B15" s="21">
        <f t="shared" si="2"/>
        <v>3</v>
      </c>
      <c r="C15" s="6" t="s">
        <v>4000</v>
      </c>
      <c r="D15" s="6" t="s">
        <v>4007</v>
      </c>
      <c r="E15" s="8"/>
      <c r="F15" s="7" t="s">
        <v>735</v>
      </c>
      <c r="G15" s="7" t="str">
        <f t="shared" si="3"/>
        <v>text</v>
      </c>
      <c r="H15" s="66"/>
      <c r="I15" s="8" t="s">
        <v>127</v>
      </c>
      <c r="J15" s="11"/>
      <c r="M15" s="4"/>
      <c r="N15" s="76"/>
      <c r="O15" s="76"/>
      <c r="P15" s="76" t="str">
        <f t="shared" si="4"/>
        <v>,disp_name</v>
      </c>
      <c r="Q15" s="76" t="str">
        <f t="shared" si="0"/>
        <v>TEXT</v>
      </c>
      <c r="R15" s="76" t="str">
        <f t="shared" si="1"/>
        <v/>
      </c>
      <c r="S15" s="76" t="str">
        <f>IF(I15="○","NOT NULL","")</f>
        <v>NOT NULL</v>
      </c>
      <c r="T15" s="76" t="str">
        <f>"-- "&amp;C15</f>
        <v>-- 表示名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milscm_2023_010.azn_202310_mt_shikkan.disp_name IS '表示名';</v>
      </c>
    </row>
    <row r="16" spans="1:45" s="25" customFormat="1">
      <c r="A16" s="4"/>
      <c r="B16" s="21">
        <f t="shared" si="2"/>
        <v>4</v>
      </c>
      <c r="C16" s="6" t="s">
        <v>4001</v>
      </c>
      <c r="D16" s="6" t="s">
        <v>4008</v>
      </c>
      <c r="E16" s="8"/>
      <c r="F16" s="7" t="s">
        <v>735</v>
      </c>
      <c r="G16" s="7" t="str">
        <f>IF(F16="フラグ","boolean",IF(F16="文字列","text",IF(F16="整数","integer",IF(F16="実数","numeric",""))))</f>
        <v>text</v>
      </c>
      <c r="H16" s="66"/>
      <c r="I16" s="8" t="s">
        <v>127</v>
      </c>
      <c r="J16" s="11"/>
      <c r="M16" s="4"/>
      <c r="N16" s="76"/>
      <c r="O16" s="76"/>
      <c r="P16" s="76" t="str">
        <f t="shared" si="4"/>
        <v>,icd10_s_cd</v>
      </c>
      <c r="Q16" s="76" t="str">
        <f t="shared" si="0"/>
        <v>TEXT</v>
      </c>
      <c r="R16" s="76" t="str">
        <f t="shared" si="1"/>
        <v/>
      </c>
      <c r="S16" s="76" t="str">
        <f t="shared" ref="S16:S20" si="5">IF(I16="○","NOT NULL","")</f>
        <v>NOT NULL</v>
      </c>
      <c r="T16" s="76" t="str">
        <f t="shared" ref="T16:T20" si="6">"-- "&amp;C16</f>
        <v>-- ICD10小区分</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milscm_2023_010.azn_202310_mt_shikkan.icd10_s_cd IS 'ICD10小区分';</v>
      </c>
    </row>
    <row r="17" spans="1:52" s="25" customFormat="1">
      <c r="A17" s="4"/>
      <c r="B17" s="21">
        <f t="shared" si="2"/>
        <v>5</v>
      </c>
      <c r="C17" s="6" t="s">
        <v>4002</v>
      </c>
      <c r="D17" s="6" t="s">
        <v>4009</v>
      </c>
      <c r="E17" s="8"/>
      <c r="F17" s="7" t="s">
        <v>735</v>
      </c>
      <c r="G17" s="7" t="str">
        <f t="shared" si="3"/>
        <v>text</v>
      </c>
      <c r="H17" s="66"/>
      <c r="I17" s="8" t="s">
        <v>127</v>
      </c>
      <c r="J17" s="11"/>
      <c r="N17" s="76"/>
      <c r="O17" s="76"/>
      <c r="P17" s="76" t="str">
        <f t="shared" si="4"/>
        <v>,icd10_s_name</v>
      </c>
      <c r="Q17" s="76" t="str">
        <f t="shared" si="0"/>
        <v>TEXT</v>
      </c>
      <c r="R17" s="76" t="str">
        <f t="shared" si="1"/>
        <v/>
      </c>
      <c r="S17" s="76" t="str">
        <f t="shared" si="5"/>
        <v>NOT NULL</v>
      </c>
      <c r="T17" s="76" t="str">
        <f t="shared" si="6"/>
        <v>-- ICD10小区分名称</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milscm_2023_010.azn_202310_mt_shikkan.icd10_s_name IS 'ICD10小区分名称';</v>
      </c>
    </row>
    <row r="18" spans="1:52" s="25" customFormat="1">
      <c r="A18" s="4"/>
      <c r="B18" s="21">
        <f t="shared" si="2"/>
        <v>6</v>
      </c>
      <c r="C18" s="6" t="s">
        <v>4003</v>
      </c>
      <c r="D18" s="6" t="s">
        <v>4010</v>
      </c>
      <c r="E18" s="8"/>
      <c r="F18" s="7" t="s">
        <v>735</v>
      </c>
      <c r="G18" s="7" t="str">
        <f>IF(F18="フラグ","boolean",IF(F18="文字列","text",IF(F18="整数","integer",IF(F18="実数","numeric",""))))</f>
        <v>text</v>
      </c>
      <c r="H18" s="66"/>
      <c r="I18" s="8" t="s">
        <v>127</v>
      </c>
      <c r="J18" s="11"/>
      <c r="N18" s="76"/>
      <c r="O18" s="76"/>
      <c r="P18" s="76" t="str">
        <f t="shared" si="4"/>
        <v>,icd10_ss_cd</v>
      </c>
      <c r="Q18" s="76" t="str">
        <f t="shared" si="0"/>
        <v>TEXT</v>
      </c>
      <c r="R18" s="76" t="str">
        <f t="shared" si="1"/>
        <v/>
      </c>
      <c r="S18" s="76" t="str">
        <f t="shared" si="5"/>
        <v>NOT NULL</v>
      </c>
      <c r="T18" s="76" t="str">
        <f t="shared" si="6"/>
        <v>-- ICD10細区分</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milscm_2023_010.azn_202310_mt_shikkan.icd10_ss_cd IS 'ICD10細区分';</v>
      </c>
    </row>
    <row r="19" spans="1:52" s="25" customFormat="1">
      <c r="A19" s="4"/>
      <c r="B19" s="21">
        <f t="shared" si="2"/>
        <v>7</v>
      </c>
      <c r="C19" s="6" t="s">
        <v>4004</v>
      </c>
      <c r="D19" s="6" t="s">
        <v>4011</v>
      </c>
      <c r="E19" s="8"/>
      <c r="F19" s="7" t="s">
        <v>735</v>
      </c>
      <c r="G19" s="7" t="str">
        <f t="shared" si="3"/>
        <v>text</v>
      </c>
      <c r="H19" s="66"/>
      <c r="I19" s="8" t="s">
        <v>127</v>
      </c>
      <c r="J19" s="11"/>
      <c r="N19" s="76"/>
      <c r="O19" s="76"/>
      <c r="P19" s="76" t="str">
        <f t="shared" si="4"/>
        <v>,icd10_ss_name</v>
      </c>
      <c r="Q19" s="76" t="str">
        <f t="shared" si="0"/>
        <v>TEXT</v>
      </c>
      <c r="R19" s="76" t="str">
        <f t="shared" si="1"/>
        <v/>
      </c>
      <c r="S19" s="76" t="str">
        <f t="shared" si="5"/>
        <v>NOT NULL</v>
      </c>
      <c r="T19" s="76" t="str">
        <f t="shared" si="6"/>
        <v>-- ICD10細区分名称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milscm_2023_010.azn_202310_mt_shikkan.icd10_ss_name IS 'ICD10細区分名称';</v>
      </c>
    </row>
    <row r="20" spans="1:52" s="25" customFormat="1" ht="19.5" thickBot="1">
      <c r="A20" s="4"/>
      <c r="B20" s="65">
        <f t="shared" si="2"/>
        <v>8</v>
      </c>
      <c r="C20" s="28" t="s">
        <v>4005</v>
      </c>
      <c r="D20" s="28" t="s">
        <v>4012</v>
      </c>
      <c r="E20" s="29"/>
      <c r="F20" s="56" t="s">
        <v>735</v>
      </c>
      <c r="G20" s="56" t="str">
        <f t="shared" si="3"/>
        <v>text</v>
      </c>
      <c r="H20" s="67"/>
      <c r="I20" s="29" t="s">
        <v>127</v>
      </c>
      <c r="J20" s="68" t="s">
        <v>4068</v>
      </c>
      <c r="N20" s="76"/>
      <c r="O20" s="76"/>
      <c r="P20" s="76" t="str">
        <f t="shared" si="4"/>
        <v>,main_f</v>
      </c>
      <c r="Q20" s="76" t="str">
        <f t="shared" si="0"/>
        <v>TEXT</v>
      </c>
      <c r="R20" s="76" t="str">
        <f t="shared" si="1"/>
        <v/>
      </c>
      <c r="S20" s="76" t="str">
        <f t="shared" si="5"/>
        <v>NOT NULL</v>
      </c>
      <c r="T20" s="76" t="str">
        <f t="shared" si="6"/>
        <v>-- 主傷病フラグ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milscm_2023_010.azn_202310_mt_shikkan.main_f IS '主傷病フラグ';</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50" t="s">
        <v>110</v>
      </c>
      <c r="C1" s="251"/>
      <c r="D1" s="254" t="s">
        <v>111</v>
      </c>
      <c r="E1" s="255"/>
      <c r="F1" s="255"/>
      <c r="G1" s="246"/>
      <c r="H1" s="254" t="s">
        <v>112</v>
      </c>
      <c r="I1" s="246"/>
      <c r="J1" s="15" t="s">
        <v>113</v>
      </c>
    </row>
    <row r="2" spans="1:52" ht="19.5" thickBot="1">
      <c r="B2" s="252"/>
      <c r="C2" s="253"/>
      <c r="D2" s="256" t="s">
        <v>114</v>
      </c>
      <c r="E2" s="257"/>
      <c r="F2" s="257"/>
      <c r="G2" s="258"/>
      <c r="H2" s="259"/>
      <c r="I2" s="260"/>
      <c r="J2" s="17"/>
    </row>
    <row r="3" spans="1:52" ht="19.5" thickBot="1">
      <c r="B3" s="5"/>
      <c r="C3" s="5"/>
      <c r="D3" s="5"/>
      <c r="E3" s="5"/>
      <c r="F3" s="5"/>
      <c r="G3" s="5"/>
      <c r="H3" s="5"/>
      <c r="I3" s="5"/>
      <c r="J3" s="18"/>
    </row>
    <row r="4" spans="1:52">
      <c r="B4" s="245" t="s">
        <v>3703</v>
      </c>
      <c r="C4" s="246"/>
      <c r="D4" s="247" t="str">
        <f>VLOOKUP(D7,エンティティ一覧!A1:'エンティティ一覧'!AM10203,2,FALSE)</f>
        <v>21</v>
      </c>
      <c r="E4" s="248"/>
      <c r="F4" s="248"/>
      <c r="G4" s="248"/>
      <c r="H4" s="248"/>
      <c r="I4" s="248"/>
      <c r="J4" s="249"/>
    </row>
    <row r="5" spans="1:52">
      <c r="B5" s="261" t="s">
        <v>3704</v>
      </c>
      <c r="C5" s="262"/>
      <c r="D5" s="271" t="str">
        <f>VLOOKUP(D7,エンティティ一覧!A1:'エンティティ一覧'!AM10203,7,FALSE)</f>
        <v>mt</v>
      </c>
      <c r="E5" s="272"/>
      <c r="F5" s="272"/>
      <c r="G5" s="272"/>
      <c r="H5" s="272"/>
      <c r="I5" s="272"/>
      <c r="J5" s="273"/>
    </row>
    <row r="6" spans="1:52">
      <c r="B6" s="261" t="s">
        <v>3705</v>
      </c>
      <c r="C6" s="262"/>
      <c r="D6" s="271" t="str">
        <f>VLOOKUP(D7,エンティティ一覧!A1:'エンティティ一覧'!AM10203,15,FALSE)</f>
        <v>ENT_21_05</v>
      </c>
      <c r="E6" s="272"/>
      <c r="F6" s="272"/>
      <c r="G6" s="272"/>
      <c r="H6" s="272"/>
      <c r="I6" s="272"/>
      <c r="J6" s="273"/>
    </row>
    <row r="7" spans="1:52">
      <c r="B7" s="261" t="s">
        <v>115</v>
      </c>
      <c r="C7" s="262"/>
      <c r="D7" s="263" t="s">
        <v>4034</v>
      </c>
      <c r="E7" s="264"/>
      <c r="F7" s="264"/>
      <c r="G7" s="264"/>
      <c r="H7" s="264"/>
      <c r="I7" s="264"/>
      <c r="J7" s="265"/>
    </row>
    <row r="8" spans="1:52">
      <c r="B8" s="261" t="s">
        <v>116</v>
      </c>
      <c r="C8" s="262"/>
      <c r="D8" s="263" t="str">
        <f>エンティティ一覧!AE2&amp;"_"&amp;D5&amp;"_yakuzai"</f>
        <v>azn_202310_mt_yakuzai</v>
      </c>
      <c r="E8" s="264"/>
      <c r="F8" s="264"/>
      <c r="G8" s="264"/>
      <c r="H8" s="264"/>
      <c r="I8" s="264"/>
      <c r="J8" s="265"/>
    </row>
    <row r="9" spans="1:52" ht="19.5" customHeight="1" thickBot="1">
      <c r="B9" s="266" t="s">
        <v>117</v>
      </c>
      <c r="C9" s="267"/>
      <c r="D9" s="268" t="str">
        <f>D7&amp;"情報を格納するテーブル"</f>
        <v>薬剤マスタ情報を格納するテーブル</v>
      </c>
      <c r="E9" s="269"/>
      <c r="F9" s="269"/>
      <c r="G9" s="269"/>
      <c r="H9" s="269"/>
      <c r="I9" s="269"/>
      <c r="J9" s="270"/>
    </row>
    <row r="10" spans="1:52">
      <c r="B10" s="19"/>
      <c r="C10" s="19"/>
      <c r="D10" s="5"/>
      <c r="E10" s="5"/>
      <c r="F10" s="5"/>
      <c r="G10" s="5"/>
      <c r="H10" s="5"/>
      <c r="I10" s="5"/>
      <c r="J10" s="18"/>
      <c r="N10" s="97" t="str">
        <f>"--DROP TABLE  "&amp;エンティティ一覧!$O$2&amp;"."&amp;D$8&amp;";"</f>
        <v>--DROP TABLE  milscm_2023_010.azn_202310_mt_yakuzai;</v>
      </c>
      <c r="O10" s="97"/>
      <c r="P10" s="97"/>
      <c r="Q10" s="97"/>
      <c r="R10" s="97"/>
      <c r="S10" s="97"/>
      <c r="T10" s="97"/>
      <c r="AJ10" s="97" t="str">
        <f>"ALTER TABLE ONLY "&amp;エンティティ一覧!$O$2&amp;"."&amp;D$8</f>
        <v>ALTER TABLE ONLY milscm_2023_010.azn_202310_mt_yakuzai</v>
      </c>
      <c r="AS10" s="97" t="str">
        <f>"ALTER TABLE "&amp;エンティティ一覧!$O$2&amp;"."&amp;D$8&amp;" OWNER TO pgmisgrp1;"</f>
        <v>ALTER TABLE milscm_2023_010.azn_202310_mt_yakuzai OWNER TO pgmisgrp1;</v>
      </c>
    </row>
    <row r="11" spans="1:52" ht="19.5" thickBot="1">
      <c r="B11" s="20" t="s">
        <v>118</v>
      </c>
      <c r="C11" s="19"/>
      <c r="D11" s="5"/>
      <c r="E11" s="5"/>
      <c r="F11" s="5"/>
      <c r="G11" s="5"/>
      <c r="H11" s="5"/>
      <c r="I11" s="5"/>
      <c r="J11" s="18"/>
      <c r="N11" s="97" t="str">
        <f>"CREATE TABLE  "&amp;エンティティ一覧!$O$2&amp;"."&amp;D$8</f>
        <v>CREATE TABLE  milscm_2023_010.azn_202310_mt_yakuzai</v>
      </c>
      <c r="O11" s="97"/>
      <c r="P11" s="97"/>
      <c r="Q11" s="97"/>
      <c r="R11" s="97"/>
      <c r="S11" s="97"/>
      <c r="T11" s="97"/>
      <c r="AJ11" s="97" t="str">
        <f>"ADD CONSTRAINT "&amp;D$8&amp;"_pkey PRIMARY KEY"</f>
        <v>ADD CONSTRAINT azn_202310_mt_yakuzai_pkey PRIMARY KEY</v>
      </c>
      <c r="AS11" s="97"/>
    </row>
    <row r="12" spans="1:52">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milscm_2023_010.azn_202310_mt_yakuzai IS '薬剤マスタ';</v>
      </c>
    </row>
    <row r="13" spans="1:52" s="25" customFormat="1">
      <c r="A13" s="4"/>
      <c r="B13" s="21">
        <f>ROW()-12</f>
        <v>1</v>
      </c>
      <c r="C13" s="6" t="s">
        <v>1155</v>
      </c>
      <c r="D13" s="6" t="s">
        <v>4036</v>
      </c>
      <c r="E13" s="8" t="s">
        <v>4013</v>
      </c>
      <c r="F13" s="7" t="s">
        <v>735</v>
      </c>
      <c r="G13" s="7" t="str">
        <f>IF(F13="フラグ","boolean",IF(F13="文字列","text",IF(F13="整数","integer",IF(F13="実数","numeric",""))))</f>
        <v>text</v>
      </c>
      <c r="H13" s="66"/>
      <c r="I13" s="8" t="s">
        <v>4013</v>
      </c>
      <c r="J13" s="11"/>
      <c r="M13" s="4"/>
      <c r="N13" s="97"/>
      <c r="O13" s="97"/>
      <c r="P13" s="97" t="str">
        <f>IF(B13&lt;&gt;1,","&amp;D13,D13)</f>
        <v>iyakuhin_cd</v>
      </c>
      <c r="Q13" s="97" t="str">
        <f t="shared" ref="Q13:Q15" si="0">UPPER(G13)</f>
        <v>TEXT</v>
      </c>
      <c r="R13" s="97" t="str">
        <f t="shared" ref="R13:R15" si="1">IF(H13&lt;&gt;"","default "&amp;IF(G13="text","'"&amp;H13&amp;"'",H13),"")</f>
        <v/>
      </c>
      <c r="S13" s="97" t="str">
        <f>IF(I13="○","NOT NULL","")</f>
        <v>NOT NULL</v>
      </c>
      <c r="T13" s="97" t="str">
        <f>"-- "&amp;C13</f>
        <v>-- 医薬品コード</v>
      </c>
      <c r="U13" s="4"/>
      <c r="AA13" s="4"/>
      <c r="AB13" s="4"/>
      <c r="AC13" s="4"/>
      <c r="AD13" s="4"/>
      <c r="AE13" s="4"/>
      <c r="AF13" s="4"/>
      <c r="AG13" s="4"/>
      <c r="AH13" s="4"/>
      <c r="AI13" s="4"/>
      <c r="AJ13" s="97" t="str">
        <f>IF(E13="○",IF(COUNTA(E$13:E13)=1,"",",")&amp;D13,"")</f>
        <v>iyakuhin_cd</v>
      </c>
      <c r="AK13" s="4"/>
      <c r="AL13" s="4"/>
      <c r="AM13" s="4"/>
      <c r="AN13" s="4"/>
      <c r="AO13" s="4"/>
      <c r="AP13" s="4"/>
      <c r="AQ13" s="4"/>
      <c r="AR13" s="4"/>
      <c r="AS13" s="97" t="str">
        <f>"COMMENT ON COLUMN "&amp;エンティティ一覧!$O$2&amp;"."&amp;D$8&amp;"."&amp;D13&amp;" IS '"&amp;C13&amp;"';"</f>
        <v>COMMENT ON COLUMN milscm_2023_010.azn_202310_mt_yakuzai.iyakuhin_cd IS '医薬品コード';</v>
      </c>
    </row>
    <row r="14" spans="1:52" s="25" customFormat="1">
      <c r="A14" s="4"/>
      <c r="B14" s="21">
        <f t="shared" ref="B14:B15" si="2">ROW()-12</f>
        <v>2</v>
      </c>
      <c r="C14" s="6" t="s">
        <v>3295</v>
      </c>
      <c r="D14" s="6" t="s">
        <v>4037</v>
      </c>
      <c r="E14" s="8"/>
      <c r="F14" s="7" t="s">
        <v>735</v>
      </c>
      <c r="G14" s="7" t="str">
        <f t="shared" ref="G14:G15" si="3">IF(F14="フラグ","boolean",IF(F14="文字列","text",IF(F14="整数","integer",IF(F14="実数","numeric",""))))</f>
        <v>text</v>
      </c>
      <c r="H14" s="66"/>
      <c r="I14" s="8" t="s">
        <v>127</v>
      </c>
      <c r="J14" s="11"/>
      <c r="M14" s="4"/>
      <c r="N14" s="97"/>
      <c r="O14" s="97"/>
      <c r="P14" s="97" t="str">
        <f t="shared" ref="P14:P15" si="4">IF(B14&lt;&gt;1,","&amp;D14,D14)</f>
        <v>,iyakuhin_name</v>
      </c>
      <c r="Q14" s="97" t="str">
        <f t="shared" si="0"/>
        <v>TEXT</v>
      </c>
      <c r="R14" s="97" t="str">
        <f t="shared" si="1"/>
        <v/>
      </c>
      <c r="S14" s="97" t="str">
        <f>IF(I14="○","NOT NULL","")</f>
        <v>NOT NULL</v>
      </c>
      <c r="T14" s="97" t="str">
        <f>"-- "&amp;C14</f>
        <v>-- 医薬品名</v>
      </c>
      <c r="U14" s="4"/>
      <c r="AA14" s="4"/>
      <c r="AB14" s="4"/>
      <c r="AC14" s="4"/>
      <c r="AD14" s="4"/>
      <c r="AE14" s="4"/>
      <c r="AF14" s="4"/>
      <c r="AG14" s="4"/>
      <c r="AH14" s="4"/>
      <c r="AI14" s="4"/>
      <c r="AJ14" s="97" t="str">
        <f>IF(E14="○",IF(COUNTA(E$13:E14)=1,"",",")&amp;D14,"")</f>
        <v/>
      </c>
      <c r="AK14" s="4"/>
      <c r="AL14" s="4"/>
      <c r="AM14" s="4"/>
      <c r="AN14" s="4"/>
      <c r="AO14" s="4"/>
      <c r="AP14" s="4"/>
      <c r="AQ14" s="4"/>
      <c r="AR14" s="4"/>
      <c r="AS14" s="97" t="str">
        <f>"COMMENT ON COLUMN "&amp;エンティティ一覧!$O$2&amp;"."&amp;D$8&amp;"."&amp;D14&amp;" IS '"&amp;C14&amp;"';"</f>
        <v>COMMENT ON COLUMN milscm_2023_010.azn_202310_mt_yakuzai.iyakuhin_name IS '医薬品名';</v>
      </c>
    </row>
    <row r="15" spans="1:52" s="25" customFormat="1" ht="19.5" thickBot="1">
      <c r="A15" s="4"/>
      <c r="B15" s="65">
        <f t="shared" si="2"/>
        <v>3</v>
      </c>
      <c r="C15" s="28" t="s">
        <v>4000</v>
      </c>
      <c r="D15" s="28" t="s">
        <v>4186</v>
      </c>
      <c r="E15" s="29"/>
      <c r="F15" s="56" t="s">
        <v>735</v>
      </c>
      <c r="G15" s="56" t="str">
        <f t="shared" si="3"/>
        <v>text</v>
      </c>
      <c r="H15" s="67"/>
      <c r="I15" s="29" t="s">
        <v>127</v>
      </c>
      <c r="J15" s="68"/>
      <c r="N15" s="97"/>
      <c r="O15" s="97"/>
      <c r="P15" s="97" t="str">
        <f t="shared" si="4"/>
        <v>,disp_name</v>
      </c>
      <c r="Q15" s="97" t="str">
        <f t="shared" si="0"/>
        <v>TEXT</v>
      </c>
      <c r="R15" s="97" t="str">
        <f t="shared" si="1"/>
        <v/>
      </c>
      <c r="S15" s="97" t="str">
        <f t="shared" ref="S15" si="5">IF(I15="○","NOT NULL","")</f>
        <v>NOT NULL</v>
      </c>
      <c r="T15" s="97" t="str">
        <f t="shared" ref="T15" si="6">"-- "&amp;C15</f>
        <v>-- 表示名</v>
      </c>
      <c r="U15" s="4"/>
      <c r="AA15" s="4"/>
      <c r="AB15" s="4"/>
      <c r="AC15" s="4"/>
      <c r="AD15" s="4"/>
      <c r="AE15" s="4"/>
      <c r="AF15" s="4"/>
      <c r="AG15" s="4"/>
      <c r="AH15" s="4"/>
      <c r="AI15" s="4"/>
      <c r="AJ15" s="97" t="str">
        <f>IF(E15="○",IF(COUNTA(E$13:E15)=1,"",",")&amp;D15,"")</f>
        <v/>
      </c>
      <c r="AK15" s="4"/>
      <c r="AL15" s="4"/>
      <c r="AM15" s="4"/>
      <c r="AN15" s="4"/>
      <c r="AO15" s="4"/>
      <c r="AP15" s="4"/>
      <c r="AQ15" s="4"/>
      <c r="AR15" s="4"/>
      <c r="AS15" s="97" t="str">
        <f>"COMMENT ON COLUMN "&amp;エンティティ一覧!$O$2&amp;"."&amp;D$8&amp;"."&amp;D15&amp;" IS '"&amp;C15&amp;"';"</f>
        <v>COMMENT ON COLUMN milscm_2023_010.azn_202310_mt_yakuzai.disp_name IS '表示名';</v>
      </c>
    </row>
    <row r="16" spans="1:52">
      <c r="L16" s="25"/>
      <c r="M16" s="25"/>
      <c r="N16" s="97" t="s">
        <v>142</v>
      </c>
      <c r="O16" s="97"/>
      <c r="P16" s="97"/>
      <c r="Q16" s="97"/>
      <c r="R16" s="97"/>
      <c r="S16" s="97"/>
      <c r="T16" s="97"/>
      <c r="V16" s="25"/>
      <c r="W16" s="25"/>
      <c r="X16" s="25"/>
      <c r="Y16" s="25"/>
      <c r="Z16" s="25"/>
      <c r="AJ16" s="97"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21</v>
      </c>
      <c r="E4" s="248"/>
      <c r="F4" s="248"/>
      <c r="G4" s="248"/>
      <c r="H4" s="248"/>
      <c r="I4" s="248"/>
      <c r="J4" s="249"/>
    </row>
    <row r="5" spans="1:45">
      <c r="B5" s="261" t="s">
        <v>3704</v>
      </c>
      <c r="C5" s="262"/>
      <c r="D5" s="271" t="str">
        <f>VLOOKUP(D7,エンティティ一覧!A1:'エンティティ一覧'!AM10203,7,FALSE)</f>
        <v>mt</v>
      </c>
      <c r="E5" s="272"/>
      <c r="F5" s="272"/>
      <c r="G5" s="272"/>
      <c r="H5" s="272"/>
      <c r="I5" s="272"/>
      <c r="J5" s="273"/>
    </row>
    <row r="6" spans="1:45">
      <c r="B6" s="261" t="s">
        <v>3705</v>
      </c>
      <c r="C6" s="262"/>
      <c r="D6" s="271" t="str">
        <f>VLOOKUP(D7,エンティティ一覧!A1:'エンティティ一覧'!AM10203,15,FALSE)</f>
        <v>ENT_21_06</v>
      </c>
      <c r="E6" s="272"/>
      <c r="F6" s="272"/>
      <c r="G6" s="272"/>
      <c r="H6" s="272"/>
      <c r="I6" s="272"/>
      <c r="J6" s="273"/>
    </row>
    <row r="7" spans="1:45">
      <c r="B7" s="261" t="s">
        <v>115</v>
      </c>
      <c r="C7" s="262"/>
      <c r="D7" s="263" t="s">
        <v>4039</v>
      </c>
      <c r="E7" s="264"/>
      <c r="F7" s="264"/>
      <c r="G7" s="264"/>
      <c r="H7" s="264"/>
      <c r="I7" s="264"/>
      <c r="J7" s="265"/>
    </row>
    <row r="8" spans="1:45">
      <c r="B8" s="261" t="s">
        <v>116</v>
      </c>
      <c r="C8" s="262"/>
      <c r="D8" s="263" t="str">
        <f>エンティティ一覧!AE2&amp;"_"&amp;D5&amp;"_shinryo_koi"</f>
        <v>azn_202310_mt_shinryo_koi</v>
      </c>
      <c r="E8" s="264"/>
      <c r="F8" s="264"/>
      <c r="G8" s="264"/>
      <c r="H8" s="264"/>
      <c r="I8" s="264"/>
      <c r="J8" s="265"/>
    </row>
    <row r="9" spans="1:45" ht="19.5" customHeight="1" thickBot="1">
      <c r="B9" s="266" t="s">
        <v>117</v>
      </c>
      <c r="C9" s="267"/>
      <c r="D9" s="268" t="str">
        <f>D7&amp;"情報を格納するテーブル"</f>
        <v>診療行為マスタ情報を格納するテーブル</v>
      </c>
      <c r="E9" s="269"/>
      <c r="F9" s="269"/>
      <c r="G9" s="269"/>
      <c r="H9" s="269"/>
      <c r="I9" s="269"/>
      <c r="J9" s="270"/>
    </row>
    <row r="10" spans="1:45">
      <c r="B10" s="19"/>
      <c r="C10" s="19"/>
      <c r="D10" s="5"/>
      <c r="E10" s="5"/>
      <c r="F10" s="5"/>
      <c r="G10" s="5"/>
      <c r="H10" s="5"/>
      <c r="I10" s="5"/>
      <c r="J10" s="18"/>
      <c r="N10" s="97" t="str">
        <f>"--DROP TABLE  "&amp;エンティティ一覧!$O$2&amp;"."&amp;D$8&amp;";"</f>
        <v>--DROP TABLE  milscm_2023_010.azn_202310_mt_shinryo_koi;</v>
      </c>
      <c r="O10" s="97"/>
      <c r="P10" s="97"/>
      <c r="Q10" s="97"/>
      <c r="R10" s="97"/>
      <c r="S10" s="97"/>
      <c r="T10" s="97"/>
      <c r="AJ10" s="97" t="str">
        <f>"ALTER TABLE ONLY "&amp;エンティティ一覧!$O$2&amp;"."&amp;D$8</f>
        <v>ALTER TABLE ONLY milscm_2023_010.azn_202310_mt_shinryo_koi</v>
      </c>
      <c r="AS10" s="97" t="str">
        <f>"ALTER TABLE "&amp;エンティティ一覧!$O$2&amp;"."&amp;D$8&amp;" OWNER TO pgmisgrp1;"</f>
        <v>ALTER TABLE milscm_2023_010.azn_202310_mt_shinryo_koi OWNER TO pgmisgrp1;</v>
      </c>
    </row>
    <row r="11" spans="1:45" ht="19.5" thickBot="1">
      <c r="B11" s="20" t="s">
        <v>118</v>
      </c>
      <c r="C11" s="19"/>
      <c r="D11" s="5"/>
      <c r="E11" s="5"/>
      <c r="F11" s="5"/>
      <c r="G11" s="5"/>
      <c r="H11" s="5"/>
      <c r="I11" s="5"/>
      <c r="J11" s="18"/>
      <c r="N11" s="97" t="str">
        <f>"CREATE TABLE  "&amp;エンティティ一覧!$O$2&amp;"."&amp;D$8</f>
        <v>CREATE TABLE  milscm_2023_010.azn_202310_mt_shinryo_koi</v>
      </c>
      <c r="O11" s="97"/>
      <c r="P11" s="97"/>
      <c r="Q11" s="97"/>
      <c r="R11" s="97"/>
      <c r="S11" s="97"/>
      <c r="T11" s="97"/>
      <c r="AJ11" s="97" t="str">
        <f>"ADD CONSTRAINT "&amp;D$8&amp;"_pkey PRIMARY KEY"</f>
        <v>ADD CONSTRAINT azn_202310_mt_shinryo_koi_pkey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milscm_2023_010.azn_202310_mt_shinryo_koi IS '診療行為マスタ';</v>
      </c>
    </row>
    <row r="13" spans="1:45" s="25" customFormat="1">
      <c r="A13" s="4"/>
      <c r="B13" s="21">
        <f>ROW()-12</f>
        <v>1</v>
      </c>
      <c r="C13" s="6" t="s">
        <v>4040</v>
      </c>
      <c r="D13" s="6" t="s">
        <v>4041</v>
      </c>
      <c r="E13" s="8" t="s">
        <v>4013</v>
      </c>
      <c r="F13" s="7" t="s">
        <v>735</v>
      </c>
      <c r="G13" s="7" t="str">
        <f>IF(F13="フラグ","boolean",IF(F13="文字列","text",IF(F13="整数","integer",IF(F13="実数","numeric",""))))</f>
        <v>text</v>
      </c>
      <c r="H13" s="66"/>
      <c r="I13" s="8" t="s">
        <v>4013</v>
      </c>
      <c r="J13" s="11"/>
      <c r="M13" s="4"/>
      <c r="N13" s="97"/>
      <c r="O13" s="97"/>
      <c r="P13" s="97" t="str">
        <f>IF(B13&lt;&gt;1,","&amp;D13,D13)</f>
        <v>shinryo_koi_cd</v>
      </c>
      <c r="Q13" s="97" t="str">
        <f t="shared" ref="Q13:Q17" si="0">UPPER(G13)</f>
        <v>TEXT</v>
      </c>
      <c r="R13" s="97" t="str">
        <f t="shared" ref="R13:R17" si="1">IF(H13&lt;&gt;"","default "&amp;IF(G13="text","'"&amp;H13&amp;"'",H13),"")</f>
        <v/>
      </c>
      <c r="S13" s="97" t="str">
        <f>IF(I13="○","NOT NULL","")</f>
        <v>NOT NULL</v>
      </c>
      <c r="T13" s="97" t="str">
        <f>"-- "&amp;C13</f>
        <v>-- 診療行為コード</v>
      </c>
      <c r="U13" s="4"/>
      <c r="AA13" s="4"/>
      <c r="AB13" s="4"/>
      <c r="AC13" s="4"/>
      <c r="AD13" s="4"/>
      <c r="AE13" s="4"/>
      <c r="AF13" s="4"/>
      <c r="AG13" s="4"/>
      <c r="AH13" s="4"/>
      <c r="AI13" s="4"/>
      <c r="AJ13" s="97" t="str">
        <f>IF(E13="○",IF(COUNTA(E$13:E13)=1,"",",")&amp;D13,"")</f>
        <v>shinryo_koi_cd</v>
      </c>
      <c r="AK13" s="4"/>
      <c r="AL13" s="4"/>
      <c r="AM13" s="4"/>
      <c r="AN13" s="4"/>
      <c r="AO13" s="4"/>
      <c r="AP13" s="4"/>
      <c r="AQ13" s="4"/>
      <c r="AR13" s="4"/>
      <c r="AS13" s="97" t="str">
        <f>"COMMENT ON COLUMN "&amp;エンティティ一覧!$O$2&amp;"."&amp;D$8&amp;"."&amp;D13&amp;" IS '"&amp;C13&amp;"';"</f>
        <v>COMMENT ON COLUMN milscm_2023_010.azn_202310_mt_shinryo_koi.shinryo_koi_cd IS '診療行為コード';</v>
      </c>
    </row>
    <row r="14" spans="1:45" s="25" customFormat="1">
      <c r="A14" s="4"/>
      <c r="B14" s="21">
        <f t="shared" ref="B14:B17" si="2">ROW()-12</f>
        <v>2</v>
      </c>
      <c r="C14" s="6" t="s">
        <v>2611</v>
      </c>
      <c r="D14" s="6" t="s">
        <v>4042</v>
      </c>
      <c r="E14" s="8"/>
      <c r="F14" s="7" t="s">
        <v>735</v>
      </c>
      <c r="G14" s="7" t="str">
        <f t="shared" ref="G14:G15" si="3">IF(F14="フラグ","boolean",IF(F14="文字列","text",IF(F14="整数","integer",IF(F14="実数","numeric",""))))</f>
        <v>text</v>
      </c>
      <c r="H14" s="66"/>
      <c r="I14" s="8" t="s">
        <v>127</v>
      </c>
      <c r="J14" s="11"/>
      <c r="M14" s="4"/>
      <c r="N14" s="97"/>
      <c r="O14" s="97"/>
      <c r="P14" s="97" t="str">
        <f t="shared" ref="P14:P15" si="4">IF(B14&lt;&gt;1,","&amp;D14,D14)</f>
        <v>,cd_no_kubun</v>
      </c>
      <c r="Q14" s="97" t="str">
        <f t="shared" ref="Q14:Q15" si="5">UPPER(G14)</f>
        <v>TEXT</v>
      </c>
      <c r="R14" s="97" t="str">
        <f t="shared" ref="R14:R15" si="6">IF(H14&lt;&gt;"","default "&amp;IF(G14="text","'"&amp;H14&amp;"'",H14),"")</f>
        <v/>
      </c>
      <c r="S14" s="97" t="str">
        <f t="shared" ref="S14:S15" si="7">IF(I14="○","NOT NULL","")</f>
        <v>NOT NULL</v>
      </c>
      <c r="T14" s="97" t="str">
        <f t="shared" ref="T14:T15" si="8">"-- "&amp;C14</f>
        <v>-- 区分番号</v>
      </c>
      <c r="U14" s="4"/>
      <c r="AA14" s="4"/>
      <c r="AB14" s="4"/>
      <c r="AC14" s="4"/>
      <c r="AD14" s="4"/>
      <c r="AE14" s="4"/>
      <c r="AF14" s="4"/>
      <c r="AG14" s="4"/>
      <c r="AH14" s="4"/>
      <c r="AI14" s="4"/>
      <c r="AJ14" s="97" t="str">
        <f>IF(E14="○",IF(COUNTA(E$13:E14)=1,"",",")&amp;D14,"")</f>
        <v/>
      </c>
      <c r="AK14" s="4"/>
      <c r="AL14" s="4"/>
      <c r="AM14" s="4"/>
      <c r="AN14" s="4"/>
      <c r="AO14" s="4"/>
      <c r="AP14" s="4"/>
      <c r="AQ14" s="4"/>
      <c r="AR14" s="4"/>
      <c r="AS14" s="97" t="str">
        <f>"COMMENT ON COLUMN "&amp;エンティティ一覧!$O$2&amp;"."&amp;D$8&amp;"."&amp;D14&amp;" IS '"&amp;C14&amp;"';"</f>
        <v>COMMENT ON COLUMN milscm_2023_010.azn_202310_mt_shinryo_koi.cd_no_kubun IS '区分番号';</v>
      </c>
    </row>
    <row r="15" spans="1:45" s="25" customFormat="1">
      <c r="A15" s="4"/>
      <c r="B15" s="21">
        <f t="shared" si="2"/>
        <v>3</v>
      </c>
      <c r="C15" s="6" t="s">
        <v>2617</v>
      </c>
      <c r="D15" s="6" t="s">
        <v>4043</v>
      </c>
      <c r="E15" s="8"/>
      <c r="F15" s="7" t="s">
        <v>735</v>
      </c>
      <c r="G15" s="7" t="str">
        <f t="shared" si="3"/>
        <v>text</v>
      </c>
      <c r="H15" s="66"/>
      <c r="I15" s="8" t="s">
        <v>127</v>
      </c>
      <c r="J15" s="11"/>
      <c r="M15" s="4"/>
      <c r="N15" s="97"/>
      <c r="O15" s="97"/>
      <c r="P15" s="97" t="str">
        <f t="shared" si="4"/>
        <v>,shinryo_koi_name</v>
      </c>
      <c r="Q15" s="97" t="str">
        <f t="shared" si="5"/>
        <v>TEXT</v>
      </c>
      <c r="R15" s="97" t="str">
        <f t="shared" si="6"/>
        <v/>
      </c>
      <c r="S15" s="97" t="str">
        <f t="shared" si="7"/>
        <v>NOT NULL</v>
      </c>
      <c r="T15" s="97" t="str">
        <f t="shared" si="8"/>
        <v>-- 診療行為省略名</v>
      </c>
      <c r="U15" s="4"/>
      <c r="AA15" s="4"/>
      <c r="AB15" s="4"/>
      <c r="AC15" s="4"/>
      <c r="AD15" s="4"/>
      <c r="AE15" s="4"/>
      <c r="AF15" s="4"/>
      <c r="AG15" s="4"/>
      <c r="AH15" s="4"/>
      <c r="AI15" s="4"/>
      <c r="AJ15" s="97" t="str">
        <f>IF(E15="○",IF(COUNTA(E$13:E15)=1,"",",")&amp;D15,"")</f>
        <v/>
      </c>
      <c r="AK15" s="4"/>
      <c r="AL15" s="4"/>
      <c r="AM15" s="4"/>
      <c r="AN15" s="4"/>
      <c r="AO15" s="4"/>
      <c r="AP15" s="4"/>
      <c r="AQ15" s="4"/>
      <c r="AR15" s="4"/>
      <c r="AS15" s="97" t="str">
        <f>"COMMENT ON COLUMN "&amp;エンティティ一覧!$O$2&amp;"."&amp;D$8&amp;"."&amp;D15&amp;" IS '"&amp;C15&amp;"';"</f>
        <v>COMMENT ON COLUMN milscm_2023_010.azn_202310_mt_shinryo_koi.shinryo_koi_name IS '診療行為省略名';</v>
      </c>
    </row>
    <row r="16" spans="1:45" s="25" customFormat="1">
      <c r="A16" s="4"/>
      <c r="B16" s="21">
        <f t="shared" si="2"/>
        <v>4</v>
      </c>
      <c r="C16" s="6" t="s">
        <v>2618</v>
      </c>
      <c r="D16" s="6" t="s">
        <v>4044</v>
      </c>
      <c r="E16" s="8"/>
      <c r="F16" s="7" t="s">
        <v>735</v>
      </c>
      <c r="G16" s="7" t="str">
        <f t="shared" ref="G16:G17" si="9">IF(F16="フラグ","boolean",IF(F16="文字列","text",IF(F16="整数","integer",IF(F16="実数","numeric",""))))</f>
        <v>text</v>
      </c>
      <c r="H16" s="66"/>
      <c r="I16" s="8" t="s">
        <v>127</v>
      </c>
      <c r="J16" s="11"/>
      <c r="M16" s="4"/>
      <c r="N16" s="97"/>
      <c r="O16" s="97"/>
      <c r="P16" s="97" t="str">
        <f t="shared" ref="P16:P17" si="10">IF(B16&lt;&gt;1,","&amp;D16,D16)</f>
        <v>,shinryo_koi_kihonname</v>
      </c>
      <c r="Q16" s="97" t="str">
        <f t="shared" si="0"/>
        <v>TEXT</v>
      </c>
      <c r="R16" s="97" t="str">
        <f t="shared" si="1"/>
        <v/>
      </c>
      <c r="S16" s="97" t="str">
        <f>IF(I16="○","NOT NULL","")</f>
        <v>NOT NULL</v>
      </c>
      <c r="T16" s="97" t="str">
        <f>"-- "&amp;C16</f>
        <v>-- 診療行為名</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"&amp;エンティティ一覧!$O$2&amp;"."&amp;D$8&amp;"."&amp;D16&amp;" IS '"&amp;C16&amp;"';"</f>
        <v>COMMENT ON COLUMN milscm_2023_010.azn_202310_mt_shinryo_koi.shinryo_koi_kihonname IS '診療行為名';</v>
      </c>
    </row>
    <row r="17" spans="1:52" s="25" customFormat="1" ht="19.5" thickBot="1">
      <c r="A17" s="4"/>
      <c r="B17" s="65">
        <f t="shared" si="2"/>
        <v>5</v>
      </c>
      <c r="C17" s="28" t="s">
        <v>4000</v>
      </c>
      <c r="D17" s="28" t="s">
        <v>4038</v>
      </c>
      <c r="E17" s="29"/>
      <c r="F17" s="56" t="s">
        <v>735</v>
      </c>
      <c r="G17" s="56" t="str">
        <f t="shared" si="9"/>
        <v>text</v>
      </c>
      <c r="H17" s="67"/>
      <c r="I17" s="29" t="s">
        <v>127</v>
      </c>
      <c r="J17" s="68"/>
      <c r="N17" s="97"/>
      <c r="O17" s="97"/>
      <c r="P17" s="97" t="str">
        <f t="shared" si="10"/>
        <v>,disp_name</v>
      </c>
      <c r="Q17" s="97" t="str">
        <f t="shared" si="0"/>
        <v>TEXT</v>
      </c>
      <c r="R17" s="97" t="str">
        <f t="shared" si="1"/>
        <v/>
      </c>
      <c r="S17" s="97" t="str">
        <f t="shared" ref="S17" si="11">IF(I17="○","NOT NULL","")</f>
        <v>NOT NULL</v>
      </c>
      <c r="T17" s="97" t="str">
        <f t="shared" ref="T17" si="12">"-- "&amp;C17</f>
        <v>-- 表示名</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milscm_2023_010.azn_202310_mt_shinryo_koi.disp_name IS '表示名';</v>
      </c>
    </row>
    <row r="18" spans="1:52">
      <c r="L18" s="25"/>
      <c r="M18" s="25"/>
      <c r="N18" s="97" t="s">
        <v>142</v>
      </c>
      <c r="O18" s="97"/>
      <c r="P18" s="97"/>
      <c r="Q18" s="97"/>
      <c r="R18" s="97"/>
      <c r="S18" s="97"/>
      <c r="T18" s="97"/>
      <c r="V18" s="25"/>
      <c r="W18" s="25"/>
      <c r="X18" s="25"/>
      <c r="Y18" s="25"/>
      <c r="Z18" s="25"/>
      <c r="AJ18" s="97"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21</v>
      </c>
      <c r="E4" s="248"/>
      <c r="F4" s="248"/>
      <c r="G4" s="248"/>
      <c r="H4" s="248"/>
      <c r="I4" s="248"/>
      <c r="J4" s="249"/>
    </row>
    <row r="5" spans="1:45">
      <c r="B5" s="261" t="s">
        <v>3704</v>
      </c>
      <c r="C5" s="262"/>
      <c r="D5" s="271" t="str">
        <f>VLOOKUP(D7,エンティティ一覧!A1:'エンティティ一覧'!AM10203,7,FALSE)</f>
        <v>mt</v>
      </c>
      <c r="E5" s="272"/>
      <c r="F5" s="272"/>
      <c r="G5" s="272"/>
      <c r="H5" s="272"/>
      <c r="I5" s="272"/>
      <c r="J5" s="273"/>
    </row>
    <row r="6" spans="1:45">
      <c r="B6" s="261" t="s">
        <v>3705</v>
      </c>
      <c r="C6" s="262"/>
      <c r="D6" s="271" t="str">
        <f>VLOOKUP(D7,エンティティ一覧!A1:'エンティティ一覧'!AM10203,15,FALSE)</f>
        <v>ENT_21_07</v>
      </c>
      <c r="E6" s="272"/>
      <c r="F6" s="272"/>
      <c r="G6" s="272"/>
      <c r="H6" s="272"/>
      <c r="I6" s="272"/>
      <c r="J6" s="273"/>
    </row>
    <row r="7" spans="1:45">
      <c r="B7" s="261" t="s">
        <v>115</v>
      </c>
      <c r="C7" s="262"/>
      <c r="D7" s="263" t="s">
        <v>4045</v>
      </c>
      <c r="E7" s="264"/>
      <c r="F7" s="264"/>
      <c r="G7" s="264"/>
      <c r="H7" s="264"/>
      <c r="I7" s="264"/>
      <c r="J7" s="265"/>
    </row>
    <row r="8" spans="1:45">
      <c r="B8" s="261" t="s">
        <v>116</v>
      </c>
      <c r="C8" s="262"/>
      <c r="D8" s="263" t="str">
        <f>エンティティ一覧!AE2&amp;"_"&amp;D5&amp;"_kensa"</f>
        <v>azn_202310_mt_kensa</v>
      </c>
      <c r="E8" s="264"/>
      <c r="F8" s="264"/>
      <c r="G8" s="264"/>
      <c r="H8" s="264"/>
      <c r="I8" s="264"/>
      <c r="J8" s="265"/>
    </row>
    <row r="9" spans="1:45" ht="19.5" customHeight="1" thickBot="1">
      <c r="B9" s="266" t="s">
        <v>117</v>
      </c>
      <c r="C9" s="267"/>
      <c r="D9" s="268" t="str">
        <f>D7&amp;"情報を格納するテーブル"</f>
        <v>検体検査マスタ情報を格納するテーブル</v>
      </c>
      <c r="E9" s="269"/>
      <c r="F9" s="269"/>
      <c r="G9" s="269"/>
      <c r="H9" s="269"/>
      <c r="I9" s="269"/>
      <c r="J9" s="270"/>
    </row>
    <row r="10" spans="1:45">
      <c r="B10" s="19"/>
      <c r="C10" s="19"/>
      <c r="D10" s="5"/>
      <c r="E10" s="5"/>
      <c r="F10" s="5"/>
      <c r="G10" s="5"/>
      <c r="H10" s="5"/>
      <c r="I10" s="5"/>
      <c r="J10" s="18"/>
      <c r="N10" s="97" t="str">
        <f>"--DROP TABLE  "&amp;エンティティ一覧!$O$2&amp;"."&amp;D$8&amp;";"</f>
        <v>--DROP TABLE  milscm_2023_010.azn_202310_mt_kensa;</v>
      </c>
      <c r="O10" s="97"/>
      <c r="P10" s="97"/>
      <c r="Q10" s="97"/>
      <c r="R10" s="97"/>
      <c r="S10" s="97"/>
      <c r="T10" s="97"/>
      <c r="AJ10" s="97" t="str">
        <f>"ALTER TABLE ONLY "&amp;エンティティ一覧!$O$2&amp;"."&amp;D$8</f>
        <v>ALTER TABLE ONLY milscm_2023_010.azn_202310_mt_kensa</v>
      </c>
      <c r="AS10" s="97" t="str">
        <f>"ALTER TABLE "&amp;エンティティ一覧!$O$2&amp;"."&amp;D$8&amp;" OWNER TO pgmisgrp1;"</f>
        <v>ALTER TABLE milscm_2023_010.azn_202310_mt_kensa OWNER TO pgmisgrp1;</v>
      </c>
    </row>
    <row r="11" spans="1:45" ht="19.5" thickBot="1">
      <c r="B11" s="20" t="s">
        <v>118</v>
      </c>
      <c r="C11" s="19"/>
      <c r="D11" s="5"/>
      <c r="E11" s="5"/>
      <c r="F11" s="5"/>
      <c r="G11" s="5"/>
      <c r="H11" s="5"/>
      <c r="I11" s="5"/>
      <c r="J11" s="18"/>
      <c r="N11" s="97" t="str">
        <f>"CREATE TABLE  "&amp;エンティティ一覧!$O$2&amp;"."&amp;D$8</f>
        <v>CREATE TABLE  milscm_2023_010.azn_202310_mt_kensa</v>
      </c>
      <c r="O11" s="97"/>
      <c r="P11" s="97"/>
      <c r="Q11" s="97"/>
      <c r="R11" s="97"/>
      <c r="S11" s="97"/>
      <c r="T11" s="97"/>
      <c r="AJ11" s="97" t="str">
        <f>"ADD CONSTRAINT "&amp;D$8&amp;"_pkey PRIMARY KEY"</f>
        <v>ADD CONSTRAINT azn_202310_mt_kensa_pkey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milscm_2023_010.azn_202310_mt_kensa IS '検体検査マスタ';</v>
      </c>
    </row>
    <row r="13" spans="1:45" s="25" customFormat="1">
      <c r="A13" s="4"/>
      <c r="B13" s="21">
        <f>ROW()-12</f>
        <v>1</v>
      </c>
      <c r="C13" s="6" t="s">
        <v>137</v>
      </c>
      <c r="D13" s="6" t="s">
        <v>881</v>
      </c>
      <c r="E13" s="8" t="s">
        <v>4013</v>
      </c>
      <c r="F13" s="7" t="s">
        <v>735</v>
      </c>
      <c r="G13" s="7" t="str">
        <f>IF(F13="フラグ","boolean",IF(F13="文字列","text",IF(F13="整数","integer",IF(F13="実数","numeric",""))))</f>
        <v>text</v>
      </c>
      <c r="H13" s="66"/>
      <c r="I13" s="8" t="s">
        <v>4013</v>
      </c>
      <c r="J13" s="11"/>
      <c r="M13" s="4"/>
      <c r="N13" s="97"/>
      <c r="O13" s="97"/>
      <c r="P13" s="97" t="str">
        <f>IF(B13&lt;&gt;1,","&amp;D13,D13)</f>
        <v>facility_id</v>
      </c>
      <c r="Q13" s="97" t="str">
        <f t="shared" ref="Q13:Q19" si="0">UPPER(G13)</f>
        <v>TEXT</v>
      </c>
      <c r="R13" s="97" t="str">
        <f t="shared" ref="R13:R19" si="1">IF(H13&lt;&gt;"","default "&amp;IF(G13="text","'"&amp;H13&amp;"'",H13),"")</f>
        <v/>
      </c>
      <c r="S13" s="97" t="str">
        <f>IF(I13="○","NOT NULL","")</f>
        <v>NOT NULL</v>
      </c>
      <c r="T13" s="97" t="str">
        <f>"-- "&amp;C13</f>
        <v>-- 施設ID</v>
      </c>
      <c r="U13" s="4"/>
      <c r="AA13" s="4"/>
      <c r="AB13" s="4"/>
      <c r="AC13" s="4"/>
      <c r="AD13" s="4"/>
      <c r="AE13" s="4"/>
      <c r="AF13" s="4"/>
      <c r="AG13" s="4"/>
      <c r="AH13" s="4"/>
      <c r="AI13" s="4"/>
      <c r="AJ13" s="97" t="str">
        <f>IF(E13="○",IF(COUNTA(E$13:E13)=1,"",",")&amp;D13,"")</f>
        <v>facility_id</v>
      </c>
      <c r="AK13" s="4"/>
      <c r="AL13" s="4"/>
      <c r="AM13" s="4"/>
      <c r="AN13" s="4"/>
      <c r="AO13" s="4"/>
      <c r="AP13" s="4"/>
      <c r="AQ13" s="4"/>
      <c r="AR13" s="4"/>
      <c r="AS13" s="97" t="str">
        <f>"COMMENT ON COLUMN "&amp;エンティティ一覧!$O$2&amp;"."&amp;D$8&amp;"."&amp;D13&amp;" IS '"&amp;C13&amp;"';"</f>
        <v>COMMENT ON COLUMN milscm_2023_010.azn_202310_mt_kensa.facility_id IS '施設ID';</v>
      </c>
    </row>
    <row r="14" spans="1:45" s="25" customFormat="1">
      <c r="A14" s="4"/>
      <c r="B14" s="21">
        <f t="shared" ref="B14:B20" si="2">ROW()-12</f>
        <v>2</v>
      </c>
      <c r="C14" s="6" t="s">
        <v>1604</v>
      </c>
      <c r="D14" s="6" t="s">
        <v>4048</v>
      </c>
      <c r="E14" s="8" t="s">
        <v>4013</v>
      </c>
      <c r="F14" s="7" t="s">
        <v>735</v>
      </c>
      <c r="G14" s="7" t="str">
        <f t="shared" ref="G14:G19" si="3">IF(F14="フラグ","boolean",IF(F14="文字列","text",IF(F14="整数","integer",IF(F14="実数","numeric",""))))</f>
        <v>text</v>
      </c>
      <c r="H14" s="66"/>
      <c r="I14" s="8" t="s">
        <v>127</v>
      </c>
      <c r="J14" s="11"/>
      <c r="M14" s="4"/>
      <c r="N14" s="97"/>
      <c r="O14" s="97"/>
      <c r="P14" s="97" t="str">
        <f t="shared" ref="P14:P19" si="4">IF(B14&lt;&gt;1,","&amp;D14,D14)</f>
        <v>,specimen_name</v>
      </c>
      <c r="Q14" s="97" t="str">
        <f t="shared" si="0"/>
        <v>TEXT</v>
      </c>
      <c r="R14" s="97" t="str">
        <f t="shared" si="1"/>
        <v/>
      </c>
      <c r="S14" s="97" t="str">
        <f t="shared" ref="S14:S17" si="5">IF(I14="○","NOT NULL","")</f>
        <v>NOT NULL</v>
      </c>
      <c r="T14" s="97" t="str">
        <f t="shared" ref="T14:T17" si="6">"-- "&amp;C14</f>
        <v>-- 検体材料</v>
      </c>
      <c r="U14" s="4"/>
      <c r="AA14" s="4"/>
      <c r="AB14" s="4"/>
      <c r="AC14" s="4"/>
      <c r="AD14" s="4"/>
      <c r="AE14" s="4"/>
      <c r="AF14" s="4"/>
      <c r="AG14" s="4"/>
      <c r="AH14" s="4"/>
      <c r="AI14" s="4"/>
      <c r="AJ14" s="97" t="str">
        <f>IF(E14="○",IF(COUNTA(E$13:E14)=1,"",",")&amp;D14,"")</f>
        <v>,specimen_name</v>
      </c>
      <c r="AK14" s="4"/>
      <c r="AL14" s="4"/>
      <c r="AM14" s="4"/>
      <c r="AN14" s="4"/>
      <c r="AO14" s="4"/>
      <c r="AP14" s="4"/>
      <c r="AQ14" s="4"/>
      <c r="AR14" s="4"/>
      <c r="AS14" s="97" t="str">
        <f>"COMMENT ON COLUMN "&amp;エンティティ一覧!$O$2&amp;"."&amp;D$8&amp;"."&amp;D14&amp;" IS '"&amp;C14&amp;"';"</f>
        <v>COMMENT ON COLUMN milscm_2023_010.azn_202310_mt_kensa.specimen_name IS '検体材料';</v>
      </c>
    </row>
    <row r="15" spans="1:45" s="25" customFormat="1">
      <c r="A15" s="4"/>
      <c r="B15" s="21">
        <f t="shared" si="2"/>
        <v>3</v>
      </c>
      <c r="C15" s="6" t="s">
        <v>1606</v>
      </c>
      <c r="D15" s="6" t="s">
        <v>4049</v>
      </c>
      <c r="E15" s="8" t="s">
        <v>4013</v>
      </c>
      <c r="F15" s="7" t="s">
        <v>735</v>
      </c>
      <c r="G15" s="7" t="str">
        <f t="shared" si="3"/>
        <v>text</v>
      </c>
      <c r="H15" s="66"/>
      <c r="I15" s="8" t="s">
        <v>127</v>
      </c>
      <c r="J15" s="11"/>
      <c r="M15" s="4"/>
      <c r="N15" s="97"/>
      <c r="O15" s="97"/>
      <c r="P15" s="97" t="str">
        <f t="shared" si="4"/>
        <v>,sp_code</v>
      </c>
      <c r="Q15" s="97" t="str">
        <f t="shared" si="0"/>
        <v>TEXT</v>
      </c>
      <c r="R15" s="97" t="str">
        <f t="shared" si="1"/>
        <v/>
      </c>
      <c r="S15" s="97" t="str">
        <f t="shared" si="5"/>
        <v>NOT NULL</v>
      </c>
      <c r="T15" s="97" t="str">
        <f t="shared" si="6"/>
        <v>-- 検体材料コード</v>
      </c>
      <c r="U15" s="4"/>
      <c r="AA15" s="4"/>
      <c r="AB15" s="4"/>
      <c r="AC15" s="4"/>
      <c r="AD15" s="4"/>
      <c r="AE15" s="4"/>
      <c r="AF15" s="4"/>
      <c r="AG15" s="4"/>
      <c r="AH15" s="4"/>
      <c r="AI15" s="4"/>
      <c r="AJ15" s="97" t="str">
        <f>IF(E15="○",IF(COUNTA(E$13:E15)=1,"",",")&amp;D15,"")</f>
        <v>,sp_code</v>
      </c>
      <c r="AK15" s="4"/>
      <c r="AL15" s="4"/>
      <c r="AM15" s="4"/>
      <c r="AN15" s="4"/>
      <c r="AO15" s="4"/>
      <c r="AP15" s="4"/>
      <c r="AQ15" s="4"/>
      <c r="AR15" s="4"/>
      <c r="AS15" s="97" t="str">
        <f>"COMMENT ON COLUMN "&amp;エンティティ一覧!$O$2&amp;"."&amp;D$8&amp;"."&amp;D15&amp;" IS '"&amp;C15&amp;"';"</f>
        <v>COMMENT ON COLUMN milscm_2023_010.azn_202310_mt_kensa.sp_code IS '検体材料コード';</v>
      </c>
    </row>
    <row r="16" spans="1:45" s="25" customFormat="1">
      <c r="A16" s="4"/>
      <c r="B16" s="21">
        <f t="shared" si="2"/>
        <v>4</v>
      </c>
      <c r="C16" s="6" t="s">
        <v>3879</v>
      </c>
      <c r="D16" s="6" t="s">
        <v>4050</v>
      </c>
      <c r="E16" s="8" t="s">
        <v>4013</v>
      </c>
      <c r="F16" s="7" t="s">
        <v>735</v>
      </c>
      <c r="G16" s="7" t="str">
        <f t="shared" ref="G16:G17" si="7">IF(F16="フラグ","boolean",IF(F16="文字列","text",IF(F16="整数","integer",IF(F16="実数","numeric",""))))</f>
        <v>text</v>
      </c>
      <c r="H16" s="66"/>
      <c r="I16" s="8" t="s">
        <v>127</v>
      </c>
      <c r="J16" s="11"/>
      <c r="M16" s="4"/>
      <c r="N16" s="97"/>
      <c r="O16" s="97"/>
      <c r="P16" s="97" t="str">
        <f t="shared" ref="P16:P17" si="8">IF(B16&lt;&gt;1,","&amp;D16,D16)</f>
        <v>,item_name</v>
      </c>
      <c r="Q16" s="97" t="str">
        <f t="shared" ref="Q16:Q17" si="9">UPPER(G16)</f>
        <v>TEXT</v>
      </c>
      <c r="R16" s="97" t="str">
        <f t="shared" ref="R16:R17" si="10">IF(H16&lt;&gt;"","default "&amp;IF(G16="text","'"&amp;H16&amp;"'",H16),"")</f>
        <v/>
      </c>
      <c r="S16" s="97" t="str">
        <f t="shared" si="5"/>
        <v>NOT NULL</v>
      </c>
      <c r="T16" s="97" t="str">
        <f t="shared" si="6"/>
        <v>-- 検査名</v>
      </c>
      <c r="U16" s="4"/>
      <c r="AA16" s="4"/>
      <c r="AB16" s="4"/>
      <c r="AC16" s="4"/>
      <c r="AD16" s="4"/>
      <c r="AE16" s="4"/>
      <c r="AF16" s="4"/>
      <c r="AG16" s="4"/>
      <c r="AH16" s="4"/>
      <c r="AI16" s="4"/>
      <c r="AJ16" s="97" t="str">
        <f>IF(E16="○",IF(COUNTA(E$13:E16)=1,"",",")&amp;D16,"")</f>
        <v>,item_name</v>
      </c>
      <c r="AK16" s="4"/>
      <c r="AL16" s="4"/>
      <c r="AM16" s="4"/>
      <c r="AN16" s="4"/>
      <c r="AO16" s="4"/>
      <c r="AP16" s="4"/>
      <c r="AQ16" s="4"/>
      <c r="AR16" s="4"/>
      <c r="AS16" s="97" t="str">
        <f>"COMMENT ON COLUMN "&amp;エンティティ一覧!$O$2&amp;"."&amp;D$8&amp;"."&amp;D16&amp;" IS '"&amp;C16&amp;"';"</f>
        <v>COMMENT ON COLUMN milscm_2023_010.azn_202310_mt_kensa.item_name IS '検査名';</v>
      </c>
    </row>
    <row r="17" spans="1:52" s="25" customFormat="1">
      <c r="A17" s="4"/>
      <c r="B17" s="21">
        <f t="shared" si="2"/>
        <v>5</v>
      </c>
      <c r="C17" s="6" t="s">
        <v>3880</v>
      </c>
      <c r="D17" s="6" t="s">
        <v>4051</v>
      </c>
      <c r="E17" s="8" t="s">
        <v>4013</v>
      </c>
      <c r="F17" s="7" t="s">
        <v>735</v>
      </c>
      <c r="G17" s="7" t="str">
        <f t="shared" si="7"/>
        <v>text</v>
      </c>
      <c r="H17" s="66"/>
      <c r="I17" s="8" t="s">
        <v>127</v>
      </c>
      <c r="J17" s="11"/>
      <c r="M17" s="4"/>
      <c r="N17" s="97"/>
      <c r="O17" s="97"/>
      <c r="P17" s="97" t="str">
        <f t="shared" si="8"/>
        <v>,item_code</v>
      </c>
      <c r="Q17" s="97" t="str">
        <f t="shared" si="9"/>
        <v>TEXT</v>
      </c>
      <c r="R17" s="97" t="str">
        <f t="shared" si="10"/>
        <v/>
      </c>
      <c r="S17" s="97" t="str">
        <f t="shared" si="5"/>
        <v>NOT NULL</v>
      </c>
      <c r="T17" s="97" t="str">
        <f t="shared" si="6"/>
        <v>-- 検査名_施設固有コード</v>
      </c>
      <c r="U17" s="4"/>
      <c r="AA17" s="4"/>
      <c r="AB17" s="4"/>
      <c r="AC17" s="4"/>
      <c r="AD17" s="4"/>
      <c r="AE17" s="4"/>
      <c r="AF17" s="4"/>
      <c r="AG17" s="4"/>
      <c r="AH17" s="4"/>
      <c r="AI17" s="4"/>
      <c r="AJ17" s="97" t="str">
        <f>IF(E17="○",IF(COUNTA(E$13:E17)=1,"",",")&amp;D17,"")</f>
        <v>,item_code</v>
      </c>
      <c r="AK17" s="4"/>
      <c r="AL17" s="4"/>
      <c r="AM17" s="4"/>
      <c r="AN17" s="4"/>
      <c r="AO17" s="4"/>
      <c r="AP17" s="4"/>
      <c r="AQ17" s="4"/>
      <c r="AR17" s="4"/>
      <c r="AS17" s="97" t="str">
        <f>"COMMENT ON COLUMN "&amp;エンティティ一覧!$O$2&amp;"."&amp;D$8&amp;"."&amp;D17&amp;" IS '"&amp;C17&amp;"';"</f>
        <v>COMMENT ON COLUMN milscm_2023_010.azn_202310_mt_kensa.item_code IS '検査名_施設固有コード';</v>
      </c>
    </row>
    <row r="18" spans="1:52" s="25" customFormat="1">
      <c r="A18" s="4"/>
      <c r="B18" s="21">
        <f t="shared" si="2"/>
        <v>6</v>
      </c>
      <c r="C18" s="6" t="s">
        <v>4046</v>
      </c>
      <c r="D18" s="6" t="s">
        <v>4052</v>
      </c>
      <c r="E18" s="8"/>
      <c r="F18" s="7" t="s">
        <v>735</v>
      </c>
      <c r="G18" s="7" t="str">
        <f t="shared" si="3"/>
        <v>text</v>
      </c>
      <c r="H18" s="66"/>
      <c r="I18" s="8" t="s">
        <v>127</v>
      </c>
      <c r="J18" s="11"/>
      <c r="M18" s="4"/>
      <c r="N18" s="97"/>
      <c r="O18" s="97"/>
      <c r="P18" s="97" t="str">
        <f t="shared" si="4"/>
        <v>,m_unit</v>
      </c>
      <c r="Q18" s="97" t="str">
        <f t="shared" si="0"/>
        <v>TEXT</v>
      </c>
      <c r="R18" s="97" t="str">
        <f t="shared" si="1"/>
        <v/>
      </c>
      <c r="S18" s="97" t="str">
        <f>IF(I18="○","NOT NULL","")</f>
        <v>NOT NULL</v>
      </c>
      <c r="T18" s="97" t="str">
        <f>"-- "&amp;C18</f>
        <v>-- 一般単位</v>
      </c>
      <c r="U18" s="4"/>
      <c r="AA18" s="4"/>
      <c r="AB18" s="4"/>
      <c r="AC18" s="4"/>
      <c r="AD18" s="4"/>
      <c r="AE18" s="4"/>
      <c r="AF18" s="4"/>
      <c r="AG18" s="4"/>
      <c r="AH18" s="4"/>
      <c r="AI18" s="4"/>
      <c r="AJ18" s="97" t="str">
        <f>IF(E18="○",IF(COUNTA(E$13:E18)=1,"",",")&amp;D18,"")</f>
        <v/>
      </c>
      <c r="AK18" s="4"/>
      <c r="AL18" s="4"/>
      <c r="AM18" s="4"/>
      <c r="AN18" s="4"/>
      <c r="AO18" s="4"/>
      <c r="AP18" s="4"/>
      <c r="AQ18" s="4"/>
      <c r="AR18" s="4"/>
      <c r="AS18" s="97" t="str">
        <f>"COMMENT ON COLUMN "&amp;エンティティ一覧!$O$2&amp;"."&amp;D$8&amp;"."&amp;D18&amp;" IS '"&amp;C18&amp;"';"</f>
        <v>COMMENT ON COLUMN milscm_2023_010.azn_202310_mt_kensa.m_unit IS '一般単位';</v>
      </c>
    </row>
    <row r="19" spans="1:52" s="25" customFormat="1">
      <c r="A19" s="4"/>
      <c r="B19" s="21">
        <f t="shared" si="2"/>
        <v>7</v>
      </c>
      <c r="C19" s="6" t="s">
        <v>4047</v>
      </c>
      <c r="D19" s="6" t="s">
        <v>4053</v>
      </c>
      <c r="E19" s="8"/>
      <c r="F19" s="7" t="s">
        <v>4035</v>
      </c>
      <c r="G19" s="7" t="str">
        <f t="shared" si="3"/>
        <v>numeric</v>
      </c>
      <c r="H19" s="66"/>
      <c r="I19" s="8"/>
      <c r="J19" s="11"/>
      <c r="N19" s="97"/>
      <c r="O19" s="97"/>
      <c r="P19" s="97" t="str">
        <f t="shared" si="4"/>
        <v>,rate</v>
      </c>
      <c r="Q19" s="97" t="str">
        <f t="shared" si="0"/>
        <v>NUMERIC</v>
      </c>
      <c r="R19" s="97" t="str">
        <f t="shared" si="1"/>
        <v/>
      </c>
      <c r="S19" s="97" t="str">
        <f t="shared" ref="S19" si="11">IF(I19="○","NOT NULL","")</f>
        <v/>
      </c>
      <c r="T19" s="97" t="str">
        <f t="shared" ref="T19" si="12">"-- "&amp;C19</f>
        <v>-- 換算率</v>
      </c>
      <c r="U19" s="4"/>
      <c r="AA19" s="4"/>
      <c r="AB19" s="4"/>
      <c r="AC19" s="4"/>
      <c r="AD19" s="4"/>
      <c r="AE19" s="4"/>
      <c r="AF19" s="4"/>
      <c r="AG19" s="4"/>
      <c r="AH19" s="4"/>
      <c r="AI19" s="4"/>
      <c r="AJ19" s="97" t="str">
        <f>IF(E19="○",IF(COUNTA(E$13:E19)=1,"",",")&amp;D19,"")</f>
        <v/>
      </c>
      <c r="AK19" s="4"/>
      <c r="AL19" s="4"/>
      <c r="AM19" s="4"/>
      <c r="AN19" s="4"/>
      <c r="AO19" s="4"/>
      <c r="AP19" s="4"/>
      <c r="AQ19" s="4"/>
      <c r="AR19" s="4"/>
      <c r="AS19" s="97" t="str">
        <f>"COMMENT ON COLUMN "&amp;エンティティ一覧!$O$2&amp;"."&amp;D$8&amp;"."&amp;D19&amp;" IS '"&amp;C19&amp;"';"</f>
        <v>COMMENT ON COLUMN milscm_2023_010.azn_202310_mt_kensa.rate IS '換算率';</v>
      </c>
    </row>
    <row r="20" spans="1:52" s="25" customFormat="1" ht="19.5" thickBot="1">
      <c r="A20" s="4"/>
      <c r="B20" s="69">
        <f t="shared" si="2"/>
        <v>8</v>
      </c>
      <c r="C20" s="70" t="s">
        <v>4000</v>
      </c>
      <c r="D20" s="70" t="s">
        <v>4186</v>
      </c>
      <c r="E20" s="118"/>
      <c r="F20" s="71" t="s">
        <v>735</v>
      </c>
      <c r="G20" s="71" t="str">
        <f t="shared" ref="G20" si="13">IF(F20="フラグ","boolean",IF(F20="文字列","text",IF(F20="整数","integer",IF(F20="実数","numeric",""))))</f>
        <v>text</v>
      </c>
      <c r="H20" s="129"/>
      <c r="I20" s="118" t="s">
        <v>127</v>
      </c>
      <c r="J20" s="130"/>
      <c r="N20" s="97"/>
      <c r="O20" s="97"/>
      <c r="P20" s="97" t="str">
        <f t="shared" ref="P20" si="14">IF(B20&lt;&gt;1,","&amp;D20,D20)</f>
        <v>,disp_name</v>
      </c>
      <c r="Q20" s="97" t="str">
        <f t="shared" ref="Q20" si="15">UPPER(G20)</f>
        <v>TEXT</v>
      </c>
      <c r="R20" s="97" t="str">
        <f t="shared" ref="R20" si="16">IF(H20&lt;&gt;"","default "&amp;IF(G20="text","'"&amp;H20&amp;"'",H20),"")</f>
        <v/>
      </c>
      <c r="S20" s="97" t="str">
        <f t="shared" ref="S20" si="17">IF(I20="○","NOT NULL","")</f>
        <v>NOT NULL</v>
      </c>
      <c r="T20" s="97" t="str">
        <f t="shared" ref="T20" si="18">"-- "&amp;C20</f>
        <v>-- 表示名</v>
      </c>
      <c r="U20" s="4"/>
      <c r="AA20" s="4"/>
      <c r="AB20" s="4"/>
      <c r="AC20" s="4"/>
      <c r="AD20" s="4"/>
      <c r="AE20" s="4"/>
      <c r="AF20" s="4"/>
      <c r="AG20" s="4"/>
      <c r="AH20" s="4"/>
      <c r="AI20" s="4"/>
      <c r="AJ20" s="97" t="str">
        <f>IF(E20="○",IF(COUNTA(E$13:E20)=1,"",",")&amp;D20,"")</f>
        <v/>
      </c>
      <c r="AK20" s="4"/>
      <c r="AL20" s="4"/>
      <c r="AM20" s="4"/>
      <c r="AN20" s="4"/>
      <c r="AO20" s="4"/>
      <c r="AP20" s="4"/>
      <c r="AQ20" s="4"/>
      <c r="AR20" s="4"/>
      <c r="AS20" s="97" t="str">
        <f>"COMMENT ON COLUMN "&amp;エンティティ一覧!$O$2&amp;"."&amp;D$8&amp;"."&amp;D20&amp;" IS '"&amp;C20&amp;"';"</f>
        <v>COMMENT ON COLUMN milscm_2023_010.azn_202310_mt_kensa.disp_name IS '表示名';</v>
      </c>
    </row>
    <row r="21" spans="1:52">
      <c r="L21" s="25"/>
      <c r="M21" s="25"/>
      <c r="N21" s="97" t="s">
        <v>142</v>
      </c>
      <c r="O21" s="97"/>
      <c r="P21" s="97"/>
      <c r="Q21" s="97"/>
      <c r="R21" s="97"/>
      <c r="S21" s="97"/>
      <c r="T21" s="97"/>
      <c r="V21" s="25"/>
      <c r="W21" s="25"/>
      <c r="X21" s="25"/>
      <c r="Y21" s="25"/>
      <c r="Z21" s="25"/>
      <c r="AJ21" s="97"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31</v>
      </c>
      <c r="E4" s="248"/>
      <c r="F4" s="248"/>
      <c r="G4" s="248"/>
      <c r="H4" s="248"/>
      <c r="I4" s="248"/>
      <c r="J4" s="249"/>
    </row>
    <row r="5" spans="1:45">
      <c r="B5" s="261" t="s">
        <v>3704</v>
      </c>
      <c r="C5" s="262"/>
      <c r="D5" s="271" t="str">
        <f>VLOOKUP(D7,エンティティ一覧!A1:'エンティティ一覧'!AM10203,7,FALSE)</f>
        <v>base</v>
      </c>
      <c r="E5" s="272"/>
      <c r="F5" s="272"/>
      <c r="G5" s="272"/>
      <c r="H5" s="272"/>
      <c r="I5" s="272"/>
      <c r="J5" s="273"/>
    </row>
    <row r="6" spans="1:45">
      <c r="B6" s="261" t="s">
        <v>3705</v>
      </c>
      <c r="C6" s="262"/>
      <c r="D6" s="271" t="str">
        <f>VLOOKUP(D7,エンティティ一覧!A1:'エンティティ一覧'!AM10203,15,FALSE)</f>
        <v>ENT_31_A1-02</v>
      </c>
      <c r="E6" s="272"/>
      <c r="F6" s="272"/>
      <c r="G6" s="272"/>
      <c r="H6" s="272"/>
      <c r="I6" s="272"/>
      <c r="J6" s="273"/>
    </row>
    <row r="7" spans="1:45">
      <c r="B7" s="261" t="s">
        <v>115</v>
      </c>
      <c r="C7" s="262"/>
      <c r="D7" s="263" t="s">
        <v>3693</v>
      </c>
      <c r="E7" s="264"/>
      <c r="F7" s="264"/>
      <c r="G7" s="264"/>
      <c r="H7" s="264"/>
      <c r="I7" s="264"/>
      <c r="J7" s="265"/>
    </row>
    <row r="8" spans="1:45">
      <c r="B8" s="261" t="s">
        <v>116</v>
      </c>
      <c r="C8" s="262"/>
      <c r="D8" s="263" t="str">
        <f>エンティティ一覧!AE2&amp;"_"&amp;D5&amp;"_mart_shohou"</f>
        <v>azn_202310_base_mart_shohou</v>
      </c>
      <c r="E8" s="264"/>
      <c r="F8" s="264"/>
      <c r="G8" s="264"/>
      <c r="H8" s="264"/>
      <c r="I8" s="264"/>
      <c r="J8" s="265"/>
    </row>
    <row r="9" spans="1:45" ht="19.5" customHeight="1" thickBot="1">
      <c r="B9" s="266" t="s">
        <v>117</v>
      </c>
      <c r="C9" s="267"/>
      <c r="D9" s="268" t="str">
        <f>"バックアップ_"&amp;SUBSTITUTE(D7,"ベース_","")&amp;"テーブルから対象患者で絞り込んだ結果を格納するテーブル"</f>
        <v>バックアップ_処方データテーブルから対象患者で絞り込んだ結果を格納するテーブル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milscm_2023_010.azn_202310_base_mart_shohou;</v>
      </c>
      <c r="O10" s="76"/>
      <c r="P10" s="76"/>
      <c r="Q10" s="76"/>
      <c r="R10" s="76"/>
      <c r="S10" s="76"/>
      <c r="T10" s="76"/>
      <c r="AJ10" s="76" t="str">
        <f>"ALTER TABLE ONLY "&amp;エンティティ一覧!$O$2&amp;"."&amp;D$8</f>
        <v>ALTER TABLE ONLY milscm_2023_010.azn_202310_base_mart_shohou</v>
      </c>
      <c r="AS10" s="76" t="str">
        <f>"ALTER TABLE "&amp;エンティティ一覧!$O$2&amp;"."&amp;D$8&amp;" OWNER TO pgmisgrp1;"</f>
        <v>ALTER TABLE milscm_2023_010.azn_202310_base_mart_shohou OWNER TO pgmisgrp1;</v>
      </c>
    </row>
    <row r="11" spans="1:45" ht="19.5" thickBot="1">
      <c r="B11" s="20" t="s">
        <v>118</v>
      </c>
      <c r="C11" s="19"/>
      <c r="D11" s="5"/>
      <c r="E11" s="5"/>
      <c r="F11" s="5"/>
      <c r="G11" s="5"/>
      <c r="H11" s="5"/>
      <c r="I11" s="5"/>
      <c r="J11" s="18"/>
      <c r="N11" s="76" t="str">
        <f>"CREATE TABLE  "&amp;エンティティ一覧!$O$2&amp;"."&amp;D$8</f>
        <v>CREATE TABLE  milscm_2023_010.azn_202310_base_mart_shohou</v>
      </c>
      <c r="O11" s="76"/>
      <c r="P11" s="76"/>
      <c r="Q11" s="76"/>
      <c r="R11" s="76"/>
      <c r="S11" s="76"/>
      <c r="T11" s="76"/>
      <c r="AJ11" s="76" t="str">
        <f>"ADD CONSTRAINT "&amp;D$8&amp;"_pkey PRIMARY KEY"</f>
        <v>ADD CONSTRAINT azn_202310_base_mart_shohou_pkey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milscm_2023_010.azn_202310_base_mart_shohou IS 'ベース_処方データ';</v>
      </c>
    </row>
    <row r="13" spans="1:45" s="25" customFormat="1">
      <c r="A13" s="4"/>
      <c r="B13" s="21">
        <f>ROW()-12</f>
        <v>1</v>
      </c>
      <c r="C13" s="6" t="s">
        <v>1734</v>
      </c>
      <c r="D13" s="6" t="s">
        <v>209</v>
      </c>
      <c r="E13" s="8" t="s">
        <v>127</v>
      </c>
      <c r="F13" s="8" t="s">
        <v>1735</v>
      </c>
      <c r="G13" s="7" t="str">
        <f>IF(F13="フラグ","boolean",IF(F13="文字列","text",IF(F13="整数","integer",IF(F13="実数","numeric",""))))</f>
        <v>text</v>
      </c>
      <c r="H13" s="9"/>
      <c r="I13" s="10" t="s">
        <v>127</v>
      </c>
      <c r="J13" s="11" t="s">
        <v>1754</v>
      </c>
      <c r="M13" s="4"/>
      <c r="N13" s="76"/>
      <c r="O13" s="76"/>
      <c r="P13" s="76" t="str">
        <f>IF(B13&lt;&gt;1,","&amp;D13,D13)</f>
        <v>shikibetsu_no</v>
      </c>
      <c r="Q13" s="76" t="str">
        <f t="shared" ref="Q13:Q32" si="0">UPPER(G13)</f>
        <v>TEXT</v>
      </c>
      <c r="R13" s="76" t="str">
        <f t="shared" ref="R13:R32"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milscm_2023_010.azn_202310_base_mart_shohou.shikibetsu_no IS 'データ識別番号';</v>
      </c>
    </row>
    <row r="14" spans="1:45" s="25" customFormat="1">
      <c r="A14" s="4"/>
      <c r="B14" s="21">
        <f t="shared" ref="B14:B31" si="2">ROW()-12</f>
        <v>2</v>
      </c>
      <c r="C14" s="6" t="s">
        <v>137</v>
      </c>
      <c r="D14" s="6" t="s">
        <v>128</v>
      </c>
      <c r="E14" s="8" t="s">
        <v>127</v>
      </c>
      <c r="F14" s="7" t="s">
        <v>1735</v>
      </c>
      <c r="G14" s="7" t="str">
        <f t="shared" ref="G14:G32" si="3">IF(F14="フラグ","boolean",IF(F14="文字列","text",IF(F14="整数","integer",IF(F14="実数","numeric",""))))</f>
        <v>text</v>
      </c>
      <c r="H14" s="26"/>
      <c r="I14" s="10" t="s">
        <v>127</v>
      </c>
      <c r="J14" s="11" t="s">
        <v>1754</v>
      </c>
      <c r="M14" s="4"/>
      <c r="N14" s="76"/>
      <c r="O14" s="76"/>
      <c r="P14" s="76" t="str">
        <f t="shared" ref="P14:P32" si="4">IF(B14&lt;&gt;1,","&amp;D14,D14)</f>
        <v>,facility_id</v>
      </c>
      <c r="Q14" s="76" t="str">
        <f t="shared" si="0"/>
        <v>TEXT</v>
      </c>
      <c r="R14" s="76" t="str">
        <f t="shared" si="1"/>
        <v/>
      </c>
      <c r="S14" s="76" t="str">
        <f>IF(I14="○","NOT NULL","")</f>
        <v>NOT NULL</v>
      </c>
      <c r="T14" s="76" t="str">
        <f>"--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milscm_2023_010.azn_202310_base_mart_shohou.facility_id IS '施設ID';</v>
      </c>
    </row>
    <row r="15" spans="1:45" s="25" customFormat="1">
      <c r="A15" s="4"/>
      <c r="B15" s="21">
        <f t="shared" si="2"/>
        <v>3</v>
      </c>
      <c r="C15" s="13" t="s">
        <v>1736</v>
      </c>
      <c r="D15" s="13" t="s">
        <v>205</v>
      </c>
      <c r="E15" s="7" t="s">
        <v>127</v>
      </c>
      <c r="F15" s="7" t="s">
        <v>1735</v>
      </c>
      <c r="G15" s="7" t="str">
        <f t="shared" si="3"/>
        <v>text</v>
      </c>
      <c r="H15" s="58"/>
      <c r="I15" s="23" t="s">
        <v>127</v>
      </c>
      <c r="J15" s="24" t="s">
        <v>1754</v>
      </c>
      <c r="M15" s="4"/>
      <c r="N15" s="76"/>
      <c r="O15" s="76"/>
      <c r="P15" s="76" t="str">
        <f t="shared" si="4"/>
        <v>,shinryo_ym</v>
      </c>
      <c r="Q15" s="76" t="str">
        <f t="shared" si="0"/>
        <v>TEXT</v>
      </c>
      <c r="R15" s="76" t="str">
        <f t="shared" si="1"/>
        <v/>
      </c>
      <c r="S15" s="76" t="str">
        <f t="shared" ref="S15:S32" si="5">IF(I15="○","NOT NULL","")</f>
        <v>NOT NULL</v>
      </c>
      <c r="T15" s="76" t="str">
        <f t="shared" ref="T15:T32" si="6">"-- "&amp;C15</f>
        <v>-- 診療年月</v>
      </c>
      <c r="U15" s="4"/>
      <c r="AA15" s="4"/>
      <c r="AB15" s="4"/>
      <c r="AC15" s="4"/>
      <c r="AD15" s="4"/>
      <c r="AE15" s="4"/>
      <c r="AF15" s="4"/>
      <c r="AG15" s="4"/>
      <c r="AH15" s="4"/>
      <c r="AI15" s="4"/>
      <c r="AJ15" s="76" t="str">
        <f>IF(E15="○",IF(COUNTA(E$13:E15)=1,"",",")&amp;D15,"")</f>
        <v>,shinryo_ym</v>
      </c>
      <c r="AK15" s="4"/>
      <c r="AL15" s="4"/>
      <c r="AM15" s="4"/>
      <c r="AN15" s="4"/>
      <c r="AO15" s="4"/>
      <c r="AP15" s="4"/>
      <c r="AQ15" s="4"/>
      <c r="AR15" s="4"/>
      <c r="AS15" s="76" t="str">
        <f>"COMMENT ON COLUMN "&amp;エンティティ一覧!$O$2&amp;"."&amp;D$8&amp;"."&amp;D15&amp;" IS '"&amp;C15&amp;"';"</f>
        <v>COMMENT ON COLUMN milscm_2023_010.azn_202310_base_mart_shohou.shinryo_ym IS '診療年月';</v>
      </c>
    </row>
    <row r="16" spans="1:45" s="25" customFormat="1">
      <c r="A16" s="4"/>
      <c r="B16" s="21">
        <f t="shared" si="2"/>
        <v>4</v>
      </c>
      <c r="C16" s="13" t="s">
        <v>1737</v>
      </c>
      <c r="D16" s="13" t="s">
        <v>213</v>
      </c>
      <c r="E16" s="7" t="s">
        <v>127</v>
      </c>
      <c r="F16" s="7" t="s">
        <v>1735</v>
      </c>
      <c r="G16" s="7" t="str">
        <f t="shared" si="3"/>
        <v>text</v>
      </c>
      <c r="H16" s="58"/>
      <c r="I16" s="23" t="s">
        <v>127</v>
      </c>
      <c r="J16" s="24" t="s">
        <v>1754</v>
      </c>
      <c r="M16" s="4"/>
      <c r="N16" s="76"/>
      <c r="O16" s="76"/>
      <c r="P16" s="76" t="str">
        <f t="shared" si="4"/>
        <v>,data_kubun</v>
      </c>
      <c r="Q16" s="76" t="str">
        <f t="shared" si="0"/>
        <v>TEXT</v>
      </c>
      <c r="R16" s="76" t="str">
        <f t="shared" si="1"/>
        <v/>
      </c>
      <c r="S16" s="76" t="str">
        <f t="shared" si="5"/>
        <v>NOT NULL</v>
      </c>
      <c r="T16" s="76" t="str">
        <f t="shared" si="6"/>
        <v>-- データ区分</v>
      </c>
      <c r="U16" s="4"/>
      <c r="AA16" s="4"/>
      <c r="AB16" s="4"/>
      <c r="AC16" s="4"/>
      <c r="AD16" s="4"/>
      <c r="AE16" s="4"/>
      <c r="AF16" s="4"/>
      <c r="AG16" s="4"/>
      <c r="AH16" s="4"/>
      <c r="AI16" s="4"/>
      <c r="AJ16" s="76" t="str">
        <f>IF(E16="○",IF(COUNTA(E$13:E16)=1,"",",")&amp;D16,"")</f>
        <v>,data_kubun</v>
      </c>
      <c r="AK16" s="4"/>
      <c r="AL16" s="4"/>
      <c r="AM16" s="4"/>
      <c r="AN16" s="4"/>
      <c r="AO16" s="4"/>
      <c r="AP16" s="4"/>
      <c r="AQ16" s="4"/>
      <c r="AR16" s="4"/>
      <c r="AS16" s="76" t="str">
        <f>"COMMENT ON COLUMN "&amp;エンティティ一覧!$O$2&amp;"."&amp;D$8&amp;"."&amp;D16&amp;" IS '"&amp;C16&amp;"';"</f>
        <v>COMMENT ON COLUMN milscm_2023_010.azn_202310_base_mart_shohou.data_kubun IS 'データ区分';</v>
      </c>
    </row>
    <row r="17" spans="1:45" s="25" customFormat="1">
      <c r="A17" s="4"/>
      <c r="B17" s="21">
        <f t="shared" si="2"/>
        <v>5</v>
      </c>
      <c r="C17" s="13" t="s">
        <v>1738</v>
      </c>
      <c r="D17" s="13" t="s">
        <v>215</v>
      </c>
      <c r="E17" s="7" t="s">
        <v>127</v>
      </c>
      <c r="F17" s="7" t="s">
        <v>1735</v>
      </c>
      <c r="G17" s="7" t="str">
        <f t="shared" si="3"/>
        <v>text</v>
      </c>
      <c r="H17" s="58"/>
      <c r="I17" s="23" t="s">
        <v>127</v>
      </c>
      <c r="J17" s="24" t="s">
        <v>1754</v>
      </c>
      <c r="M17" s="4"/>
      <c r="N17" s="76"/>
      <c r="O17" s="76"/>
      <c r="P17" s="76" t="str">
        <f t="shared" si="4"/>
        <v>,junjo_no</v>
      </c>
      <c r="Q17" s="76" t="str">
        <f t="shared" si="0"/>
        <v>TEXT</v>
      </c>
      <c r="R17" s="76" t="str">
        <f t="shared" si="1"/>
        <v/>
      </c>
      <c r="S17" s="76" t="str">
        <f t="shared" si="5"/>
        <v>NOT NULL</v>
      </c>
      <c r="T17" s="76" t="str">
        <f t="shared" si="6"/>
        <v>-- 順序番号</v>
      </c>
      <c r="U17" s="4"/>
      <c r="AA17" s="4"/>
      <c r="AB17" s="4"/>
      <c r="AC17" s="4"/>
      <c r="AD17" s="4"/>
      <c r="AE17" s="4"/>
      <c r="AF17" s="4"/>
      <c r="AG17" s="4"/>
      <c r="AH17" s="4"/>
      <c r="AI17" s="4"/>
      <c r="AJ17" s="76" t="str">
        <f>IF(E17="○",IF(COUNTA(E$13:E17)=1,"",",")&amp;D17,"")</f>
        <v>,junjo_no</v>
      </c>
      <c r="AK17" s="4"/>
      <c r="AL17" s="4"/>
      <c r="AM17" s="4"/>
      <c r="AN17" s="4"/>
      <c r="AO17" s="4"/>
      <c r="AP17" s="4"/>
      <c r="AQ17" s="4"/>
      <c r="AR17" s="4"/>
      <c r="AS17" s="76" t="str">
        <f>"COMMENT ON COLUMN "&amp;エンティティ一覧!$O$2&amp;"."&amp;D$8&amp;"."&amp;D17&amp;" IS '"&amp;C17&amp;"';"</f>
        <v>COMMENT ON COLUMN milscm_2023_010.azn_202310_base_mart_shohou.junjo_no IS '順序番号';</v>
      </c>
    </row>
    <row r="18" spans="1:45" s="25" customFormat="1" ht="37.5">
      <c r="A18" s="4"/>
      <c r="B18" s="21">
        <f t="shared" si="2"/>
        <v>6</v>
      </c>
      <c r="C18" s="13" t="s">
        <v>1739</v>
      </c>
      <c r="D18" s="13" t="s">
        <v>153</v>
      </c>
      <c r="E18" s="7" t="s">
        <v>127</v>
      </c>
      <c r="F18" s="7" t="s">
        <v>1735</v>
      </c>
      <c r="G18" s="7" t="str">
        <f t="shared" si="3"/>
        <v>text</v>
      </c>
      <c r="H18" s="58"/>
      <c r="I18" s="23" t="s">
        <v>127</v>
      </c>
      <c r="J18" s="24" t="s">
        <v>1755</v>
      </c>
      <c r="M18" s="4"/>
      <c r="N18" s="76"/>
      <c r="O18" s="76"/>
      <c r="P18" s="76" t="str">
        <f t="shared" si="4"/>
        <v>,koi_meisai_no</v>
      </c>
      <c r="Q18" s="76" t="str">
        <f t="shared" si="0"/>
        <v>TEXT</v>
      </c>
      <c r="R18" s="76" t="str">
        <f t="shared" si="1"/>
        <v/>
      </c>
      <c r="S18" s="76" t="str">
        <f t="shared" si="5"/>
        <v>NOT NULL</v>
      </c>
      <c r="T18" s="76" t="str">
        <f t="shared" si="6"/>
        <v>-- 行為明細番号</v>
      </c>
      <c r="U18" s="4"/>
      <c r="AA18" s="4"/>
      <c r="AB18" s="4"/>
      <c r="AC18" s="4"/>
      <c r="AD18" s="4"/>
      <c r="AE18" s="4"/>
      <c r="AF18" s="4"/>
      <c r="AG18" s="4"/>
      <c r="AH18" s="4"/>
      <c r="AI18" s="4"/>
      <c r="AJ18" s="76" t="str">
        <f>IF(E18="○",IF(COUNTA(E$13:E18)=1,"",",")&amp;D18,"")</f>
        <v>,koi_meisai_no</v>
      </c>
      <c r="AK18" s="4"/>
      <c r="AL18" s="4"/>
      <c r="AM18" s="4"/>
      <c r="AN18" s="4"/>
      <c r="AO18" s="4"/>
      <c r="AP18" s="4"/>
      <c r="AQ18" s="4"/>
      <c r="AR18" s="4"/>
      <c r="AS18" s="76" t="str">
        <f>"COMMENT ON COLUMN "&amp;エンティティ一覧!$O$2&amp;"."&amp;D$8&amp;"."&amp;D18&amp;" IS '"&amp;C18&amp;"';"</f>
        <v>COMMENT ON COLUMN milscm_2023_010.azn_202310_base_mart_shohou.koi_meisai_no IS '行為明細番号';</v>
      </c>
    </row>
    <row r="19" spans="1:45" s="25" customFormat="1" ht="37.5">
      <c r="A19" s="4"/>
      <c r="B19" s="21">
        <f t="shared" si="2"/>
        <v>7</v>
      </c>
      <c r="C19" s="13" t="s">
        <v>145</v>
      </c>
      <c r="D19" s="13" t="s">
        <v>154</v>
      </c>
      <c r="E19" s="7"/>
      <c r="F19" s="7" t="s">
        <v>1735</v>
      </c>
      <c r="G19" s="7" t="str">
        <f t="shared" si="3"/>
        <v>text</v>
      </c>
      <c r="H19" s="58"/>
      <c r="I19" s="23"/>
      <c r="J19" s="24" t="s">
        <v>1756</v>
      </c>
      <c r="M19" s="4"/>
      <c r="N19" s="76"/>
      <c r="O19" s="76"/>
      <c r="P19" s="76" t="str">
        <f t="shared" si="4"/>
        <v>,receipt_densan_code</v>
      </c>
      <c r="Q19" s="76" t="str">
        <f t="shared" si="0"/>
        <v>TEXT</v>
      </c>
      <c r="R19" s="76" t="str">
        <f t="shared" si="1"/>
        <v/>
      </c>
      <c r="S19" s="76" t="str">
        <f t="shared" si="5"/>
        <v/>
      </c>
      <c r="T19" s="76" t="str">
        <f t="shared" si="6"/>
        <v>-- レセプト電算処理システム用コード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milscm_2023_010.azn_202310_base_mart_shohou.receipt_densan_code IS 'レセプト電算処理システム用コード';</v>
      </c>
    </row>
    <row r="20" spans="1:45" s="25" customFormat="1">
      <c r="A20" s="4"/>
      <c r="B20" s="21">
        <f t="shared" si="2"/>
        <v>8</v>
      </c>
      <c r="C20" s="13" t="s">
        <v>1740</v>
      </c>
      <c r="D20" s="13" t="s">
        <v>219</v>
      </c>
      <c r="E20" s="7"/>
      <c r="F20" s="7" t="s">
        <v>1735</v>
      </c>
      <c r="G20" s="7" t="str">
        <f t="shared" si="3"/>
        <v>text</v>
      </c>
      <c r="H20" s="58"/>
      <c r="I20" s="23"/>
      <c r="J20" s="24" t="s">
        <v>1754</v>
      </c>
      <c r="M20" s="4"/>
      <c r="N20" s="76"/>
      <c r="O20" s="76"/>
      <c r="P20" s="76" t="str">
        <f t="shared" si="4"/>
        <v>,kaishaku_no</v>
      </c>
      <c r="Q20" s="76" t="str">
        <f t="shared" si="0"/>
        <v>TEXT</v>
      </c>
      <c r="R20" s="76" t="str">
        <f t="shared" si="1"/>
        <v/>
      </c>
      <c r="S20" s="76" t="str">
        <f t="shared" si="5"/>
        <v/>
      </c>
      <c r="T20" s="76" t="str">
        <f t="shared" si="6"/>
        <v>-- 解釈番号</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milscm_2023_010.azn_202310_base_mart_shohou.kaishaku_no IS '解釈番号';</v>
      </c>
    </row>
    <row r="21" spans="1:45" s="25" customFormat="1">
      <c r="A21" s="4"/>
      <c r="B21" s="21">
        <f t="shared" si="2"/>
        <v>9</v>
      </c>
      <c r="C21" s="13" t="s">
        <v>1741</v>
      </c>
      <c r="D21" s="13" t="s">
        <v>129</v>
      </c>
      <c r="E21" s="7"/>
      <c r="F21" s="7" t="s">
        <v>1742</v>
      </c>
      <c r="G21" s="7" t="str">
        <f t="shared" si="3"/>
        <v>numeric</v>
      </c>
      <c r="H21" s="58"/>
      <c r="I21" s="23"/>
      <c r="J21" s="24" t="s">
        <v>1754</v>
      </c>
      <c r="M21" s="4"/>
      <c r="N21" s="76"/>
      <c r="O21" s="76"/>
      <c r="P21" s="76" t="str">
        <f t="shared" si="4"/>
        <v>,shiyoryo</v>
      </c>
      <c r="Q21" s="76" t="str">
        <f t="shared" si="0"/>
        <v>NUMERIC</v>
      </c>
      <c r="R21" s="76" t="str">
        <f t="shared" si="1"/>
        <v/>
      </c>
      <c r="S21" s="76" t="str">
        <f t="shared" si="5"/>
        <v/>
      </c>
      <c r="T21" s="76" t="str">
        <f t="shared" si="6"/>
        <v>-- 使用量</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milscm_2023_010.azn_202310_base_mart_shohou.shiyoryo IS '使用量';</v>
      </c>
    </row>
    <row r="22" spans="1:45" s="25" customFormat="1">
      <c r="A22" s="4"/>
      <c r="B22" s="21">
        <f t="shared" si="2"/>
        <v>10</v>
      </c>
      <c r="C22" s="13" t="s">
        <v>1743</v>
      </c>
      <c r="D22" s="13" t="s">
        <v>275</v>
      </c>
      <c r="E22" s="7"/>
      <c r="F22" s="7" t="s">
        <v>1735</v>
      </c>
      <c r="G22" s="7" t="str">
        <f t="shared" si="3"/>
        <v>text</v>
      </c>
      <c r="H22" s="58"/>
      <c r="I22" s="23"/>
      <c r="J22" s="24" t="s">
        <v>1754</v>
      </c>
      <c r="M22" s="4"/>
      <c r="N22" s="76"/>
      <c r="O22" s="76"/>
      <c r="P22" s="76" t="str">
        <f t="shared" si="4"/>
        <v>,unit</v>
      </c>
      <c r="Q22" s="76" t="str">
        <f t="shared" si="0"/>
        <v>TEXT</v>
      </c>
      <c r="R22" s="76" t="str">
        <f t="shared" si="1"/>
        <v/>
      </c>
      <c r="S22" s="76" t="str">
        <f t="shared" si="5"/>
        <v/>
      </c>
      <c r="T22" s="76" t="str">
        <f t="shared" si="6"/>
        <v>-- 基準単位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milscm_2023_010.azn_202310_base_mart_shohou.unit IS '基準単位';</v>
      </c>
    </row>
    <row r="23" spans="1:45" s="25" customFormat="1">
      <c r="A23" s="4"/>
      <c r="B23" s="21">
        <f t="shared" si="2"/>
        <v>11</v>
      </c>
      <c r="C23" s="13" t="s">
        <v>1744</v>
      </c>
      <c r="D23" s="13" t="s">
        <v>130</v>
      </c>
      <c r="E23" s="7"/>
      <c r="F23" s="7" t="s">
        <v>1742</v>
      </c>
      <c r="G23" s="7" t="str">
        <f t="shared" si="3"/>
        <v>numeric</v>
      </c>
      <c r="H23" s="58"/>
      <c r="I23" s="23"/>
      <c r="J23" s="24" t="s">
        <v>1754</v>
      </c>
      <c r="M23" s="4"/>
      <c r="N23" s="76"/>
      <c r="O23" s="76"/>
      <c r="P23" s="76" t="str">
        <f t="shared" si="4"/>
        <v>,meisai_tensu</v>
      </c>
      <c r="Q23" s="76" t="str">
        <f t="shared" si="0"/>
        <v>NUMERIC</v>
      </c>
      <c r="R23" s="76" t="str">
        <f t="shared" si="1"/>
        <v/>
      </c>
      <c r="S23" s="76" t="str">
        <f t="shared" si="5"/>
        <v/>
      </c>
      <c r="T23" s="76" t="str">
        <f t="shared" si="6"/>
        <v>-- 明細点数・金額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milscm_2023_010.azn_202310_base_mart_shohou.meisai_tensu IS '明細点数・金額';</v>
      </c>
    </row>
    <row r="24" spans="1:45" s="25" customFormat="1" ht="37.5">
      <c r="A24" s="4"/>
      <c r="B24" s="21">
        <f t="shared" si="2"/>
        <v>12</v>
      </c>
      <c r="C24" s="13" t="s">
        <v>1745</v>
      </c>
      <c r="D24" s="13" t="s">
        <v>131</v>
      </c>
      <c r="E24" s="7"/>
      <c r="F24" s="7" t="s">
        <v>1735</v>
      </c>
      <c r="G24" s="7" t="str">
        <f t="shared" si="3"/>
        <v>text</v>
      </c>
      <c r="H24" s="58"/>
      <c r="I24" s="23"/>
      <c r="J24" s="24" t="s">
        <v>1757</v>
      </c>
      <c r="M24" s="4"/>
      <c r="N24" s="76"/>
      <c r="O24" s="76"/>
      <c r="P24" s="76" t="str">
        <f t="shared" si="4"/>
        <v>,ten_kubun</v>
      </c>
      <c r="Q24" s="76" t="str">
        <f t="shared" si="0"/>
        <v>TEXT</v>
      </c>
      <c r="R24" s="76" t="str">
        <f t="shared" si="1"/>
        <v/>
      </c>
      <c r="S24" s="76" t="str">
        <f t="shared" si="5"/>
        <v/>
      </c>
      <c r="T24" s="76" t="str">
        <f t="shared" si="6"/>
        <v>-- 円・点区分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milscm_2023_010.azn_202310_base_mart_shohou.ten_kubun IS '円・点区分';</v>
      </c>
    </row>
    <row r="25" spans="1:45" s="25" customFormat="1">
      <c r="A25" s="4"/>
      <c r="B25" s="21">
        <f t="shared" si="2"/>
        <v>13</v>
      </c>
      <c r="C25" s="13" t="s">
        <v>1746</v>
      </c>
      <c r="D25" s="13" t="s">
        <v>132</v>
      </c>
      <c r="E25" s="7"/>
      <c r="F25" s="7" t="s">
        <v>1735</v>
      </c>
      <c r="G25" s="7" t="str">
        <f t="shared" si="3"/>
        <v>text</v>
      </c>
      <c r="H25" s="58"/>
      <c r="I25" s="23"/>
      <c r="J25" s="24" t="s">
        <v>1754</v>
      </c>
      <c r="M25" s="4"/>
      <c r="N25" s="76"/>
      <c r="O25" s="76"/>
      <c r="P25" s="76" t="str">
        <f t="shared" si="4"/>
        <v>,koi_meisai_kubun</v>
      </c>
      <c r="Q25" s="76" t="str">
        <f t="shared" si="0"/>
        <v>TEXT</v>
      </c>
      <c r="R25" s="76" t="str">
        <f t="shared" si="1"/>
        <v/>
      </c>
      <c r="S25" s="76" t="str">
        <f t="shared" si="5"/>
        <v/>
      </c>
      <c r="T25" s="76" t="str">
        <f t="shared" si="6"/>
        <v>-- 行為明細区分情報</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milscm_2023_010.azn_202310_base_mart_shohou.koi_meisai_kubun IS '行為明細区分情報';</v>
      </c>
    </row>
    <row r="26" spans="1:45" s="25" customFormat="1">
      <c r="A26" s="4"/>
      <c r="B26" s="21">
        <f t="shared" si="2"/>
        <v>14</v>
      </c>
      <c r="C26" s="13" t="s">
        <v>1747</v>
      </c>
      <c r="D26" s="13" t="s">
        <v>133</v>
      </c>
      <c r="E26" s="7"/>
      <c r="F26" s="7" t="s">
        <v>1742</v>
      </c>
      <c r="G26" s="7" t="str">
        <f t="shared" si="3"/>
        <v>numeric</v>
      </c>
      <c r="H26" s="58"/>
      <c r="I26" s="23"/>
      <c r="J26" s="24" t="s">
        <v>1754</v>
      </c>
      <c r="M26" s="4"/>
      <c r="N26" s="76"/>
      <c r="O26" s="76"/>
      <c r="P26" s="76" t="str">
        <f t="shared" si="4"/>
        <v>,koi_times</v>
      </c>
      <c r="Q26" s="76" t="str">
        <f t="shared" si="0"/>
        <v>NUMERIC</v>
      </c>
      <c r="R26" s="76" t="str">
        <f t="shared" si="1"/>
        <v/>
      </c>
      <c r="S26" s="76" t="str">
        <f t="shared" si="5"/>
        <v/>
      </c>
      <c r="T26" s="76" t="str">
        <f t="shared" si="6"/>
        <v>-- 行為回数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milscm_2023_010.azn_202310_base_mart_shohou.koi_times IS '行為回数';</v>
      </c>
    </row>
    <row r="27" spans="1:45" s="25" customFormat="1">
      <c r="A27" s="4"/>
      <c r="B27" s="21">
        <f t="shared" si="2"/>
        <v>15</v>
      </c>
      <c r="C27" s="13" t="s">
        <v>1748</v>
      </c>
      <c r="D27" s="13" t="s">
        <v>232</v>
      </c>
      <c r="E27" s="7"/>
      <c r="F27" s="7" t="s">
        <v>1735</v>
      </c>
      <c r="G27" s="7" t="str">
        <f t="shared" si="3"/>
        <v>text</v>
      </c>
      <c r="H27" s="58"/>
      <c r="I27" s="23"/>
      <c r="J27" s="24" t="s">
        <v>1754</v>
      </c>
      <c r="M27" s="4"/>
      <c r="N27" s="76"/>
      <c r="O27" s="76"/>
      <c r="P27" s="76" t="str">
        <f t="shared" si="4"/>
        <v>,receipt_type_code</v>
      </c>
      <c r="Q27" s="76" t="str">
        <f t="shared" si="0"/>
        <v>TEXT</v>
      </c>
      <c r="R27" s="76" t="str">
        <f t="shared" si="1"/>
        <v/>
      </c>
      <c r="S27" s="76" t="str">
        <f t="shared" si="5"/>
        <v/>
      </c>
      <c r="T27" s="76" t="str">
        <f t="shared" si="6"/>
        <v>-- レセプト種別コード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milscm_2023_010.azn_202310_base_mart_shohou.receipt_type_code IS 'レセプト種別コード';</v>
      </c>
    </row>
    <row r="28" spans="1:45" s="25" customFormat="1">
      <c r="A28" s="4"/>
      <c r="B28" s="21">
        <f t="shared" si="2"/>
        <v>16</v>
      </c>
      <c r="C28" s="13" t="s">
        <v>1749</v>
      </c>
      <c r="D28" s="13" t="s">
        <v>155</v>
      </c>
      <c r="E28" s="7" t="s">
        <v>127</v>
      </c>
      <c r="F28" s="7" t="s">
        <v>1735</v>
      </c>
      <c r="G28" s="7" t="str">
        <f t="shared" si="3"/>
        <v>text</v>
      </c>
      <c r="H28" s="58"/>
      <c r="I28" s="23" t="s">
        <v>127</v>
      </c>
      <c r="J28" s="24" t="s">
        <v>1754</v>
      </c>
      <c r="M28" s="4"/>
      <c r="N28" s="76"/>
      <c r="O28" s="76"/>
      <c r="P28" s="76" t="str">
        <f t="shared" si="4"/>
        <v>,jisshi_ymd</v>
      </c>
      <c r="Q28" s="76" t="str">
        <f t="shared" si="0"/>
        <v>TEXT</v>
      </c>
      <c r="R28" s="76" t="str">
        <f t="shared" si="1"/>
        <v/>
      </c>
      <c r="S28" s="76" t="str">
        <f t="shared" si="5"/>
        <v>NOT NULL</v>
      </c>
      <c r="T28" s="76" t="str">
        <f t="shared" si="6"/>
        <v>-- 実施年月日</v>
      </c>
      <c r="U28" s="4"/>
      <c r="AA28" s="4"/>
      <c r="AB28" s="4"/>
      <c r="AC28" s="4"/>
      <c r="AD28" s="4"/>
      <c r="AE28" s="4"/>
      <c r="AF28" s="4"/>
      <c r="AG28" s="4"/>
      <c r="AH28" s="4"/>
      <c r="AI28" s="4"/>
      <c r="AJ28" s="76" t="str">
        <f>IF(E28="○",IF(COUNTA(E$13:E28)=1,"",",")&amp;D28,"")</f>
        <v>,jisshi_ymd</v>
      </c>
      <c r="AK28" s="4"/>
      <c r="AL28" s="4"/>
      <c r="AM28" s="4"/>
      <c r="AN28" s="4"/>
      <c r="AO28" s="4"/>
      <c r="AP28" s="4"/>
      <c r="AQ28" s="4"/>
      <c r="AR28" s="4"/>
      <c r="AS28" s="76" t="str">
        <f>"COMMENT ON COLUMN "&amp;エンティティ一覧!$O$2&amp;"."&amp;D$8&amp;"."&amp;D28&amp;" IS '"&amp;C28&amp;"';"</f>
        <v>COMMENT ON COLUMN milscm_2023_010.azn_202310_base_mart_shohou.jisshi_ymd IS '実施年月日';</v>
      </c>
    </row>
    <row r="29" spans="1:45" s="25" customFormat="1">
      <c r="A29" s="4"/>
      <c r="B29" s="21">
        <f t="shared" si="2"/>
        <v>17</v>
      </c>
      <c r="C29" s="13" t="s">
        <v>1750</v>
      </c>
      <c r="D29" s="13" t="s">
        <v>234</v>
      </c>
      <c r="E29" s="7"/>
      <c r="F29" s="7" t="s">
        <v>1735</v>
      </c>
      <c r="G29" s="7" t="str">
        <f t="shared" si="3"/>
        <v>text</v>
      </c>
      <c r="H29" s="58"/>
      <c r="I29" s="23"/>
      <c r="J29" s="24" t="s">
        <v>1754</v>
      </c>
      <c r="M29" s="4"/>
      <c r="N29" s="76"/>
      <c r="O29" s="76"/>
      <c r="P29" s="76" t="str">
        <f t="shared" si="4"/>
        <v>,receipt_ka_kubun</v>
      </c>
      <c r="Q29" s="76" t="str">
        <f t="shared" si="0"/>
        <v>TEXT</v>
      </c>
      <c r="R29" s="76" t="str">
        <f t="shared" si="1"/>
        <v/>
      </c>
      <c r="S29" s="76" t="str">
        <f t="shared" si="5"/>
        <v/>
      </c>
      <c r="T29" s="76" t="str">
        <f t="shared" si="6"/>
        <v>-- レセプト科区分</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milscm_2023_010.azn_202310_base_mart_shohou.receipt_ka_kubun IS 'レセプト科区分';</v>
      </c>
    </row>
    <row r="30" spans="1:45" s="25" customFormat="1">
      <c r="A30" s="4"/>
      <c r="B30" s="21">
        <f t="shared" si="2"/>
        <v>18</v>
      </c>
      <c r="C30" s="13" t="s">
        <v>134</v>
      </c>
      <c r="D30" s="13" t="s">
        <v>135</v>
      </c>
      <c r="E30" s="7"/>
      <c r="F30" s="7" t="s">
        <v>1735</v>
      </c>
      <c r="G30" s="7" t="str">
        <f t="shared" si="3"/>
        <v>text</v>
      </c>
      <c r="H30" s="58"/>
      <c r="I30" s="23"/>
      <c r="J30" s="24" t="s">
        <v>1754</v>
      </c>
      <c r="M30" s="4"/>
      <c r="N30" s="76"/>
      <c r="O30" s="76"/>
      <c r="P30" s="76" t="str">
        <f t="shared" si="4"/>
        <v>,department_kubun</v>
      </c>
      <c r="Q30" s="76" t="str">
        <f t="shared" si="0"/>
        <v>TEXT</v>
      </c>
      <c r="R30" s="76" t="str">
        <f t="shared" si="1"/>
        <v/>
      </c>
      <c r="S30" s="76" t="str">
        <f t="shared" si="5"/>
        <v/>
      </c>
      <c r="T30" s="76" t="str">
        <f t="shared" si="6"/>
        <v>-- 診療科区分</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milscm_2023_010.azn_202310_base_mart_shohou.department_kubun IS '診療科区分';</v>
      </c>
    </row>
    <row r="31" spans="1:45" s="25" customFormat="1" ht="37.5">
      <c r="A31" s="4"/>
      <c r="B31" s="21">
        <f t="shared" si="2"/>
        <v>19</v>
      </c>
      <c r="C31" s="13" t="s">
        <v>1751</v>
      </c>
      <c r="D31" s="13" t="s">
        <v>242</v>
      </c>
      <c r="E31" s="7"/>
      <c r="F31" s="7" t="s">
        <v>1735</v>
      </c>
      <c r="G31" s="7" t="str">
        <f t="shared" si="3"/>
        <v>text</v>
      </c>
      <c r="H31" s="58"/>
      <c r="I31" s="23"/>
      <c r="J31" s="24" t="s">
        <v>1758</v>
      </c>
      <c r="M31" s="4"/>
      <c r="N31" s="76"/>
      <c r="O31" s="76"/>
      <c r="P31" s="76" t="str">
        <f t="shared" si="4"/>
        <v>,nyugai_kubun</v>
      </c>
      <c r="Q31" s="76" t="str">
        <f t="shared" si="0"/>
        <v>TEXT</v>
      </c>
      <c r="R31" s="76" t="str">
        <f t="shared" si="1"/>
        <v/>
      </c>
      <c r="S31" s="76" t="str">
        <f t="shared" si="5"/>
        <v/>
      </c>
      <c r="T31" s="76" t="str">
        <f t="shared" si="6"/>
        <v>-- 入外区分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milscm_2023_010.azn_202310_base_mart_shohou.nyugai_kubun IS '入外区分';</v>
      </c>
    </row>
    <row r="32" spans="1:45" s="25" customFormat="1" ht="19.5" thickBot="1">
      <c r="A32" s="4"/>
      <c r="B32" s="27">
        <f>ROW()-12</f>
        <v>20</v>
      </c>
      <c r="C32" s="57" t="s">
        <v>1752</v>
      </c>
      <c r="D32" s="57" t="s">
        <v>1753</v>
      </c>
      <c r="E32" s="56" t="s">
        <v>127</v>
      </c>
      <c r="F32" s="56" t="s">
        <v>203</v>
      </c>
      <c r="G32" s="56" t="str">
        <f t="shared" si="3"/>
        <v>integer</v>
      </c>
      <c r="H32" s="59"/>
      <c r="I32" s="60"/>
      <c r="J32" s="63" t="s">
        <v>1759</v>
      </c>
      <c r="N32" s="76"/>
      <c r="O32" s="76"/>
      <c r="P32" s="76" t="str">
        <f t="shared" si="4"/>
        <v>,seq_no</v>
      </c>
      <c r="Q32" s="76" t="str">
        <f t="shared" si="0"/>
        <v>INTEGER</v>
      </c>
      <c r="R32" s="76" t="str">
        <f t="shared" si="1"/>
        <v/>
      </c>
      <c r="S32" s="76" t="str">
        <f t="shared" si="5"/>
        <v/>
      </c>
      <c r="T32" s="76" t="str">
        <f t="shared" si="6"/>
        <v>-- シーケンス番号</v>
      </c>
      <c r="U32" s="4"/>
      <c r="AA32" s="4"/>
      <c r="AB32" s="4"/>
      <c r="AC32" s="4"/>
      <c r="AD32" s="4"/>
      <c r="AE32" s="4"/>
      <c r="AF32" s="4"/>
      <c r="AG32" s="4"/>
      <c r="AH32" s="4"/>
      <c r="AI32" s="4"/>
      <c r="AJ32" s="76" t="str">
        <f>IF(E32="○",IF(COUNTA(E$13:E32)=1,"",",")&amp;D32,"")</f>
        <v>,seq_no</v>
      </c>
      <c r="AK32" s="4"/>
      <c r="AL32" s="4"/>
      <c r="AM32" s="4"/>
      <c r="AN32" s="4"/>
      <c r="AO32" s="4"/>
      <c r="AP32" s="4"/>
      <c r="AQ32" s="4"/>
      <c r="AR32" s="4"/>
      <c r="AS32" s="76" t="str">
        <f>"COMMENT ON COLUMN "&amp;エンティティ一覧!$O$2&amp;"."&amp;D$8&amp;"."&amp;D32&amp;" IS '"&amp;C32&amp;"';"</f>
        <v>COMMENT ON COLUMN milscm_2023_010.azn_202310_base_mart_shohou.seq_no IS 'シーケンス番号';</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31</v>
      </c>
      <c r="E4" s="248"/>
      <c r="F4" s="248"/>
      <c r="G4" s="248"/>
      <c r="H4" s="248"/>
      <c r="I4" s="248"/>
      <c r="J4" s="249"/>
    </row>
    <row r="5" spans="1:45">
      <c r="B5" s="261" t="s">
        <v>3704</v>
      </c>
      <c r="C5" s="262"/>
      <c r="D5" s="271" t="str">
        <f>VLOOKUP(D7,エンティティ一覧!A1:'エンティティ一覧'!AM10203,7,FALSE)</f>
        <v>base</v>
      </c>
      <c r="E5" s="272"/>
      <c r="F5" s="272"/>
      <c r="G5" s="272"/>
      <c r="H5" s="272"/>
      <c r="I5" s="272"/>
      <c r="J5" s="273"/>
    </row>
    <row r="6" spans="1:45">
      <c r="B6" s="261" t="s">
        <v>3705</v>
      </c>
      <c r="C6" s="262"/>
      <c r="D6" s="271" t="str">
        <f>VLOOKUP(D7,エンティティ一覧!A1:'エンティティ一覧'!AM10203,15,FALSE)</f>
        <v>ENT_31_A1-03</v>
      </c>
      <c r="E6" s="272"/>
      <c r="F6" s="272"/>
      <c r="G6" s="272"/>
      <c r="H6" s="272"/>
      <c r="I6" s="272"/>
      <c r="J6" s="273"/>
    </row>
    <row r="7" spans="1:45">
      <c r="B7" s="261" t="s">
        <v>115</v>
      </c>
      <c r="C7" s="262"/>
      <c r="D7" s="263" t="s">
        <v>3694</v>
      </c>
      <c r="E7" s="264"/>
      <c r="F7" s="264"/>
      <c r="G7" s="264"/>
      <c r="H7" s="264"/>
      <c r="I7" s="264"/>
      <c r="J7" s="265"/>
    </row>
    <row r="8" spans="1:45">
      <c r="B8" s="261" t="s">
        <v>116</v>
      </c>
      <c r="C8" s="262"/>
      <c r="D8" s="263" t="str">
        <f>エンティティ一覧!AE2&amp;"_"&amp;D5&amp;"_mart_shinryou_koui"</f>
        <v>azn_202310_base_mart_shinryou_koui</v>
      </c>
      <c r="E8" s="264"/>
      <c r="F8" s="264"/>
      <c r="G8" s="264"/>
      <c r="H8" s="264"/>
      <c r="I8" s="264"/>
      <c r="J8" s="265"/>
    </row>
    <row r="9" spans="1:45" ht="19.5" customHeight="1" thickBot="1">
      <c r="B9" s="266" t="s">
        <v>117</v>
      </c>
      <c r="C9" s="267"/>
      <c r="D9" s="268" t="str">
        <f>"バックアップ_"&amp;SUBSTITUTE(D7,"ベース_","")&amp;"テーブルから対象患者で絞り込んだ結果を格納するテーブル"</f>
        <v>バックアップ_診療行為データテーブルから対象患者で絞り込んだ結果を格納するテーブル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milscm_2023_010.azn_202310_base_mart_shinryou_koui;</v>
      </c>
      <c r="O10" s="76"/>
      <c r="P10" s="76"/>
      <c r="Q10" s="76"/>
      <c r="R10" s="76"/>
      <c r="S10" s="76"/>
      <c r="T10" s="76"/>
      <c r="AJ10" s="76" t="str">
        <f>"ALTER TABLE ONLY "&amp;エンティティ一覧!$O$2&amp;"."&amp;D$8</f>
        <v>ALTER TABLE ONLY milscm_2023_010.azn_202310_base_mart_shinryou_koui</v>
      </c>
      <c r="AS10" s="76" t="str">
        <f>"ALTER TABLE "&amp;エンティティ一覧!$O$2&amp;"."&amp;D$8&amp;" OWNER TO pgmisgrp1;"</f>
        <v>ALTER TABLE milscm_2023_010.azn_202310_base_mart_shinryou_koui OWNER TO pgmisgrp1;</v>
      </c>
    </row>
    <row r="11" spans="1:45" ht="19.5" thickBot="1">
      <c r="B11" s="20" t="s">
        <v>118</v>
      </c>
      <c r="C11" s="19"/>
      <c r="D11" s="5"/>
      <c r="E11" s="5"/>
      <c r="F11" s="5"/>
      <c r="G11" s="5"/>
      <c r="H11" s="5"/>
      <c r="I11" s="5"/>
      <c r="J11" s="18"/>
      <c r="N11" s="76" t="str">
        <f>"CREATE TABLE  "&amp;エンティティ一覧!$O$2&amp;"."&amp;D$8</f>
        <v>CREATE TABLE  milscm_2023_010.azn_202310_base_mart_shinryou_koui</v>
      </c>
      <c r="O11" s="76"/>
      <c r="P11" s="76"/>
      <c r="Q11" s="76"/>
      <c r="R11" s="76"/>
      <c r="S11" s="76"/>
      <c r="T11" s="76"/>
      <c r="AJ11" s="76" t="str">
        <f>"ADD CONSTRAINT "&amp;D$8&amp;"_pkey PRIMARY KEY"</f>
        <v>ADD CONSTRAINT azn_202310_base_mart_shinryou_koui_pkey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milscm_2023_010.azn_202310_base_mart_shinryou_koui IS 'ベース_診療行為データ';</v>
      </c>
    </row>
    <row r="13" spans="1:45" s="25" customFormat="1">
      <c r="A13" s="4"/>
      <c r="B13" s="21">
        <f>ROW()-12</f>
        <v>1</v>
      </c>
      <c r="C13" s="6" t="s">
        <v>1734</v>
      </c>
      <c r="D13" s="6" t="s">
        <v>209</v>
      </c>
      <c r="E13" s="8" t="s">
        <v>127</v>
      </c>
      <c r="F13" s="8" t="s">
        <v>1735</v>
      </c>
      <c r="G13" s="7" t="str">
        <f>IF(F13="フラグ","boolean",IF(F13="文字列","text",IF(F13="整数","integer",IF(F13="実数","numeric",""))))</f>
        <v>text</v>
      </c>
      <c r="H13" s="9"/>
      <c r="I13" s="10" t="s">
        <v>127</v>
      </c>
      <c r="J13" s="11" t="s">
        <v>1754</v>
      </c>
      <c r="M13" s="4"/>
      <c r="N13" s="76"/>
      <c r="O13" s="76"/>
      <c r="P13" s="76" t="str">
        <f>IF(B13&lt;&gt;1,","&amp;D13,D13)</f>
        <v>shikibetsu_no</v>
      </c>
      <c r="Q13" s="76" t="str">
        <f t="shared" ref="Q13:Q36" si="0">UPPER(G13)</f>
        <v>TEXT</v>
      </c>
      <c r="R13" s="76" t="str">
        <f t="shared" ref="R13:R36"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milscm_2023_010.azn_202310_base_mart_shinryou_koui.shikibetsu_no IS 'データ識別番号';</v>
      </c>
    </row>
    <row r="14" spans="1:45" s="25" customFormat="1">
      <c r="A14" s="4"/>
      <c r="B14" s="21">
        <f t="shared" ref="B14:B35" si="2">ROW()-12</f>
        <v>2</v>
      </c>
      <c r="C14" s="6" t="s">
        <v>137</v>
      </c>
      <c r="D14" s="6" t="s">
        <v>128</v>
      </c>
      <c r="E14" s="8" t="s">
        <v>127</v>
      </c>
      <c r="F14" s="7" t="s">
        <v>1735</v>
      </c>
      <c r="G14" s="7" t="str">
        <f t="shared" ref="G14:G36" si="3">IF(F14="フラグ","boolean",IF(F14="文字列","text",IF(F14="整数","integer",IF(F14="実数","numeric",""))))</f>
        <v>text</v>
      </c>
      <c r="H14" s="26"/>
      <c r="I14" s="10" t="s">
        <v>127</v>
      </c>
      <c r="J14" s="11" t="s">
        <v>1754</v>
      </c>
      <c r="M14" s="4"/>
      <c r="N14" s="76"/>
      <c r="O14" s="76"/>
      <c r="P14" s="76" t="str">
        <f t="shared" ref="P14:P36" si="4">IF(B14&lt;&gt;1,","&amp;D14,D14)</f>
        <v>,facility_id</v>
      </c>
      <c r="Q14" s="76" t="str">
        <f t="shared" si="0"/>
        <v>TEXT</v>
      </c>
      <c r="R14" s="76" t="str">
        <f t="shared" si="1"/>
        <v/>
      </c>
      <c r="S14" s="76" t="str">
        <f>IF(I14="○","NOT NULL","")</f>
        <v>NOT NULL</v>
      </c>
      <c r="T14" s="76" t="str">
        <f>"--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milscm_2023_010.azn_202310_base_mart_shinryou_koui.facility_id IS '施設ID';</v>
      </c>
    </row>
    <row r="15" spans="1:45" s="25" customFormat="1">
      <c r="A15" s="4"/>
      <c r="B15" s="21">
        <f t="shared" si="2"/>
        <v>3</v>
      </c>
      <c r="C15" s="13" t="s">
        <v>1736</v>
      </c>
      <c r="D15" s="13" t="s">
        <v>205</v>
      </c>
      <c r="E15" s="7" t="s">
        <v>127</v>
      </c>
      <c r="F15" s="7" t="s">
        <v>1735</v>
      </c>
      <c r="G15" s="7" t="str">
        <f t="shared" si="3"/>
        <v>text</v>
      </c>
      <c r="H15" s="58"/>
      <c r="I15" s="23" t="s">
        <v>127</v>
      </c>
      <c r="J15" s="24" t="s">
        <v>1754</v>
      </c>
      <c r="M15" s="4"/>
      <c r="N15" s="76"/>
      <c r="O15" s="76"/>
      <c r="P15" s="76" t="str">
        <f t="shared" si="4"/>
        <v>,shinryo_ym</v>
      </c>
      <c r="Q15" s="76" t="str">
        <f t="shared" si="0"/>
        <v>TEXT</v>
      </c>
      <c r="R15" s="76" t="str">
        <f t="shared" si="1"/>
        <v/>
      </c>
      <c r="S15" s="76" t="str">
        <f t="shared" ref="S15:S36" si="5">IF(I15="○","NOT NULL","")</f>
        <v>NOT NULL</v>
      </c>
      <c r="T15" s="76" t="str">
        <f t="shared" ref="T15:T36" si="6">"-- "&amp;C15</f>
        <v>-- 診療年月</v>
      </c>
      <c r="U15" s="4"/>
      <c r="AA15" s="4"/>
      <c r="AB15" s="4"/>
      <c r="AC15" s="4"/>
      <c r="AD15" s="4"/>
      <c r="AE15" s="4"/>
      <c r="AF15" s="4"/>
      <c r="AG15" s="4"/>
      <c r="AH15" s="4"/>
      <c r="AI15" s="4"/>
      <c r="AJ15" s="76" t="str">
        <f>IF(E15="○",IF(COUNTA(E$13:E15)=1,"",",")&amp;D15,"")</f>
        <v>,shinryo_ym</v>
      </c>
      <c r="AK15" s="4"/>
      <c r="AL15" s="4"/>
      <c r="AM15" s="4"/>
      <c r="AN15" s="4"/>
      <c r="AO15" s="4"/>
      <c r="AP15" s="4"/>
      <c r="AQ15" s="4"/>
      <c r="AR15" s="4"/>
      <c r="AS15" s="76" t="str">
        <f>"COMMENT ON COLUMN "&amp;エンティティ一覧!$O$2&amp;"."&amp;D$8&amp;"."&amp;D15&amp;" IS '"&amp;C15&amp;"';"</f>
        <v>COMMENT ON COLUMN milscm_2023_010.azn_202310_base_mart_shinryou_koui.shinryo_ym IS '診療年月';</v>
      </c>
    </row>
    <row r="16" spans="1:45" s="25" customFormat="1">
      <c r="A16" s="4"/>
      <c r="B16" s="21">
        <f t="shared" si="2"/>
        <v>4</v>
      </c>
      <c r="C16" s="13" t="s">
        <v>1737</v>
      </c>
      <c r="D16" s="13" t="s">
        <v>213</v>
      </c>
      <c r="E16" s="7" t="s">
        <v>127</v>
      </c>
      <c r="F16" s="7" t="s">
        <v>1735</v>
      </c>
      <c r="G16" s="7" t="str">
        <f t="shared" si="3"/>
        <v>text</v>
      </c>
      <c r="H16" s="58"/>
      <c r="I16" s="23" t="s">
        <v>127</v>
      </c>
      <c r="J16" s="24" t="s">
        <v>1754</v>
      </c>
      <c r="M16" s="4"/>
      <c r="N16" s="76"/>
      <c r="O16" s="76"/>
      <c r="P16" s="76" t="str">
        <f t="shared" si="4"/>
        <v>,data_kubun</v>
      </c>
      <c r="Q16" s="76" t="str">
        <f t="shared" si="0"/>
        <v>TEXT</v>
      </c>
      <c r="R16" s="76" t="str">
        <f t="shared" si="1"/>
        <v/>
      </c>
      <c r="S16" s="76" t="str">
        <f t="shared" si="5"/>
        <v>NOT NULL</v>
      </c>
      <c r="T16" s="76" t="str">
        <f t="shared" si="6"/>
        <v>-- データ区分</v>
      </c>
      <c r="U16" s="4"/>
      <c r="AA16" s="4"/>
      <c r="AB16" s="4"/>
      <c r="AC16" s="4"/>
      <c r="AD16" s="4"/>
      <c r="AE16" s="4"/>
      <c r="AF16" s="4"/>
      <c r="AG16" s="4"/>
      <c r="AH16" s="4"/>
      <c r="AI16" s="4"/>
      <c r="AJ16" s="76" t="str">
        <f>IF(E16="○",IF(COUNTA(E$13:E16)=1,"",",")&amp;D16,"")</f>
        <v>,data_kubun</v>
      </c>
      <c r="AK16" s="4"/>
      <c r="AL16" s="4"/>
      <c r="AM16" s="4"/>
      <c r="AN16" s="4"/>
      <c r="AO16" s="4"/>
      <c r="AP16" s="4"/>
      <c r="AQ16" s="4"/>
      <c r="AR16" s="4"/>
      <c r="AS16" s="76" t="str">
        <f>"COMMENT ON COLUMN "&amp;エンティティ一覧!$O$2&amp;"."&amp;D$8&amp;"."&amp;D16&amp;" IS '"&amp;C16&amp;"';"</f>
        <v>COMMENT ON COLUMN milscm_2023_010.azn_202310_base_mart_shinryou_koui.data_kubun IS 'データ区分';</v>
      </c>
    </row>
    <row r="17" spans="1:45" s="25" customFormat="1">
      <c r="A17" s="4"/>
      <c r="B17" s="21">
        <f t="shared" si="2"/>
        <v>5</v>
      </c>
      <c r="C17" s="13" t="s">
        <v>1738</v>
      </c>
      <c r="D17" s="13" t="s">
        <v>215</v>
      </c>
      <c r="E17" s="7" t="s">
        <v>127</v>
      </c>
      <c r="F17" s="7" t="s">
        <v>1735</v>
      </c>
      <c r="G17" s="7" t="str">
        <f t="shared" si="3"/>
        <v>text</v>
      </c>
      <c r="H17" s="58"/>
      <c r="I17" s="23" t="s">
        <v>127</v>
      </c>
      <c r="J17" s="24" t="s">
        <v>1754</v>
      </c>
      <c r="M17" s="4"/>
      <c r="N17" s="76"/>
      <c r="O17" s="76"/>
      <c r="P17" s="76" t="str">
        <f t="shared" si="4"/>
        <v>,junjo_no</v>
      </c>
      <c r="Q17" s="76" t="str">
        <f t="shared" si="0"/>
        <v>TEXT</v>
      </c>
      <c r="R17" s="76" t="str">
        <f t="shared" si="1"/>
        <v/>
      </c>
      <c r="S17" s="76" t="str">
        <f t="shared" si="5"/>
        <v>NOT NULL</v>
      </c>
      <c r="T17" s="76" t="str">
        <f t="shared" si="6"/>
        <v>-- 順序番号</v>
      </c>
      <c r="U17" s="4"/>
      <c r="AA17" s="4"/>
      <c r="AB17" s="4"/>
      <c r="AC17" s="4"/>
      <c r="AD17" s="4"/>
      <c r="AE17" s="4"/>
      <c r="AF17" s="4"/>
      <c r="AG17" s="4"/>
      <c r="AH17" s="4"/>
      <c r="AI17" s="4"/>
      <c r="AJ17" s="76" t="str">
        <f>IF(E17="○",IF(COUNTA(E$13:E17)=1,"",",")&amp;D17,"")</f>
        <v>,junjo_no</v>
      </c>
      <c r="AK17" s="4"/>
      <c r="AL17" s="4"/>
      <c r="AM17" s="4"/>
      <c r="AN17" s="4"/>
      <c r="AO17" s="4"/>
      <c r="AP17" s="4"/>
      <c r="AQ17" s="4"/>
      <c r="AR17" s="4"/>
      <c r="AS17" s="76" t="str">
        <f>"COMMENT ON COLUMN "&amp;エンティティ一覧!$O$2&amp;"."&amp;D$8&amp;"."&amp;D17&amp;" IS '"&amp;C17&amp;"';"</f>
        <v>COMMENT ON COLUMN milscm_2023_010.azn_202310_base_mart_shinryou_koui.junjo_no IS '順序番号';</v>
      </c>
    </row>
    <row r="18" spans="1:45" s="25" customFormat="1" ht="37.5">
      <c r="A18" s="4"/>
      <c r="B18" s="21">
        <f t="shared" si="2"/>
        <v>6</v>
      </c>
      <c r="C18" s="13" t="s">
        <v>1739</v>
      </c>
      <c r="D18" s="13" t="s">
        <v>153</v>
      </c>
      <c r="E18" s="7" t="s">
        <v>127</v>
      </c>
      <c r="F18" s="7" t="s">
        <v>1735</v>
      </c>
      <c r="G18" s="7" t="str">
        <f t="shared" si="3"/>
        <v>text</v>
      </c>
      <c r="H18" s="58"/>
      <c r="I18" s="23" t="s">
        <v>127</v>
      </c>
      <c r="J18" s="24" t="s">
        <v>1755</v>
      </c>
      <c r="M18" s="4"/>
      <c r="N18" s="76"/>
      <c r="O18" s="76"/>
      <c r="P18" s="76" t="str">
        <f t="shared" si="4"/>
        <v>,koi_meisai_no</v>
      </c>
      <c r="Q18" s="76" t="str">
        <f t="shared" si="0"/>
        <v>TEXT</v>
      </c>
      <c r="R18" s="76" t="str">
        <f t="shared" si="1"/>
        <v/>
      </c>
      <c r="S18" s="76" t="str">
        <f t="shared" si="5"/>
        <v>NOT NULL</v>
      </c>
      <c r="T18" s="76" t="str">
        <f t="shared" si="6"/>
        <v>-- 行為明細番号</v>
      </c>
      <c r="U18" s="4"/>
      <c r="AA18" s="4"/>
      <c r="AB18" s="4"/>
      <c r="AC18" s="4"/>
      <c r="AD18" s="4"/>
      <c r="AE18" s="4"/>
      <c r="AF18" s="4"/>
      <c r="AG18" s="4"/>
      <c r="AH18" s="4"/>
      <c r="AI18" s="4"/>
      <c r="AJ18" s="76" t="str">
        <f>IF(E18="○",IF(COUNTA(E$13:E18)=1,"",",")&amp;D18,"")</f>
        <v>,koi_meisai_no</v>
      </c>
      <c r="AK18" s="4"/>
      <c r="AL18" s="4"/>
      <c r="AM18" s="4"/>
      <c r="AN18" s="4"/>
      <c r="AO18" s="4"/>
      <c r="AP18" s="4"/>
      <c r="AQ18" s="4"/>
      <c r="AR18" s="4"/>
      <c r="AS18" s="76" t="str">
        <f>"COMMENT ON COLUMN "&amp;エンティティ一覧!$O$2&amp;"."&amp;D$8&amp;"."&amp;D18&amp;" IS '"&amp;C18&amp;"';"</f>
        <v>COMMENT ON COLUMN milscm_2023_010.azn_202310_base_mart_shinryou_koui.koi_meisai_no IS '行為明細番号';</v>
      </c>
    </row>
    <row r="19" spans="1:45" s="25" customFormat="1" ht="37.5">
      <c r="A19" s="4"/>
      <c r="B19" s="21">
        <f t="shared" si="2"/>
        <v>7</v>
      </c>
      <c r="C19" s="13" t="s">
        <v>145</v>
      </c>
      <c r="D19" s="13" t="s">
        <v>154</v>
      </c>
      <c r="E19" s="7"/>
      <c r="F19" s="7" t="s">
        <v>1735</v>
      </c>
      <c r="G19" s="7" t="str">
        <f t="shared" si="3"/>
        <v>text</v>
      </c>
      <c r="H19" s="58"/>
      <c r="I19" s="23"/>
      <c r="J19" s="24" t="s">
        <v>1765</v>
      </c>
      <c r="M19" s="4"/>
      <c r="N19" s="76"/>
      <c r="O19" s="76"/>
      <c r="P19" s="76" t="str">
        <f t="shared" si="4"/>
        <v>,receipt_densan_code</v>
      </c>
      <c r="Q19" s="76" t="str">
        <f t="shared" si="0"/>
        <v>TEXT</v>
      </c>
      <c r="R19" s="76" t="str">
        <f t="shared" si="1"/>
        <v/>
      </c>
      <c r="S19" s="76" t="str">
        <f t="shared" si="5"/>
        <v/>
      </c>
      <c r="T19" s="76" t="str">
        <f t="shared" si="6"/>
        <v>-- レセプト電算処理システム用コード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milscm_2023_010.azn_202310_base_mart_shinryou_koui.receipt_densan_code IS 'レセプト電算処理システム用コード';</v>
      </c>
    </row>
    <row r="20" spans="1:45" s="25" customFormat="1">
      <c r="A20" s="4"/>
      <c r="B20" s="21">
        <f t="shared" si="2"/>
        <v>8</v>
      </c>
      <c r="C20" s="13" t="s">
        <v>1740</v>
      </c>
      <c r="D20" s="13" t="s">
        <v>219</v>
      </c>
      <c r="E20" s="7"/>
      <c r="F20" s="7" t="s">
        <v>1735</v>
      </c>
      <c r="G20" s="7" t="str">
        <f t="shared" si="3"/>
        <v>text</v>
      </c>
      <c r="H20" s="58"/>
      <c r="I20" s="23"/>
      <c r="J20" s="24"/>
      <c r="M20" s="4"/>
      <c r="N20" s="76"/>
      <c r="O20" s="76"/>
      <c r="P20" s="76" t="str">
        <f t="shared" si="4"/>
        <v>,kaishaku_no</v>
      </c>
      <c r="Q20" s="76" t="str">
        <f t="shared" si="0"/>
        <v>TEXT</v>
      </c>
      <c r="R20" s="76" t="str">
        <f t="shared" si="1"/>
        <v/>
      </c>
      <c r="S20" s="76" t="str">
        <f t="shared" si="5"/>
        <v/>
      </c>
      <c r="T20" s="76" t="str">
        <f t="shared" si="6"/>
        <v>-- 解釈番号</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milscm_2023_010.azn_202310_base_mart_shinryou_koui.kaishaku_no IS '解釈番号';</v>
      </c>
    </row>
    <row r="21" spans="1:45" s="25" customFormat="1" ht="37.5">
      <c r="A21" s="4"/>
      <c r="B21" s="21">
        <f t="shared" si="2"/>
        <v>9</v>
      </c>
      <c r="C21" s="13" t="s">
        <v>1741</v>
      </c>
      <c r="D21" s="13" t="s">
        <v>129</v>
      </c>
      <c r="E21" s="7"/>
      <c r="F21" s="7" t="s">
        <v>1742</v>
      </c>
      <c r="G21" s="7" t="str">
        <f t="shared" si="3"/>
        <v>numeric</v>
      </c>
      <c r="H21" s="58"/>
      <c r="I21" s="23"/>
      <c r="J21" s="24" t="s">
        <v>150</v>
      </c>
      <c r="M21" s="4"/>
      <c r="N21" s="76"/>
      <c r="O21" s="76"/>
      <c r="P21" s="76" t="str">
        <f t="shared" si="4"/>
        <v>,shiyoryo</v>
      </c>
      <c r="Q21" s="76" t="str">
        <f t="shared" si="0"/>
        <v>NUMERIC</v>
      </c>
      <c r="R21" s="76" t="str">
        <f t="shared" si="1"/>
        <v/>
      </c>
      <c r="S21" s="76" t="str">
        <f t="shared" si="5"/>
        <v/>
      </c>
      <c r="T21" s="76" t="str">
        <f t="shared" si="6"/>
        <v>-- 使用量</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milscm_2023_010.azn_202310_base_mart_shinryou_koui.shiyoryo IS '使用量';</v>
      </c>
    </row>
    <row r="22" spans="1:45" s="25" customFormat="1">
      <c r="A22" s="4"/>
      <c r="B22" s="21">
        <f t="shared" si="2"/>
        <v>10</v>
      </c>
      <c r="C22" s="13" t="s">
        <v>1743</v>
      </c>
      <c r="D22" s="13" t="s">
        <v>275</v>
      </c>
      <c r="E22" s="7"/>
      <c r="F22" s="7" t="s">
        <v>1735</v>
      </c>
      <c r="G22" s="7" t="str">
        <f t="shared" si="3"/>
        <v>text</v>
      </c>
      <c r="H22" s="58"/>
      <c r="I22" s="23"/>
      <c r="J22" s="24" t="s">
        <v>1766</v>
      </c>
      <c r="M22" s="4"/>
      <c r="N22" s="76"/>
      <c r="O22" s="76"/>
      <c r="P22" s="76" t="str">
        <f t="shared" si="4"/>
        <v>,unit</v>
      </c>
      <c r="Q22" s="76" t="str">
        <f t="shared" si="0"/>
        <v>TEXT</v>
      </c>
      <c r="R22" s="76" t="str">
        <f t="shared" si="1"/>
        <v/>
      </c>
      <c r="S22" s="76" t="str">
        <f t="shared" si="5"/>
        <v/>
      </c>
      <c r="T22" s="76" t="str">
        <f t="shared" si="6"/>
        <v>-- 基準単位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milscm_2023_010.azn_202310_base_mart_shinryou_koui.unit IS '基準単位';</v>
      </c>
    </row>
    <row r="23" spans="1:45" s="25" customFormat="1">
      <c r="A23" s="4"/>
      <c r="B23" s="21">
        <f t="shared" si="2"/>
        <v>11</v>
      </c>
      <c r="C23" s="13" t="s">
        <v>1744</v>
      </c>
      <c r="D23" s="13" t="s">
        <v>130</v>
      </c>
      <c r="E23" s="7"/>
      <c r="F23" s="7" t="s">
        <v>1742</v>
      </c>
      <c r="G23" s="7" t="str">
        <f t="shared" si="3"/>
        <v>numeric</v>
      </c>
      <c r="H23" s="58"/>
      <c r="I23" s="23"/>
      <c r="J23" s="24" t="s">
        <v>1766</v>
      </c>
      <c r="M23" s="4"/>
      <c r="N23" s="76"/>
      <c r="O23" s="76"/>
      <c r="P23" s="76" t="str">
        <f t="shared" si="4"/>
        <v>,meisai_tensu</v>
      </c>
      <c r="Q23" s="76" t="str">
        <f t="shared" si="0"/>
        <v>NUMERIC</v>
      </c>
      <c r="R23" s="76" t="str">
        <f t="shared" si="1"/>
        <v/>
      </c>
      <c r="S23" s="76" t="str">
        <f t="shared" si="5"/>
        <v/>
      </c>
      <c r="T23" s="76" t="str">
        <f t="shared" si="6"/>
        <v>-- 明細点数・金額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milscm_2023_010.azn_202310_base_mart_shinryou_koui.meisai_tensu IS '明細点数・金額';</v>
      </c>
    </row>
    <row r="24" spans="1:45" s="25" customFormat="1" ht="37.5">
      <c r="A24" s="4"/>
      <c r="B24" s="21">
        <f t="shared" si="2"/>
        <v>12</v>
      </c>
      <c r="C24" s="13" t="s">
        <v>1745</v>
      </c>
      <c r="D24" s="13" t="s">
        <v>131</v>
      </c>
      <c r="E24" s="7"/>
      <c r="F24" s="7" t="s">
        <v>1735</v>
      </c>
      <c r="G24" s="7" t="str">
        <f t="shared" si="3"/>
        <v>text</v>
      </c>
      <c r="H24" s="58"/>
      <c r="I24" s="23"/>
      <c r="J24" s="24" t="s">
        <v>1757</v>
      </c>
      <c r="M24" s="4"/>
      <c r="N24" s="76"/>
      <c r="O24" s="76"/>
      <c r="P24" s="76" t="str">
        <f t="shared" si="4"/>
        <v>,ten_kubun</v>
      </c>
      <c r="Q24" s="76" t="str">
        <f t="shared" si="0"/>
        <v>TEXT</v>
      </c>
      <c r="R24" s="76" t="str">
        <f t="shared" si="1"/>
        <v/>
      </c>
      <c r="S24" s="76" t="str">
        <f t="shared" si="5"/>
        <v/>
      </c>
      <c r="T24" s="76" t="str">
        <f t="shared" si="6"/>
        <v>-- 円・点区分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milscm_2023_010.azn_202310_base_mart_shinryou_koui.ten_kubun IS '円・点区分';</v>
      </c>
    </row>
    <row r="25" spans="1:45" s="25" customFormat="1">
      <c r="A25" s="4"/>
      <c r="B25" s="21">
        <f t="shared" si="2"/>
        <v>13</v>
      </c>
      <c r="C25" s="13" t="s">
        <v>1761</v>
      </c>
      <c r="D25" s="13" t="s">
        <v>279</v>
      </c>
      <c r="E25" s="7"/>
      <c r="F25" s="7" t="s">
        <v>1742</v>
      </c>
      <c r="G25" s="7" t="str">
        <f t="shared" si="3"/>
        <v>numeric</v>
      </c>
      <c r="H25" s="58"/>
      <c r="I25" s="23"/>
      <c r="J25" s="24" t="s">
        <v>1766</v>
      </c>
      <c r="M25" s="4"/>
      <c r="N25" s="76"/>
      <c r="O25" s="76"/>
      <c r="P25" s="76" t="str">
        <f t="shared" si="4"/>
        <v>,dekidaka_tensu</v>
      </c>
      <c r="Q25" s="76" t="str">
        <f t="shared" si="0"/>
        <v>NUMERIC</v>
      </c>
      <c r="R25" s="76" t="str">
        <f t="shared" si="1"/>
        <v/>
      </c>
      <c r="S25" s="76" t="str">
        <f t="shared" si="5"/>
        <v/>
      </c>
      <c r="T25" s="76" t="str">
        <f t="shared" si="6"/>
        <v>-- 出来高実績点数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milscm_2023_010.azn_202310_base_mart_shinryou_koui.dekidaka_tensu IS '出来高実績点数';</v>
      </c>
    </row>
    <row r="26" spans="1:45" s="25" customFormat="1" ht="56.25">
      <c r="A26" s="4"/>
      <c r="B26" s="21">
        <f t="shared" si="2"/>
        <v>14</v>
      </c>
      <c r="C26" s="13" t="s">
        <v>1746</v>
      </c>
      <c r="D26" s="13" t="s">
        <v>132</v>
      </c>
      <c r="E26" s="7"/>
      <c r="F26" s="7" t="s">
        <v>1735</v>
      </c>
      <c r="G26" s="7" t="str">
        <f t="shared" si="3"/>
        <v>text</v>
      </c>
      <c r="H26" s="58"/>
      <c r="I26" s="23"/>
      <c r="J26" s="24" t="s">
        <v>1767</v>
      </c>
      <c r="M26" s="4"/>
      <c r="N26" s="76"/>
      <c r="O26" s="76"/>
      <c r="P26" s="76" t="str">
        <f t="shared" si="4"/>
        <v>,koi_meisai_kubun</v>
      </c>
      <c r="Q26" s="76" t="str">
        <f t="shared" si="0"/>
        <v>TEXT</v>
      </c>
      <c r="R26" s="76" t="str">
        <f t="shared" si="1"/>
        <v/>
      </c>
      <c r="S26" s="76" t="str">
        <f t="shared" si="5"/>
        <v/>
      </c>
      <c r="T26" s="76" t="str">
        <f t="shared" si="6"/>
        <v>-- 行為明細区分情報</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milscm_2023_010.azn_202310_base_mart_shinryou_koui.koi_meisai_kubun IS '行為明細区分情報';</v>
      </c>
    </row>
    <row r="27" spans="1:45" s="25" customFormat="1" ht="37.5">
      <c r="A27" s="4"/>
      <c r="B27" s="21">
        <f t="shared" si="2"/>
        <v>15</v>
      </c>
      <c r="C27" s="13" t="s">
        <v>1762</v>
      </c>
      <c r="D27" s="13" t="s">
        <v>223</v>
      </c>
      <c r="E27" s="7"/>
      <c r="F27" s="7" t="s">
        <v>1742</v>
      </c>
      <c r="G27" s="7" t="str">
        <f t="shared" si="3"/>
        <v>numeric</v>
      </c>
      <c r="H27" s="58"/>
      <c r="I27" s="23"/>
      <c r="J27" s="24" t="s">
        <v>1768</v>
      </c>
      <c r="M27" s="4"/>
      <c r="N27" s="76"/>
      <c r="O27" s="76"/>
      <c r="P27" s="76" t="str">
        <f t="shared" si="4"/>
        <v>,koi_tensu</v>
      </c>
      <c r="Q27" s="76" t="str">
        <f t="shared" si="0"/>
        <v>NUMERIC</v>
      </c>
      <c r="R27" s="76" t="str">
        <f t="shared" si="1"/>
        <v/>
      </c>
      <c r="S27" s="76" t="str">
        <f t="shared" si="5"/>
        <v/>
      </c>
      <c r="T27" s="76" t="str">
        <f t="shared" si="6"/>
        <v>-- 行為点数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milscm_2023_010.azn_202310_base_mart_shinryou_koui.koi_tensu IS '行為点数';</v>
      </c>
    </row>
    <row r="28" spans="1:45" s="25" customFormat="1">
      <c r="A28" s="4"/>
      <c r="B28" s="21">
        <f t="shared" si="2"/>
        <v>16</v>
      </c>
      <c r="C28" s="13" t="s">
        <v>1763</v>
      </c>
      <c r="D28" s="13" t="s">
        <v>226</v>
      </c>
      <c r="E28" s="7"/>
      <c r="F28" s="7" t="s">
        <v>1742</v>
      </c>
      <c r="G28" s="7" t="str">
        <f t="shared" si="3"/>
        <v>numeric</v>
      </c>
      <c r="H28" s="58"/>
      <c r="I28" s="23"/>
      <c r="J28" s="24" t="s">
        <v>1766</v>
      </c>
      <c r="M28" s="4"/>
      <c r="N28" s="76"/>
      <c r="O28" s="76"/>
      <c r="P28" s="76" t="str">
        <f t="shared" si="4"/>
        <v>,koi_yakuzai</v>
      </c>
      <c r="Q28" s="76" t="str">
        <f t="shared" si="0"/>
        <v>NUMERIC</v>
      </c>
      <c r="R28" s="76" t="str">
        <f t="shared" si="1"/>
        <v/>
      </c>
      <c r="S28" s="76" t="str">
        <f t="shared" si="5"/>
        <v/>
      </c>
      <c r="T28" s="76" t="str">
        <f t="shared" si="6"/>
        <v>-- 行為薬剤料</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milscm_2023_010.azn_202310_base_mart_shinryou_koui.koi_yakuzai IS '行為薬剤料';</v>
      </c>
    </row>
    <row r="29" spans="1:45" s="25" customFormat="1">
      <c r="A29" s="4"/>
      <c r="B29" s="21">
        <f t="shared" si="2"/>
        <v>17</v>
      </c>
      <c r="C29" s="13" t="s">
        <v>1764</v>
      </c>
      <c r="D29" s="13" t="s">
        <v>228</v>
      </c>
      <c r="E29" s="7"/>
      <c r="F29" s="7" t="s">
        <v>1742</v>
      </c>
      <c r="G29" s="7" t="str">
        <f t="shared" si="3"/>
        <v>numeric</v>
      </c>
      <c r="H29" s="58"/>
      <c r="I29" s="23"/>
      <c r="J29" s="24" t="s">
        <v>1766</v>
      </c>
      <c r="M29" s="4"/>
      <c r="N29" s="76"/>
      <c r="O29" s="76"/>
      <c r="P29" s="76" t="str">
        <f t="shared" si="4"/>
        <v>,koi_zairyo</v>
      </c>
      <c r="Q29" s="76" t="str">
        <f t="shared" si="0"/>
        <v>NUMERIC</v>
      </c>
      <c r="R29" s="76" t="str">
        <f t="shared" si="1"/>
        <v/>
      </c>
      <c r="S29" s="76" t="str">
        <f t="shared" si="5"/>
        <v/>
      </c>
      <c r="T29" s="76" t="str">
        <f t="shared" si="6"/>
        <v>-- 行為材料料</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milscm_2023_010.azn_202310_base_mart_shinryou_koui.koi_zairyo IS '行為材料料';</v>
      </c>
    </row>
    <row r="30" spans="1:45" s="25" customFormat="1">
      <c r="A30" s="4"/>
      <c r="B30" s="21">
        <f t="shared" si="2"/>
        <v>18</v>
      </c>
      <c r="C30" s="13" t="s">
        <v>1747</v>
      </c>
      <c r="D30" s="13" t="s">
        <v>133</v>
      </c>
      <c r="E30" s="7"/>
      <c r="F30" s="7" t="s">
        <v>1742</v>
      </c>
      <c r="G30" s="7" t="str">
        <f t="shared" si="3"/>
        <v>numeric</v>
      </c>
      <c r="H30" s="58"/>
      <c r="I30" s="23"/>
      <c r="J30" s="24" t="s">
        <v>1766</v>
      </c>
      <c r="M30" s="4"/>
      <c r="N30" s="76"/>
      <c r="O30" s="76"/>
      <c r="P30" s="76" t="str">
        <f t="shared" si="4"/>
        <v>,koi_times</v>
      </c>
      <c r="Q30" s="76" t="str">
        <f t="shared" si="0"/>
        <v>NUMERIC</v>
      </c>
      <c r="R30" s="76" t="str">
        <f t="shared" si="1"/>
        <v/>
      </c>
      <c r="S30" s="76" t="str">
        <f t="shared" si="5"/>
        <v/>
      </c>
      <c r="T30" s="76" t="str">
        <f t="shared" si="6"/>
        <v>-- 行為回数</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milscm_2023_010.azn_202310_base_mart_shinryou_koui.koi_times IS '行為回数';</v>
      </c>
    </row>
    <row r="31" spans="1:45" s="25" customFormat="1">
      <c r="A31" s="4"/>
      <c r="B31" s="21">
        <f t="shared" si="2"/>
        <v>19</v>
      </c>
      <c r="C31" s="13" t="s">
        <v>1748</v>
      </c>
      <c r="D31" s="13" t="s">
        <v>232</v>
      </c>
      <c r="E31" s="7"/>
      <c r="F31" s="7" t="s">
        <v>1735</v>
      </c>
      <c r="G31" s="7" t="str">
        <f t="shared" si="3"/>
        <v>text</v>
      </c>
      <c r="H31" s="58"/>
      <c r="I31" s="23"/>
      <c r="J31" s="24" t="s">
        <v>1766</v>
      </c>
      <c r="M31" s="4"/>
      <c r="N31" s="76"/>
      <c r="O31" s="76"/>
      <c r="P31" s="76" t="str">
        <f t="shared" si="4"/>
        <v>,receipt_type_code</v>
      </c>
      <c r="Q31" s="76" t="str">
        <f t="shared" si="0"/>
        <v>TEXT</v>
      </c>
      <c r="R31" s="76" t="str">
        <f t="shared" si="1"/>
        <v/>
      </c>
      <c r="S31" s="76" t="str">
        <f t="shared" si="5"/>
        <v/>
      </c>
      <c r="T31" s="76" t="str">
        <f t="shared" si="6"/>
        <v>-- レセプト種別コード</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milscm_2023_010.azn_202310_base_mart_shinryou_koui.receipt_type_code IS 'レセプト種別コード';</v>
      </c>
    </row>
    <row r="32" spans="1:45" s="25" customFormat="1">
      <c r="A32" s="4"/>
      <c r="B32" s="21">
        <f t="shared" si="2"/>
        <v>20</v>
      </c>
      <c r="C32" s="13" t="s">
        <v>1749</v>
      </c>
      <c r="D32" s="13" t="s">
        <v>155</v>
      </c>
      <c r="E32" s="7" t="s">
        <v>127</v>
      </c>
      <c r="F32" s="7" t="s">
        <v>1735</v>
      </c>
      <c r="G32" s="7" t="str">
        <f t="shared" si="3"/>
        <v>text</v>
      </c>
      <c r="H32" s="58"/>
      <c r="I32" s="23" t="s">
        <v>127</v>
      </c>
      <c r="J32" s="24" t="s">
        <v>1766</v>
      </c>
      <c r="M32" s="4"/>
      <c r="N32" s="76"/>
      <c r="O32" s="76"/>
      <c r="P32" s="76" t="str">
        <f t="shared" si="4"/>
        <v>,jisshi_ymd</v>
      </c>
      <c r="Q32" s="76" t="str">
        <f t="shared" si="0"/>
        <v>TEXT</v>
      </c>
      <c r="R32" s="76" t="str">
        <f t="shared" si="1"/>
        <v/>
      </c>
      <c r="S32" s="76" t="str">
        <f t="shared" si="5"/>
        <v>NOT NULL</v>
      </c>
      <c r="T32" s="76" t="str">
        <f t="shared" si="6"/>
        <v>-- 実施年月日</v>
      </c>
      <c r="U32" s="4"/>
      <c r="AA32" s="4"/>
      <c r="AB32" s="4"/>
      <c r="AC32" s="4"/>
      <c r="AD32" s="4"/>
      <c r="AE32" s="4"/>
      <c r="AF32" s="4"/>
      <c r="AG32" s="4"/>
      <c r="AH32" s="4"/>
      <c r="AI32" s="4"/>
      <c r="AJ32" s="76" t="str">
        <f>IF(E32="○",IF(COUNTA(E$13:E32)=1,"",",")&amp;D32,"")</f>
        <v>,jisshi_ymd</v>
      </c>
      <c r="AK32" s="4"/>
      <c r="AL32" s="4"/>
      <c r="AM32" s="4"/>
      <c r="AN32" s="4"/>
      <c r="AO32" s="4"/>
      <c r="AP32" s="4"/>
      <c r="AQ32" s="4"/>
      <c r="AR32" s="4"/>
      <c r="AS32" s="76" t="str">
        <f>"COMMENT ON COLUMN "&amp;エンティティ一覧!$O$2&amp;"."&amp;D$8&amp;"."&amp;D32&amp;" IS '"&amp;C32&amp;"';"</f>
        <v>COMMENT ON COLUMN milscm_2023_010.azn_202310_base_mart_shinryou_koui.jisshi_ymd IS '実施年月日';</v>
      </c>
    </row>
    <row r="33" spans="1:52" s="25" customFormat="1">
      <c r="A33" s="4"/>
      <c r="B33" s="21">
        <f t="shared" si="2"/>
        <v>21</v>
      </c>
      <c r="C33" s="13" t="s">
        <v>1750</v>
      </c>
      <c r="D33" s="13" t="s">
        <v>234</v>
      </c>
      <c r="E33" s="7"/>
      <c r="F33" s="7" t="s">
        <v>1735</v>
      </c>
      <c r="G33" s="7" t="str">
        <f t="shared" si="3"/>
        <v>text</v>
      </c>
      <c r="H33" s="58"/>
      <c r="I33" s="23"/>
      <c r="J33" s="24" t="s">
        <v>1766</v>
      </c>
      <c r="M33" s="4"/>
      <c r="N33" s="76"/>
      <c r="O33" s="76"/>
      <c r="P33" s="76" t="str">
        <f t="shared" si="4"/>
        <v>,receipt_ka_kubun</v>
      </c>
      <c r="Q33" s="76" t="str">
        <f t="shared" si="0"/>
        <v>TEXT</v>
      </c>
      <c r="R33" s="76" t="str">
        <f t="shared" si="1"/>
        <v/>
      </c>
      <c r="S33" s="76" t="str">
        <f t="shared" si="5"/>
        <v/>
      </c>
      <c r="T33" s="76" t="str">
        <f t="shared" si="6"/>
        <v>-- レセプト科区分</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milscm_2023_010.azn_202310_base_mart_shinryou_koui.receipt_ka_kubun IS 'レセプト科区分';</v>
      </c>
    </row>
    <row r="34" spans="1:52" s="25" customFormat="1">
      <c r="A34" s="4"/>
      <c r="B34" s="21">
        <f t="shared" si="2"/>
        <v>22</v>
      </c>
      <c r="C34" s="13" t="s">
        <v>134</v>
      </c>
      <c r="D34" s="13" t="s">
        <v>135</v>
      </c>
      <c r="E34" s="7"/>
      <c r="F34" s="7" t="s">
        <v>1735</v>
      </c>
      <c r="G34" s="7" t="str">
        <f t="shared" si="3"/>
        <v>text</v>
      </c>
      <c r="H34" s="58"/>
      <c r="I34" s="23"/>
      <c r="J34" s="24" t="s">
        <v>1766</v>
      </c>
      <c r="M34" s="4"/>
      <c r="N34" s="76"/>
      <c r="O34" s="76"/>
      <c r="P34" s="76" t="str">
        <f t="shared" si="4"/>
        <v>,department_kubun</v>
      </c>
      <c r="Q34" s="76" t="str">
        <f t="shared" si="0"/>
        <v>TEXT</v>
      </c>
      <c r="R34" s="76" t="str">
        <f t="shared" si="1"/>
        <v/>
      </c>
      <c r="S34" s="76" t="str">
        <f t="shared" si="5"/>
        <v/>
      </c>
      <c r="T34" s="76" t="str">
        <f t="shared" si="6"/>
        <v>-- 診療科区分</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milscm_2023_010.azn_202310_base_mart_shinryou_koui.department_kubun IS '診療科区分';</v>
      </c>
    </row>
    <row r="35" spans="1:52" s="25" customFormat="1" ht="37.5">
      <c r="A35" s="4"/>
      <c r="B35" s="21">
        <f t="shared" si="2"/>
        <v>23</v>
      </c>
      <c r="C35" s="13" t="s">
        <v>1751</v>
      </c>
      <c r="D35" s="13" t="s">
        <v>242</v>
      </c>
      <c r="E35" s="7"/>
      <c r="F35" s="7" t="s">
        <v>1735</v>
      </c>
      <c r="G35" s="7" t="str">
        <f t="shared" si="3"/>
        <v>text</v>
      </c>
      <c r="H35" s="58"/>
      <c r="I35" s="23"/>
      <c r="J35" s="24" t="s">
        <v>1758</v>
      </c>
      <c r="M35" s="4"/>
      <c r="N35" s="76"/>
      <c r="O35" s="76"/>
      <c r="P35" s="76" t="str">
        <f t="shared" si="4"/>
        <v>,nyugai_kubun</v>
      </c>
      <c r="Q35" s="76" t="str">
        <f t="shared" si="0"/>
        <v>TEXT</v>
      </c>
      <c r="R35" s="76" t="str">
        <f t="shared" si="1"/>
        <v/>
      </c>
      <c r="S35" s="76" t="str">
        <f t="shared" si="5"/>
        <v/>
      </c>
      <c r="T35" s="76" t="str">
        <f t="shared" si="6"/>
        <v>-- 入外区分</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milscm_2023_010.azn_202310_base_mart_shinryou_koui.nyugai_kubun IS '入外区分';</v>
      </c>
    </row>
    <row r="36" spans="1:52" s="25" customFormat="1" ht="19.5" thickBot="1">
      <c r="A36" s="4"/>
      <c r="B36" s="27">
        <f>ROW()-12</f>
        <v>24</v>
      </c>
      <c r="C36" s="57" t="s">
        <v>1752</v>
      </c>
      <c r="D36" s="57" t="s">
        <v>1753</v>
      </c>
      <c r="E36" s="56" t="s">
        <v>127</v>
      </c>
      <c r="F36" s="56" t="s">
        <v>203</v>
      </c>
      <c r="G36" s="56" t="str">
        <f t="shared" si="3"/>
        <v>integer</v>
      </c>
      <c r="H36" s="59"/>
      <c r="I36" s="60"/>
      <c r="J36" s="63" t="s">
        <v>1759</v>
      </c>
      <c r="N36" s="76"/>
      <c r="O36" s="76"/>
      <c r="P36" s="76" t="str">
        <f t="shared" si="4"/>
        <v>,seq_no</v>
      </c>
      <c r="Q36" s="76" t="str">
        <f t="shared" si="0"/>
        <v>INTEGER</v>
      </c>
      <c r="R36" s="76" t="str">
        <f t="shared" si="1"/>
        <v/>
      </c>
      <c r="S36" s="76" t="str">
        <f t="shared" si="5"/>
        <v/>
      </c>
      <c r="T36" s="76" t="str">
        <f t="shared" si="6"/>
        <v>-- シーケンス番号</v>
      </c>
      <c r="U36" s="4"/>
      <c r="AA36" s="4"/>
      <c r="AB36" s="4"/>
      <c r="AC36" s="4"/>
      <c r="AD36" s="4"/>
      <c r="AE36" s="4"/>
      <c r="AF36" s="4"/>
      <c r="AG36" s="4"/>
      <c r="AH36" s="4"/>
      <c r="AI36" s="4"/>
      <c r="AJ36" s="76" t="str">
        <f>IF(E36="○",IF(COUNTA(E$13:E36)=1,"",",")&amp;D36,"")</f>
        <v>,seq_no</v>
      </c>
      <c r="AK36" s="4"/>
      <c r="AL36" s="4"/>
      <c r="AM36" s="4"/>
      <c r="AN36" s="4"/>
      <c r="AO36" s="4"/>
      <c r="AP36" s="4"/>
      <c r="AQ36" s="4"/>
      <c r="AR36" s="4"/>
      <c r="AS36" s="76" t="str">
        <f>"COMMENT ON COLUMN "&amp;エンティティ一覧!$O$2&amp;"."&amp;D$8&amp;"."&amp;D36&amp;" IS '"&amp;C36&amp;"';"</f>
        <v>COMMENT ON COLUMN milscm_2023_010.azn_202310_base_mart_shinryou_koui.seq_no IS 'シーケンス番号';</v>
      </c>
    </row>
    <row r="37" spans="1:52">
      <c r="L37" s="25"/>
      <c r="M37" s="25"/>
      <c r="N37" s="76" t="s">
        <v>142</v>
      </c>
      <c r="O37" s="76"/>
      <c r="P37" s="76"/>
      <c r="Q37" s="76"/>
      <c r="R37" s="76"/>
      <c r="S37" s="76"/>
      <c r="T37" s="76"/>
      <c r="V37" s="25"/>
      <c r="W37" s="25"/>
      <c r="X37" s="25"/>
      <c r="Y37" s="25"/>
      <c r="Z37" s="25"/>
      <c r="AJ37" s="76"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31</v>
      </c>
      <c r="E4" s="248"/>
      <c r="F4" s="248"/>
      <c r="G4" s="248"/>
      <c r="H4" s="248"/>
      <c r="I4" s="248"/>
      <c r="J4" s="249"/>
    </row>
    <row r="5" spans="1:45">
      <c r="B5" s="261" t="s">
        <v>3704</v>
      </c>
      <c r="C5" s="262"/>
      <c r="D5" s="271" t="str">
        <f>VLOOKUP(D7,エンティティ一覧!A1:'エンティティ一覧'!AM10203,7,FALSE)</f>
        <v>base</v>
      </c>
      <c r="E5" s="272"/>
      <c r="F5" s="272"/>
      <c r="G5" s="272"/>
      <c r="H5" s="272"/>
      <c r="I5" s="272"/>
      <c r="J5" s="273"/>
    </row>
    <row r="6" spans="1:45">
      <c r="B6" s="261" t="s">
        <v>3705</v>
      </c>
      <c r="C6" s="262"/>
      <c r="D6" s="271" t="str">
        <f>VLOOKUP(D7,エンティティ一覧!A1:'エンティティ一覧'!AM10203,15,FALSE)</f>
        <v>ENT_31_A1-04</v>
      </c>
      <c r="E6" s="272"/>
      <c r="F6" s="272"/>
      <c r="G6" s="272"/>
      <c r="H6" s="272"/>
      <c r="I6" s="272"/>
      <c r="J6" s="273"/>
    </row>
    <row r="7" spans="1:45">
      <c r="B7" s="261" t="s">
        <v>115</v>
      </c>
      <c r="C7" s="262"/>
      <c r="D7" s="263" t="s">
        <v>4077</v>
      </c>
      <c r="E7" s="264"/>
      <c r="F7" s="264"/>
      <c r="G7" s="264"/>
      <c r="H7" s="264"/>
      <c r="I7" s="264"/>
      <c r="J7" s="265"/>
    </row>
    <row r="8" spans="1:45">
      <c r="B8" s="261" t="s">
        <v>116</v>
      </c>
      <c r="C8" s="262"/>
      <c r="D8" s="263" t="str">
        <f>エンティティ一覧!AE2&amp;"_"&amp;D5&amp;"_mart_shikkan"</f>
        <v>azn_202310_base_mart_shikkan</v>
      </c>
      <c r="E8" s="264"/>
      <c r="F8" s="264"/>
      <c r="G8" s="264"/>
      <c r="H8" s="264"/>
      <c r="I8" s="264"/>
      <c r="J8" s="265"/>
    </row>
    <row r="9" spans="1:45" ht="19.5" customHeight="1" thickBot="1">
      <c r="B9" s="266" t="s">
        <v>117</v>
      </c>
      <c r="C9" s="267"/>
      <c r="D9" s="268" t="str">
        <f>"バックアップ_"&amp;SUBSTITUTE(D7,"ベース_","")&amp;"テーブルから対象患者で絞り込んだ結果を格納するテーブル"</f>
        <v>バックアップ_疾患データテーブルから対象患者で絞り込んだ結果を格納するテーブル</v>
      </c>
      <c r="E9" s="269"/>
      <c r="F9" s="269"/>
      <c r="G9" s="269"/>
      <c r="H9" s="269"/>
      <c r="I9" s="269"/>
      <c r="J9" s="270"/>
    </row>
    <row r="10" spans="1:45">
      <c r="B10" s="19"/>
      <c r="C10" s="19"/>
      <c r="D10" s="5"/>
      <c r="E10" s="5"/>
      <c r="F10" s="5"/>
      <c r="G10" s="5"/>
      <c r="H10" s="5"/>
      <c r="I10" s="5"/>
      <c r="J10" s="18"/>
      <c r="N10" s="97" t="str">
        <f>"--DROP TABLE  "&amp;エンティティ一覧!$O$2&amp;"."&amp;D$8&amp;";"</f>
        <v>--DROP TABLE  milscm_2023_010.azn_202310_base_mart_shikkan;</v>
      </c>
      <c r="O10" s="97"/>
      <c r="P10" s="97"/>
      <c r="Q10" s="97"/>
      <c r="R10" s="97"/>
      <c r="S10" s="97"/>
      <c r="T10" s="97"/>
      <c r="AJ10" s="97" t="str">
        <f>"ALTER TABLE ONLY "&amp;エンティティ一覧!$O$2&amp;"."&amp;D$8</f>
        <v>ALTER TABLE ONLY milscm_2023_010.azn_202310_base_mart_shikkan</v>
      </c>
      <c r="AS10" s="97" t="str">
        <f>"ALTER TABLE "&amp;エンティティ一覧!$O$2&amp;"."&amp;D$8&amp;" OWNER TO pgmisgrp1;"</f>
        <v>ALTER TABLE milscm_2023_010.azn_202310_base_mart_shikkan OWNER TO pgmisgrp1;</v>
      </c>
    </row>
    <row r="11" spans="1:45" ht="19.5" thickBot="1">
      <c r="B11" s="20" t="s">
        <v>118</v>
      </c>
      <c r="C11" s="19"/>
      <c r="D11" s="5"/>
      <c r="E11" s="5"/>
      <c r="F11" s="5"/>
      <c r="G11" s="5"/>
      <c r="H11" s="5"/>
      <c r="I11" s="5"/>
      <c r="J11" s="18"/>
      <c r="N11" s="97" t="str">
        <f>"CREATE TABLE  "&amp;エンティティ一覧!$O$2&amp;"."&amp;D$8</f>
        <v>CREATE TABLE  milscm_2023_010.azn_202310_base_mart_shikkan</v>
      </c>
      <c r="O11" s="97"/>
      <c r="P11" s="97"/>
      <c r="Q11" s="97"/>
      <c r="R11" s="97"/>
      <c r="S11" s="97"/>
      <c r="T11" s="97"/>
      <c r="AJ11" s="97" t="str">
        <f>"ADD CONSTRAINT "&amp;D$8&amp;"_pkey PRIMARY KEY"</f>
        <v>ADD CONSTRAINT azn_202310_base_mart_shikkan_pkey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milscm_2023_010.azn_202310_base_mart_shikkan IS 'ベース_疾患データ';</v>
      </c>
    </row>
    <row r="13" spans="1:45" s="25" customFormat="1">
      <c r="A13" s="4"/>
      <c r="B13" s="21">
        <f>ROW()-12</f>
        <v>1</v>
      </c>
      <c r="C13" s="6" t="s">
        <v>1770</v>
      </c>
      <c r="D13" s="6" t="s">
        <v>199</v>
      </c>
      <c r="E13" s="8"/>
      <c r="F13" s="8" t="s">
        <v>1735</v>
      </c>
      <c r="G13" s="7" t="str">
        <f>IF(F13="フラグ","boolean",IF(F13="文字列","text",IF(F13="整数","integer",IF(F13="実数","numeric",""))))</f>
        <v>text</v>
      </c>
      <c r="H13" s="9"/>
      <c r="I13" s="10" t="s">
        <v>127</v>
      </c>
      <c r="J13" s="11" t="s">
        <v>1782</v>
      </c>
      <c r="M13" s="4"/>
      <c r="N13" s="97"/>
      <c r="O13" s="97"/>
      <c r="P13" s="97" t="str">
        <f>IF(B13&lt;&gt;1,","&amp;D13,D13)</f>
        <v>torikomi_ym</v>
      </c>
      <c r="Q13" s="97" t="str">
        <f t="shared" ref="Q13:Q59" si="0">UPPER(G13)</f>
        <v>TEXT</v>
      </c>
      <c r="R13" s="97" t="str">
        <f t="shared" ref="R13:R59" si="1">IF(H13&lt;&gt;"","default "&amp;IF(G13="text","'"&amp;H13&amp;"'",H13),"")</f>
        <v/>
      </c>
      <c r="S13" s="97" t="str">
        <f>IF(I13="○","NOT NULL","")</f>
        <v>NOT NULL</v>
      </c>
      <c r="T13" s="97" t="str">
        <f>"-- "&amp;C13</f>
        <v>-- 取込年月</v>
      </c>
      <c r="U13" s="4"/>
      <c r="AA13" s="4"/>
      <c r="AB13" s="4"/>
      <c r="AC13" s="4"/>
      <c r="AD13" s="4"/>
      <c r="AE13" s="4"/>
      <c r="AF13" s="4"/>
      <c r="AG13" s="4"/>
      <c r="AH13" s="4"/>
      <c r="AI13" s="4"/>
      <c r="AJ13" s="97" t="str">
        <f>IF(E13="○",IF(COUNTA(E$13:E13)=1,"",",")&amp;D13,"")</f>
        <v/>
      </c>
      <c r="AK13" s="4"/>
      <c r="AL13" s="4"/>
      <c r="AM13" s="4"/>
      <c r="AN13" s="4"/>
      <c r="AO13" s="4"/>
      <c r="AP13" s="4"/>
      <c r="AQ13" s="4"/>
      <c r="AR13" s="4"/>
      <c r="AS13" s="97" t="str">
        <f>"COMMENT ON COLUMN "&amp;エンティティ一覧!$O$2&amp;"."&amp;D$8&amp;"."&amp;D13&amp;" IS '"&amp;C13&amp;"';"</f>
        <v>COMMENT ON COLUMN milscm_2023_010.azn_202310_base_mart_shikkan.torikomi_ym IS '取込年月';</v>
      </c>
    </row>
    <row r="14" spans="1:45" s="25" customFormat="1">
      <c r="A14" s="4"/>
      <c r="B14" s="21">
        <f t="shared" ref="B14:B58" si="2">ROW()-12</f>
        <v>2</v>
      </c>
      <c r="C14" s="6" t="s">
        <v>137</v>
      </c>
      <c r="D14" s="6" t="s">
        <v>128</v>
      </c>
      <c r="E14" s="8" t="s">
        <v>127</v>
      </c>
      <c r="F14" s="7" t="s">
        <v>1735</v>
      </c>
      <c r="G14" s="7" t="str">
        <f t="shared" ref="G14:G59" si="3">IF(F14="フラグ","boolean",IF(F14="文字列","text",IF(F14="整数","integer",IF(F14="実数","numeric",""))))</f>
        <v>text</v>
      </c>
      <c r="H14" s="26"/>
      <c r="I14" s="10" t="s">
        <v>127</v>
      </c>
      <c r="J14" s="11" t="s">
        <v>1783</v>
      </c>
      <c r="M14" s="4"/>
      <c r="N14" s="97"/>
      <c r="O14" s="97"/>
      <c r="P14" s="97" t="str">
        <f t="shared" ref="P14:P59" si="4">IF(B14&lt;&gt;1,","&amp;D14,D14)</f>
        <v>,facility_id</v>
      </c>
      <c r="Q14" s="97" t="str">
        <f t="shared" si="0"/>
        <v>TEXT</v>
      </c>
      <c r="R14" s="97" t="str">
        <f t="shared" si="1"/>
        <v/>
      </c>
      <c r="S14" s="97" t="str">
        <f>IF(I14="○","NOT NULL","")</f>
        <v>NOT NULL</v>
      </c>
      <c r="T14" s="97" t="str">
        <f>"-- "&amp;C14</f>
        <v>-- 施設ID</v>
      </c>
      <c r="U14" s="4"/>
      <c r="AA14" s="4"/>
      <c r="AB14" s="4"/>
      <c r="AC14" s="4"/>
      <c r="AD14" s="4"/>
      <c r="AE14" s="4"/>
      <c r="AF14" s="4"/>
      <c r="AG14" s="4"/>
      <c r="AH14" s="4"/>
      <c r="AI14" s="4"/>
      <c r="AJ14" s="97" t="str">
        <f>IF(E14="○",IF(COUNTA(E$13:E14)=1,"",",")&amp;D14,"")</f>
        <v>facility_id</v>
      </c>
      <c r="AK14" s="4"/>
      <c r="AL14" s="4"/>
      <c r="AM14" s="4"/>
      <c r="AN14" s="4"/>
      <c r="AO14" s="4"/>
      <c r="AP14" s="4"/>
      <c r="AQ14" s="4"/>
      <c r="AR14" s="4"/>
      <c r="AS14" s="97" t="str">
        <f>"COMMENT ON COLUMN "&amp;エンティティ一覧!$O$2&amp;"."&amp;D$8&amp;"."&amp;D14&amp;" IS '"&amp;C14&amp;"';"</f>
        <v>COMMENT ON COLUMN milscm_2023_010.azn_202310_base_mart_shikkan.facility_id IS '施設ID';</v>
      </c>
    </row>
    <row r="15" spans="1:45" s="25" customFormat="1">
      <c r="A15" s="4"/>
      <c r="B15" s="21">
        <f t="shared" si="2"/>
        <v>3</v>
      </c>
      <c r="C15" s="13" t="s">
        <v>1771</v>
      </c>
      <c r="D15" s="13" t="s">
        <v>903</v>
      </c>
      <c r="E15" s="7" t="s">
        <v>127</v>
      </c>
      <c r="F15" s="7" t="s">
        <v>1735</v>
      </c>
      <c r="G15" s="7" t="str">
        <f t="shared" si="3"/>
        <v>text</v>
      </c>
      <c r="H15" s="58"/>
      <c r="I15" s="23" t="s">
        <v>127</v>
      </c>
      <c r="J15" s="24" t="s">
        <v>1784</v>
      </c>
      <c r="M15" s="4"/>
      <c r="N15" s="97"/>
      <c r="O15" s="97"/>
      <c r="P15" s="97" t="str">
        <f t="shared" si="4"/>
        <v>,seikyu_ym</v>
      </c>
      <c r="Q15" s="97" t="str">
        <f t="shared" si="0"/>
        <v>TEXT</v>
      </c>
      <c r="R15" s="97" t="str">
        <f t="shared" si="1"/>
        <v/>
      </c>
      <c r="S15" s="97" t="str">
        <f t="shared" ref="S15:S59" si="5">IF(I15="○","NOT NULL","")</f>
        <v>NOT NULL</v>
      </c>
      <c r="T15" s="97" t="str">
        <f t="shared" ref="T15:T59" si="6">"-- "&amp;C15</f>
        <v>-- 請求年月</v>
      </c>
      <c r="U15" s="4"/>
      <c r="AA15" s="4"/>
      <c r="AB15" s="4"/>
      <c r="AC15" s="4"/>
      <c r="AD15" s="4"/>
      <c r="AE15" s="4"/>
      <c r="AF15" s="4"/>
      <c r="AG15" s="4"/>
      <c r="AH15" s="4"/>
      <c r="AI15" s="4"/>
      <c r="AJ15" s="97" t="str">
        <f>IF(E15="○",IF(COUNTA(E$13:E15)=1,"",",")&amp;D15,"")</f>
        <v>,seikyu_ym</v>
      </c>
      <c r="AK15" s="4"/>
      <c r="AL15" s="4"/>
      <c r="AM15" s="4"/>
      <c r="AN15" s="4"/>
      <c r="AO15" s="4"/>
      <c r="AP15" s="4"/>
      <c r="AQ15" s="4"/>
      <c r="AR15" s="4"/>
      <c r="AS15" s="97" t="str">
        <f>"COMMENT ON COLUMN "&amp;エンティティ一覧!$O$2&amp;"."&amp;D$8&amp;"."&amp;D15&amp;" IS '"&amp;C15&amp;"';"</f>
        <v>COMMENT ON COLUMN milscm_2023_010.azn_202310_base_mart_shikkan.seikyu_ym IS '請求年月';</v>
      </c>
    </row>
    <row r="16" spans="1:45" s="25" customFormat="1">
      <c r="A16" s="4"/>
      <c r="B16" s="21">
        <f t="shared" si="2"/>
        <v>4</v>
      </c>
      <c r="C16" s="13" t="s">
        <v>1736</v>
      </c>
      <c r="D16" s="13" t="s">
        <v>205</v>
      </c>
      <c r="E16" s="7" t="s">
        <v>127</v>
      </c>
      <c r="F16" s="7" t="s">
        <v>1735</v>
      </c>
      <c r="G16" s="7" t="str">
        <f t="shared" si="3"/>
        <v>text</v>
      </c>
      <c r="H16" s="58"/>
      <c r="I16" s="23" t="s">
        <v>127</v>
      </c>
      <c r="J16" s="24" t="s">
        <v>1785</v>
      </c>
      <c r="M16" s="4"/>
      <c r="N16" s="97"/>
      <c r="O16" s="97"/>
      <c r="P16" s="97" t="str">
        <f t="shared" si="4"/>
        <v>,shinryo_ym</v>
      </c>
      <c r="Q16" s="97" t="str">
        <f t="shared" si="0"/>
        <v>TEXT</v>
      </c>
      <c r="R16" s="97" t="str">
        <f t="shared" si="1"/>
        <v/>
      </c>
      <c r="S16" s="97" t="str">
        <f t="shared" si="5"/>
        <v>NOT NULL</v>
      </c>
      <c r="T16" s="97" t="str">
        <f t="shared" si="6"/>
        <v>-- 診療年月</v>
      </c>
      <c r="U16" s="4"/>
      <c r="AA16" s="4"/>
      <c r="AB16" s="4"/>
      <c r="AC16" s="4"/>
      <c r="AD16" s="4"/>
      <c r="AE16" s="4"/>
      <c r="AF16" s="4"/>
      <c r="AG16" s="4"/>
      <c r="AH16" s="4"/>
      <c r="AI16" s="4"/>
      <c r="AJ16" s="97" t="str">
        <f>IF(E16="○",IF(COUNTA(E$13:E16)=1,"",",")&amp;D16,"")</f>
        <v>,shinryo_ym</v>
      </c>
      <c r="AK16" s="4"/>
      <c r="AL16" s="4"/>
      <c r="AM16" s="4"/>
      <c r="AN16" s="4"/>
      <c r="AO16" s="4"/>
      <c r="AP16" s="4"/>
      <c r="AQ16" s="4"/>
      <c r="AR16" s="4"/>
      <c r="AS16" s="97" t="str">
        <f>"COMMENT ON COLUMN "&amp;エンティティ一覧!$O$2&amp;"."&amp;D$8&amp;"."&amp;D16&amp;" IS '"&amp;C16&amp;"';"</f>
        <v>COMMENT ON COLUMN milscm_2023_010.azn_202310_base_mart_shikkan.shinryo_ym IS '診療年月';</v>
      </c>
    </row>
    <row r="17" spans="1:45" s="25" customFormat="1">
      <c r="A17" s="4"/>
      <c r="B17" s="21">
        <f t="shared" si="2"/>
        <v>5</v>
      </c>
      <c r="C17" s="13" t="s">
        <v>318</v>
      </c>
      <c r="D17" s="13" t="s">
        <v>207</v>
      </c>
      <c r="E17" s="7"/>
      <c r="F17" s="7" t="s">
        <v>1735</v>
      </c>
      <c r="G17" s="7" t="str">
        <f t="shared" si="3"/>
        <v>text</v>
      </c>
      <c r="H17" s="58" t="s">
        <v>930</v>
      </c>
      <c r="I17" s="23" t="s">
        <v>127</v>
      </c>
      <c r="J17" s="24" t="s">
        <v>1786</v>
      </c>
      <c r="M17" s="4"/>
      <c r="N17" s="97"/>
      <c r="O17" s="97"/>
      <c r="P17" s="97" t="str">
        <f t="shared" si="4"/>
        <v>,data_type</v>
      </c>
      <c r="Q17" s="97" t="str">
        <f t="shared" si="0"/>
        <v>TEXT</v>
      </c>
      <c r="R17" s="97" t="str">
        <f t="shared" si="1"/>
        <v>default 'RCP'</v>
      </c>
      <c r="S17" s="97" t="str">
        <f t="shared" si="5"/>
        <v>NOT NULL</v>
      </c>
      <c r="T17" s="97" t="str">
        <f t="shared" si="6"/>
        <v>-- データ種別</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milscm_2023_010.azn_202310_base_mart_shikkan.data_type IS 'データ種別';</v>
      </c>
    </row>
    <row r="18" spans="1:45" s="25" customFormat="1">
      <c r="A18" s="4"/>
      <c r="B18" s="21">
        <f t="shared" si="2"/>
        <v>6</v>
      </c>
      <c r="C18" s="13" t="s">
        <v>904</v>
      </c>
      <c r="D18" s="13" t="s">
        <v>905</v>
      </c>
      <c r="E18" s="7" t="s">
        <v>127</v>
      </c>
      <c r="F18" s="7" t="s">
        <v>1735</v>
      </c>
      <c r="G18" s="7" t="str">
        <f t="shared" si="3"/>
        <v>text</v>
      </c>
      <c r="H18" s="58"/>
      <c r="I18" s="23" t="s">
        <v>127</v>
      </c>
      <c r="J18" s="24" t="s">
        <v>1055</v>
      </c>
      <c r="M18" s="4"/>
      <c r="N18" s="97"/>
      <c r="O18" s="97"/>
      <c r="P18" s="97" t="str">
        <f t="shared" si="4"/>
        <v>,shinsa_kikan</v>
      </c>
      <c r="Q18" s="97" t="str">
        <f t="shared" si="0"/>
        <v>TEXT</v>
      </c>
      <c r="R18" s="97" t="str">
        <f t="shared" si="1"/>
        <v/>
      </c>
      <c r="S18" s="97" t="str">
        <f t="shared" si="5"/>
        <v>NOT NULL</v>
      </c>
      <c r="T18" s="97" t="str">
        <f t="shared" si="6"/>
        <v>-- 審査支払機関</v>
      </c>
      <c r="U18" s="4"/>
      <c r="AA18" s="4"/>
      <c r="AB18" s="4"/>
      <c r="AC18" s="4"/>
      <c r="AD18" s="4"/>
      <c r="AE18" s="4"/>
      <c r="AF18" s="4"/>
      <c r="AG18" s="4"/>
      <c r="AH18" s="4"/>
      <c r="AI18" s="4"/>
      <c r="AJ18" s="97" t="str">
        <f>IF(E18="○",IF(COUNTA(E$13:E18)=1,"",",")&amp;D18,"")</f>
        <v>,shinsa_kikan</v>
      </c>
      <c r="AK18" s="4"/>
      <c r="AL18" s="4"/>
      <c r="AM18" s="4"/>
      <c r="AN18" s="4"/>
      <c r="AO18" s="4"/>
      <c r="AP18" s="4"/>
      <c r="AQ18" s="4"/>
      <c r="AR18" s="4"/>
      <c r="AS18" s="97" t="str">
        <f>"COMMENT ON COLUMN "&amp;エンティティ一覧!$O$2&amp;"."&amp;D$8&amp;"."&amp;D18&amp;" IS '"&amp;C18&amp;"';"</f>
        <v>COMMENT ON COLUMN milscm_2023_010.azn_202310_base_mart_shikkan.shinsa_kikan IS '審査支払機関';</v>
      </c>
    </row>
    <row r="19" spans="1:45" s="25" customFormat="1" ht="56.25">
      <c r="A19" s="4"/>
      <c r="B19" s="21">
        <f t="shared" si="2"/>
        <v>7</v>
      </c>
      <c r="C19" s="13" t="s">
        <v>1772</v>
      </c>
      <c r="D19" s="13" t="s">
        <v>1773</v>
      </c>
      <c r="E19" s="7" t="s">
        <v>127</v>
      </c>
      <c r="F19" s="7" t="s">
        <v>1735</v>
      </c>
      <c r="G19" s="7" t="str">
        <f t="shared" si="3"/>
        <v>text</v>
      </c>
      <c r="H19" s="58"/>
      <c r="I19" s="23" t="s">
        <v>127</v>
      </c>
      <c r="J19" s="24" t="s">
        <v>1787</v>
      </c>
      <c r="M19" s="4"/>
      <c r="N19" s="97"/>
      <c r="O19" s="97"/>
      <c r="P19" s="97" t="str">
        <f t="shared" si="4"/>
        <v>,jyouhoumoto_kubun</v>
      </c>
      <c r="Q19" s="97" t="str">
        <f t="shared" si="0"/>
        <v>TEXT</v>
      </c>
      <c r="R19" s="97" t="str">
        <f t="shared" si="1"/>
        <v/>
      </c>
      <c r="S19" s="97" t="str">
        <f t="shared" si="5"/>
        <v>NOT NULL</v>
      </c>
      <c r="T19" s="97" t="str">
        <f t="shared" si="6"/>
        <v>-- 情報元区分</v>
      </c>
      <c r="U19" s="4"/>
      <c r="AA19" s="4"/>
      <c r="AB19" s="4"/>
      <c r="AC19" s="4"/>
      <c r="AD19" s="4"/>
      <c r="AE19" s="4"/>
      <c r="AF19" s="4"/>
      <c r="AG19" s="4"/>
      <c r="AH19" s="4"/>
      <c r="AI19" s="4"/>
      <c r="AJ19" s="97" t="str">
        <f>IF(E19="○",IF(COUNTA(E$13:E19)=1,"",",")&amp;D19,"")</f>
        <v>,jyouhoumoto_kubun</v>
      </c>
      <c r="AK19" s="4"/>
      <c r="AL19" s="4"/>
      <c r="AM19" s="4"/>
      <c r="AN19" s="4"/>
      <c r="AO19" s="4"/>
      <c r="AP19" s="4"/>
      <c r="AQ19" s="4"/>
      <c r="AR19" s="4"/>
      <c r="AS19" s="97" t="str">
        <f>"COMMENT ON COLUMN "&amp;エンティティ一覧!$O$2&amp;"."&amp;D$8&amp;"."&amp;D19&amp;" IS '"&amp;C19&amp;"';"</f>
        <v>COMMENT ON COLUMN milscm_2023_010.azn_202310_base_mart_shikkan.jyouhoumoto_kubun IS '情報元区分';</v>
      </c>
    </row>
    <row r="20" spans="1:45" s="25" customFormat="1">
      <c r="A20" s="4"/>
      <c r="B20" s="21">
        <f t="shared" si="2"/>
        <v>8</v>
      </c>
      <c r="C20" s="13" t="s">
        <v>1774</v>
      </c>
      <c r="D20" s="13" t="s">
        <v>909</v>
      </c>
      <c r="E20" s="7" t="s">
        <v>127</v>
      </c>
      <c r="F20" s="7" t="s">
        <v>203</v>
      </c>
      <c r="G20" s="7" t="str">
        <f t="shared" si="3"/>
        <v>integer</v>
      </c>
      <c r="H20" s="58"/>
      <c r="I20" s="23" t="s">
        <v>127</v>
      </c>
      <c r="J20" s="24" t="s">
        <v>1788</v>
      </c>
      <c r="M20" s="4"/>
      <c r="N20" s="97"/>
      <c r="O20" s="97"/>
      <c r="P20" s="97" t="str">
        <f t="shared" si="4"/>
        <v>,receipt_no</v>
      </c>
      <c r="Q20" s="97" t="str">
        <f t="shared" si="0"/>
        <v>INTEGER</v>
      </c>
      <c r="R20" s="97" t="str">
        <f t="shared" si="1"/>
        <v/>
      </c>
      <c r="S20" s="97" t="str">
        <f t="shared" si="5"/>
        <v>NOT NULL</v>
      </c>
      <c r="T20" s="97" t="str">
        <f t="shared" si="6"/>
        <v>-- レセプト番号</v>
      </c>
      <c r="U20" s="4"/>
      <c r="AA20" s="4"/>
      <c r="AB20" s="4"/>
      <c r="AC20" s="4"/>
      <c r="AD20" s="4"/>
      <c r="AE20" s="4"/>
      <c r="AF20" s="4"/>
      <c r="AG20" s="4"/>
      <c r="AH20" s="4"/>
      <c r="AI20" s="4"/>
      <c r="AJ20" s="97" t="str">
        <f>IF(E20="○",IF(COUNTA(E$13:E20)=1,"",",")&amp;D20,"")</f>
        <v>,receipt_no</v>
      </c>
      <c r="AK20" s="4"/>
      <c r="AL20" s="4"/>
      <c r="AM20" s="4"/>
      <c r="AN20" s="4"/>
      <c r="AO20" s="4"/>
      <c r="AP20" s="4"/>
      <c r="AQ20" s="4"/>
      <c r="AR20" s="4"/>
      <c r="AS20" s="97" t="str">
        <f>"COMMENT ON COLUMN "&amp;エンティティ一覧!$O$2&amp;"."&amp;D$8&amp;"."&amp;D20&amp;" IS '"&amp;C20&amp;"';"</f>
        <v>COMMENT ON COLUMN milscm_2023_010.azn_202310_base_mart_shikkan.receipt_no IS 'レセプト番号';</v>
      </c>
    </row>
    <row r="21" spans="1:45" s="25" customFormat="1">
      <c r="A21" s="4"/>
      <c r="B21" s="21">
        <f t="shared" si="2"/>
        <v>9</v>
      </c>
      <c r="C21" s="13" t="s">
        <v>1775</v>
      </c>
      <c r="D21" s="13" t="s">
        <v>911</v>
      </c>
      <c r="E21" s="7" t="s">
        <v>127</v>
      </c>
      <c r="F21" s="7" t="s">
        <v>203</v>
      </c>
      <c r="G21" s="7" t="str">
        <f t="shared" si="3"/>
        <v>integer</v>
      </c>
      <c r="H21" s="58"/>
      <c r="I21" s="23" t="s">
        <v>127</v>
      </c>
      <c r="J21" s="24" t="s">
        <v>1789</v>
      </c>
      <c r="M21" s="4"/>
      <c r="N21" s="97"/>
      <c r="O21" s="97"/>
      <c r="P21" s="97" t="str">
        <f t="shared" si="4"/>
        <v>,gyo_no</v>
      </c>
      <c r="Q21" s="97" t="str">
        <f t="shared" si="0"/>
        <v>INTEGER</v>
      </c>
      <c r="R21" s="97" t="str">
        <f t="shared" si="1"/>
        <v/>
      </c>
      <c r="S21" s="97" t="str">
        <f t="shared" si="5"/>
        <v>NOT NULL</v>
      </c>
      <c r="T21" s="97" t="str">
        <f t="shared" si="6"/>
        <v>-- 行番号</v>
      </c>
      <c r="U21" s="4"/>
      <c r="AA21" s="4"/>
      <c r="AB21" s="4"/>
      <c r="AC21" s="4"/>
      <c r="AD21" s="4"/>
      <c r="AE21" s="4"/>
      <c r="AF21" s="4"/>
      <c r="AG21" s="4"/>
      <c r="AH21" s="4"/>
      <c r="AI21" s="4"/>
      <c r="AJ21" s="97" t="str">
        <f>IF(E21="○",IF(COUNTA(E$13:E21)=1,"",",")&amp;D21,"")</f>
        <v>,gyo_no</v>
      </c>
      <c r="AK21" s="4"/>
      <c r="AL21" s="4"/>
      <c r="AM21" s="4"/>
      <c r="AN21" s="4"/>
      <c r="AO21" s="4"/>
      <c r="AP21" s="4"/>
      <c r="AQ21" s="4"/>
      <c r="AR21" s="4"/>
      <c r="AS21" s="97" t="str">
        <f>"COMMENT ON COLUMN "&amp;エンティティ一覧!$O$2&amp;"."&amp;D$8&amp;"."&amp;D21&amp;" IS '"&amp;C21&amp;"';"</f>
        <v>COMMENT ON COLUMN milscm_2023_010.azn_202310_base_mart_shikkan.gyo_no IS '行番号';</v>
      </c>
    </row>
    <row r="22" spans="1:45" s="25" customFormat="1">
      <c r="A22" s="4"/>
      <c r="B22" s="21">
        <f t="shared" si="2"/>
        <v>10</v>
      </c>
      <c r="C22" s="13" t="s">
        <v>1776</v>
      </c>
      <c r="D22" s="13" t="s">
        <v>913</v>
      </c>
      <c r="E22" s="7" t="s">
        <v>127</v>
      </c>
      <c r="F22" s="7" t="s">
        <v>1735</v>
      </c>
      <c r="G22" s="7" t="str">
        <f t="shared" si="3"/>
        <v>text</v>
      </c>
      <c r="H22" s="58"/>
      <c r="I22" s="23" t="s">
        <v>127</v>
      </c>
      <c r="J22" s="24" t="s">
        <v>1790</v>
      </c>
      <c r="M22" s="4"/>
      <c r="N22" s="97"/>
      <c r="O22" s="97"/>
      <c r="P22" s="97" t="str">
        <f t="shared" si="4"/>
        <v>,karute_no</v>
      </c>
      <c r="Q22" s="97" t="str">
        <f t="shared" si="0"/>
        <v>TEXT</v>
      </c>
      <c r="R22" s="97" t="str">
        <f t="shared" si="1"/>
        <v/>
      </c>
      <c r="S22" s="97" t="str">
        <f t="shared" si="5"/>
        <v>NOT NULL</v>
      </c>
      <c r="T22" s="97" t="str">
        <f t="shared" si="6"/>
        <v>-- カルテ番号等</v>
      </c>
      <c r="U22" s="4"/>
      <c r="AA22" s="4"/>
      <c r="AB22" s="4"/>
      <c r="AC22" s="4"/>
      <c r="AD22" s="4"/>
      <c r="AE22" s="4"/>
      <c r="AF22" s="4"/>
      <c r="AG22" s="4"/>
      <c r="AH22" s="4"/>
      <c r="AI22" s="4"/>
      <c r="AJ22" s="97" t="str">
        <f>IF(E22="○",IF(COUNTA(E$13:E22)=1,"",",")&amp;D22,"")</f>
        <v>,karute_no</v>
      </c>
      <c r="AK22" s="4"/>
      <c r="AL22" s="4"/>
      <c r="AM22" s="4"/>
      <c r="AN22" s="4"/>
      <c r="AO22" s="4"/>
      <c r="AP22" s="4"/>
      <c r="AQ22" s="4"/>
      <c r="AR22" s="4"/>
      <c r="AS22" s="97" t="str">
        <f>"COMMENT ON COLUMN "&amp;エンティティ一覧!$O$2&amp;"."&amp;D$8&amp;"."&amp;D22&amp;" IS '"&amp;C22&amp;"';"</f>
        <v>COMMENT ON COLUMN milscm_2023_010.azn_202310_base_mart_shikkan.karute_no IS 'カルテ番号等';</v>
      </c>
    </row>
    <row r="23" spans="1:45" s="25" customFormat="1">
      <c r="A23" s="4"/>
      <c r="B23" s="21">
        <f t="shared" si="2"/>
        <v>11</v>
      </c>
      <c r="C23" s="13" t="s">
        <v>1777</v>
      </c>
      <c r="D23" s="13" t="s">
        <v>1197</v>
      </c>
      <c r="E23" s="7"/>
      <c r="F23" s="7" t="s">
        <v>1735</v>
      </c>
      <c r="G23" s="7" t="str">
        <f t="shared" si="3"/>
        <v>text</v>
      </c>
      <c r="H23" s="58"/>
      <c r="I23" s="23"/>
      <c r="J23" s="24" t="s">
        <v>1791</v>
      </c>
      <c r="M23" s="4"/>
      <c r="N23" s="97"/>
      <c r="O23" s="97"/>
      <c r="P23" s="97" t="str">
        <f t="shared" si="4"/>
        <v>,receipt_sokatsu_kubun</v>
      </c>
      <c r="Q23" s="97" t="str">
        <f t="shared" si="0"/>
        <v>TEXT</v>
      </c>
      <c r="R23" s="97" t="str">
        <f t="shared" si="1"/>
        <v/>
      </c>
      <c r="S23" s="97" t="str">
        <f t="shared" si="5"/>
        <v/>
      </c>
      <c r="T23" s="97" t="str">
        <f t="shared" si="6"/>
        <v>-- レセプト総括区分</v>
      </c>
      <c r="U23" s="4"/>
      <c r="AA23" s="4"/>
      <c r="AB23" s="4"/>
      <c r="AC23" s="4"/>
      <c r="AD23" s="4"/>
      <c r="AE23" s="4"/>
      <c r="AF23" s="4"/>
      <c r="AG23" s="4"/>
      <c r="AH23" s="4"/>
      <c r="AI23" s="4"/>
      <c r="AJ23" s="97" t="str">
        <f>IF(E23="○",IF(COUNTA(E$13:E23)=1,"",",")&amp;D23,"")</f>
        <v/>
      </c>
      <c r="AK23" s="4"/>
      <c r="AL23" s="4"/>
      <c r="AM23" s="4"/>
      <c r="AN23" s="4"/>
      <c r="AO23" s="4"/>
      <c r="AP23" s="4"/>
      <c r="AQ23" s="4"/>
      <c r="AR23" s="4"/>
      <c r="AS23" s="97" t="str">
        <f>"COMMENT ON COLUMN "&amp;エンティティ一覧!$O$2&amp;"."&amp;D$8&amp;"."&amp;D23&amp;" IS '"&amp;C23&amp;"';"</f>
        <v>COMMENT ON COLUMN milscm_2023_010.azn_202310_base_mart_shikkan.receipt_sokatsu_kubun IS 'レセプト総括区分';</v>
      </c>
    </row>
    <row r="24" spans="1:45" s="25" customFormat="1">
      <c r="A24" s="4"/>
      <c r="B24" s="21">
        <f t="shared" si="2"/>
        <v>12</v>
      </c>
      <c r="C24" s="13" t="s">
        <v>663</v>
      </c>
      <c r="D24" s="13" t="s">
        <v>870</v>
      </c>
      <c r="E24" s="7"/>
      <c r="F24" s="7" t="s">
        <v>1735</v>
      </c>
      <c r="G24" s="7" t="str">
        <f t="shared" si="3"/>
        <v>text</v>
      </c>
      <c r="H24" s="58"/>
      <c r="I24" s="23"/>
      <c r="J24" s="24"/>
      <c r="M24" s="4"/>
      <c r="N24" s="97"/>
      <c r="O24" s="97"/>
      <c r="P24" s="97" t="str">
        <f t="shared" si="4"/>
        <v>,shobyo_code</v>
      </c>
      <c r="Q24" s="97" t="str">
        <f t="shared" si="0"/>
        <v>TEXT</v>
      </c>
      <c r="R24" s="97" t="str">
        <f t="shared" si="1"/>
        <v/>
      </c>
      <c r="S24" s="97" t="str">
        <f t="shared" si="5"/>
        <v/>
      </c>
      <c r="T24" s="97" t="str">
        <f t="shared" si="6"/>
        <v>-- 傷病名コード</v>
      </c>
      <c r="U24" s="4"/>
      <c r="AA24" s="4"/>
      <c r="AB24" s="4"/>
      <c r="AC24" s="4"/>
      <c r="AD24" s="4"/>
      <c r="AE24" s="4"/>
      <c r="AF24" s="4"/>
      <c r="AG24" s="4"/>
      <c r="AH24" s="4"/>
      <c r="AI24" s="4"/>
      <c r="AJ24" s="97" t="str">
        <f>IF(E24="○",IF(COUNTA(E$13:E24)=1,"",",")&amp;D24,"")</f>
        <v/>
      </c>
      <c r="AK24" s="4"/>
      <c r="AL24" s="4"/>
      <c r="AM24" s="4"/>
      <c r="AN24" s="4"/>
      <c r="AO24" s="4"/>
      <c r="AP24" s="4"/>
      <c r="AQ24" s="4"/>
      <c r="AR24" s="4"/>
      <c r="AS24" s="97" t="str">
        <f>"COMMENT ON COLUMN "&amp;エンティティ一覧!$O$2&amp;"."&amp;D$8&amp;"."&amp;D24&amp;" IS '"&amp;C24&amp;"';"</f>
        <v>COMMENT ON COLUMN milscm_2023_010.azn_202310_base_mart_shikkan.shobyo_code IS '傷病名コード';</v>
      </c>
    </row>
    <row r="25" spans="1:45" s="25" customFormat="1">
      <c r="A25" s="4"/>
      <c r="B25" s="21">
        <f t="shared" si="2"/>
        <v>13</v>
      </c>
      <c r="C25" s="13" t="s">
        <v>1070</v>
      </c>
      <c r="D25" s="13" t="s">
        <v>1071</v>
      </c>
      <c r="E25" s="7"/>
      <c r="F25" s="7" t="s">
        <v>1735</v>
      </c>
      <c r="G25" s="7" t="str">
        <f t="shared" si="3"/>
        <v>text</v>
      </c>
      <c r="H25" s="58"/>
      <c r="I25" s="23"/>
      <c r="J25" s="24" t="s">
        <v>1792</v>
      </c>
      <c r="M25" s="4"/>
      <c r="N25" s="97"/>
      <c r="O25" s="97"/>
      <c r="P25" s="97" t="str">
        <f t="shared" si="4"/>
        <v>,shinryo_start_date</v>
      </c>
      <c r="Q25" s="97" t="str">
        <f t="shared" si="0"/>
        <v>TEXT</v>
      </c>
      <c r="R25" s="97" t="str">
        <f t="shared" si="1"/>
        <v/>
      </c>
      <c r="S25" s="97" t="str">
        <f t="shared" si="5"/>
        <v/>
      </c>
      <c r="T25" s="97" t="str">
        <f t="shared" si="6"/>
        <v>-- 診療開始日</v>
      </c>
      <c r="U25" s="4"/>
      <c r="AA25" s="4"/>
      <c r="AB25" s="4"/>
      <c r="AC25" s="4"/>
      <c r="AD25" s="4"/>
      <c r="AE25" s="4"/>
      <c r="AF25" s="4"/>
      <c r="AG25" s="4"/>
      <c r="AH25" s="4"/>
      <c r="AI25" s="4"/>
      <c r="AJ25" s="97" t="str">
        <f>IF(E25="○",IF(COUNTA(E$13:E25)=1,"",",")&amp;D25,"")</f>
        <v/>
      </c>
      <c r="AK25" s="4"/>
      <c r="AL25" s="4"/>
      <c r="AM25" s="4"/>
      <c r="AN25" s="4"/>
      <c r="AO25" s="4"/>
      <c r="AP25" s="4"/>
      <c r="AQ25" s="4"/>
      <c r="AR25" s="4"/>
      <c r="AS25" s="97" t="str">
        <f>"COMMENT ON COLUMN "&amp;エンティティ一覧!$O$2&amp;"."&amp;D$8&amp;"."&amp;D25&amp;" IS '"&amp;C25&amp;"';"</f>
        <v>COMMENT ON COLUMN milscm_2023_010.azn_202310_base_mart_shikkan.shinryo_start_date IS '診療開始日';</v>
      </c>
    </row>
    <row r="26" spans="1:45" s="25" customFormat="1">
      <c r="A26" s="4"/>
      <c r="B26" s="21">
        <f t="shared" si="2"/>
        <v>14</v>
      </c>
      <c r="C26" s="13" t="s">
        <v>1072</v>
      </c>
      <c r="D26" s="13" t="s">
        <v>1073</v>
      </c>
      <c r="E26" s="7"/>
      <c r="F26" s="7" t="s">
        <v>1735</v>
      </c>
      <c r="G26" s="7" t="str">
        <f t="shared" si="3"/>
        <v>text</v>
      </c>
      <c r="H26" s="58"/>
      <c r="I26" s="23"/>
      <c r="J26" s="24"/>
      <c r="M26" s="4"/>
      <c r="N26" s="97"/>
      <c r="O26" s="97"/>
      <c r="P26" s="97" t="str">
        <f t="shared" si="4"/>
        <v>,tenki_kubun</v>
      </c>
      <c r="Q26" s="97" t="str">
        <f t="shared" si="0"/>
        <v>TEXT</v>
      </c>
      <c r="R26" s="97" t="str">
        <f t="shared" si="1"/>
        <v/>
      </c>
      <c r="S26" s="97" t="str">
        <f t="shared" si="5"/>
        <v/>
      </c>
      <c r="T26" s="97" t="str">
        <f t="shared" si="6"/>
        <v>-- 転帰区分</v>
      </c>
      <c r="U26" s="4"/>
      <c r="AA26" s="4"/>
      <c r="AB26" s="4"/>
      <c r="AC26" s="4"/>
      <c r="AD26" s="4"/>
      <c r="AE26" s="4"/>
      <c r="AF26" s="4"/>
      <c r="AG26" s="4"/>
      <c r="AH26" s="4"/>
      <c r="AI26" s="4"/>
      <c r="AJ26" s="97" t="str">
        <f>IF(E26="○",IF(COUNTA(E$13:E26)=1,"",",")&amp;D26,"")</f>
        <v/>
      </c>
      <c r="AK26" s="4"/>
      <c r="AL26" s="4"/>
      <c r="AM26" s="4"/>
      <c r="AN26" s="4"/>
      <c r="AO26" s="4"/>
      <c r="AP26" s="4"/>
      <c r="AQ26" s="4"/>
      <c r="AR26" s="4"/>
      <c r="AS26" s="97" t="str">
        <f>"COMMENT ON COLUMN "&amp;エンティティ一覧!$O$2&amp;"."&amp;D$8&amp;"."&amp;D26&amp;" IS '"&amp;C26&amp;"';"</f>
        <v>COMMENT ON COLUMN milscm_2023_010.azn_202310_base_mart_shikkan.tenki_kubun IS '転帰区分';</v>
      </c>
    </row>
    <row r="27" spans="1:45" s="25" customFormat="1">
      <c r="A27" s="4"/>
      <c r="B27" s="21">
        <f t="shared" si="2"/>
        <v>15</v>
      </c>
      <c r="C27" s="13" t="s">
        <v>665</v>
      </c>
      <c r="D27" s="13" t="s">
        <v>871</v>
      </c>
      <c r="E27" s="7"/>
      <c r="F27" s="7" t="s">
        <v>1735</v>
      </c>
      <c r="G27" s="7" t="str">
        <f t="shared" si="3"/>
        <v>text</v>
      </c>
      <c r="H27" s="58"/>
      <c r="I27" s="23"/>
      <c r="J27" s="24" t="s">
        <v>1793</v>
      </c>
      <c r="M27" s="4"/>
      <c r="N27" s="97"/>
      <c r="O27" s="97"/>
      <c r="P27" s="97" t="str">
        <f t="shared" si="4"/>
        <v>,shushoku_code1</v>
      </c>
      <c r="Q27" s="97" t="str">
        <f t="shared" si="0"/>
        <v>TEXT</v>
      </c>
      <c r="R27" s="97" t="str">
        <f t="shared" si="1"/>
        <v/>
      </c>
      <c r="S27" s="97" t="str">
        <f t="shared" si="5"/>
        <v/>
      </c>
      <c r="T27" s="97" t="str">
        <f t="shared" si="6"/>
        <v>-- 修飾語コード1</v>
      </c>
      <c r="U27" s="4"/>
      <c r="AA27" s="4"/>
      <c r="AB27" s="4"/>
      <c r="AC27" s="4"/>
      <c r="AD27" s="4"/>
      <c r="AE27" s="4"/>
      <c r="AF27" s="4"/>
      <c r="AG27" s="4"/>
      <c r="AH27" s="4"/>
      <c r="AI27" s="4"/>
      <c r="AJ27" s="97" t="str">
        <f>IF(E27="○",IF(COUNTA(E$13:E27)=1,"",",")&amp;D27,"")</f>
        <v/>
      </c>
      <c r="AK27" s="4"/>
      <c r="AL27" s="4"/>
      <c r="AM27" s="4"/>
      <c r="AN27" s="4"/>
      <c r="AO27" s="4"/>
      <c r="AP27" s="4"/>
      <c r="AQ27" s="4"/>
      <c r="AR27" s="4"/>
      <c r="AS27" s="97" t="str">
        <f>"COMMENT ON COLUMN "&amp;エンティティ一覧!$O$2&amp;"."&amp;D$8&amp;"."&amp;D27&amp;" IS '"&amp;C27&amp;"';"</f>
        <v>COMMENT ON COLUMN milscm_2023_010.azn_202310_base_mart_shikkan.shushoku_code1 IS '修飾語コード1';</v>
      </c>
    </row>
    <row r="28" spans="1:45" s="25" customFormat="1">
      <c r="A28" s="4"/>
      <c r="B28" s="21">
        <f t="shared" si="2"/>
        <v>16</v>
      </c>
      <c r="C28" s="13" t="s">
        <v>667</v>
      </c>
      <c r="D28" s="13" t="s">
        <v>872</v>
      </c>
      <c r="E28" s="7"/>
      <c r="F28" s="7" t="s">
        <v>1735</v>
      </c>
      <c r="G28" s="7" t="str">
        <f t="shared" si="3"/>
        <v>text</v>
      </c>
      <c r="H28" s="58"/>
      <c r="I28" s="23"/>
      <c r="J28" s="24"/>
      <c r="M28" s="4"/>
      <c r="N28" s="97"/>
      <c r="O28" s="97"/>
      <c r="P28" s="97" t="str">
        <f t="shared" si="4"/>
        <v>,shushoku_code2</v>
      </c>
      <c r="Q28" s="97" t="str">
        <f t="shared" si="0"/>
        <v>TEXT</v>
      </c>
      <c r="R28" s="97" t="str">
        <f t="shared" si="1"/>
        <v/>
      </c>
      <c r="S28" s="97" t="str">
        <f t="shared" si="5"/>
        <v/>
      </c>
      <c r="T28" s="97" t="str">
        <f t="shared" si="6"/>
        <v>-- 修飾語コード2</v>
      </c>
      <c r="U28" s="4"/>
      <c r="AA28" s="4"/>
      <c r="AB28" s="4"/>
      <c r="AC28" s="4"/>
      <c r="AD28" s="4"/>
      <c r="AE28" s="4"/>
      <c r="AF28" s="4"/>
      <c r="AG28" s="4"/>
      <c r="AH28" s="4"/>
      <c r="AI28" s="4"/>
      <c r="AJ28" s="97" t="str">
        <f>IF(E28="○",IF(COUNTA(E$13:E28)=1,"",",")&amp;D28,"")</f>
        <v/>
      </c>
      <c r="AK28" s="4"/>
      <c r="AL28" s="4"/>
      <c r="AM28" s="4"/>
      <c r="AN28" s="4"/>
      <c r="AO28" s="4"/>
      <c r="AP28" s="4"/>
      <c r="AQ28" s="4"/>
      <c r="AR28" s="4"/>
      <c r="AS28" s="97" t="str">
        <f>"COMMENT ON COLUMN "&amp;エンティティ一覧!$O$2&amp;"."&amp;D$8&amp;"."&amp;D28&amp;" IS '"&amp;C28&amp;"';"</f>
        <v>COMMENT ON COLUMN milscm_2023_010.azn_202310_base_mart_shikkan.shushoku_code2 IS '修飾語コード2';</v>
      </c>
    </row>
    <row r="29" spans="1:45" s="25" customFormat="1">
      <c r="A29" s="4"/>
      <c r="B29" s="21">
        <f t="shared" si="2"/>
        <v>17</v>
      </c>
      <c r="C29" s="13" t="s">
        <v>669</v>
      </c>
      <c r="D29" s="13" t="s">
        <v>873</v>
      </c>
      <c r="E29" s="7"/>
      <c r="F29" s="7" t="s">
        <v>1735</v>
      </c>
      <c r="G29" s="7" t="str">
        <f t="shared" si="3"/>
        <v>text</v>
      </c>
      <c r="H29" s="58"/>
      <c r="I29" s="23"/>
      <c r="J29" s="24"/>
      <c r="M29" s="4"/>
      <c r="N29" s="97"/>
      <c r="O29" s="97"/>
      <c r="P29" s="97" t="str">
        <f t="shared" si="4"/>
        <v>,shushoku_code3</v>
      </c>
      <c r="Q29" s="97" t="str">
        <f t="shared" si="0"/>
        <v>TEXT</v>
      </c>
      <c r="R29" s="97" t="str">
        <f t="shared" si="1"/>
        <v/>
      </c>
      <c r="S29" s="97" t="str">
        <f t="shared" si="5"/>
        <v/>
      </c>
      <c r="T29" s="97" t="str">
        <f t="shared" si="6"/>
        <v>-- 修飾語コード3</v>
      </c>
      <c r="U29" s="4"/>
      <c r="AA29" s="4"/>
      <c r="AB29" s="4"/>
      <c r="AC29" s="4"/>
      <c r="AD29" s="4"/>
      <c r="AE29" s="4"/>
      <c r="AF29" s="4"/>
      <c r="AG29" s="4"/>
      <c r="AH29" s="4"/>
      <c r="AI29" s="4"/>
      <c r="AJ29" s="97" t="str">
        <f>IF(E29="○",IF(COUNTA(E$13:E29)=1,"",",")&amp;D29,"")</f>
        <v/>
      </c>
      <c r="AK29" s="4"/>
      <c r="AL29" s="4"/>
      <c r="AM29" s="4"/>
      <c r="AN29" s="4"/>
      <c r="AO29" s="4"/>
      <c r="AP29" s="4"/>
      <c r="AQ29" s="4"/>
      <c r="AR29" s="4"/>
      <c r="AS29" s="97" t="str">
        <f>"COMMENT ON COLUMN "&amp;エンティティ一覧!$O$2&amp;"."&amp;D$8&amp;"."&amp;D29&amp;" IS '"&amp;C29&amp;"';"</f>
        <v>COMMENT ON COLUMN milscm_2023_010.azn_202310_base_mart_shikkan.shushoku_code3 IS '修飾語コード3';</v>
      </c>
    </row>
    <row r="30" spans="1:45" s="25" customFormat="1">
      <c r="A30" s="4"/>
      <c r="B30" s="21">
        <f t="shared" si="2"/>
        <v>18</v>
      </c>
      <c r="C30" s="13" t="s">
        <v>671</v>
      </c>
      <c r="D30" s="13" t="s">
        <v>874</v>
      </c>
      <c r="E30" s="7"/>
      <c r="F30" s="7" t="s">
        <v>1735</v>
      </c>
      <c r="G30" s="7" t="str">
        <f t="shared" si="3"/>
        <v>text</v>
      </c>
      <c r="H30" s="58"/>
      <c r="I30" s="23"/>
      <c r="J30" s="24"/>
      <c r="M30" s="4"/>
      <c r="N30" s="97"/>
      <c r="O30" s="97"/>
      <c r="P30" s="97" t="str">
        <f t="shared" si="4"/>
        <v>,shushoku_code4</v>
      </c>
      <c r="Q30" s="97" t="str">
        <f t="shared" si="0"/>
        <v>TEXT</v>
      </c>
      <c r="R30" s="97" t="str">
        <f t="shared" si="1"/>
        <v/>
      </c>
      <c r="S30" s="97" t="str">
        <f t="shared" si="5"/>
        <v/>
      </c>
      <c r="T30" s="97" t="str">
        <f t="shared" si="6"/>
        <v>-- 修飾語コード4</v>
      </c>
      <c r="U30" s="4"/>
      <c r="AA30" s="4"/>
      <c r="AB30" s="4"/>
      <c r="AC30" s="4"/>
      <c r="AD30" s="4"/>
      <c r="AE30" s="4"/>
      <c r="AF30" s="4"/>
      <c r="AG30" s="4"/>
      <c r="AH30" s="4"/>
      <c r="AI30" s="4"/>
      <c r="AJ30" s="97" t="str">
        <f>IF(E30="○",IF(COUNTA(E$13:E30)=1,"",",")&amp;D30,"")</f>
        <v/>
      </c>
      <c r="AK30" s="4"/>
      <c r="AL30" s="4"/>
      <c r="AM30" s="4"/>
      <c r="AN30" s="4"/>
      <c r="AO30" s="4"/>
      <c r="AP30" s="4"/>
      <c r="AQ30" s="4"/>
      <c r="AR30" s="4"/>
      <c r="AS30" s="97" t="str">
        <f>"COMMENT ON COLUMN "&amp;エンティティ一覧!$O$2&amp;"."&amp;D$8&amp;"."&amp;D30&amp;" IS '"&amp;C30&amp;"';"</f>
        <v>COMMENT ON COLUMN milscm_2023_010.azn_202310_base_mart_shikkan.shushoku_code4 IS '修飾語コード4';</v>
      </c>
    </row>
    <row r="31" spans="1:45" s="25" customFormat="1">
      <c r="A31" s="4"/>
      <c r="B31" s="21">
        <f t="shared" si="2"/>
        <v>19</v>
      </c>
      <c r="C31" s="13" t="s">
        <v>1074</v>
      </c>
      <c r="D31" s="13" t="s">
        <v>1075</v>
      </c>
      <c r="E31" s="7"/>
      <c r="F31" s="7" t="s">
        <v>1735</v>
      </c>
      <c r="G31" s="7" t="str">
        <f t="shared" si="3"/>
        <v>text</v>
      </c>
      <c r="H31" s="58"/>
      <c r="I31" s="23"/>
      <c r="J31" s="24"/>
      <c r="M31" s="4"/>
      <c r="N31" s="97"/>
      <c r="O31" s="97"/>
      <c r="P31" s="97" t="str">
        <f t="shared" si="4"/>
        <v>,shushoku_code5</v>
      </c>
      <c r="Q31" s="97" t="str">
        <f t="shared" si="0"/>
        <v>TEXT</v>
      </c>
      <c r="R31" s="97" t="str">
        <f t="shared" si="1"/>
        <v/>
      </c>
      <c r="S31" s="97" t="str">
        <f t="shared" si="5"/>
        <v/>
      </c>
      <c r="T31" s="97" t="str">
        <f t="shared" si="6"/>
        <v>-- 修飾語コード5</v>
      </c>
      <c r="U31" s="4"/>
      <c r="AA31" s="4"/>
      <c r="AB31" s="4"/>
      <c r="AC31" s="4"/>
      <c r="AD31" s="4"/>
      <c r="AE31" s="4"/>
      <c r="AF31" s="4"/>
      <c r="AG31" s="4"/>
      <c r="AH31" s="4"/>
      <c r="AI31" s="4"/>
      <c r="AJ31" s="97" t="str">
        <f>IF(E31="○",IF(COUNTA(E$13:E31)=1,"",",")&amp;D31,"")</f>
        <v/>
      </c>
      <c r="AK31" s="4"/>
      <c r="AL31" s="4"/>
      <c r="AM31" s="4"/>
      <c r="AN31" s="4"/>
      <c r="AO31" s="4"/>
      <c r="AP31" s="4"/>
      <c r="AQ31" s="4"/>
      <c r="AR31" s="4"/>
      <c r="AS31" s="97" t="str">
        <f>"COMMENT ON COLUMN "&amp;エンティティ一覧!$O$2&amp;"."&amp;D$8&amp;"."&amp;D31&amp;" IS '"&amp;C31&amp;"';"</f>
        <v>COMMENT ON COLUMN milscm_2023_010.azn_202310_base_mart_shikkan.shushoku_code5 IS '修飾語コード5';</v>
      </c>
    </row>
    <row r="32" spans="1:45" s="25" customFormat="1">
      <c r="A32" s="4"/>
      <c r="B32" s="21">
        <f t="shared" si="2"/>
        <v>20</v>
      </c>
      <c r="C32" s="13" t="s">
        <v>1076</v>
      </c>
      <c r="D32" s="13" t="s">
        <v>1077</v>
      </c>
      <c r="E32" s="7"/>
      <c r="F32" s="7" t="s">
        <v>1735</v>
      </c>
      <c r="G32" s="7" t="str">
        <f t="shared" si="3"/>
        <v>text</v>
      </c>
      <c r="H32" s="58"/>
      <c r="I32" s="23"/>
      <c r="J32" s="24"/>
      <c r="M32" s="4"/>
      <c r="N32" s="97"/>
      <c r="O32" s="97"/>
      <c r="P32" s="97" t="str">
        <f t="shared" si="4"/>
        <v>,shushoku_code6</v>
      </c>
      <c r="Q32" s="97" t="str">
        <f t="shared" si="0"/>
        <v>TEXT</v>
      </c>
      <c r="R32" s="97" t="str">
        <f t="shared" si="1"/>
        <v/>
      </c>
      <c r="S32" s="97" t="str">
        <f t="shared" si="5"/>
        <v/>
      </c>
      <c r="T32" s="97" t="str">
        <f t="shared" si="6"/>
        <v>-- 修飾語コード6</v>
      </c>
      <c r="U32" s="4"/>
      <c r="AA32" s="4"/>
      <c r="AB32" s="4"/>
      <c r="AC32" s="4"/>
      <c r="AD32" s="4"/>
      <c r="AE32" s="4"/>
      <c r="AF32" s="4"/>
      <c r="AG32" s="4"/>
      <c r="AH32" s="4"/>
      <c r="AI32" s="4"/>
      <c r="AJ32" s="97" t="str">
        <f>IF(E32="○",IF(COUNTA(E$13:E32)=1,"",",")&amp;D32,"")</f>
        <v/>
      </c>
      <c r="AK32" s="4"/>
      <c r="AL32" s="4"/>
      <c r="AM32" s="4"/>
      <c r="AN32" s="4"/>
      <c r="AO32" s="4"/>
      <c r="AP32" s="4"/>
      <c r="AQ32" s="4"/>
      <c r="AR32" s="4"/>
      <c r="AS32" s="97" t="str">
        <f>"COMMENT ON COLUMN "&amp;エンティティ一覧!$O$2&amp;"."&amp;D$8&amp;"."&amp;D32&amp;" IS '"&amp;C32&amp;"';"</f>
        <v>COMMENT ON COLUMN milscm_2023_010.azn_202310_base_mart_shikkan.shushoku_code6 IS '修飾語コード6';</v>
      </c>
    </row>
    <row r="33" spans="1:45" s="25" customFormat="1">
      <c r="A33" s="4"/>
      <c r="B33" s="21">
        <f t="shared" si="2"/>
        <v>21</v>
      </c>
      <c r="C33" s="13" t="s">
        <v>1078</v>
      </c>
      <c r="D33" s="13" t="s">
        <v>1079</v>
      </c>
      <c r="E33" s="7"/>
      <c r="F33" s="7" t="s">
        <v>1735</v>
      </c>
      <c r="G33" s="7" t="str">
        <f t="shared" si="3"/>
        <v>text</v>
      </c>
      <c r="H33" s="58"/>
      <c r="I33" s="23"/>
      <c r="J33" s="24"/>
      <c r="M33" s="4"/>
      <c r="N33" s="97"/>
      <c r="O33" s="97"/>
      <c r="P33" s="97" t="str">
        <f t="shared" si="4"/>
        <v>,shushoku_code7</v>
      </c>
      <c r="Q33" s="97" t="str">
        <f t="shared" si="0"/>
        <v>TEXT</v>
      </c>
      <c r="R33" s="97" t="str">
        <f t="shared" si="1"/>
        <v/>
      </c>
      <c r="S33" s="97" t="str">
        <f t="shared" si="5"/>
        <v/>
      </c>
      <c r="T33" s="97" t="str">
        <f t="shared" si="6"/>
        <v>-- 修飾語コード7</v>
      </c>
      <c r="U33" s="4"/>
      <c r="AA33" s="4"/>
      <c r="AB33" s="4"/>
      <c r="AC33" s="4"/>
      <c r="AD33" s="4"/>
      <c r="AE33" s="4"/>
      <c r="AF33" s="4"/>
      <c r="AG33" s="4"/>
      <c r="AH33" s="4"/>
      <c r="AI33" s="4"/>
      <c r="AJ33" s="97" t="str">
        <f>IF(E33="○",IF(COUNTA(E$13:E33)=1,"",",")&amp;D33,"")</f>
        <v/>
      </c>
      <c r="AK33" s="4"/>
      <c r="AL33" s="4"/>
      <c r="AM33" s="4"/>
      <c r="AN33" s="4"/>
      <c r="AO33" s="4"/>
      <c r="AP33" s="4"/>
      <c r="AQ33" s="4"/>
      <c r="AR33" s="4"/>
      <c r="AS33" s="97" t="str">
        <f>"COMMENT ON COLUMN "&amp;エンティティ一覧!$O$2&amp;"."&amp;D$8&amp;"."&amp;D33&amp;" IS '"&amp;C33&amp;"';"</f>
        <v>COMMENT ON COLUMN milscm_2023_010.azn_202310_base_mart_shikkan.shushoku_code7 IS '修飾語コード7';</v>
      </c>
    </row>
    <row r="34" spans="1:45" s="25" customFormat="1">
      <c r="A34" s="4"/>
      <c r="B34" s="21">
        <f t="shared" si="2"/>
        <v>22</v>
      </c>
      <c r="C34" s="13" t="s">
        <v>1080</v>
      </c>
      <c r="D34" s="13" t="s">
        <v>1081</v>
      </c>
      <c r="E34" s="7"/>
      <c r="F34" s="7" t="s">
        <v>1735</v>
      </c>
      <c r="G34" s="7" t="str">
        <f t="shared" si="3"/>
        <v>text</v>
      </c>
      <c r="H34" s="58"/>
      <c r="I34" s="23"/>
      <c r="J34" s="24"/>
      <c r="M34" s="4"/>
      <c r="N34" s="97"/>
      <c r="O34" s="97"/>
      <c r="P34" s="97" t="str">
        <f t="shared" si="4"/>
        <v>,shushoku_code8</v>
      </c>
      <c r="Q34" s="97" t="str">
        <f t="shared" si="0"/>
        <v>TEXT</v>
      </c>
      <c r="R34" s="97" t="str">
        <f t="shared" si="1"/>
        <v/>
      </c>
      <c r="S34" s="97" t="str">
        <f t="shared" si="5"/>
        <v/>
      </c>
      <c r="T34" s="97" t="str">
        <f t="shared" si="6"/>
        <v>-- 修飾語コード8</v>
      </c>
      <c r="U34" s="4"/>
      <c r="AA34" s="4"/>
      <c r="AB34" s="4"/>
      <c r="AC34" s="4"/>
      <c r="AD34" s="4"/>
      <c r="AE34" s="4"/>
      <c r="AF34" s="4"/>
      <c r="AG34" s="4"/>
      <c r="AH34" s="4"/>
      <c r="AI34" s="4"/>
      <c r="AJ34" s="97" t="str">
        <f>IF(E34="○",IF(COUNTA(E$13:E34)=1,"",",")&amp;D34,"")</f>
        <v/>
      </c>
      <c r="AK34" s="4"/>
      <c r="AL34" s="4"/>
      <c r="AM34" s="4"/>
      <c r="AN34" s="4"/>
      <c r="AO34" s="4"/>
      <c r="AP34" s="4"/>
      <c r="AQ34" s="4"/>
      <c r="AR34" s="4"/>
      <c r="AS34" s="97" t="str">
        <f>"COMMENT ON COLUMN "&amp;エンティティ一覧!$O$2&amp;"."&amp;D$8&amp;"."&amp;D34&amp;" IS '"&amp;C34&amp;"';"</f>
        <v>COMMENT ON COLUMN milscm_2023_010.azn_202310_base_mart_shikkan.shushoku_code8 IS '修飾語コード8';</v>
      </c>
    </row>
    <row r="35" spans="1:45" s="25" customFormat="1">
      <c r="A35" s="4"/>
      <c r="B35" s="21">
        <f t="shared" si="2"/>
        <v>23</v>
      </c>
      <c r="C35" s="13" t="s">
        <v>1082</v>
      </c>
      <c r="D35" s="13" t="s">
        <v>1083</v>
      </c>
      <c r="E35" s="7"/>
      <c r="F35" s="7" t="s">
        <v>1735</v>
      </c>
      <c r="G35" s="7" t="str">
        <f t="shared" si="3"/>
        <v>text</v>
      </c>
      <c r="H35" s="58"/>
      <c r="I35" s="23"/>
      <c r="J35" s="24"/>
      <c r="M35" s="4"/>
      <c r="N35" s="97"/>
      <c r="O35" s="97"/>
      <c r="P35" s="97" t="str">
        <f t="shared" si="4"/>
        <v>,shushoku_code9</v>
      </c>
      <c r="Q35" s="97" t="str">
        <f t="shared" si="0"/>
        <v>TEXT</v>
      </c>
      <c r="R35" s="97" t="str">
        <f t="shared" si="1"/>
        <v/>
      </c>
      <c r="S35" s="97" t="str">
        <f t="shared" si="5"/>
        <v/>
      </c>
      <c r="T35" s="97" t="str">
        <f t="shared" si="6"/>
        <v>-- 修飾語コード9</v>
      </c>
      <c r="U35" s="4"/>
      <c r="AA35" s="4"/>
      <c r="AB35" s="4"/>
      <c r="AC35" s="4"/>
      <c r="AD35" s="4"/>
      <c r="AE35" s="4"/>
      <c r="AF35" s="4"/>
      <c r="AG35" s="4"/>
      <c r="AH35" s="4"/>
      <c r="AI35" s="4"/>
      <c r="AJ35" s="97" t="str">
        <f>IF(E35="○",IF(COUNTA(E$13:E35)=1,"",",")&amp;D35,"")</f>
        <v/>
      </c>
      <c r="AK35" s="4"/>
      <c r="AL35" s="4"/>
      <c r="AM35" s="4"/>
      <c r="AN35" s="4"/>
      <c r="AO35" s="4"/>
      <c r="AP35" s="4"/>
      <c r="AQ35" s="4"/>
      <c r="AR35" s="4"/>
      <c r="AS35" s="97" t="str">
        <f>"COMMENT ON COLUMN "&amp;エンティティ一覧!$O$2&amp;"."&amp;D$8&amp;"."&amp;D35&amp;" IS '"&amp;C35&amp;"';"</f>
        <v>COMMENT ON COLUMN milscm_2023_010.azn_202310_base_mart_shikkan.shushoku_code9 IS '修飾語コード9';</v>
      </c>
    </row>
    <row r="36" spans="1:45" s="25" customFormat="1">
      <c r="A36" s="4"/>
      <c r="B36" s="21">
        <f t="shared" si="2"/>
        <v>24</v>
      </c>
      <c r="C36" s="13" t="s">
        <v>1084</v>
      </c>
      <c r="D36" s="13" t="s">
        <v>1085</v>
      </c>
      <c r="E36" s="7"/>
      <c r="F36" s="7" t="s">
        <v>1735</v>
      </c>
      <c r="G36" s="7" t="str">
        <f t="shared" si="3"/>
        <v>text</v>
      </c>
      <c r="H36" s="58"/>
      <c r="I36" s="23"/>
      <c r="J36" s="24"/>
      <c r="M36" s="4"/>
      <c r="N36" s="97"/>
      <c r="O36" s="97"/>
      <c r="P36" s="97" t="str">
        <f t="shared" si="4"/>
        <v>,shushoku_code10</v>
      </c>
      <c r="Q36" s="97" t="str">
        <f t="shared" si="0"/>
        <v>TEXT</v>
      </c>
      <c r="R36" s="97" t="str">
        <f t="shared" si="1"/>
        <v/>
      </c>
      <c r="S36" s="97" t="str">
        <f t="shared" si="5"/>
        <v/>
      </c>
      <c r="T36" s="97" t="str">
        <f t="shared" si="6"/>
        <v>-- 修飾語コード10</v>
      </c>
      <c r="U36" s="4"/>
      <c r="AA36" s="4"/>
      <c r="AB36" s="4"/>
      <c r="AC36" s="4"/>
      <c r="AD36" s="4"/>
      <c r="AE36" s="4"/>
      <c r="AF36" s="4"/>
      <c r="AG36" s="4"/>
      <c r="AH36" s="4"/>
      <c r="AI36" s="4"/>
      <c r="AJ36" s="97" t="str">
        <f>IF(E36="○",IF(COUNTA(E$13:E36)=1,"",",")&amp;D36,"")</f>
        <v/>
      </c>
      <c r="AK36" s="4"/>
      <c r="AL36" s="4"/>
      <c r="AM36" s="4"/>
      <c r="AN36" s="4"/>
      <c r="AO36" s="4"/>
      <c r="AP36" s="4"/>
      <c r="AQ36" s="4"/>
      <c r="AR36" s="4"/>
      <c r="AS36" s="97" t="str">
        <f>"COMMENT ON COLUMN "&amp;エンティティ一覧!$O$2&amp;"."&amp;D$8&amp;"."&amp;D36&amp;" IS '"&amp;C36&amp;"';"</f>
        <v>COMMENT ON COLUMN milscm_2023_010.azn_202310_base_mart_shikkan.shushoku_code10 IS '修飾語コード10';</v>
      </c>
    </row>
    <row r="37" spans="1:45" s="25" customFormat="1">
      <c r="A37" s="4"/>
      <c r="B37" s="21">
        <f t="shared" si="2"/>
        <v>25</v>
      </c>
      <c r="C37" s="13" t="s">
        <v>1086</v>
      </c>
      <c r="D37" s="13" t="s">
        <v>1087</v>
      </c>
      <c r="E37" s="7"/>
      <c r="F37" s="7" t="s">
        <v>1735</v>
      </c>
      <c r="G37" s="7" t="str">
        <f t="shared" si="3"/>
        <v>text</v>
      </c>
      <c r="H37" s="58"/>
      <c r="I37" s="23"/>
      <c r="J37" s="24"/>
      <c r="M37" s="4"/>
      <c r="N37" s="97"/>
      <c r="O37" s="97"/>
      <c r="P37" s="97" t="str">
        <f t="shared" si="4"/>
        <v>,shushoku_code11</v>
      </c>
      <c r="Q37" s="97" t="str">
        <f t="shared" si="0"/>
        <v>TEXT</v>
      </c>
      <c r="R37" s="97" t="str">
        <f t="shared" si="1"/>
        <v/>
      </c>
      <c r="S37" s="97" t="str">
        <f t="shared" si="5"/>
        <v/>
      </c>
      <c r="T37" s="97" t="str">
        <f t="shared" si="6"/>
        <v>-- 修飾語コード11</v>
      </c>
      <c r="U37" s="4"/>
      <c r="AA37" s="4"/>
      <c r="AB37" s="4"/>
      <c r="AC37" s="4"/>
      <c r="AD37" s="4"/>
      <c r="AE37" s="4"/>
      <c r="AF37" s="4"/>
      <c r="AG37" s="4"/>
      <c r="AH37" s="4"/>
      <c r="AI37" s="4"/>
      <c r="AJ37" s="97" t="str">
        <f>IF(E37="○",IF(COUNTA(E$13:E37)=1,"",",")&amp;D37,"")</f>
        <v/>
      </c>
      <c r="AK37" s="4"/>
      <c r="AL37" s="4"/>
      <c r="AM37" s="4"/>
      <c r="AN37" s="4"/>
      <c r="AO37" s="4"/>
      <c r="AP37" s="4"/>
      <c r="AQ37" s="4"/>
      <c r="AR37" s="4"/>
      <c r="AS37" s="97" t="str">
        <f>"COMMENT ON COLUMN "&amp;エンティティ一覧!$O$2&amp;"."&amp;D$8&amp;"."&amp;D37&amp;" IS '"&amp;C37&amp;"';"</f>
        <v>COMMENT ON COLUMN milscm_2023_010.azn_202310_base_mart_shikkan.shushoku_code11 IS '修飾語コード11';</v>
      </c>
    </row>
    <row r="38" spans="1:45" s="25" customFormat="1">
      <c r="A38" s="4"/>
      <c r="B38" s="21">
        <f t="shared" si="2"/>
        <v>26</v>
      </c>
      <c r="C38" s="13" t="s">
        <v>1088</v>
      </c>
      <c r="D38" s="13" t="s">
        <v>1089</v>
      </c>
      <c r="E38" s="7"/>
      <c r="F38" s="7" t="s">
        <v>1735</v>
      </c>
      <c r="G38" s="7" t="str">
        <f t="shared" si="3"/>
        <v>text</v>
      </c>
      <c r="H38" s="58"/>
      <c r="I38" s="23"/>
      <c r="J38" s="24"/>
      <c r="M38" s="4"/>
      <c r="N38" s="97"/>
      <c r="O38" s="97"/>
      <c r="P38" s="97" t="str">
        <f t="shared" si="4"/>
        <v>,shushoku_code12</v>
      </c>
      <c r="Q38" s="97" t="str">
        <f t="shared" si="0"/>
        <v>TEXT</v>
      </c>
      <c r="R38" s="97" t="str">
        <f t="shared" si="1"/>
        <v/>
      </c>
      <c r="S38" s="97" t="str">
        <f t="shared" si="5"/>
        <v/>
      </c>
      <c r="T38" s="97" t="str">
        <f t="shared" si="6"/>
        <v>-- 修飾語コード12</v>
      </c>
      <c r="U38" s="4"/>
      <c r="AA38" s="4"/>
      <c r="AB38" s="4"/>
      <c r="AC38" s="4"/>
      <c r="AD38" s="4"/>
      <c r="AE38" s="4"/>
      <c r="AF38" s="4"/>
      <c r="AG38" s="4"/>
      <c r="AH38" s="4"/>
      <c r="AI38" s="4"/>
      <c r="AJ38" s="97" t="str">
        <f>IF(E38="○",IF(COUNTA(E$13:E38)=1,"",",")&amp;D38,"")</f>
        <v/>
      </c>
      <c r="AK38" s="4"/>
      <c r="AL38" s="4"/>
      <c r="AM38" s="4"/>
      <c r="AN38" s="4"/>
      <c r="AO38" s="4"/>
      <c r="AP38" s="4"/>
      <c r="AQ38" s="4"/>
      <c r="AR38" s="4"/>
      <c r="AS38" s="97" t="str">
        <f>"COMMENT ON COLUMN "&amp;エンティティ一覧!$O$2&amp;"."&amp;D$8&amp;"."&amp;D38&amp;" IS '"&amp;C38&amp;"';"</f>
        <v>COMMENT ON COLUMN milscm_2023_010.azn_202310_base_mart_shikkan.shushoku_code12 IS '修飾語コード12';</v>
      </c>
    </row>
    <row r="39" spans="1:45" s="25" customFormat="1">
      <c r="A39" s="4"/>
      <c r="B39" s="21">
        <f t="shared" si="2"/>
        <v>27</v>
      </c>
      <c r="C39" s="13" t="s">
        <v>1090</v>
      </c>
      <c r="D39" s="13" t="s">
        <v>1091</v>
      </c>
      <c r="E39" s="7"/>
      <c r="F39" s="7" t="s">
        <v>1735</v>
      </c>
      <c r="G39" s="7" t="str">
        <f t="shared" si="3"/>
        <v>text</v>
      </c>
      <c r="H39" s="58"/>
      <c r="I39" s="23"/>
      <c r="J39" s="24"/>
      <c r="M39" s="4"/>
      <c r="N39" s="97"/>
      <c r="O39" s="97"/>
      <c r="P39" s="97" t="str">
        <f t="shared" si="4"/>
        <v>,shushoku_code13</v>
      </c>
      <c r="Q39" s="97" t="str">
        <f t="shared" si="0"/>
        <v>TEXT</v>
      </c>
      <c r="R39" s="97" t="str">
        <f t="shared" si="1"/>
        <v/>
      </c>
      <c r="S39" s="97" t="str">
        <f t="shared" si="5"/>
        <v/>
      </c>
      <c r="T39" s="97" t="str">
        <f t="shared" si="6"/>
        <v>-- 修飾語コード13</v>
      </c>
      <c r="U39" s="4"/>
      <c r="AA39" s="4"/>
      <c r="AB39" s="4"/>
      <c r="AC39" s="4"/>
      <c r="AD39" s="4"/>
      <c r="AE39" s="4"/>
      <c r="AF39" s="4"/>
      <c r="AG39" s="4"/>
      <c r="AH39" s="4"/>
      <c r="AI39" s="4"/>
      <c r="AJ39" s="97" t="str">
        <f>IF(E39="○",IF(COUNTA(E$13:E39)=1,"",",")&amp;D39,"")</f>
        <v/>
      </c>
      <c r="AK39" s="4"/>
      <c r="AL39" s="4"/>
      <c r="AM39" s="4"/>
      <c r="AN39" s="4"/>
      <c r="AO39" s="4"/>
      <c r="AP39" s="4"/>
      <c r="AQ39" s="4"/>
      <c r="AR39" s="4"/>
      <c r="AS39" s="97" t="str">
        <f>"COMMENT ON COLUMN "&amp;エンティティ一覧!$O$2&amp;"."&amp;D$8&amp;"."&amp;D39&amp;" IS '"&amp;C39&amp;"';"</f>
        <v>COMMENT ON COLUMN milscm_2023_010.azn_202310_base_mart_shikkan.shushoku_code13 IS '修飾語コード13';</v>
      </c>
    </row>
    <row r="40" spans="1:45" s="25" customFormat="1">
      <c r="A40" s="4"/>
      <c r="B40" s="21">
        <f t="shared" si="2"/>
        <v>28</v>
      </c>
      <c r="C40" s="13" t="s">
        <v>1092</v>
      </c>
      <c r="D40" s="13" t="s">
        <v>1093</v>
      </c>
      <c r="E40" s="7"/>
      <c r="F40" s="7" t="s">
        <v>1735</v>
      </c>
      <c r="G40" s="7" t="str">
        <f t="shared" si="3"/>
        <v>text</v>
      </c>
      <c r="H40" s="58"/>
      <c r="I40" s="23"/>
      <c r="J40" s="24"/>
      <c r="M40" s="4"/>
      <c r="N40" s="97"/>
      <c r="O40" s="97"/>
      <c r="P40" s="97" t="str">
        <f t="shared" si="4"/>
        <v>,shushoku_code14</v>
      </c>
      <c r="Q40" s="97" t="str">
        <f t="shared" si="0"/>
        <v>TEXT</v>
      </c>
      <c r="R40" s="97" t="str">
        <f t="shared" si="1"/>
        <v/>
      </c>
      <c r="S40" s="97" t="str">
        <f t="shared" si="5"/>
        <v/>
      </c>
      <c r="T40" s="97" t="str">
        <f t="shared" si="6"/>
        <v>-- 修飾語コード14</v>
      </c>
      <c r="U40" s="4"/>
      <c r="AA40" s="4"/>
      <c r="AB40" s="4"/>
      <c r="AC40" s="4"/>
      <c r="AD40" s="4"/>
      <c r="AE40" s="4"/>
      <c r="AF40" s="4"/>
      <c r="AG40" s="4"/>
      <c r="AH40" s="4"/>
      <c r="AI40" s="4"/>
      <c r="AJ40" s="97" t="str">
        <f>IF(E40="○",IF(COUNTA(E$13:E40)=1,"",",")&amp;D40,"")</f>
        <v/>
      </c>
      <c r="AK40" s="4"/>
      <c r="AL40" s="4"/>
      <c r="AM40" s="4"/>
      <c r="AN40" s="4"/>
      <c r="AO40" s="4"/>
      <c r="AP40" s="4"/>
      <c r="AQ40" s="4"/>
      <c r="AR40" s="4"/>
      <c r="AS40" s="97" t="str">
        <f>"COMMENT ON COLUMN "&amp;エンティティ一覧!$O$2&amp;"."&amp;D$8&amp;"."&amp;D40&amp;" IS '"&amp;C40&amp;"';"</f>
        <v>COMMENT ON COLUMN milscm_2023_010.azn_202310_base_mart_shikkan.shushoku_code14 IS '修飾語コード14';</v>
      </c>
    </row>
    <row r="41" spans="1:45" s="25" customFormat="1">
      <c r="A41" s="4"/>
      <c r="B41" s="21">
        <f t="shared" si="2"/>
        <v>29</v>
      </c>
      <c r="C41" s="13" t="s">
        <v>1094</v>
      </c>
      <c r="D41" s="13" t="s">
        <v>1095</v>
      </c>
      <c r="E41" s="7"/>
      <c r="F41" s="7" t="s">
        <v>1735</v>
      </c>
      <c r="G41" s="7" t="str">
        <f t="shared" si="3"/>
        <v>text</v>
      </c>
      <c r="H41" s="58"/>
      <c r="I41" s="23"/>
      <c r="J41" s="24"/>
      <c r="M41" s="4"/>
      <c r="N41" s="97"/>
      <c r="O41" s="97"/>
      <c r="P41" s="97" t="str">
        <f t="shared" si="4"/>
        <v>,shushoku_code15</v>
      </c>
      <c r="Q41" s="97" t="str">
        <f t="shared" si="0"/>
        <v>TEXT</v>
      </c>
      <c r="R41" s="97" t="str">
        <f t="shared" si="1"/>
        <v/>
      </c>
      <c r="S41" s="97" t="str">
        <f t="shared" si="5"/>
        <v/>
      </c>
      <c r="T41" s="97" t="str">
        <f t="shared" si="6"/>
        <v>-- 修飾語コード15</v>
      </c>
      <c r="U41" s="4"/>
      <c r="AA41" s="4"/>
      <c r="AB41" s="4"/>
      <c r="AC41" s="4"/>
      <c r="AD41" s="4"/>
      <c r="AE41" s="4"/>
      <c r="AF41" s="4"/>
      <c r="AG41" s="4"/>
      <c r="AH41" s="4"/>
      <c r="AI41" s="4"/>
      <c r="AJ41" s="97" t="str">
        <f>IF(E41="○",IF(COUNTA(E$13:E41)=1,"",",")&amp;D41,"")</f>
        <v/>
      </c>
      <c r="AK41" s="4"/>
      <c r="AL41" s="4"/>
      <c r="AM41" s="4"/>
      <c r="AN41" s="4"/>
      <c r="AO41" s="4"/>
      <c r="AP41" s="4"/>
      <c r="AQ41" s="4"/>
      <c r="AR41" s="4"/>
      <c r="AS41" s="97" t="str">
        <f>"COMMENT ON COLUMN "&amp;エンティティ一覧!$O$2&amp;"."&amp;D$8&amp;"."&amp;D41&amp;" IS '"&amp;C41&amp;"';"</f>
        <v>COMMENT ON COLUMN milscm_2023_010.azn_202310_base_mart_shikkan.shushoku_code15 IS '修飾語コード15';</v>
      </c>
    </row>
    <row r="42" spans="1:45" s="25" customFormat="1">
      <c r="A42" s="4"/>
      <c r="B42" s="21">
        <f t="shared" si="2"/>
        <v>30</v>
      </c>
      <c r="C42" s="13" t="s">
        <v>1096</v>
      </c>
      <c r="D42" s="13" t="s">
        <v>1097</v>
      </c>
      <c r="E42" s="7"/>
      <c r="F42" s="7" t="s">
        <v>1735</v>
      </c>
      <c r="G42" s="7" t="str">
        <f t="shared" si="3"/>
        <v>text</v>
      </c>
      <c r="H42" s="58"/>
      <c r="I42" s="23"/>
      <c r="J42" s="24"/>
      <c r="M42" s="4"/>
      <c r="N42" s="97"/>
      <c r="O42" s="97"/>
      <c r="P42" s="97" t="str">
        <f t="shared" si="4"/>
        <v>,shushoku_code16</v>
      </c>
      <c r="Q42" s="97" t="str">
        <f t="shared" si="0"/>
        <v>TEXT</v>
      </c>
      <c r="R42" s="97" t="str">
        <f t="shared" si="1"/>
        <v/>
      </c>
      <c r="S42" s="97" t="str">
        <f t="shared" si="5"/>
        <v/>
      </c>
      <c r="T42" s="97" t="str">
        <f t="shared" si="6"/>
        <v>-- 修飾語コード16</v>
      </c>
      <c r="U42" s="4"/>
      <c r="AA42" s="4"/>
      <c r="AB42" s="4"/>
      <c r="AC42" s="4"/>
      <c r="AD42" s="4"/>
      <c r="AE42" s="4"/>
      <c r="AF42" s="4"/>
      <c r="AG42" s="4"/>
      <c r="AH42" s="4"/>
      <c r="AI42" s="4"/>
      <c r="AJ42" s="97" t="str">
        <f>IF(E42="○",IF(COUNTA(E$13:E42)=1,"",",")&amp;D42,"")</f>
        <v/>
      </c>
      <c r="AK42" s="4"/>
      <c r="AL42" s="4"/>
      <c r="AM42" s="4"/>
      <c r="AN42" s="4"/>
      <c r="AO42" s="4"/>
      <c r="AP42" s="4"/>
      <c r="AQ42" s="4"/>
      <c r="AR42" s="4"/>
      <c r="AS42" s="97" t="str">
        <f>"COMMENT ON COLUMN "&amp;エンティティ一覧!$O$2&amp;"."&amp;D$8&amp;"."&amp;D42&amp;" IS '"&amp;C42&amp;"';"</f>
        <v>COMMENT ON COLUMN milscm_2023_010.azn_202310_base_mart_shikkan.shushoku_code16 IS '修飾語コード16';</v>
      </c>
    </row>
    <row r="43" spans="1:45" s="25" customFormat="1">
      <c r="A43" s="4"/>
      <c r="B43" s="21">
        <f t="shared" si="2"/>
        <v>31</v>
      </c>
      <c r="C43" s="13" t="s">
        <v>1098</v>
      </c>
      <c r="D43" s="13" t="s">
        <v>1099</v>
      </c>
      <c r="E43" s="7"/>
      <c r="F43" s="7" t="s">
        <v>1735</v>
      </c>
      <c r="G43" s="7" t="str">
        <f t="shared" si="3"/>
        <v>text</v>
      </c>
      <c r="H43" s="58"/>
      <c r="I43" s="23"/>
      <c r="J43" s="24"/>
      <c r="M43" s="4"/>
      <c r="N43" s="97"/>
      <c r="O43" s="97"/>
      <c r="P43" s="97" t="str">
        <f t="shared" si="4"/>
        <v>,shushoku_code17</v>
      </c>
      <c r="Q43" s="97" t="str">
        <f t="shared" si="0"/>
        <v>TEXT</v>
      </c>
      <c r="R43" s="97" t="str">
        <f t="shared" si="1"/>
        <v/>
      </c>
      <c r="S43" s="97" t="str">
        <f t="shared" si="5"/>
        <v/>
      </c>
      <c r="T43" s="97" t="str">
        <f t="shared" si="6"/>
        <v>-- 修飾語コード17</v>
      </c>
      <c r="U43" s="4"/>
      <c r="AA43" s="4"/>
      <c r="AB43" s="4"/>
      <c r="AC43" s="4"/>
      <c r="AD43" s="4"/>
      <c r="AE43" s="4"/>
      <c r="AF43" s="4"/>
      <c r="AG43" s="4"/>
      <c r="AH43" s="4"/>
      <c r="AI43" s="4"/>
      <c r="AJ43" s="97" t="str">
        <f>IF(E43="○",IF(COUNTA(E$13:E43)=1,"",",")&amp;D43,"")</f>
        <v/>
      </c>
      <c r="AK43" s="4"/>
      <c r="AL43" s="4"/>
      <c r="AM43" s="4"/>
      <c r="AN43" s="4"/>
      <c r="AO43" s="4"/>
      <c r="AP43" s="4"/>
      <c r="AQ43" s="4"/>
      <c r="AR43" s="4"/>
      <c r="AS43" s="97" t="str">
        <f>"COMMENT ON COLUMN "&amp;エンティティ一覧!$O$2&amp;"."&amp;D$8&amp;"."&amp;D43&amp;" IS '"&amp;C43&amp;"';"</f>
        <v>COMMENT ON COLUMN milscm_2023_010.azn_202310_base_mart_shikkan.shushoku_code17 IS '修飾語コード17';</v>
      </c>
    </row>
    <row r="44" spans="1:45" s="25" customFormat="1">
      <c r="A44" s="4"/>
      <c r="B44" s="21">
        <f t="shared" si="2"/>
        <v>32</v>
      </c>
      <c r="C44" s="13" t="s">
        <v>1100</v>
      </c>
      <c r="D44" s="13" t="s">
        <v>1101</v>
      </c>
      <c r="E44" s="7"/>
      <c r="F44" s="7" t="s">
        <v>1735</v>
      </c>
      <c r="G44" s="7" t="str">
        <f t="shared" si="3"/>
        <v>text</v>
      </c>
      <c r="H44" s="58"/>
      <c r="I44" s="23"/>
      <c r="J44" s="24"/>
      <c r="M44" s="4"/>
      <c r="N44" s="97"/>
      <c r="O44" s="97"/>
      <c r="P44" s="97" t="str">
        <f t="shared" si="4"/>
        <v>,shushoku_code18</v>
      </c>
      <c r="Q44" s="97" t="str">
        <f t="shared" si="0"/>
        <v>TEXT</v>
      </c>
      <c r="R44" s="97" t="str">
        <f t="shared" si="1"/>
        <v/>
      </c>
      <c r="S44" s="97" t="str">
        <f t="shared" si="5"/>
        <v/>
      </c>
      <c r="T44" s="97" t="str">
        <f t="shared" si="6"/>
        <v>-- 修飾語コード18</v>
      </c>
      <c r="U44" s="4"/>
      <c r="AA44" s="4"/>
      <c r="AB44" s="4"/>
      <c r="AC44" s="4"/>
      <c r="AD44" s="4"/>
      <c r="AE44" s="4"/>
      <c r="AF44" s="4"/>
      <c r="AG44" s="4"/>
      <c r="AH44" s="4"/>
      <c r="AI44" s="4"/>
      <c r="AJ44" s="97" t="str">
        <f>IF(E44="○",IF(COUNTA(E$13:E44)=1,"",",")&amp;D44,"")</f>
        <v/>
      </c>
      <c r="AK44" s="4"/>
      <c r="AL44" s="4"/>
      <c r="AM44" s="4"/>
      <c r="AN44" s="4"/>
      <c r="AO44" s="4"/>
      <c r="AP44" s="4"/>
      <c r="AQ44" s="4"/>
      <c r="AR44" s="4"/>
      <c r="AS44" s="97" t="str">
        <f>"COMMENT ON COLUMN "&amp;エンティティ一覧!$O$2&amp;"."&amp;D$8&amp;"."&amp;D44&amp;" IS '"&amp;C44&amp;"';"</f>
        <v>COMMENT ON COLUMN milscm_2023_010.azn_202310_base_mart_shikkan.shushoku_code18 IS '修飾語コード18';</v>
      </c>
    </row>
    <row r="45" spans="1:45" s="25" customFormat="1">
      <c r="A45" s="4"/>
      <c r="B45" s="21">
        <f t="shared" si="2"/>
        <v>33</v>
      </c>
      <c r="C45" s="13" t="s">
        <v>1102</v>
      </c>
      <c r="D45" s="13" t="s">
        <v>1103</v>
      </c>
      <c r="E45" s="7"/>
      <c r="F45" s="7" t="s">
        <v>1735</v>
      </c>
      <c r="G45" s="7" t="str">
        <f t="shared" si="3"/>
        <v>text</v>
      </c>
      <c r="H45" s="58"/>
      <c r="I45" s="23"/>
      <c r="J45" s="24"/>
      <c r="M45" s="4"/>
      <c r="N45" s="97"/>
      <c r="O45" s="97"/>
      <c r="P45" s="97" t="str">
        <f t="shared" si="4"/>
        <v>,shushoku_code19</v>
      </c>
      <c r="Q45" s="97" t="str">
        <f t="shared" si="0"/>
        <v>TEXT</v>
      </c>
      <c r="R45" s="97" t="str">
        <f t="shared" si="1"/>
        <v/>
      </c>
      <c r="S45" s="97" t="str">
        <f t="shared" si="5"/>
        <v/>
      </c>
      <c r="T45" s="97" t="str">
        <f t="shared" si="6"/>
        <v>-- 修飾語コード19</v>
      </c>
      <c r="U45" s="4"/>
      <c r="AA45" s="4"/>
      <c r="AB45" s="4"/>
      <c r="AC45" s="4"/>
      <c r="AD45" s="4"/>
      <c r="AE45" s="4"/>
      <c r="AF45" s="4"/>
      <c r="AG45" s="4"/>
      <c r="AH45" s="4"/>
      <c r="AI45" s="4"/>
      <c r="AJ45" s="97" t="str">
        <f>IF(E45="○",IF(COUNTA(E$13:E45)=1,"",",")&amp;D45,"")</f>
        <v/>
      </c>
      <c r="AK45" s="4"/>
      <c r="AL45" s="4"/>
      <c r="AM45" s="4"/>
      <c r="AN45" s="4"/>
      <c r="AO45" s="4"/>
      <c r="AP45" s="4"/>
      <c r="AQ45" s="4"/>
      <c r="AR45" s="4"/>
      <c r="AS45" s="97" t="str">
        <f>"COMMENT ON COLUMN "&amp;エンティティ一覧!$O$2&amp;"."&amp;D$8&amp;"."&amp;D45&amp;" IS '"&amp;C45&amp;"';"</f>
        <v>COMMENT ON COLUMN milscm_2023_010.azn_202310_base_mart_shikkan.shushoku_code19 IS '修飾語コード19';</v>
      </c>
    </row>
    <row r="46" spans="1:45" s="25" customFormat="1">
      <c r="A46" s="4"/>
      <c r="B46" s="21">
        <f t="shared" si="2"/>
        <v>34</v>
      </c>
      <c r="C46" s="13" t="s">
        <v>1104</v>
      </c>
      <c r="D46" s="13" t="s">
        <v>1105</v>
      </c>
      <c r="E46" s="7"/>
      <c r="F46" s="7" t="s">
        <v>1735</v>
      </c>
      <c r="G46" s="7" t="str">
        <f t="shared" si="3"/>
        <v>text</v>
      </c>
      <c r="H46" s="58"/>
      <c r="I46" s="23"/>
      <c r="J46" s="24"/>
      <c r="M46" s="4"/>
      <c r="N46" s="97"/>
      <c r="O46" s="97"/>
      <c r="P46" s="97" t="str">
        <f t="shared" si="4"/>
        <v>,shushoku_code20</v>
      </c>
      <c r="Q46" s="97" t="str">
        <f t="shared" si="0"/>
        <v>TEXT</v>
      </c>
      <c r="R46" s="97" t="str">
        <f t="shared" si="1"/>
        <v/>
      </c>
      <c r="S46" s="97" t="str">
        <f t="shared" si="5"/>
        <v/>
      </c>
      <c r="T46" s="97" t="str">
        <f t="shared" si="6"/>
        <v>-- 修飾語コード20</v>
      </c>
      <c r="U46" s="4"/>
      <c r="AA46" s="4"/>
      <c r="AB46" s="4"/>
      <c r="AC46" s="4"/>
      <c r="AD46" s="4"/>
      <c r="AE46" s="4"/>
      <c r="AF46" s="4"/>
      <c r="AG46" s="4"/>
      <c r="AH46" s="4"/>
      <c r="AI46" s="4"/>
      <c r="AJ46" s="97" t="str">
        <f>IF(E46="○",IF(COUNTA(E$13:E46)=1,"",",")&amp;D46,"")</f>
        <v/>
      </c>
      <c r="AK46" s="4"/>
      <c r="AL46" s="4"/>
      <c r="AM46" s="4"/>
      <c r="AN46" s="4"/>
      <c r="AO46" s="4"/>
      <c r="AP46" s="4"/>
      <c r="AQ46" s="4"/>
      <c r="AR46" s="4"/>
      <c r="AS46" s="97" t="str">
        <f>"COMMENT ON COLUMN "&amp;エンティティ一覧!$O$2&amp;"."&amp;D$8&amp;"."&amp;D46&amp;" IS '"&amp;C46&amp;"';"</f>
        <v>COMMENT ON COLUMN milscm_2023_010.azn_202310_base_mart_shikkan.shushoku_code20 IS '修飾語コード20';</v>
      </c>
    </row>
    <row r="47" spans="1:45" s="25" customFormat="1">
      <c r="A47" s="4"/>
      <c r="B47" s="21">
        <f t="shared" si="2"/>
        <v>35</v>
      </c>
      <c r="C47" s="13" t="s">
        <v>1106</v>
      </c>
      <c r="D47" s="13" t="s">
        <v>1107</v>
      </c>
      <c r="E47" s="7"/>
      <c r="F47" s="7" t="s">
        <v>1735</v>
      </c>
      <c r="G47" s="7" t="str">
        <f t="shared" si="3"/>
        <v>text</v>
      </c>
      <c r="H47" s="58"/>
      <c r="I47" s="23"/>
      <c r="J47" s="24"/>
      <c r="M47" s="4"/>
      <c r="N47" s="97"/>
      <c r="O47" s="97"/>
      <c r="P47" s="97" t="str">
        <f t="shared" si="4"/>
        <v>,shobyo_name</v>
      </c>
      <c r="Q47" s="97" t="str">
        <f t="shared" si="0"/>
        <v>TEXT</v>
      </c>
      <c r="R47" s="97" t="str">
        <f t="shared" si="1"/>
        <v/>
      </c>
      <c r="S47" s="97" t="str">
        <f t="shared" si="5"/>
        <v/>
      </c>
      <c r="T47" s="97" t="str">
        <f t="shared" si="6"/>
        <v>-- 傷病名称</v>
      </c>
      <c r="U47" s="4"/>
      <c r="AA47" s="4"/>
      <c r="AB47" s="4"/>
      <c r="AC47" s="4"/>
      <c r="AD47" s="4"/>
      <c r="AE47" s="4"/>
      <c r="AF47" s="4"/>
      <c r="AG47" s="4"/>
      <c r="AH47" s="4"/>
      <c r="AI47" s="4"/>
      <c r="AJ47" s="97" t="str">
        <f>IF(E47="○",IF(COUNTA(E$13:E47)=1,"",",")&amp;D47,"")</f>
        <v/>
      </c>
      <c r="AK47" s="4"/>
      <c r="AL47" s="4"/>
      <c r="AM47" s="4"/>
      <c r="AN47" s="4"/>
      <c r="AO47" s="4"/>
      <c r="AP47" s="4"/>
      <c r="AQ47" s="4"/>
      <c r="AR47" s="4"/>
      <c r="AS47" s="97" t="str">
        <f>"COMMENT ON COLUMN "&amp;エンティティ一覧!$O$2&amp;"."&amp;D$8&amp;"."&amp;D47&amp;" IS '"&amp;C47&amp;"';"</f>
        <v>COMMENT ON COLUMN milscm_2023_010.azn_202310_base_mart_shikkan.shobyo_name IS '傷病名称';</v>
      </c>
    </row>
    <row r="48" spans="1:45" s="25" customFormat="1">
      <c r="A48" s="4"/>
      <c r="B48" s="21">
        <f t="shared" si="2"/>
        <v>36</v>
      </c>
      <c r="C48" s="13" t="s">
        <v>1108</v>
      </c>
      <c r="D48" s="13" t="s">
        <v>1109</v>
      </c>
      <c r="E48" s="7"/>
      <c r="F48" s="7" t="s">
        <v>1735</v>
      </c>
      <c r="G48" s="7" t="str">
        <f t="shared" si="3"/>
        <v>text</v>
      </c>
      <c r="H48" s="58"/>
      <c r="I48" s="23"/>
      <c r="J48" s="24"/>
      <c r="M48" s="4"/>
      <c r="N48" s="97"/>
      <c r="O48" s="97"/>
      <c r="P48" s="97" t="str">
        <f t="shared" si="4"/>
        <v>,main_shobyo_code</v>
      </c>
      <c r="Q48" s="97" t="str">
        <f t="shared" si="0"/>
        <v>TEXT</v>
      </c>
      <c r="R48" s="97" t="str">
        <f t="shared" si="1"/>
        <v/>
      </c>
      <c r="S48" s="97" t="str">
        <f t="shared" si="5"/>
        <v/>
      </c>
      <c r="T48" s="97" t="str">
        <f t="shared" si="6"/>
        <v>-- 主傷病</v>
      </c>
      <c r="U48" s="4"/>
      <c r="AA48" s="4"/>
      <c r="AB48" s="4"/>
      <c r="AC48" s="4"/>
      <c r="AD48" s="4"/>
      <c r="AE48" s="4"/>
      <c r="AF48" s="4"/>
      <c r="AG48" s="4"/>
      <c r="AH48" s="4"/>
      <c r="AI48" s="4"/>
      <c r="AJ48" s="97" t="str">
        <f>IF(E48="○",IF(COUNTA(E$13:E48)=1,"",",")&amp;D48,"")</f>
        <v/>
      </c>
      <c r="AK48" s="4"/>
      <c r="AL48" s="4"/>
      <c r="AM48" s="4"/>
      <c r="AN48" s="4"/>
      <c r="AO48" s="4"/>
      <c r="AP48" s="4"/>
      <c r="AQ48" s="4"/>
      <c r="AR48" s="4"/>
      <c r="AS48" s="97" t="str">
        <f>"COMMENT ON COLUMN "&amp;エンティティ一覧!$O$2&amp;"."&amp;D$8&amp;"."&amp;D48&amp;" IS '"&amp;C48&amp;"';"</f>
        <v>COMMENT ON COLUMN milscm_2023_010.azn_202310_base_mart_shikkan.main_shobyo_code IS '主傷病';</v>
      </c>
    </row>
    <row r="49" spans="1:52" s="25" customFormat="1">
      <c r="A49" s="4"/>
      <c r="B49" s="21">
        <f t="shared" si="2"/>
        <v>37</v>
      </c>
      <c r="C49" s="13" t="s">
        <v>661</v>
      </c>
      <c r="D49" s="13" t="s">
        <v>869</v>
      </c>
      <c r="E49" s="7"/>
      <c r="F49" s="7" t="s">
        <v>1735</v>
      </c>
      <c r="G49" s="7" t="str">
        <f t="shared" si="3"/>
        <v>text</v>
      </c>
      <c r="H49" s="58"/>
      <c r="I49" s="23"/>
      <c r="J49" s="24"/>
      <c r="M49" s="4"/>
      <c r="N49" s="97"/>
      <c r="O49" s="97"/>
      <c r="P49" s="97" t="str">
        <f t="shared" si="4"/>
        <v>,icd10_code</v>
      </c>
      <c r="Q49" s="97" t="str">
        <f t="shared" si="0"/>
        <v>TEXT</v>
      </c>
      <c r="R49" s="97" t="str">
        <f t="shared" si="1"/>
        <v/>
      </c>
      <c r="S49" s="97" t="str">
        <f t="shared" si="5"/>
        <v/>
      </c>
      <c r="T49" s="97" t="str">
        <f t="shared" si="6"/>
        <v>-- ICD10コード</v>
      </c>
      <c r="U49" s="4"/>
      <c r="AA49" s="4"/>
      <c r="AB49" s="4"/>
      <c r="AC49" s="4"/>
      <c r="AD49" s="4"/>
      <c r="AE49" s="4"/>
      <c r="AF49" s="4"/>
      <c r="AG49" s="4"/>
      <c r="AH49" s="4"/>
      <c r="AI49" s="4"/>
      <c r="AJ49" s="97" t="str">
        <f>IF(E49="○",IF(COUNTA(E$13:E49)=1,"",",")&amp;D49,"")</f>
        <v/>
      </c>
      <c r="AK49" s="4"/>
      <c r="AL49" s="4"/>
      <c r="AM49" s="4"/>
      <c r="AN49" s="4"/>
      <c r="AO49" s="4"/>
      <c r="AP49" s="4"/>
      <c r="AQ49" s="4"/>
      <c r="AR49" s="4"/>
      <c r="AS49" s="97" t="str">
        <f>"COMMENT ON COLUMN "&amp;エンティティ一覧!$O$2&amp;"."&amp;D$8&amp;"."&amp;D49&amp;" IS '"&amp;C49&amp;"';"</f>
        <v>COMMENT ON COLUMN milscm_2023_010.azn_202310_base_mart_shikkan.icd10_code IS 'ICD10コード';</v>
      </c>
    </row>
    <row r="50" spans="1:52" s="25" customFormat="1">
      <c r="A50" s="4"/>
      <c r="B50" s="21">
        <f t="shared" si="2"/>
        <v>38</v>
      </c>
      <c r="C50" s="13" t="s">
        <v>1221</v>
      </c>
      <c r="D50" s="13" t="s">
        <v>1222</v>
      </c>
      <c r="E50" s="7"/>
      <c r="F50" s="7" t="s">
        <v>1735</v>
      </c>
      <c r="G50" s="7" t="str">
        <f t="shared" si="3"/>
        <v>text</v>
      </c>
      <c r="H50" s="58"/>
      <c r="I50" s="23"/>
      <c r="J50" s="24"/>
      <c r="M50" s="4"/>
      <c r="N50" s="97"/>
      <c r="O50" s="97"/>
      <c r="P50" s="97" t="str">
        <f t="shared" si="4"/>
        <v>,shobyo_kubun</v>
      </c>
      <c r="Q50" s="97" t="str">
        <f t="shared" si="0"/>
        <v>TEXT</v>
      </c>
      <c r="R50" s="97" t="str">
        <f t="shared" si="1"/>
        <v/>
      </c>
      <c r="S50" s="97" t="str">
        <f t="shared" si="5"/>
        <v/>
      </c>
      <c r="T50" s="97" t="str">
        <f t="shared" si="6"/>
        <v>-- 傷病名区分</v>
      </c>
      <c r="U50" s="4"/>
      <c r="AA50" s="4"/>
      <c r="AB50" s="4"/>
      <c r="AC50" s="4"/>
      <c r="AD50" s="4"/>
      <c r="AE50" s="4"/>
      <c r="AF50" s="4"/>
      <c r="AG50" s="4"/>
      <c r="AH50" s="4"/>
      <c r="AI50" s="4"/>
      <c r="AJ50" s="97" t="str">
        <f>IF(E50="○",IF(COUNTA(E$13:E50)=1,"",",")&amp;D50,"")</f>
        <v/>
      </c>
      <c r="AK50" s="4"/>
      <c r="AL50" s="4"/>
      <c r="AM50" s="4"/>
      <c r="AN50" s="4"/>
      <c r="AO50" s="4"/>
      <c r="AP50" s="4"/>
      <c r="AQ50" s="4"/>
      <c r="AR50" s="4"/>
      <c r="AS50" s="97" t="str">
        <f>"COMMENT ON COLUMN "&amp;エンティティ一覧!$O$2&amp;"."&amp;D$8&amp;"."&amp;D50&amp;" IS '"&amp;C50&amp;"';"</f>
        <v>COMMENT ON COLUMN milscm_2023_010.azn_202310_base_mart_shikkan.shobyo_kubun IS '傷病名区分';</v>
      </c>
    </row>
    <row r="51" spans="1:52" s="25" customFormat="1">
      <c r="A51" s="4"/>
      <c r="B51" s="21">
        <f t="shared" si="2"/>
        <v>39</v>
      </c>
      <c r="C51" s="13" t="s">
        <v>1208</v>
      </c>
      <c r="D51" s="13" t="s">
        <v>1209</v>
      </c>
      <c r="E51" s="7"/>
      <c r="F51" s="7" t="s">
        <v>1778</v>
      </c>
      <c r="G51" s="7" t="str">
        <f t="shared" si="3"/>
        <v>text</v>
      </c>
      <c r="H51" s="58"/>
      <c r="I51" s="23"/>
      <c r="J51" s="24" t="s">
        <v>1792</v>
      </c>
      <c r="M51" s="4"/>
      <c r="N51" s="97"/>
      <c r="O51" s="97"/>
      <c r="P51" s="97" t="str">
        <f t="shared" si="4"/>
        <v>,konnyuin_ymd</v>
      </c>
      <c r="Q51" s="97" t="str">
        <f t="shared" si="0"/>
        <v>TEXT</v>
      </c>
      <c r="R51" s="97" t="str">
        <f t="shared" si="1"/>
        <v/>
      </c>
      <c r="S51" s="97" t="str">
        <f t="shared" si="5"/>
        <v/>
      </c>
      <c r="T51" s="97" t="str">
        <f t="shared" si="6"/>
        <v xml:space="preserve">-- 今回入院年月日 </v>
      </c>
      <c r="U51" s="4"/>
      <c r="AA51" s="4"/>
      <c r="AB51" s="4"/>
      <c r="AC51" s="4"/>
      <c r="AD51" s="4"/>
      <c r="AE51" s="4"/>
      <c r="AF51" s="4"/>
      <c r="AG51" s="4"/>
      <c r="AH51" s="4"/>
      <c r="AI51" s="4"/>
      <c r="AJ51" s="97" t="str">
        <f>IF(E51="○",IF(COUNTA(E$13:E51)=1,"",",")&amp;D51,"")</f>
        <v/>
      </c>
      <c r="AK51" s="4"/>
      <c r="AL51" s="4"/>
      <c r="AM51" s="4"/>
      <c r="AN51" s="4"/>
      <c r="AO51" s="4"/>
      <c r="AP51" s="4"/>
      <c r="AQ51" s="4"/>
      <c r="AR51" s="4"/>
      <c r="AS51" s="97" t="str">
        <f>"COMMENT ON COLUMN "&amp;エンティティ一覧!$O$2&amp;"."&amp;D$8&amp;"."&amp;D51&amp;" IS '"&amp;C51&amp;"';"</f>
        <v>COMMENT ON COLUMN milscm_2023_010.azn_202310_base_mart_shikkan.konnyuin_ymd IS '今回入院年月日 ';</v>
      </c>
    </row>
    <row r="52" spans="1:52" s="25" customFormat="1">
      <c r="A52" s="4"/>
      <c r="B52" s="21">
        <f t="shared" si="2"/>
        <v>40</v>
      </c>
      <c r="C52" s="13" t="s">
        <v>1210</v>
      </c>
      <c r="D52" s="13" t="s">
        <v>1211</v>
      </c>
      <c r="E52" s="7"/>
      <c r="F52" s="7" t="s">
        <v>1778</v>
      </c>
      <c r="G52" s="7" t="str">
        <f t="shared" si="3"/>
        <v>text</v>
      </c>
      <c r="H52" s="58"/>
      <c r="I52" s="23"/>
      <c r="J52" s="24" t="s">
        <v>1792</v>
      </c>
      <c r="M52" s="4"/>
      <c r="N52" s="97"/>
      <c r="O52" s="97"/>
      <c r="P52" s="97" t="str">
        <f t="shared" si="4"/>
        <v>,kontaiin_ymd</v>
      </c>
      <c r="Q52" s="97" t="str">
        <f t="shared" si="0"/>
        <v>TEXT</v>
      </c>
      <c r="R52" s="97" t="str">
        <f t="shared" si="1"/>
        <v/>
      </c>
      <c r="S52" s="97" t="str">
        <f t="shared" si="5"/>
        <v/>
      </c>
      <c r="T52" s="97" t="str">
        <f t="shared" si="6"/>
        <v>-- 今回退院年月日</v>
      </c>
      <c r="U52" s="4"/>
      <c r="AA52" s="4"/>
      <c r="AB52" s="4"/>
      <c r="AC52" s="4"/>
      <c r="AD52" s="4"/>
      <c r="AE52" s="4"/>
      <c r="AF52" s="4"/>
      <c r="AG52" s="4"/>
      <c r="AH52" s="4"/>
      <c r="AI52" s="4"/>
      <c r="AJ52" s="97" t="str">
        <f>IF(E52="○",IF(COUNTA(E$13:E52)=1,"",",")&amp;D52,"")</f>
        <v/>
      </c>
      <c r="AK52" s="4"/>
      <c r="AL52" s="4"/>
      <c r="AM52" s="4"/>
      <c r="AN52" s="4"/>
      <c r="AO52" s="4"/>
      <c r="AP52" s="4"/>
      <c r="AQ52" s="4"/>
      <c r="AR52" s="4"/>
      <c r="AS52" s="97" t="str">
        <f>"COMMENT ON COLUMN "&amp;エンティティ一覧!$O$2&amp;"."&amp;D$8&amp;"."&amp;D52&amp;" IS '"&amp;C52&amp;"';"</f>
        <v>COMMENT ON COLUMN milscm_2023_010.azn_202310_base_mart_shikkan.kontaiin_ymd IS '今回退院年月日';</v>
      </c>
    </row>
    <row r="53" spans="1:52" s="25" customFormat="1">
      <c r="A53" s="4"/>
      <c r="B53" s="21">
        <f t="shared" si="2"/>
        <v>41</v>
      </c>
      <c r="C53" s="13" t="s">
        <v>1212</v>
      </c>
      <c r="D53" s="13" t="s">
        <v>1213</v>
      </c>
      <c r="E53" s="7"/>
      <c r="F53" s="7" t="s">
        <v>1778</v>
      </c>
      <c r="G53" s="7" t="str">
        <f t="shared" si="3"/>
        <v>text</v>
      </c>
      <c r="H53" s="58"/>
      <c r="I53" s="23"/>
      <c r="J53" s="24"/>
      <c r="M53" s="4"/>
      <c r="N53" s="97"/>
      <c r="O53" s="97"/>
      <c r="P53" s="97" t="str">
        <f t="shared" si="4"/>
        <v>,dpc_tenki_code</v>
      </c>
      <c r="Q53" s="97" t="str">
        <f t="shared" si="0"/>
        <v>TEXT</v>
      </c>
      <c r="R53" s="97" t="str">
        <f t="shared" si="1"/>
        <v/>
      </c>
      <c r="S53" s="97" t="str">
        <f t="shared" si="5"/>
        <v/>
      </c>
      <c r="T53" s="97" t="str">
        <f t="shared" si="6"/>
        <v>-- DPC転帰区分</v>
      </c>
      <c r="U53" s="4"/>
      <c r="AA53" s="4"/>
      <c r="AB53" s="4"/>
      <c r="AC53" s="4"/>
      <c r="AD53" s="4"/>
      <c r="AE53" s="4"/>
      <c r="AF53" s="4"/>
      <c r="AG53" s="4"/>
      <c r="AH53" s="4"/>
      <c r="AI53" s="4"/>
      <c r="AJ53" s="97" t="str">
        <f>IF(E53="○",IF(COUNTA(E$13:E53)=1,"",",")&amp;D53,"")</f>
        <v/>
      </c>
      <c r="AK53" s="4"/>
      <c r="AL53" s="4"/>
      <c r="AM53" s="4"/>
      <c r="AN53" s="4"/>
      <c r="AO53" s="4"/>
      <c r="AP53" s="4"/>
      <c r="AQ53" s="4"/>
      <c r="AR53" s="4"/>
      <c r="AS53" s="97" t="str">
        <f>"COMMENT ON COLUMN "&amp;エンティティ一覧!$O$2&amp;"."&amp;D$8&amp;"."&amp;D53&amp;" IS '"&amp;C53&amp;"';"</f>
        <v>COMMENT ON COLUMN milscm_2023_010.azn_202310_base_mart_shikkan.dpc_tenki_code IS 'DPC転帰区分';</v>
      </c>
    </row>
    <row r="54" spans="1:52" s="25" customFormat="1">
      <c r="A54" s="4"/>
      <c r="B54" s="21">
        <f t="shared" si="2"/>
        <v>42</v>
      </c>
      <c r="C54" s="13" t="s">
        <v>1214</v>
      </c>
      <c r="D54" s="13" t="s">
        <v>1215</v>
      </c>
      <c r="E54" s="7"/>
      <c r="F54" s="7" t="s">
        <v>1735</v>
      </c>
      <c r="G54" s="7" t="str">
        <f t="shared" si="3"/>
        <v>text</v>
      </c>
      <c r="H54" s="58"/>
      <c r="I54" s="23"/>
      <c r="J54" s="24"/>
      <c r="M54" s="4"/>
      <c r="N54" s="97"/>
      <c r="O54" s="97"/>
      <c r="P54" s="97" t="str">
        <f t="shared" si="4"/>
        <v>,death_cause</v>
      </c>
      <c r="Q54" s="97" t="str">
        <f t="shared" si="0"/>
        <v>TEXT</v>
      </c>
      <c r="R54" s="97" t="str">
        <f t="shared" si="1"/>
        <v/>
      </c>
      <c r="S54" s="97" t="str">
        <f t="shared" si="5"/>
        <v/>
      </c>
      <c r="T54" s="97" t="str">
        <f t="shared" si="6"/>
        <v>-- 死因</v>
      </c>
      <c r="U54" s="4"/>
      <c r="AA54" s="4"/>
      <c r="AB54" s="4"/>
      <c r="AC54" s="4"/>
      <c r="AD54" s="4"/>
      <c r="AE54" s="4"/>
      <c r="AF54" s="4"/>
      <c r="AG54" s="4"/>
      <c r="AH54" s="4"/>
      <c r="AI54" s="4"/>
      <c r="AJ54" s="97" t="str">
        <f>IF(E54="○",IF(COUNTA(E$13:E54)=1,"",",")&amp;D54,"")</f>
        <v/>
      </c>
      <c r="AK54" s="4"/>
      <c r="AL54" s="4"/>
      <c r="AM54" s="4"/>
      <c r="AN54" s="4"/>
      <c r="AO54" s="4"/>
      <c r="AP54" s="4"/>
      <c r="AQ54" s="4"/>
      <c r="AR54" s="4"/>
      <c r="AS54" s="97" t="str">
        <f>"COMMENT ON COLUMN "&amp;エンティティ一覧!$O$2&amp;"."&amp;D$8&amp;"."&amp;D54&amp;" IS '"&amp;C54&amp;"';"</f>
        <v>COMMENT ON COLUMN milscm_2023_010.azn_202310_base_mart_shikkan.death_cause IS '死因';</v>
      </c>
    </row>
    <row r="55" spans="1:52" s="25" customFormat="1">
      <c r="A55" s="4"/>
      <c r="B55" s="21">
        <f t="shared" si="2"/>
        <v>43</v>
      </c>
      <c r="C55" s="13" t="s">
        <v>1779</v>
      </c>
      <c r="D55" s="13" t="s">
        <v>939</v>
      </c>
      <c r="E55" s="7"/>
      <c r="F55" s="7" t="s">
        <v>1735</v>
      </c>
      <c r="G55" s="7" t="str">
        <f t="shared" si="3"/>
        <v>text</v>
      </c>
      <c r="H55" s="58"/>
      <c r="I55" s="23"/>
      <c r="J55" s="24"/>
      <c r="M55" s="4"/>
      <c r="N55" s="97"/>
      <c r="O55" s="97"/>
      <c r="P55" s="97" t="str">
        <f t="shared" si="4"/>
        <v>,receipt_type</v>
      </c>
      <c r="Q55" s="97" t="str">
        <f t="shared" si="0"/>
        <v>TEXT</v>
      </c>
      <c r="R55" s="97" t="str">
        <f t="shared" si="1"/>
        <v/>
      </c>
      <c r="S55" s="97" t="str">
        <f t="shared" si="5"/>
        <v/>
      </c>
      <c r="T55" s="97" t="str">
        <f t="shared" si="6"/>
        <v>-- レセプト種別</v>
      </c>
      <c r="U55" s="4"/>
      <c r="AA55" s="4"/>
      <c r="AB55" s="4"/>
      <c r="AC55" s="4"/>
      <c r="AD55" s="4"/>
      <c r="AE55" s="4"/>
      <c r="AF55" s="4"/>
      <c r="AG55" s="4"/>
      <c r="AH55" s="4"/>
      <c r="AI55" s="4"/>
      <c r="AJ55" s="97" t="str">
        <f>IF(E55="○",IF(COUNTA(E$13:E55)=1,"",",")&amp;D55,"")</f>
        <v/>
      </c>
      <c r="AK55" s="4"/>
      <c r="AL55" s="4"/>
      <c r="AM55" s="4"/>
      <c r="AN55" s="4"/>
      <c r="AO55" s="4"/>
      <c r="AP55" s="4"/>
      <c r="AQ55" s="4"/>
      <c r="AR55" s="4"/>
      <c r="AS55" s="97" t="str">
        <f>"COMMENT ON COLUMN "&amp;エンティティ一覧!$O$2&amp;"."&amp;D$8&amp;"."&amp;D55&amp;" IS '"&amp;C55&amp;"';"</f>
        <v>COMMENT ON COLUMN milscm_2023_010.azn_202310_base_mart_shikkan.receipt_type IS 'レセプト種別';</v>
      </c>
    </row>
    <row r="56" spans="1:52" s="25" customFormat="1" ht="56.25">
      <c r="A56" s="4"/>
      <c r="B56" s="21">
        <f t="shared" si="2"/>
        <v>44</v>
      </c>
      <c r="C56" s="13" t="s">
        <v>1751</v>
      </c>
      <c r="D56" s="13" t="s">
        <v>242</v>
      </c>
      <c r="E56" s="7"/>
      <c r="F56" s="7" t="s">
        <v>1735</v>
      </c>
      <c r="G56" s="7" t="str">
        <f t="shared" si="3"/>
        <v>text</v>
      </c>
      <c r="H56" s="58"/>
      <c r="I56" s="23"/>
      <c r="J56" s="24" t="s">
        <v>1794</v>
      </c>
      <c r="M56" s="4"/>
      <c r="N56" s="97"/>
      <c r="O56" s="97"/>
      <c r="P56" s="97" t="str">
        <f t="shared" si="4"/>
        <v>,nyugai_kubun</v>
      </c>
      <c r="Q56" s="97" t="str">
        <f t="shared" si="0"/>
        <v>TEXT</v>
      </c>
      <c r="R56" s="97" t="str">
        <f t="shared" si="1"/>
        <v/>
      </c>
      <c r="S56" s="97" t="str">
        <f t="shared" si="5"/>
        <v/>
      </c>
      <c r="T56" s="97" t="str">
        <f t="shared" si="6"/>
        <v>-- 入外区分</v>
      </c>
      <c r="U56" s="4"/>
      <c r="AA56" s="4"/>
      <c r="AB56" s="4"/>
      <c r="AC56" s="4"/>
      <c r="AD56" s="4"/>
      <c r="AE56" s="4"/>
      <c r="AF56" s="4"/>
      <c r="AG56" s="4"/>
      <c r="AH56" s="4"/>
      <c r="AI56" s="4"/>
      <c r="AJ56" s="97" t="str">
        <f>IF(E56="○",IF(COUNTA(E$13:E56)=1,"",",")&amp;D56,"")</f>
        <v/>
      </c>
      <c r="AK56" s="4"/>
      <c r="AL56" s="4"/>
      <c r="AM56" s="4"/>
      <c r="AN56" s="4"/>
      <c r="AO56" s="4"/>
      <c r="AP56" s="4"/>
      <c r="AQ56" s="4"/>
      <c r="AR56" s="4"/>
      <c r="AS56" s="97" t="str">
        <f>"COMMENT ON COLUMN "&amp;エンティティ一覧!$O$2&amp;"."&amp;D$8&amp;"."&amp;D56&amp;" IS '"&amp;C56&amp;"';"</f>
        <v>COMMENT ON COLUMN milscm_2023_010.azn_202310_base_mart_shikkan.nyugai_kubun IS '入外区分';</v>
      </c>
    </row>
    <row r="57" spans="1:52" s="25" customFormat="1" ht="75">
      <c r="A57" s="4"/>
      <c r="B57" s="21">
        <f t="shared" si="2"/>
        <v>45</v>
      </c>
      <c r="C57" s="13" t="s">
        <v>1780</v>
      </c>
      <c r="D57" s="13" t="s">
        <v>1781</v>
      </c>
      <c r="E57" s="7"/>
      <c r="F57" s="7" t="s">
        <v>1735</v>
      </c>
      <c r="G57" s="7" t="str">
        <f t="shared" si="3"/>
        <v>text</v>
      </c>
      <c r="H57" s="58"/>
      <c r="I57" s="23"/>
      <c r="J57" s="24" t="s">
        <v>1795</v>
      </c>
      <c r="M57" s="4"/>
      <c r="N57" s="97"/>
      <c r="O57" s="97"/>
      <c r="P57" s="97" t="str">
        <f t="shared" si="4"/>
        <v>,utagai_f</v>
      </c>
      <c r="Q57" s="97" t="str">
        <f t="shared" si="0"/>
        <v>TEXT</v>
      </c>
      <c r="R57" s="97" t="str">
        <f t="shared" si="1"/>
        <v/>
      </c>
      <c r="S57" s="97" t="str">
        <f t="shared" si="5"/>
        <v/>
      </c>
      <c r="T57" s="97" t="str">
        <f t="shared" si="6"/>
        <v>-- 疑いフラグ</v>
      </c>
      <c r="U57" s="4"/>
      <c r="AA57" s="4"/>
      <c r="AB57" s="4"/>
      <c r="AC57" s="4"/>
      <c r="AD57" s="4"/>
      <c r="AE57" s="4"/>
      <c r="AF57" s="4"/>
      <c r="AG57" s="4"/>
      <c r="AH57" s="4"/>
      <c r="AI57" s="4"/>
      <c r="AJ57" s="97" t="str">
        <f>IF(E57="○",IF(COUNTA(E$13:E57)=1,"",",")&amp;D57,"")</f>
        <v/>
      </c>
      <c r="AK57" s="4"/>
      <c r="AL57" s="4"/>
      <c r="AM57" s="4"/>
      <c r="AN57" s="4"/>
      <c r="AO57" s="4"/>
      <c r="AP57" s="4"/>
      <c r="AQ57" s="4"/>
      <c r="AR57" s="4"/>
      <c r="AS57" s="97" t="str">
        <f>"COMMENT ON COLUMN "&amp;エンティティ一覧!$O$2&amp;"."&amp;D$8&amp;"."&amp;D57&amp;" IS '"&amp;C57&amp;"';"</f>
        <v>COMMENT ON COLUMN milscm_2023_010.azn_202310_base_mart_shikkan.utagai_f IS '疑いフラグ';</v>
      </c>
    </row>
    <row r="58" spans="1:52" s="25" customFormat="1">
      <c r="A58" s="4"/>
      <c r="B58" s="21">
        <f t="shared" si="2"/>
        <v>46</v>
      </c>
      <c r="C58" s="13" t="s">
        <v>1110</v>
      </c>
      <c r="D58" s="13" t="s">
        <v>1111</v>
      </c>
      <c r="E58" s="7"/>
      <c r="F58" s="7" t="s">
        <v>1735</v>
      </c>
      <c r="G58" s="7" t="str">
        <f t="shared" si="3"/>
        <v>text</v>
      </c>
      <c r="H58" s="58"/>
      <c r="I58" s="23"/>
      <c r="J58" s="24"/>
      <c r="M58" s="4"/>
      <c r="N58" s="97"/>
      <c r="O58" s="97"/>
      <c r="P58" s="97" t="str">
        <f t="shared" si="4"/>
        <v>,hosoku_comment</v>
      </c>
      <c r="Q58" s="97" t="str">
        <f t="shared" si="0"/>
        <v>TEXT</v>
      </c>
      <c r="R58" s="97" t="str">
        <f t="shared" si="1"/>
        <v/>
      </c>
      <c r="S58" s="97" t="str">
        <f t="shared" si="5"/>
        <v/>
      </c>
      <c r="T58" s="97" t="str">
        <f t="shared" si="6"/>
        <v>-- 補足コメント</v>
      </c>
      <c r="U58" s="4"/>
      <c r="AA58" s="4"/>
      <c r="AB58" s="4"/>
      <c r="AC58" s="4"/>
      <c r="AD58" s="4"/>
      <c r="AE58" s="4"/>
      <c r="AF58" s="4"/>
      <c r="AG58" s="4"/>
      <c r="AH58" s="4"/>
      <c r="AI58" s="4"/>
      <c r="AJ58" s="97" t="str">
        <f>IF(E58="○",IF(COUNTA(E$13:E58)=1,"",",")&amp;D58,"")</f>
        <v/>
      </c>
      <c r="AK58" s="4"/>
      <c r="AL58" s="4"/>
      <c r="AM58" s="4"/>
      <c r="AN58" s="4"/>
      <c r="AO58" s="4"/>
      <c r="AP58" s="4"/>
      <c r="AQ58" s="4"/>
      <c r="AR58" s="4"/>
      <c r="AS58" s="97" t="str">
        <f>"COMMENT ON COLUMN "&amp;エンティティ一覧!$O$2&amp;"."&amp;D$8&amp;"."&amp;D58&amp;" IS '"&amp;C58&amp;"';"</f>
        <v>COMMENT ON COLUMN milscm_2023_010.azn_202310_base_mart_shikkan.hosoku_comment IS '補足コメント';</v>
      </c>
    </row>
    <row r="59" spans="1:52" s="25" customFormat="1" ht="19.5" thickBot="1">
      <c r="A59" s="4"/>
      <c r="B59" s="27">
        <f>ROW()-12</f>
        <v>47</v>
      </c>
      <c r="C59" s="57" t="s">
        <v>1752</v>
      </c>
      <c r="D59" s="57" t="s">
        <v>1753</v>
      </c>
      <c r="E59" s="56"/>
      <c r="F59" s="56" t="s">
        <v>203</v>
      </c>
      <c r="G59" s="56" t="str">
        <f t="shared" si="3"/>
        <v>integer</v>
      </c>
      <c r="H59" s="59"/>
      <c r="I59" s="60"/>
      <c r="J59" s="63" t="s">
        <v>1759</v>
      </c>
      <c r="N59" s="97"/>
      <c r="O59" s="97"/>
      <c r="P59" s="97" t="str">
        <f t="shared" si="4"/>
        <v>,seq_no</v>
      </c>
      <c r="Q59" s="97" t="str">
        <f t="shared" si="0"/>
        <v>INTEGER</v>
      </c>
      <c r="R59" s="97" t="str">
        <f t="shared" si="1"/>
        <v/>
      </c>
      <c r="S59" s="97" t="str">
        <f t="shared" si="5"/>
        <v/>
      </c>
      <c r="T59" s="97" t="str">
        <f t="shared" si="6"/>
        <v>-- シーケンス番号</v>
      </c>
      <c r="U59" s="4"/>
      <c r="AA59" s="4"/>
      <c r="AB59" s="4"/>
      <c r="AC59" s="4"/>
      <c r="AD59" s="4"/>
      <c r="AE59" s="4"/>
      <c r="AF59" s="4"/>
      <c r="AG59" s="4"/>
      <c r="AH59" s="4"/>
      <c r="AI59" s="4"/>
      <c r="AJ59" s="97" t="str">
        <f>IF(E59="○",IF(COUNTA(E$13:E59)=1,"",",")&amp;D59,"")</f>
        <v/>
      </c>
      <c r="AK59" s="4"/>
      <c r="AL59" s="4"/>
      <c r="AM59" s="4"/>
      <c r="AN59" s="4"/>
      <c r="AO59" s="4"/>
      <c r="AP59" s="4"/>
      <c r="AQ59" s="4"/>
      <c r="AR59" s="4"/>
      <c r="AS59" s="97" t="str">
        <f>"COMMENT ON COLUMN "&amp;エンティティ一覧!$O$2&amp;"."&amp;D$8&amp;"."&amp;D59&amp;" IS '"&amp;C59&amp;"';"</f>
        <v>COMMENT ON COLUMN milscm_2023_010.azn_202310_base_mart_shikkan.seq_no IS 'シーケンス番号';</v>
      </c>
    </row>
    <row r="60" spans="1:52">
      <c r="L60" s="25"/>
      <c r="M60" s="25"/>
      <c r="N60" s="97" t="s">
        <v>142</v>
      </c>
      <c r="O60" s="97"/>
      <c r="P60" s="97"/>
      <c r="Q60" s="97"/>
      <c r="R60" s="97"/>
      <c r="S60" s="97"/>
      <c r="T60" s="97"/>
      <c r="V60" s="25"/>
      <c r="W60" s="25"/>
      <c r="X60" s="25"/>
      <c r="Y60" s="25"/>
      <c r="Z60" s="25"/>
      <c r="AJ60" s="97" t="s">
        <v>142</v>
      </c>
      <c r="AT60" s="25"/>
      <c r="AU60" s="25"/>
      <c r="AV60" s="25"/>
      <c r="AW60" s="25"/>
      <c r="AX60" s="25"/>
      <c r="AY60" s="25"/>
      <c r="AZ60" s="25"/>
    </row>
    <row r="61" spans="1:52">
      <c r="L61" s="25"/>
      <c r="M61" s="25"/>
      <c r="V61" s="25"/>
      <c r="W61" s="25"/>
      <c r="X61" s="25"/>
      <c r="Y61" s="25"/>
      <c r="Z61" s="25"/>
      <c r="AT61" s="25"/>
      <c r="AU61" s="25"/>
      <c r="AV61" s="25"/>
      <c r="AW61" s="25"/>
      <c r="AX61" s="25"/>
      <c r="AY61" s="25"/>
      <c r="AZ61" s="25"/>
    </row>
    <row r="62" spans="1:52">
      <c r="L62" s="25"/>
      <c r="M62" s="25"/>
      <c r="V62" s="25"/>
      <c r="W62" s="25"/>
      <c r="X62" s="25"/>
      <c r="Y62" s="25"/>
      <c r="Z62" s="25"/>
      <c r="AT62" s="25"/>
      <c r="AU62" s="25"/>
      <c r="AV62" s="25"/>
      <c r="AW62" s="25"/>
      <c r="AX62" s="25"/>
      <c r="AY62" s="25"/>
      <c r="AZ62" s="25"/>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31</v>
      </c>
      <c r="E4" s="248"/>
      <c r="F4" s="248"/>
      <c r="G4" s="248"/>
      <c r="H4" s="248"/>
      <c r="I4" s="248"/>
      <c r="J4" s="249"/>
    </row>
    <row r="5" spans="1:45">
      <c r="B5" s="261" t="s">
        <v>3704</v>
      </c>
      <c r="C5" s="262"/>
      <c r="D5" s="271" t="str">
        <f>VLOOKUP(D7,エンティティ一覧!A1:'エンティティ一覧'!AM10203,7,FALSE)</f>
        <v>base</v>
      </c>
      <c r="E5" s="272"/>
      <c r="F5" s="272"/>
      <c r="G5" s="272"/>
      <c r="H5" s="272"/>
      <c r="I5" s="272"/>
      <c r="J5" s="273"/>
    </row>
    <row r="6" spans="1:45">
      <c r="B6" s="261" t="s">
        <v>3705</v>
      </c>
      <c r="C6" s="262"/>
      <c r="D6" s="271" t="str">
        <f>VLOOKUP(D7,エンティティ一覧!A1:'エンティティ一覧'!AM10203,15,FALSE)</f>
        <v>ENT_31_A1-06</v>
      </c>
      <c r="E6" s="272"/>
      <c r="F6" s="272"/>
      <c r="G6" s="272"/>
      <c r="H6" s="272"/>
      <c r="I6" s="272"/>
      <c r="J6" s="273"/>
    </row>
    <row r="7" spans="1:45">
      <c r="B7" s="261" t="s">
        <v>115</v>
      </c>
      <c r="C7" s="262"/>
      <c r="D7" s="263" t="s">
        <v>3695</v>
      </c>
      <c r="E7" s="264"/>
      <c r="F7" s="264"/>
      <c r="G7" s="264"/>
      <c r="H7" s="264"/>
      <c r="I7" s="264"/>
      <c r="J7" s="265"/>
    </row>
    <row r="8" spans="1:45">
      <c r="B8" s="261" t="s">
        <v>116</v>
      </c>
      <c r="C8" s="262"/>
      <c r="D8" s="263" t="str">
        <f>エンティティ一覧!AE2&amp;"_"&amp;D5&amp;"_mart_nyu_tai_in"</f>
        <v>azn_202310_base_mart_nyu_tai_in</v>
      </c>
      <c r="E8" s="264"/>
      <c r="F8" s="264"/>
      <c r="G8" s="264"/>
      <c r="H8" s="264"/>
      <c r="I8" s="264"/>
      <c r="J8" s="265"/>
    </row>
    <row r="9" spans="1:45" ht="19.5" customHeight="1" thickBot="1">
      <c r="B9" s="266" t="s">
        <v>117</v>
      </c>
      <c r="C9" s="267"/>
      <c r="D9" s="268" t="str">
        <f>"バックアップ_"&amp;SUBSTITUTE(D7,"ベース_","")&amp;"テーブルから対象患者で絞り込んだ結果を格納するテーブル"</f>
        <v>バックアップ_入院退院データテーブルから対象患者で絞り込んだ結果を格納するテーブル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milscm_2023_010.azn_202310_base_mart_nyu_tai_in;</v>
      </c>
      <c r="O10" s="76"/>
      <c r="P10" s="76"/>
      <c r="Q10" s="76"/>
      <c r="R10" s="76"/>
      <c r="S10" s="76"/>
      <c r="T10" s="76"/>
      <c r="AJ10" s="76" t="str">
        <f>"ALTER TABLE ONLY "&amp;エンティティ一覧!$O$2&amp;"."&amp;D$8</f>
        <v>ALTER TABLE ONLY milscm_2023_010.azn_202310_base_mart_nyu_tai_in</v>
      </c>
      <c r="AS10" s="76" t="str">
        <f>"ALTER TABLE "&amp;エンティティ一覧!$O$2&amp;"."&amp;D$8&amp;" OWNER TO pgmisgrp1;"</f>
        <v>ALTER TABLE milscm_2023_010.azn_202310_base_mart_nyu_tai_in OWNER TO pgmisgrp1;</v>
      </c>
    </row>
    <row r="11" spans="1:45" ht="19.5" thickBot="1">
      <c r="B11" s="20" t="s">
        <v>118</v>
      </c>
      <c r="C11" s="19"/>
      <c r="D11" s="5"/>
      <c r="E11" s="5"/>
      <c r="F11" s="5"/>
      <c r="G11" s="5"/>
      <c r="H11" s="5"/>
      <c r="I11" s="5"/>
      <c r="J11" s="18"/>
      <c r="N11" s="76" t="str">
        <f>"CREATE TABLE  "&amp;エンティティ一覧!$O$2&amp;"."&amp;D$8</f>
        <v>CREATE TABLE  milscm_2023_010.azn_202310_base_mart_nyu_tai_in</v>
      </c>
      <c r="O11" s="76"/>
      <c r="P11" s="76"/>
      <c r="Q11" s="76"/>
      <c r="R11" s="76"/>
      <c r="S11" s="76"/>
      <c r="T11" s="76"/>
      <c r="AJ11" s="76" t="str">
        <f>"ADD CONSTRAINT "&amp;D$8&amp;"_pkey PRIMARY KEY"</f>
        <v>ADD CONSTRAINT azn_202310_base_mart_nyu_tai_in_pkey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milscm_2023_010.azn_202310_base_mart_nyu_tai_in IS 'ベース_入院退院データ';</v>
      </c>
    </row>
    <row r="13" spans="1:45" s="25" customFormat="1">
      <c r="A13" s="4"/>
      <c r="B13" s="21">
        <f>ROW()-12</f>
        <v>1</v>
      </c>
      <c r="C13" s="6" t="s">
        <v>1734</v>
      </c>
      <c r="D13" s="6" t="s">
        <v>209</v>
      </c>
      <c r="E13" s="8" t="s">
        <v>127</v>
      </c>
      <c r="F13" s="8" t="s">
        <v>1735</v>
      </c>
      <c r="G13" s="7" t="str">
        <f>IF(F13="フラグ","boolean",IF(F13="文字列","text",IF(F13="整数","integer",IF(F13="実数","numeric",""))))</f>
        <v>text</v>
      </c>
      <c r="H13" s="9"/>
      <c r="I13" s="10" t="s">
        <v>127</v>
      </c>
      <c r="J13" s="11" t="s">
        <v>1813</v>
      </c>
      <c r="M13" s="4"/>
      <c r="N13" s="76"/>
      <c r="O13" s="76"/>
      <c r="P13" s="76" t="str">
        <f>IF(B13&lt;&gt;1,","&amp;D13,D13)</f>
        <v>shikibetsu_no</v>
      </c>
      <c r="Q13" s="76" t="str">
        <f t="shared" ref="Q13:Q19" si="0">UPPER(G13)</f>
        <v>TEXT</v>
      </c>
      <c r="R13" s="76" t="str">
        <f t="shared" ref="R13:R19"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milscm_2023_010.azn_202310_base_mart_nyu_tai_in.shikibetsu_no IS 'データ識別番号';</v>
      </c>
    </row>
    <row r="14" spans="1:45" s="25" customFormat="1">
      <c r="A14" s="4"/>
      <c r="B14" s="21">
        <f t="shared" ref="B14:B18" si="2">ROW()-12</f>
        <v>2</v>
      </c>
      <c r="C14" s="6" t="s">
        <v>137</v>
      </c>
      <c r="D14" s="6" t="s">
        <v>128</v>
      </c>
      <c r="E14" s="8" t="s">
        <v>127</v>
      </c>
      <c r="F14" s="7" t="s">
        <v>735</v>
      </c>
      <c r="G14" s="7" t="str">
        <f t="shared" ref="G14:G19" si="3">IF(F14="フラグ","boolean",IF(F14="文字列","text",IF(F14="整数","integer",IF(F14="実数","numeric",""))))</f>
        <v>text</v>
      </c>
      <c r="H14" s="26"/>
      <c r="I14" s="10" t="s">
        <v>127</v>
      </c>
      <c r="J14" s="11" t="s">
        <v>1813</v>
      </c>
      <c r="M14" s="4"/>
      <c r="N14" s="76"/>
      <c r="O14" s="76"/>
      <c r="P14" s="76" t="str">
        <f t="shared" ref="P14:P19" si="4">IF(B14&lt;&gt;1,","&amp;D14,D14)</f>
        <v>,facility_id</v>
      </c>
      <c r="Q14" s="76" t="str">
        <f t="shared" si="0"/>
        <v>TEXT</v>
      </c>
      <c r="R14" s="76" t="str">
        <f t="shared" si="1"/>
        <v/>
      </c>
      <c r="S14" s="76" t="str">
        <f t="shared" ref="S14:S17" si="5">IF(I14="○","NOT NULL","")</f>
        <v>NOT NULL</v>
      </c>
      <c r="T14" s="76" t="str">
        <f t="shared" ref="T14:T17" si="6">"--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milscm_2023_010.azn_202310_base_mart_nyu_tai_in.facility_id IS '施設ID';</v>
      </c>
    </row>
    <row r="15" spans="1:45" s="25" customFormat="1">
      <c r="A15" s="4"/>
      <c r="B15" s="21">
        <f t="shared" si="2"/>
        <v>3</v>
      </c>
      <c r="C15" s="6" t="s">
        <v>1805</v>
      </c>
      <c r="D15" s="6" t="s">
        <v>1806</v>
      </c>
      <c r="E15" s="8"/>
      <c r="F15" s="7" t="s">
        <v>1735</v>
      </c>
      <c r="G15" s="7" t="str">
        <f t="shared" si="3"/>
        <v>text</v>
      </c>
      <c r="H15" s="26"/>
      <c r="I15" s="10" t="s">
        <v>127</v>
      </c>
      <c r="J15" s="11" t="s">
        <v>1814</v>
      </c>
      <c r="M15" s="4"/>
      <c r="N15" s="76"/>
      <c r="O15" s="76"/>
      <c r="P15" s="76" t="str">
        <f t="shared" si="4"/>
        <v>,nyuin_ym</v>
      </c>
      <c r="Q15" s="76" t="str">
        <f t="shared" si="0"/>
        <v>TEXT</v>
      </c>
      <c r="R15" s="76" t="str">
        <f t="shared" si="1"/>
        <v/>
      </c>
      <c r="S15" s="76" t="str">
        <f t="shared" si="5"/>
        <v>NOT NULL</v>
      </c>
      <c r="T15" s="76" t="str">
        <f t="shared" si="6"/>
        <v>-- 入院年月</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milscm_2023_010.azn_202310_base_mart_nyu_tai_in.nyuin_ym IS '入院年月';</v>
      </c>
    </row>
    <row r="16" spans="1:45" s="25" customFormat="1">
      <c r="A16" s="4"/>
      <c r="B16" s="21">
        <f t="shared" si="2"/>
        <v>4</v>
      </c>
      <c r="C16" s="6" t="s">
        <v>1807</v>
      </c>
      <c r="D16" s="6" t="s">
        <v>1808</v>
      </c>
      <c r="E16" s="8"/>
      <c r="F16" s="7" t="s">
        <v>1735</v>
      </c>
      <c r="G16" s="7" t="str">
        <f t="shared" si="3"/>
        <v>text</v>
      </c>
      <c r="H16" s="26"/>
      <c r="I16" s="10" t="s">
        <v>127</v>
      </c>
      <c r="J16" s="11" t="s">
        <v>1815</v>
      </c>
      <c r="M16" s="4"/>
      <c r="N16" s="76"/>
      <c r="O16" s="76"/>
      <c r="P16" s="76" t="str">
        <f t="shared" si="4"/>
        <v>,taiin_ym</v>
      </c>
      <c r="Q16" s="76" t="str">
        <f t="shared" si="0"/>
        <v>TEXT</v>
      </c>
      <c r="R16" s="76" t="str">
        <f t="shared" si="1"/>
        <v/>
      </c>
      <c r="S16" s="76" t="str">
        <f t="shared" si="5"/>
        <v>NOT NULL</v>
      </c>
      <c r="T16" s="76" t="str">
        <f t="shared" si="6"/>
        <v>-- 退院年月</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milscm_2023_010.azn_202310_base_mart_nyu_tai_in.taiin_ym IS '退院年月';</v>
      </c>
    </row>
    <row r="17" spans="1:52" s="25" customFormat="1">
      <c r="A17" s="4"/>
      <c r="B17" s="21">
        <f t="shared" si="2"/>
        <v>5</v>
      </c>
      <c r="C17" s="6" t="s">
        <v>1809</v>
      </c>
      <c r="D17" s="6" t="s">
        <v>156</v>
      </c>
      <c r="E17" s="8" t="s">
        <v>127</v>
      </c>
      <c r="F17" s="7" t="s">
        <v>1735</v>
      </c>
      <c r="G17" s="7" t="str">
        <f t="shared" si="3"/>
        <v>text</v>
      </c>
      <c r="H17" s="26"/>
      <c r="I17" s="10" t="s">
        <v>127</v>
      </c>
      <c r="J17" s="11" t="s">
        <v>1813</v>
      </c>
      <c r="M17" s="4"/>
      <c r="N17" s="76"/>
      <c r="O17" s="76"/>
      <c r="P17" s="76" t="str">
        <f t="shared" si="4"/>
        <v>,nyuin_ymd</v>
      </c>
      <c r="Q17" s="76" t="str">
        <f t="shared" si="0"/>
        <v>TEXT</v>
      </c>
      <c r="R17" s="76" t="str">
        <f t="shared" si="1"/>
        <v/>
      </c>
      <c r="S17" s="76" t="str">
        <f t="shared" si="5"/>
        <v>NOT NULL</v>
      </c>
      <c r="T17" s="76" t="str">
        <f t="shared" si="6"/>
        <v>-- 入院年月日</v>
      </c>
      <c r="U17" s="4"/>
      <c r="AA17" s="4"/>
      <c r="AB17" s="4"/>
      <c r="AC17" s="4"/>
      <c r="AD17" s="4"/>
      <c r="AE17" s="4"/>
      <c r="AF17" s="4"/>
      <c r="AG17" s="4"/>
      <c r="AH17" s="4"/>
      <c r="AI17" s="4"/>
      <c r="AJ17" s="76" t="str">
        <f>IF(E17="○",IF(COUNTA(E$13:E17)=1,"",",")&amp;D17,"")</f>
        <v>,nyuin_ymd</v>
      </c>
      <c r="AK17" s="4"/>
      <c r="AL17" s="4"/>
      <c r="AM17" s="4"/>
      <c r="AN17" s="4"/>
      <c r="AO17" s="4"/>
      <c r="AP17" s="4"/>
      <c r="AQ17" s="4"/>
      <c r="AR17" s="4"/>
      <c r="AS17" s="76" t="str">
        <f>"COMMENT ON COLUMN "&amp;エンティティ一覧!$O$2&amp;"."&amp;D$8&amp;"."&amp;D17&amp;" IS '"&amp;C17&amp;"';"</f>
        <v>COMMENT ON COLUMN milscm_2023_010.azn_202310_base_mart_nyu_tai_in.nyuin_ymd IS '入院年月日';</v>
      </c>
    </row>
    <row r="18" spans="1:52" s="25" customFormat="1">
      <c r="A18" s="4"/>
      <c r="B18" s="21">
        <f t="shared" si="2"/>
        <v>6</v>
      </c>
      <c r="C18" s="6" t="s">
        <v>1810</v>
      </c>
      <c r="D18" s="6" t="s">
        <v>211</v>
      </c>
      <c r="E18" s="8" t="s">
        <v>127</v>
      </c>
      <c r="F18" s="7" t="s">
        <v>1735</v>
      </c>
      <c r="G18" s="7" t="str">
        <f t="shared" si="3"/>
        <v>text</v>
      </c>
      <c r="H18" s="26"/>
      <c r="I18" s="10" t="s">
        <v>127</v>
      </c>
      <c r="J18" s="11" t="s">
        <v>1813</v>
      </c>
      <c r="M18" s="4"/>
      <c r="N18" s="76"/>
      <c r="O18" s="76"/>
      <c r="P18" s="76" t="str">
        <f t="shared" si="4"/>
        <v>,taiin_ymd</v>
      </c>
      <c r="Q18" s="76" t="str">
        <f t="shared" si="0"/>
        <v>TEXT</v>
      </c>
      <c r="R18" s="76" t="str">
        <f t="shared" si="1"/>
        <v/>
      </c>
      <c r="S18" s="76" t="str">
        <f>IF(I18="○","NOT NULL","")</f>
        <v>NOT NULL</v>
      </c>
      <c r="T18" s="76" t="str">
        <f>"-- "&amp;C18</f>
        <v>-- 退院年月日</v>
      </c>
      <c r="U18" s="4"/>
      <c r="AA18" s="4"/>
      <c r="AB18" s="4"/>
      <c r="AC18" s="4"/>
      <c r="AD18" s="4"/>
      <c r="AE18" s="4"/>
      <c r="AF18" s="4"/>
      <c r="AG18" s="4"/>
      <c r="AH18" s="4"/>
      <c r="AI18" s="4"/>
      <c r="AJ18" s="76" t="str">
        <f>IF(E18="○",IF(COUNTA(E$13:E18)=1,"",",")&amp;D18,"")</f>
        <v>,taiin_ymd</v>
      </c>
      <c r="AK18" s="4"/>
      <c r="AL18" s="4"/>
      <c r="AM18" s="4"/>
      <c r="AN18" s="4"/>
      <c r="AO18" s="4"/>
      <c r="AP18" s="4"/>
      <c r="AQ18" s="4"/>
      <c r="AR18" s="4"/>
      <c r="AS18" s="76" t="str">
        <f>"COMMENT ON COLUMN "&amp;エンティティ一覧!$O$2&amp;"."&amp;D$8&amp;"."&amp;D18&amp;" IS '"&amp;C18&amp;"';"</f>
        <v>COMMENT ON COLUMN milscm_2023_010.azn_202310_base_mart_nyu_tai_in.taiin_ymd IS '退院年月日';</v>
      </c>
    </row>
    <row r="19" spans="1:52" s="25" customFormat="1" ht="38.25" thickBot="1">
      <c r="A19" s="4"/>
      <c r="B19" s="27">
        <f>ROW()-12</f>
        <v>7</v>
      </c>
      <c r="C19" s="57" t="s">
        <v>1811</v>
      </c>
      <c r="D19" s="57" t="s">
        <v>1812</v>
      </c>
      <c r="E19" s="56"/>
      <c r="F19" s="56" t="s">
        <v>1735</v>
      </c>
      <c r="G19" s="56" t="str">
        <f t="shared" si="3"/>
        <v>text</v>
      </c>
      <c r="H19" s="59"/>
      <c r="I19" s="60" t="s">
        <v>127</v>
      </c>
      <c r="J19" s="63" t="s">
        <v>1816</v>
      </c>
      <c r="N19" s="76"/>
      <c r="O19" s="76"/>
      <c r="P19" s="76" t="str">
        <f t="shared" si="4"/>
        <v>,nyuinchu_flg</v>
      </c>
      <c r="Q19" s="76" t="str">
        <f t="shared" si="0"/>
        <v>TEXT</v>
      </c>
      <c r="R19" s="76" t="str">
        <f t="shared" si="1"/>
        <v/>
      </c>
      <c r="S19" s="76" t="str">
        <f t="shared" ref="S19" si="7">IF(I19="○","NOT NULL","")</f>
        <v>NOT NULL</v>
      </c>
      <c r="T19" s="76" t="str">
        <f t="shared" ref="T19" si="8">"-- "&amp;C19</f>
        <v>-- 入院中F</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milscm_2023_010.azn_202310_base_mart_nyu_tai_in.nyuinchu_flg IS '入院中F';</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31</v>
      </c>
      <c r="E4" s="248"/>
      <c r="F4" s="248"/>
      <c r="G4" s="248"/>
      <c r="H4" s="248"/>
      <c r="I4" s="248"/>
      <c r="J4" s="249"/>
    </row>
    <row r="5" spans="1:45">
      <c r="B5" s="261" t="s">
        <v>3704</v>
      </c>
      <c r="C5" s="262"/>
      <c r="D5" s="271" t="str">
        <f>VLOOKUP(D7,エンティティ一覧!A1:'エンティティ一覧'!AM10203,7,FALSE)</f>
        <v>base</v>
      </c>
      <c r="E5" s="272"/>
      <c r="F5" s="272"/>
      <c r="G5" s="272"/>
      <c r="H5" s="272"/>
      <c r="I5" s="272"/>
      <c r="J5" s="273"/>
    </row>
    <row r="6" spans="1:45">
      <c r="B6" s="261" t="s">
        <v>3705</v>
      </c>
      <c r="C6" s="262"/>
      <c r="D6" s="271" t="str">
        <f>VLOOKUP(D7,エンティティ一覧!A1:'エンティティ一覧'!AM10203,15,FALSE)</f>
        <v>ENT_31_A1-14</v>
      </c>
      <c r="E6" s="272"/>
      <c r="F6" s="272"/>
      <c r="G6" s="272"/>
      <c r="H6" s="272"/>
      <c r="I6" s="272"/>
      <c r="J6" s="273"/>
    </row>
    <row r="7" spans="1:45">
      <c r="B7" s="261" t="s">
        <v>115</v>
      </c>
      <c r="C7" s="262"/>
      <c r="D7" s="263" t="s">
        <v>3696</v>
      </c>
      <c r="E7" s="264"/>
      <c r="F7" s="264"/>
      <c r="G7" s="264"/>
      <c r="H7" s="264"/>
      <c r="I7" s="264"/>
      <c r="J7" s="265"/>
    </row>
    <row r="8" spans="1:45">
      <c r="B8" s="261" t="s">
        <v>116</v>
      </c>
      <c r="C8" s="262"/>
      <c r="D8" s="263" t="str">
        <f>エンティティ一覧!AE2&amp;"_"&amp;D5&amp;"_mart_patient_basic"</f>
        <v>azn_202310_base_mart_patient_basic</v>
      </c>
      <c r="E8" s="264"/>
      <c r="F8" s="264"/>
      <c r="G8" s="264"/>
      <c r="H8" s="264"/>
      <c r="I8" s="264"/>
      <c r="J8" s="265"/>
    </row>
    <row r="9" spans="1:45" ht="19.5" customHeight="1" thickBot="1">
      <c r="B9" s="266" t="s">
        <v>117</v>
      </c>
      <c r="C9" s="267"/>
      <c r="D9" s="268" t="str">
        <f>"バックアップ_"&amp;SUBSTITUTE(D7,"ベース_","")&amp;"テーブルから対象患者で絞り込んだ結果を格納するテーブル"</f>
        <v>バックアップ_患者基本データテーブルから対象患者で絞り込んだ結果を格納するテーブル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milscm_2023_010.azn_202310_base_mart_patient_basic;</v>
      </c>
      <c r="O10" s="76"/>
      <c r="P10" s="76"/>
      <c r="Q10" s="76"/>
      <c r="R10" s="76"/>
      <c r="S10" s="76"/>
      <c r="T10" s="76"/>
      <c r="AJ10" s="76" t="str">
        <f>"ALTER TABLE ONLY "&amp;エンティティ一覧!$O$2&amp;"."&amp;D$8</f>
        <v>ALTER TABLE ONLY milscm_2023_010.azn_202310_base_mart_patient_basic</v>
      </c>
      <c r="AS10" s="76" t="str">
        <f>"ALTER TABLE "&amp;エンティティ一覧!$O$2&amp;"."&amp;D$8&amp;" OWNER TO pgmisgrp1;"</f>
        <v>ALTER TABLE milscm_2023_010.azn_202310_base_mart_patient_basic OWNER TO pgmisgrp1;</v>
      </c>
    </row>
    <row r="11" spans="1:45" ht="19.5" thickBot="1">
      <c r="B11" s="20" t="s">
        <v>118</v>
      </c>
      <c r="C11" s="19"/>
      <c r="D11" s="5"/>
      <c r="E11" s="5"/>
      <c r="F11" s="5"/>
      <c r="G11" s="5"/>
      <c r="H11" s="5"/>
      <c r="I11" s="5"/>
      <c r="J11" s="18"/>
      <c r="N11" s="76" t="str">
        <f>"CREATE TABLE  "&amp;エンティティ一覧!$O$2&amp;"."&amp;D$8</f>
        <v>CREATE TABLE  milscm_2023_010.azn_202310_base_mart_patient_basic</v>
      </c>
      <c r="O11" s="76"/>
      <c r="P11" s="76"/>
      <c r="Q11" s="76"/>
      <c r="R11" s="76"/>
      <c r="S11" s="76"/>
      <c r="T11" s="76"/>
      <c r="AJ11" s="76" t="str">
        <f>"ADD CONSTRAINT "&amp;D$8&amp;"_pkey PRIMARY KEY"</f>
        <v>ADD CONSTRAINT azn_202310_base_mart_patient_basic_pkey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milscm_2023_010.azn_202310_base_mart_patient_basic IS 'ベース_患者基本データ';</v>
      </c>
    </row>
    <row r="13" spans="1:45" s="25" customFormat="1">
      <c r="A13" s="4"/>
      <c r="B13" s="21">
        <f>ROW()-12</f>
        <v>1</v>
      </c>
      <c r="C13" s="6" t="s">
        <v>1841</v>
      </c>
      <c r="D13" s="6" t="s">
        <v>128</v>
      </c>
      <c r="E13" s="8" t="s">
        <v>127</v>
      </c>
      <c r="F13" s="8" t="s">
        <v>1826</v>
      </c>
      <c r="G13" s="7" t="str">
        <f>IF(F13="フラグ","boolean",IF(F13="文字列","text",IF(F13="整数","integer",IF(F13="実数","numeric",""))))</f>
        <v>text</v>
      </c>
      <c r="H13" s="9"/>
      <c r="I13" s="10" t="s">
        <v>127</v>
      </c>
      <c r="J13" s="11"/>
      <c r="M13" s="4"/>
      <c r="N13" s="76"/>
      <c r="O13" s="76"/>
      <c r="P13" s="76" t="str">
        <f>IF(B13&lt;&gt;1,","&amp;D13,D13)</f>
        <v>facility_id</v>
      </c>
      <c r="Q13" s="76" t="str">
        <f t="shared" ref="Q13:Q21" si="0">UPPER(G13)</f>
        <v>TEXT</v>
      </c>
      <c r="R13" s="76" t="str">
        <f t="shared" ref="R13:R21"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milscm_2023_010.azn_202310_base_mart_patient_basic.facility_id IS '施設ID';</v>
      </c>
    </row>
    <row r="14" spans="1:45" s="25" customFormat="1">
      <c r="A14" s="4"/>
      <c r="B14" s="21">
        <f t="shared" ref="B14:B20" si="2">ROW()-12</f>
        <v>2</v>
      </c>
      <c r="C14" s="6" t="s">
        <v>1842</v>
      </c>
      <c r="D14" s="6" t="s">
        <v>1843</v>
      </c>
      <c r="E14" s="8" t="s">
        <v>127</v>
      </c>
      <c r="F14" s="7" t="s">
        <v>1826</v>
      </c>
      <c r="G14" s="7" t="str">
        <f t="shared" ref="G14:G21" si="3">IF(F14="フラグ","boolean",IF(F14="文字列","text",IF(F14="整数","integer",IF(F14="実数","numeric",""))))</f>
        <v>text</v>
      </c>
      <c r="H14" s="26"/>
      <c r="I14" s="10" t="s">
        <v>127</v>
      </c>
      <c r="J14" s="11" t="s">
        <v>1844</v>
      </c>
      <c r="M14" s="4"/>
      <c r="N14" s="76"/>
      <c r="O14" s="76"/>
      <c r="P14" s="76" t="str">
        <f t="shared" ref="P14:P21" si="4">IF(B14&lt;&gt;1,","&amp;D14,D14)</f>
        <v>,himoduke_id</v>
      </c>
      <c r="Q14" s="76" t="str">
        <f t="shared" si="0"/>
        <v>TEXT</v>
      </c>
      <c r="R14" s="76" t="str">
        <f t="shared" si="1"/>
        <v/>
      </c>
      <c r="S14" s="76" t="str">
        <f t="shared" ref="S14:S21" si="5">IF(I14="○","NOT NULL","")</f>
        <v>NOT NULL</v>
      </c>
      <c r="T14" s="76" t="str">
        <f t="shared" ref="T14:T21" si="6">"-- "&amp;C14</f>
        <v>-- 紐付けID</v>
      </c>
      <c r="U14" s="4"/>
      <c r="AA14" s="4"/>
      <c r="AB14" s="4"/>
      <c r="AC14" s="4"/>
      <c r="AD14" s="4"/>
      <c r="AE14" s="4"/>
      <c r="AF14" s="4"/>
      <c r="AG14" s="4"/>
      <c r="AH14" s="4"/>
      <c r="AI14" s="4"/>
      <c r="AJ14" s="76" t="str">
        <f>IF(E14="○",IF(COUNTA(E$13:E14)=1,"",",")&amp;D14,"")</f>
        <v>,himoduke_id</v>
      </c>
      <c r="AK14" s="4"/>
      <c r="AL14" s="4"/>
      <c r="AM14" s="4"/>
      <c r="AN14" s="4"/>
      <c r="AO14" s="4"/>
      <c r="AP14" s="4"/>
      <c r="AQ14" s="4"/>
      <c r="AR14" s="4"/>
      <c r="AS14" s="76" t="str">
        <f>"COMMENT ON COLUMN "&amp;エンティティ一覧!$O$2&amp;"."&amp;D$8&amp;"."&amp;D14&amp;" IS '"&amp;C14&amp;"';"</f>
        <v>COMMENT ON COLUMN milscm_2023_010.azn_202310_base_mart_patient_basic.himoduke_id IS '紐付けID';</v>
      </c>
    </row>
    <row r="15" spans="1:45" s="25" customFormat="1">
      <c r="A15" s="4"/>
      <c r="B15" s="21">
        <f t="shared" si="2"/>
        <v>3</v>
      </c>
      <c r="C15" s="6" t="s">
        <v>1818</v>
      </c>
      <c r="D15" s="6" t="s">
        <v>207</v>
      </c>
      <c r="E15" s="8" t="s">
        <v>127</v>
      </c>
      <c r="F15" s="7" t="s">
        <v>1819</v>
      </c>
      <c r="G15" s="7" t="str">
        <f t="shared" si="3"/>
        <v>text</v>
      </c>
      <c r="H15" s="26"/>
      <c r="I15" s="10" t="s">
        <v>127</v>
      </c>
      <c r="J15" s="11" t="s">
        <v>1822</v>
      </c>
      <c r="M15" s="4"/>
      <c r="N15" s="76"/>
      <c r="O15" s="76"/>
      <c r="P15" s="76" t="str">
        <f t="shared" si="4"/>
        <v>,data_type</v>
      </c>
      <c r="Q15" s="76" t="str">
        <f t="shared" si="0"/>
        <v>TEXT</v>
      </c>
      <c r="R15" s="76" t="str">
        <f t="shared" si="1"/>
        <v/>
      </c>
      <c r="S15" s="76" t="str">
        <f t="shared" si="5"/>
        <v>NOT NULL</v>
      </c>
      <c r="T15" s="76" t="str">
        <f t="shared" si="6"/>
        <v>-- データ種別</v>
      </c>
      <c r="U15" s="4"/>
      <c r="AA15" s="4"/>
      <c r="AB15" s="4"/>
      <c r="AC15" s="4"/>
      <c r="AD15" s="4"/>
      <c r="AE15" s="4"/>
      <c r="AF15" s="4"/>
      <c r="AG15" s="4"/>
      <c r="AH15" s="4"/>
      <c r="AI15" s="4"/>
      <c r="AJ15" s="76" t="str">
        <f>IF(E15="○",IF(COUNTA(E$13:E15)=1,"",",")&amp;D15,"")</f>
        <v>,data_type</v>
      </c>
      <c r="AK15" s="4"/>
      <c r="AL15" s="4"/>
      <c r="AM15" s="4"/>
      <c r="AN15" s="4"/>
      <c r="AO15" s="4"/>
      <c r="AP15" s="4"/>
      <c r="AQ15" s="4"/>
      <c r="AR15" s="4"/>
      <c r="AS15" s="76" t="str">
        <f>"COMMENT ON COLUMN "&amp;エンティティ一覧!$O$2&amp;"."&amp;D$8&amp;"."&amp;D15&amp;" IS '"&amp;C15&amp;"';"</f>
        <v>COMMENT ON COLUMN milscm_2023_010.azn_202310_base_mart_patient_basic.data_type IS 'データ種別';</v>
      </c>
    </row>
    <row r="16" spans="1:45" s="25" customFormat="1">
      <c r="A16" s="4"/>
      <c r="B16" s="21">
        <f t="shared" si="2"/>
        <v>4</v>
      </c>
      <c r="C16" s="6" t="s">
        <v>1824</v>
      </c>
      <c r="D16" s="6" t="s">
        <v>1825</v>
      </c>
      <c r="E16" s="8"/>
      <c r="F16" s="7" t="s">
        <v>1826</v>
      </c>
      <c r="G16" s="7" t="str">
        <f t="shared" si="3"/>
        <v>text</v>
      </c>
      <c r="H16" s="26"/>
      <c r="I16" s="10"/>
      <c r="J16" s="11" t="s">
        <v>1848</v>
      </c>
      <c r="M16" s="4"/>
      <c r="N16" s="76"/>
      <c r="O16" s="76"/>
      <c r="P16" s="76" t="str">
        <f t="shared" si="4"/>
        <v>,shinryo_ym_min</v>
      </c>
      <c r="Q16" s="76" t="str">
        <f t="shared" si="0"/>
        <v>TEXT</v>
      </c>
      <c r="R16" s="76" t="str">
        <f t="shared" si="1"/>
        <v/>
      </c>
      <c r="S16" s="76" t="str">
        <f t="shared" si="5"/>
        <v/>
      </c>
      <c r="T16" s="76" t="str">
        <f t="shared" si="6"/>
        <v>-- 診療年月_最小</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milscm_2023_010.azn_202310_base_mart_patient_basic.shinryo_ym_min IS '診療年月_最小';</v>
      </c>
    </row>
    <row r="17" spans="1:52" s="25" customFormat="1">
      <c r="A17" s="4"/>
      <c r="B17" s="21">
        <f t="shared" si="2"/>
        <v>5</v>
      </c>
      <c r="C17" s="6" t="s">
        <v>1827</v>
      </c>
      <c r="D17" s="6" t="s">
        <v>1828</v>
      </c>
      <c r="E17" s="8"/>
      <c r="F17" s="7" t="s">
        <v>1819</v>
      </c>
      <c r="G17" s="7" t="str">
        <f t="shared" si="3"/>
        <v>text</v>
      </c>
      <c r="H17" s="26"/>
      <c r="I17" s="10"/>
      <c r="J17" s="11" t="s">
        <v>1848</v>
      </c>
      <c r="M17" s="4"/>
      <c r="N17" s="76"/>
      <c r="O17" s="76"/>
      <c r="P17" s="76" t="str">
        <f t="shared" si="4"/>
        <v>,shinryo_ym_max</v>
      </c>
      <c r="Q17" s="76" t="str">
        <f t="shared" si="0"/>
        <v>TEXT</v>
      </c>
      <c r="R17" s="76" t="str">
        <f t="shared" si="1"/>
        <v/>
      </c>
      <c r="S17" s="76" t="str">
        <f t="shared" si="5"/>
        <v/>
      </c>
      <c r="T17" s="76" t="str">
        <f t="shared" si="6"/>
        <v>-- 診療年月_最大</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milscm_2023_010.azn_202310_base_mart_patient_basic.shinryo_ym_max IS '診療年月_最大';</v>
      </c>
    </row>
    <row r="18" spans="1:52" s="25" customFormat="1">
      <c r="A18" s="4"/>
      <c r="B18" s="21">
        <f t="shared" si="2"/>
        <v>6</v>
      </c>
      <c r="C18" s="6" t="s">
        <v>1829</v>
      </c>
      <c r="D18" s="6" t="s">
        <v>943</v>
      </c>
      <c r="E18" s="8"/>
      <c r="F18" s="7" t="s">
        <v>1735</v>
      </c>
      <c r="G18" s="7" t="str">
        <f t="shared" si="3"/>
        <v>text</v>
      </c>
      <c r="H18" s="26"/>
      <c r="I18" s="10" t="s">
        <v>127</v>
      </c>
      <c r="J18" s="11" t="s">
        <v>1849</v>
      </c>
      <c r="M18" s="4"/>
      <c r="N18" s="76"/>
      <c r="O18" s="76"/>
      <c r="P18" s="76" t="str">
        <f t="shared" si="4"/>
        <v>,sex_kubun</v>
      </c>
      <c r="Q18" s="76" t="str">
        <f t="shared" si="0"/>
        <v>TEXT</v>
      </c>
      <c r="R18" s="76" t="str">
        <f t="shared" si="1"/>
        <v/>
      </c>
      <c r="S18" s="76" t="str">
        <f t="shared" si="5"/>
        <v>NOT NULL</v>
      </c>
      <c r="T18" s="76" t="str">
        <f t="shared" si="6"/>
        <v>-- 男女区分</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milscm_2023_010.azn_202310_base_mart_patient_basic.sex_kubun IS '男女区分';</v>
      </c>
    </row>
    <row r="19" spans="1:52" s="25" customFormat="1" ht="56.25">
      <c r="A19" s="4"/>
      <c r="B19" s="21">
        <f t="shared" si="2"/>
        <v>7</v>
      </c>
      <c r="C19" s="6" t="s">
        <v>1830</v>
      </c>
      <c r="D19" s="6" t="s">
        <v>321</v>
      </c>
      <c r="E19" s="8"/>
      <c r="F19" s="7" t="s">
        <v>1735</v>
      </c>
      <c r="G19" s="7" t="str">
        <f t="shared" si="3"/>
        <v>text</v>
      </c>
      <c r="H19" s="26"/>
      <c r="I19" s="10" t="s">
        <v>127</v>
      </c>
      <c r="J19" s="11" t="s">
        <v>1850</v>
      </c>
      <c r="M19" s="4"/>
      <c r="N19" s="76"/>
      <c r="O19" s="76"/>
      <c r="P19" s="76" t="str">
        <f t="shared" si="4"/>
        <v>,birthday</v>
      </c>
      <c r="Q19" s="76" t="str">
        <f t="shared" si="0"/>
        <v>TEXT</v>
      </c>
      <c r="R19" s="76" t="str">
        <f t="shared" si="1"/>
        <v/>
      </c>
      <c r="S19" s="76" t="str">
        <f t="shared" si="5"/>
        <v>NOT NULL</v>
      </c>
      <c r="T19" s="76" t="str">
        <f t="shared" si="6"/>
        <v>-- 生年月日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milscm_2023_010.azn_202310_base_mart_patient_basic.birthday IS '生年月日';</v>
      </c>
    </row>
    <row r="20" spans="1:52" s="25" customFormat="1" ht="75">
      <c r="A20" s="4"/>
      <c r="B20" s="21">
        <f t="shared" si="2"/>
        <v>8</v>
      </c>
      <c r="C20" s="6" t="s">
        <v>1276</v>
      </c>
      <c r="D20" s="6" t="s">
        <v>1277</v>
      </c>
      <c r="E20" s="8"/>
      <c r="F20" s="7" t="s">
        <v>316</v>
      </c>
      <c r="G20" s="7" t="str">
        <f t="shared" si="3"/>
        <v>text</v>
      </c>
      <c r="H20" s="26"/>
      <c r="I20" s="10"/>
      <c r="J20" s="11" t="s">
        <v>1851</v>
      </c>
      <c r="M20" s="4"/>
      <c r="N20" s="76"/>
      <c r="O20" s="76"/>
      <c r="P20" s="76" t="str">
        <f t="shared" si="4"/>
        <v>,death_flag</v>
      </c>
      <c r="Q20" s="76" t="str">
        <f t="shared" si="0"/>
        <v>TEXT</v>
      </c>
      <c r="R20" s="76" t="str">
        <f t="shared" si="1"/>
        <v/>
      </c>
      <c r="S20" s="76" t="str">
        <f t="shared" si="5"/>
        <v/>
      </c>
      <c r="T20" s="76" t="str">
        <f t="shared" si="6"/>
        <v>-- 死亡フラグ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milscm_2023_010.azn_202310_base_mart_patient_basic.death_flag IS '死亡フラグ';</v>
      </c>
    </row>
    <row r="21" spans="1:52" s="25" customFormat="1" ht="75.75" thickBot="1">
      <c r="A21" s="4"/>
      <c r="B21" s="27">
        <f>ROW()-12</f>
        <v>9</v>
      </c>
      <c r="C21" s="57" t="s">
        <v>1278</v>
      </c>
      <c r="D21" s="57" t="s">
        <v>1279</v>
      </c>
      <c r="E21" s="56"/>
      <c r="F21" s="56" t="s">
        <v>316</v>
      </c>
      <c r="G21" s="56" t="str">
        <f t="shared" si="3"/>
        <v>text</v>
      </c>
      <c r="H21" s="59"/>
      <c r="I21" s="60"/>
      <c r="J21" s="63" t="s">
        <v>1852</v>
      </c>
      <c r="N21" s="76"/>
      <c r="O21" s="76"/>
      <c r="P21" s="76" t="str">
        <f t="shared" si="4"/>
        <v>,death_date</v>
      </c>
      <c r="Q21" s="76" t="str">
        <f t="shared" si="0"/>
        <v>TEXT</v>
      </c>
      <c r="R21" s="76" t="str">
        <f t="shared" si="1"/>
        <v/>
      </c>
      <c r="S21" s="76" t="str">
        <f t="shared" si="5"/>
        <v/>
      </c>
      <c r="T21" s="76" t="str">
        <f t="shared" si="6"/>
        <v>-- 死亡日時</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milscm_2023_010.azn_202310_base_mart_patient_basic.death_date IS '死亡日時';</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31</v>
      </c>
      <c r="E4" s="248"/>
      <c r="F4" s="248"/>
      <c r="G4" s="248"/>
      <c r="H4" s="248"/>
      <c r="I4" s="248"/>
      <c r="J4" s="249"/>
    </row>
    <row r="5" spans="1:45">
      <c r="B5" s="261" t="s">
        <v>3704</v>
      </c>
      <c r="C5" s="262"/>
      <c r="D5" s="271" t="str">
        <f>VLOOKUP(D7,エンティティ一覧!A1:'エンティティ一覧'!AM10203,7,FALSE)</f>
        <v>base</v>
      </c>
      <c r="E5" s="272"/>
      <c r="F5" s="272"/>
      <c r="G5" s="272"/>
      <c r="H5" s="272"/>
      <c r="I5" s="272"/>
      <c r="J5" s="273"/>
    </row>
    <row r="6" spans="1:45">
      <c r="B6" s="261" t="s">
        <v>3705</v>
      </c>
      <c r="C6" s="262"/>
      <c r="D6" s="271" t="str">
        <f>VLOOKUP(D7,エンティティ一覧!A1:'エンティティ一覧'!AM10203,15,FALSE)</f>
        <v>ENT_31_A6-02</v>
      </c>
      <c r="E6" s="272"/>
      <c r="F6" s="272"/>
      <c r="G6" s="272"/>
      <c r="H6" s="272"/>
      <c r="I6" s="272"/>
      <c r="J6" s="273"/>
    </row>
    <row r="7" spans="1:45">
      <c r="B7" s="261" t="s">
        <v>115</v>
      </c>
      <c r="C7" s="262"/>
      <c r="D7" s="263" t="s">
        <v>3697</v>
      </c>
      <c r="E7" s="264"/>
      <c r="F7" s="264"/>
      <c r="G7" s="264"/>
      <c r="H7" s="264"/>
      <c r="I7" s="264"/>
      <c r="J7" s="265"/>
    </row>
    <row r="8" spans="1:45">
      <c r="B8" s="261" t="s">
        <v>116</v>
      </c>
      <c r="C8" s="262"/>
      <c r="D8" s="263" t="str">
        <f>エンティティ一覧!AE2&amp;"_"&amp;D5&amp;"_text_mml_common"</f>
        <v>azn_202310_base_text_mml_common</v>
      </c>
      <c r="E8" s="264"/>
      <c r="F8" s="264"/>
      <c r="G8" s="264"/>
      <c r="H8" s="264"/>
      <c r="I8" s="264"/>
      <c r="J8" s="265"/>
    </row>
    <row r="9" spans="1:45" ht="19.5" customHeight="1" thickBot="1">
      <c r="B9" s="266" t="s">
        <v>117</v>
      </c>
      <c r="C9" s="267"/>
      <c r="D9" s="268" t="str">
        <f>"バックアップ_"&amp;SUBSTITUTE(D7,"ベース_","")&amp;"テーブルから対象患者で絞り込んだ結果を格納するテーブル"</f>
        <v>バックアップ_MML共通テーブルから対象患者で絞り込んだ結果を格納するテーブル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milscm_2023_010.azn_202310_base_text_mml_common;</v>
      </c>
      <c r="O10" s="76"/>
      <c r="P10" s="76"/>
      <c r="Q10" s="76"/>
      <c r="R10" s="76"/>
      <c r="S10" s="76"/>
      <c r="T10" s="76"/>
      <c r="AJ10" s="76" t="str">
        <f>"ALTER TABLE ONLY "&amp;エンティティ一覧!$O$2&amp;"."&amp;D$8</f>
        <v>ALTER TABLE ONLY milscm_2023_010.azn_202310_base_text_mml_common</v>
      </c>
      <c r="AS10" s="76" t="str">
        <f>"ALTER TABLE "&amp;エンティティ一覧!$O$2&amp;"."&amp;D$8&amp;" OWNER TO pgmisgrp1;"</f>
        <v>ALTER TABLE milscm_2023_010.azn_202310_base_text_mml_common OWNER TO pgmisgrp1;</v>
      </c>
    </row>
    <row r="11" spans="1:45" ht="19.5" thickBot="1">
      <c r="B11" s="20" t="s">
        <v>118</v>
      </c>
      <c r="C11" s="19"/>
      <c r="D11" s="5"/>
      <c r="E11" s="5"/>
      <c r="F11" s="5"/>
      <c r="G11" s="5"/>
      <c r="H11" s="5"/>
      <c r="I11" s="5"/>
      <c r="J11" s="18"/>
      <c r="N11" s="76" t="str">
        <f>"CREATE TABLE  "&amp;エンティティ一覧!$O$2&amp;"."&amp;D$8</f>
        <v>CREATE TABLE  milscm_2023_010.azn_202310_base_text_mml_common</v>
      </c>
      <c r="O11" s="76"/>
      <c r="P11" s="76"/>
      <c r="Q11" s="76"/>
      <c r="R11" s="76"/>
      <c r="S11" s="76"/>
      <c r="T11" s="76"/>
      <c r="AJ11" s="76" t="str">
        <f>"ADD CONSTRAINT "&amp;D$8&amp;"_pkey PRIMARY KEY"</f>
        <v>ADD CONSTRAINT azn_202310_base_text_mml_common_pkey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milscm_2023_010.azn_202310_base_text_mml_common IS 'ベース_MML共通';</v>
      </c>
    </row>
    <row r="13" spans="1:45" s="25" customFormat="1">
      <c r="A13" s="4"/>
      <c r="B13" s="21">
        <f>ROW()-12</f>
        <v>1</v>
      </c>
      <c r="C13" s="6" t="s">
        <v>2778</v>
      </c>
      <c r="D13" s="6" t="s">
        <v>2779</v>
      </c>
      <c r="E13" s="8" t="s">
        <v>127</v>
      </c>
      <c r="F13" s="8" t="s">
        <v>3270</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milscm_2023_010.azn_202310_base_text_mml_common.zip_no IS 'ZipファイルNo';</v>
      </c>
    </row>
    <row r="14" spans="1:45" s="25" customFormat="1">
      <c r="A14" s="4"/>
      <c r="B14" s="21">
        <f t="shared" ref="B14:B22" si="2">ROW()-12</f>
        <v>2</v>
      </c>
      <c r="C14" s="6" t="s">
        <v>2781</v>
      </c>
      <c r="D14" s="6" t="s">
        <v>2782</v>
      </c>
      <c r="E14" s="8" t="s">
        <v>127</v>
      </c>
      <c r="F14" s="7" t="s">
        <v>3270</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milscm_2023_010.azn_202310_base_text_mml_common.file_no IS 'ファイルNo';</v>
      </c>
    </row>
    <row r="15" spans="1:45" s="25" customFormat="1">
      <c r="A15" s="4"/>
      <c r="B15" s="21">
        <f t="shared" si="2"/>
        <v>3</v>
      </c>
      <c r="C15" s="6" t="s">
        <v>3259</v>
      </c>
      <c r="D15" s="6" t="s">
        <v>2784</v>
      </c>
      <c r="E15" s="8" t="s">
        <v>127</v>
      </c>
      <c r="F15" s="7" t="s">
        <v>3270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milscm_2023_010.azn_202310_base_text_mml_common.body_no IS '本文No';</v>
      </c>
    </row>
    <row r="16" spans="1:45" s="25" customFormat="1">
      <c r="A16" s="4"/>
      <c r="B16" s="21">
        <f t="shared" si="2"/>
        <v>4</v>
      </c>
      <c r="C16" s="6" t="s">
        <v>3260</v>
      </c>
      <c r="D16" s="6" t="s">
        <v>2401</v>
      </c>
      <c r="E16" s="8"/>
      <c r="F16" s="7" t="s">
        <v>316</v>
      </c>
      <c r="G16" s="7" t="str">
        <f t="shared" si="3"/>
        <v>text</v>
      </c>
      <c r="H16" s="26"/>
      <c r="I16" s="10" t="s">
        <v>127</v>
      </c>
      <c r="J16" s="11" t="s">
        <v>3271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milscm_2023_010.azn_202310_base_text_mml_common.facility_id_mml IS '施設ID（MML）';</v>
      </c>
    </row>
    <row r="17" spans="1:52" s="25" customFormat="1">
      <c r="A17" s="4"/>
      <c r="B17" s="21">
        <f t="shared" si="2"/>
        <v>5</v>
      </c>
      <c r="C17" s="6" t="s">
        <v>2786</v>
      </c>
      <c r="D17" s="6" t="s">
        <v>1244</v>
      </c>
      <c r="E17" s="8"/>
      <c r="F17" s="7" t="s">
        <v>316</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milscm_2023_010.azn_202310_base_text_mml_common.master_id IS '患者ID';</v>
      </c>
    </row>
    <row r="18" spans="1:52" s="25" customFormat="1">
      <c r="A18" s="4"/>
      <c r="B18" s="21">
        <f t="shared" si="2"/>
        <v>6</v>
      </c>
      <c r="C18" s="6" t="s">
        <v>3261</v>
      </c>
      <c r="D18" s="6" t="s">
        <v>1246</v>
      </c>
      <c r="E18" s="8"/>
      <c r="F18" s="7" t="s">
        <v>316</v>
      </c>
      <c r="G18" s="7" t="str">
        <f t="shared" si="3"/>
        <v>text</v>
      </c>
      <c r="H18" s="26"/>
      <c r="I18" s="10" t="s">
        <v>127</v>
      </c>
      <c r="J18" s="11"/>
      <c r="M18" s="4"/>
      <c r="N18" s="76"/>
      <c r="O18" s="76"/>
      <c r="P18" s="76" t="str">
        <f t="shared" si="4"/>
        <v>,uid</v>
      </c>
      <c r="Q18" s="76" t="str">
        <f t="shared" si="0"/>
        <v>TEXT</v>
      </c>
      <c r="R18" s="76" t="str">
        <f t="shared" si="1"/>
        <v/>
      </c>
      <c r="S18" s="76" t="str">
        <f t="shared" si="5"/>
        <v>NOT NULL</v>
      </c>
      <c r="T18" s="76" t="str">
        <f t="shared" si="6"/>
        <v>-- UID</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milscm_2023_010.azn_202310_base_text_mml_common.uid IS 'UID';</v>
      </c>
    </row>
    <row r="19" spans="1:52" s="25" customFormat="1">
      <c r="A19" s="4"/>
      <c r="B19" s="21">
        <f t="shared" si="2"/>
        <v>7</v>
      </c>
      <c r="C19" s="6" t="s">
        <v>3262</v>
      </c>
      <c r="D19" s="6" t="s">
        <v>3263</v>
      </c>
      <c r="E19" s="8"/>
      <c r="F19" s="7" t="s">
        <v>316</v>
      </c>
      <c r="G19" s="7" t="str">
        <f t="shared" si="3"/>
        <v>text</v>
      </c>
      <c r="H19" s="26"/>
      <c r="I19" s="10" t="s">
        <v>127</v>
      </c>
      <c r="J19" s="11" t="s">
        <v>2792</v>
      </c>
      <c r="M19" s="4"/>
      <c r="N19" s="76"/>
      <c r="O19" s="76"/>
      <c r="P19" s="76" t="str">
        <f t="shared" si="4"/>
        <v>,comfirm_date</v>
      </c>
      <c r="Q19" s="76" t="str">
        <f t="shared" si="0"/>
        <v>TEXT</v>
      </c>
      <c r="R19" s="76" t="str">
        <f t="shared" si="1"/>
        <v/>
      </c>
      <c r="S19" s="76" t="str">
        <f t="shared" si="5"/>
        <v>NOT NULL</v>
      </c>
      <c r="T19" s="76" t="str">
        <f t="shared" si="6"/>
        <v>-- 記載確定日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milscm_2023_010.azn_202310_base_text_mml_common.comfirm_date IS '記載確定日';</v>
      </c>
    </row>
    <row r="20" spans="1:52" s="25" customFormat="1">
      <c r="A20" s="4"/>
      <c r="B20" s="21">
        <f t="shared" si="2"/>
        <v>8</v>
      </c>
      <c r="C20" s="6" t="s">
        <v>3264</v>
      </c>
      <c r="D20" s="6" t="s">
        <v>3265</v>
      </c>
      <c r="E20" s="8"/>
      <c r="F20" s="7" t="s">
        <v>316</v>
      </c>
      <c r="G20" s="7" t="str">
        <f t="shared" si="3"/>
        <v>text</v>
      </c>
      <c r="H20" s="26"/>
      <c r="I20" s="10" t="s">
        <v>127</v>
      </c>
      <c r="J20" s="11"/>
      <c r="M20" s="4"/>
      <c r="N20" s="76"/>
      <c r="O20" s="76"/>
      <c r="P20" s="76" t="str">
        <f t="shared" si="4"/>
        <v>,mml_type</v>
      </c>
      <c r="Q20" s="76" t="str">
        <f t="shared" si="0"/>
        <v>TEXT</v>
      </c>
      <c r="R20" s="76" t="str">
        <f t="shared" si="1"/>
        <v/>
      </c>
      <c r="S20" s="76" t="str">
        <f t="shared" si="5"/>
        <v>NOT NULL</v>
      </c>
      <c r="T20" s="76" t="str">
        <f t="shared" si="6"/>
        <v>-- MMLモジュール種別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milscm_2023_010.azn_202310_base_text_mml_common.mml_type IS 'MMLモジュール種別';</v>
      </c>
    </row>
    <row r="21" spans="1:52" s="25" customFormat="1">
      <c r="A21" s="4"/>
      <c r="B21" s="21">
        <f t="shared" si="2"/>
        <v>9</v>
      </c>
      <c r="C21" s="6" t="s">
        <v>3266</v>
      </c>
      <c r="D21" s="6" t="s">
        <v>3267</v>
      </c>
      <c r="E21" s="8"/>
      <c r="F21" s="7" t="s">
        <v>316</v>
      </c>
      <c r="G21" s="7" t="str">
        <f t="shared" si="3"/>
        <v>text</v>
      </c>
      <c r="H21" s="26"/>
      <c r="I21" s="10" t="s">
        <v>127</v>
      </c>
      <c r="J21" s="11" t="s">
        <v>3272</v>
      </c>
      <c r="M21" s="4"/>
      <c r="N21" s="76"/>
      <c r="O21" s="76"/>
      <c r="P21" s="76" t="str">
        <f t="shared" si="4"/>
        <v>,file_name</v>
      </c>
      <c r="Q21" s="76" t="str">
        <f t="shared" si="0"/>
        <v>TEXT</v>
      </c>
      <c r="R21" s="76" t="str">
        <f t="shared" si="1"/>
        <v/>
      </c>
      <c r="S21" s="76" t="str">
        <f t="shared" si="5"/>
        <v>NOT NULL</v>
      </c>
      <c r="T21" s="76" t="str">
        <f t="shared" si="6"/>
        <v>-- ファイル名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milscm_2023_010.azn_202310_base_text_mml_common.file_name IS 'ファイル名';</v>
      </c>
    </row>
    <row r="22" spans="1:52" s="25" customFormat="1">
      <c r="A22" s="4"/>
      <c r="B22" s="21">
        <f t="shared" si="2"/>
        <v>10</v>
      </c>
      <c r="C22" s="6" t="s">
        <v>3268</v>
      </c>
      <c r="D22" s="6" t="s">
        <v>2506</v>
      </c>
      <c r="E22" s="8"/>
      <c r="F22" s="7" t="s">
        <v>2416</v>
      </c>
      <c r="G22" s="7" t="str">
        <f t="shared" si="3"/>
        <v>boolean</v>
      </c>
      <c r="H22" s="26" t="b">
        <v>1</v>
      </c>
      <c r="I22" s="10" t="s">
        <v>127</v>
      </c>
      <c r="J22" s="11" t="s">
        <v>3273</v>
      </c>
      <c r="M22" s="4"/>
      <c r="N22" s="76"/>
      <c r="O22" s="76"/>
      <c r="P22" s="76" t="str">
        <f t="shared" si="4"/>
        <v>,new_f</v>
      </c>
      <c r="Q22" s="76" t="str">
        <f t="shared" si="0"/>
        <v>BOOLEAN</v>
      </c>
      <c r="R22" s="76" t="str">
        <f t="shared" si="1"/>
        <v>default TRUE</v>
      </c>
      <c r="S22" s="76" t="str">
        <f t="shared" si="5"/>
        <v>NOT NULL</v>
      </c>
      <c r="T22" s="76" t="str">
        <f t="shared" si="6"/>
        <v>-- 最新フラグ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milscm_2023_010.azn_202310_base_text_mml_common.new_f IS '最新フラグ';</v>
      </c>
    </row>
    <row r="23" spans="1:52" s="25" customFormat="1" ht="19.5" thickBot="1">
      <c r="A23" s="4"/>
      <c r="B23" s="27">
        <f>ROW()-12</f>
        <v>11</v>
      </c>
      <c r="C23" s="57" t="s">
        <v>3269</v>
      </c>
      <c r="D23" s="57" t="s">
        <v>1902</v>
      </c>
      <c r="E23" s="56"/>
      <c r="F23" s="56" t="s">
        <v>2416</v>
      </c>
      <c r="G23" s="56" t="str">
        <f t="shared" si="3"/>
        <v>boolean</v>
      </c>
      <c r="H23" s="59" t="b">
        <v>0</v>
      </c>
      <c r="I23" s="60" t="s">
        <v>127</v>
      </c>
      <c r="J23" s="63" t="s">
        <v>3274</v>
      </c>
      <c r="N23" s="76"/>
      <c r="O23" s="76"/>
      <c r="P23" s="76" t="str">
        <f t="shared" si="4"/>
        <v>,del_f</v>
      </c>
      <c r="Q23" s="76" t="str">
        <f t="shared" si="0"/>
        <v>BOOLEAN</v>
      </c>
      <c r="R23" s="76" t="str">
        <f t="shared" si="1"/>
        <v>default FALSE</v>
      </c>
      <c r="S23" s="76" t="str">
        <f t="shared" si="5"/>
        <v>NOT NULL</v>
      </c>
      <c r="T23" s="76" t="str">
        <f t="shared" si="6"/>
        <v>-- 削除フラグ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milscm_2023_010.azn_202310_base_text_mml_common.del_f IS '削除フラグ';</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31</v>
      </c>
      <c r="E4" s="248"/>
      <c r="F4" s="248"/>
      <c r="G4" s="248"/>
      <c r="H4" s="248"/>
      <c r="I4" s="248"/>
      <c r="J4" s="249"/>
    </row>
    <row r="5" spans="1:45">
      <c r="B5" s="261" t="s">
        <v>3704</v>
      </c>
      <c r="C5" s="262"/>
      <c r="D5" s="271" t="str">
        <f>VLOOKUP(D7,エンティティ一覧!A1:'エンティティ一覧'!AM10203,7,FALSE)</f>
        <v>base</v>
      </c>
      <c r="E5" s="272"/>
      <c r="F5" s="272"/>
      <c r="G5" s="272"/>
      <c r="H5" s="272"/>
      <c r="I5" s="272"/>
      <c r="J5" s="273"/>
    </row>
    <row r="6" spans="1:45">
      <c r="B6" s="261" t="s">
        <v>3705</v>
      </c>
      <c r="C6" s="262"/>
      <c r="D6" s="271" t="str">
        <f>VLOOKUP(D7,エンティティ一覧!A1:'エンティティ一覧'!AM10203,15,FALSE)</f>
        <v>ENT_31_A6-03</v>
      </c>
      <c r="E6" s="272"/>
      <c r="F6" s="272"/>
      <c r="G6" s="272"/>
      <c r="H6" s="272"/>
      <c r="I6" s="272"/>
      <c r="J6" s="273"/>
    </row>
    <row r="7" spans="1:45">
      <c r="B7" s="261" t="s">
        <v>115</v>
      </c>
      <c r="C7" s="262"/>
      <c r="D7" s="263" t="s">
        <v>3698</v>
      </c>
      <c r="E7" s="264"/>
      <c r="F7" s="264"/>
      <c r="G7" s="264"/>
      <c r="H7" s="264"/>
      <c r="I7" s="264"/>
      <c r="J7" s="265"/>
    </row>
    <row r="8" spans="1:45">
      <c r="B8" s="261" t="s">
        <v>116</v>
      </c>
      <c r="C8" s="262"/>
      <c r="D8" s="263" t="str">
        <f>エンティティ一覧!AE2&amp;"_"&amp;D5&amp;"_text_mml_mmlrd_body"</f>
        <v>azn_202310_base_text_mml_mmlrd_body</v>
      </c>
      <c r="E8" s="264"/>
      <c r="F8" s="264"/>
      <c r="G8" s="264"/>
      <c r="H8" s="264"/>
      <c r="I8" s="264"/>
      <c r="J8" s="265"/>
    </row>
    <row r="9" spans="1:45" ht="19.5" customHeight="1" thickBot="1">
      <c r="B9" s="266" t="s">
        <v>117</v>
      </c>
      <c r="C9" s="267"/>
      <c r="D9" s="268" t="str">
        <f>"バックアップ_"&amp;SUBSTITUTE(D7,"ベース_","")&amp;"テーブルから対象患者で絞り込んだ結果を格納するテーブル"</f>
        <v>バックアップ_MML_診断履歴情報モジュール_本文テーブルから対象患者で絞り込んだ結果を格納するテーブル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milscm_2023_010.azn_202310_base_text_mml_mmlrd_body;</v>
      </c>
      <c r="O10" s="76"/>
      <c r="P10" s="76"/>
      <c r="Q10" s="76"/>
      <c r="R10" s="76"/>
      <c r="S10" s="76"/>
      <c r="T10" s="76"/>
      <c r="AJ10" s="76" t="str">
        <f>"ALTER TABLE ONLY "&amp;エンティティ一覧!$O$2&amp;"."&amp;D$8</f>
        <v>ALTER TABLE ONLY milscm_2023_010.azn_202310_base_text_mml_mmlrd_body</v>
      </c>
      <c r="AS10" s="76" t="str">
        <f>"ALTER TABLE "&amp;エンティティ一覧!$O$2&amp;"."&amp;D$8&amp;" OWNER TO pgmisgrp1;"</f>
        <v>ALTER TABLE milscm_2023_010.azn_202310_base_text_mml_mmlrd_body OWNER TO pgmisgrp1;</v>
      </c>
    </row>
    <row r="11" spans="1:45" ht="19.5" thickBot="1">
      <c r="B11" s="20" t="s">
        <v>118</v>
      </c>
      <c r="C11" s="19"/>
      <c r="D11" s="5"/>
      <c r="E11" s="5"/>
      <c r="F11" s="5"/>
      <c r="G11" s="5"/>
      <c r="H11" s="5"/>
      <c r="I11" s="5"/>
      <c r="J11" s="18"/>
      <c r="N11" s="76" t="str">
        <f>"CREATE TABLE  "&amp;エンティティ一覧!$O$2&amp;"."&amp;D$8</f>
        <v>CREATE TABLE  milscm_2023_010.azn_202310_base_text_mml_mmlrd_body</v>
      </c>
      <c r="O11" s="76"/>
      <c r="P11" s="76"/>
      <c r="Q11" s="76"/>
      <c r="R11" s="76"/>
      <c r="S11" s="76"/>
      <c r="T11" s="76"/>
      <c r="AJ11" s="76" t="str">
        <f>"ADD CONSTRAINT "&amp;D$8&amp;"_pkey PRIMARY KEY"</f>
        <v>ADD CONSTRAINT azn_202310_base_text_mml_mmlrd_body_pkey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milscm_2023_010.azn_202310_base_text_mml_mmlrd_body IS 'ベース_MML_診断履歴情報モジュール_本文';</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milscm_2023_010.azn_202310_base_text_mml_mmlrd_body.zip_no IS 'ZipファイルNo';</v>
      </c>
    </row>
    <row r="14" spans="1:45" s="25" customFormat="1">
      <c r="A14" s="4"/>
      <c r="B14" s="21">
        <f t="shared" ref="B14:B20" si="2">ROW()-12</f>
        <v>2</v>
      </c>
      <c r="C14" s="6" t="s">
        <v>2781</v>
      </c>
      <c r="D14" s="6" t="s">
        <v>2782</v>
      </c>
      <c r="E14" s="8" t="s">
        <v>127</v>
      </c>
      <c r="F14" s="7" t="s">
        <v>2780</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milscm_2023_010.azn_202310_base_text_mml_mmlrd_body.file_no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milscm_2023_010.azn_202310_base_text_mml_mmlrd_body.body_no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milscm_2023_010.azn_202310_base_text_mml_mmlrd_body.facility_id_mml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milscm_2023_010.azn_202310_base_text_mml_mmlrd_body.master_id IS '患者ID';</v>
      </c>
    </row>
    <row r="18" spans="1:52" s="25" customFormat="1">
      <c r="A18" s="4"/>
      <c r="B18" s="21">
        <f t="shared" si="2"/>
        <v>6</v>
      </c>
      <c r="C18" s="6" t="s">
        <v>1301</v>
      </c>
      <c r="D18" s="6" t="s">
        <v>2787</v>
      </c>
      <c r="E18" s="8"/>
      <c r="F18" s="7" t="s">
        <v>1819</v>
      </c>
      <c r="G18" s="7" t="str">
        <f t="shared" si="3"/>
        <v>text</v>
      </c>
      <c r="H18" s="26"/>
      <c r="I18" s="10"/>
      <c r="J18" s="11" t="s">
        <v>2792</v>
      </c>
      <c r="M18" s="4"/>
      <c r="N18" s="76"/>
      <c r="O18" s="76"/>
      <c r="P18" s="76" t="str">
        <f t="shared" si="4"/>
        <v>,start_date</v>
      </c>
      <c r="Q18" s="76" t="str">
        <f t="shared" si="0"/>
        <v>TEXT</v>
      </c>
      <c r="R18" s="76" t="str">
        <f t="shared" si="1"/>
        <v/>
      </c>
      <c r="S18" s="76" t="str">
        <f t="shared" si="5"/>
        <v/>
      </c>
      <c r="T18" s="76" t="str">
        <f t="shared" si="6"/>
        <v>-- 疾患開始日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milscm_2023_010.azn_202310_base_text_mml_mmlrd_body.start_date IS '疾患開始日';</v>
      </c>
    </row>
    <row r="19" spans="1:52" s="25" customFormat="1">
      <c r="A19" s="4"/>
      <c r="B19" s="21">
        <f t="shared" si="2"/>
        <v>7</v>
      </c>
      <c r="C19" s="6" t="s">
        <v>1303</v>
      </c>
      <c r="D19" s="6" t="s">
        <v>2788</v>
      </c>
      <c r="E19" s="8"/>
      <c r="F19" s="7" t="s">
        <v>1819</v>
      </c>
      <c r="G19" s="7" t="str">
        <f t="shared" si="3"/>
        <v>text</v>
      </c>
      <c r="H19" s="26"/>
      <c r="I19" s="10"/>
      <c r="J19" s="11" t="s">
        <v>2792</v>
      </c>
      <c r="M19" s="4"/>
      <c r="N19" s="76"/>
      <c r="O19" s="76"/>
      <c r="P19" s="76" t="str">
        <f t="shared" si="4"/>
        <v>,end_date</v>
      </c>
      <c r="Q19" s="76" t="str">
        <f t="shared" si="0"/>
        <v>TEXT</v>
      </c>
      <c r="R19" s="76" t="str">
        <f t="shared" si="1"/>
        <v/>
      </c>
      <c r="S19" s="76" t="str">
        <f t="shared" si="5"/>
        <v/>
      </c>
      <c r="T19" s="76" t="str">
        <f t="shared" si="6"/>
        <v>-- 疾患終了日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milscm_2023_010.azn_202310_base_text_mml_mmlrd_body.end_date IS '疾患終了日';</v>
      </c>
    </row>
    <row r="20" spans="1:52" s="25" customFormat="1">
      <c r="A20" s="4"/>
      <c r="B20" s="21">
        <f t="shared" si="2"/>
        <v>8</v>
      </c>
      <c r="C20" s="6" t="s">
        <v>1305</v>
      </c>
      <c r="D20" s="6" t="s">
        <v>2789</v>
      </c>
      <c r="E20" s="8"/>
      <c r="F20" s="7" t="s">
        <v>1819</v>
      </c>
      <c r="G20" s="7" t="str">
        <f t="shared" si="3"/>
        <v>text</v>
      </c>
      <c r="H20" s="26"/>
      <c r="I20" s="10"/>
      <c r="J20" s="11"/>
      <c r="M20" s="4"/>
      <c r="N20" s="76"/>
      <c r="O20" s="76"/>
      <c r="P20" s="76" t="str">
        <f t="shared" si="4"/>
        <v>,outcome</v>
      </c>
      <c r="Q20" s="76" t="str">
        <f t="shared" si="0"/>
        <v>TEXT</v>
      </c>
      <c r="R20" s="76" t="str">
        <f t="shared" si="1"/>
        <v/>
      </c>
      <c r="S20" s="76" t="str">
        <f t="shared" si="5"/>
        <v/>
      </c>
      <c r="T20" s="76" t="str">
        <f t="shared" si="6"/>
        <v>-- 転帰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milscm_2023_010.azn_202310_base_text_mml_mmlrd_body.outcome IS '転帰';</v>
      </c>
    </row>
    <row r="21" spans="1:52" s="25" customFormat="1" ht="19.5" thickBot="1">
      <c r="A21" s="4"/>
      <c r="B21" s="27">
        <f>ROW()-12</f>
        <v>9</v>
      </c>
      <c r="C21" s="57" t="s">
        <v>1307</v>
      </c>
      <c r="D21" s="57" t="s">
        <v>2790</v>
      </c>
      <c r="E21" s="56"/>
      <c r="F21" s="56" t="s">
        <v>1819</v>
      </c>
      <c r="G21" s="56" t="str">
        <f t="shared" si="3"/>
        <v>text</v>
      </c>
      <c r="H21" s="59"/>
      <c r="I21" s="60"/>
      <c r="J21" s="63"/>
      <c r="N21" s="76"/>
      <c r="O21" s="76"/>
      <c r="P21" s="76" t="str">
        <f t="shared" si="4"/>
        <v>,first_encounter_date</v>
      </c>
      <c r="Q21" s="76" t="str">
        <f t="shared" si="0"/>
        <v>TEXT</v>
      </c>
      <c r="R21" s="76" t="str">
        <f t="shared" si="1"/>
        <v/>
      </c>
      <c r="S21" s="76" t="str">
        <f t="shared" si="5"/>
        <v/>
      </c>
      <c r="T21" s="76" t="str">
        <f t="shared" si="6"/>
        <v>-- 疾患の初診日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milscm_2023_010.azn_202310_base_text_mml_mmlrd_body.first_encounter_date IS '疾患の初診日';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31</v>
      </c>
      <c r="E4" s="248"/>
      <c r="F4" s="248"/>
      <c r="G4" s="248"/>
      <c r="H4" s="248"/>
      <c r="I4" s="248"/>
      <c r="J4" s="249"/>
    </row>
    <row r="5" spans="1:45">
      <c r="B5" s="261" t="s">
        <v>3704</v>
      </c>
      <c r="C5" s="262"/>
      <c r="D5" s="271" t="str">
        <f>VLOOKUP(D7,エンティティ一覧!A1:'エンティティ一覧'!AM10203,7,FALSE)</f>
        <v>base</v>
      </c>
      <c r="E5" s="272"/>
      <c r="F5" s="272"/>
      <c r="G5" s="272"/>
      <c r="H5" s="272"/>
      <c r="I5" s="272"/>
      <c r="J5" s="273"/>
    </row>
    <row r="6" spans="1:45">
      <c r="B6" s="261" t="s">
        <v>3705</v>
      </c>
      <c r="C6" s="262"/>
      <c r="D6" s="271" t="str">
        <f>VLOOKUP(D7,エンティティ一覧!A1:'エンティティ一覧'!AM10203,15,FALSE)</f>
        <v>ENT_31_A6-04</v>
      </c>
      <c r="E6" s="272"/>
      <c r="F6" s="272"/>
      <c r="G6" s="272"/>
      <c r="H6" s="272"/>
      <c r="I6" s="272"/>
      <c r="J6" s="273"/>
    </row>
    <row r="7" spans="1:45">
      <c r="B7" s="261" t="s">
        <v>115</v>
      </c>
      <c r="C7" s="262"/>
      <c r="D7" s="263" t="s">
        <v>3699</v>
      </c>
      <c r="E7" s="264"/>
      <c r="F7" s="264"/>
      <c r="G7" s="264"/>
      <c r="H7" s="264"/>
      <c r="I7" s="264"/>
      <c r="J7" s="265"/>
    </row>
    <row r="8" spans="1:45">
      <c r="B8" s="261" t="s">
        <v>116</v>
      </c>
      <c r="C8" s="262"/>
      <c r="D8" s="263" t="str">
        <f>エンティティ一覧!AE2&amp;"_"&amp;D5&amp;"_text_mml_mmlrd_byomei"</f>
        <v>azn_202310_base_text_mml_mmlrd_byomei</v>
      </c>
      <c r="E8" s="264"/>
      <c r="F8" s="264"/>
      <c r="G8" s="264"/>
      <c r="H8" s="264"/>
      <c r="I8" s="264"/>
      <c r="J8" s="265"/>
    </row>
    <row r="9" spans="1:45" ht="19.5" customHeight="1" thickBot="1">
      <c r="B9" s="266" t="s">
        <v>117</v>
      </c>
      <c r="C9" s="267"/>
      <c r="D9" s="268" t="str">
        <f>"バックアップ_"&amp;SUBSTITUTE(D7,"ベース_","")&amp;"テーブルから対象患者で絞り込んだ結果を格納するテーブル"</f>
        <v>バックアップ_MML_診断履歴情報モジュール_病名テーブルから対象患者で絞り込んだ結果を格納するテーブル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milscm_2023_010.azn_202310_base_text_mml_mmlrd_byomei;</v>
      </c>
      <c r="O10" s="76"/>
      <c r="P10" s="76"/>
      <c r="Q10" s="76"/>
      <c r="R10" s="76"/>
      <c r="S10" s="76"/>
      <c r="T10" s="76"/>
      <c r="AJ10" s="76" t="str">
        <f>"ALTER TABLE ONLY "&amp;エンティティ一覧!$O$2&amp;"."&amp;D$8</f>
        <v>ALTER TABLE ONLY milscm_2023_010.azn_202310_base_text_mml_mmlrd_byomei</v>
      </c>
      <c r="AS10" s="76" t="str">
        <f>"ALTER TABLE "&amp;エンティティ一覧!$O$2&amp;"."&amp;D$8&amp;" OWNER TO pgmisgrp1;"</f>
        <v>ALTER TABLE milscm_2023_010.azn_202310_base_text_mml_mmlrd_byomei OWNER TO pgmisgrp1;</v>
      </c>
    </row>
    <row r="11" spans="1:45" ht="19.5" thickBot="1">
      <c r="B11" s="20" t="s">
        <v>118</v>
      </c>
      <c r="C11" s="19"/>
      <c r="D11" s="5"/>
      <c r="E11" s="5"/>
      <c r="F11" s="5"/>
      <c r="G11" s="5"/>
      <c r="H11" s="5"/>
      <c r="I11" s="5"/>
      <c r="J11" s="18"/>
      <c r="N11" s="76" t="str">
        <f>"CREATE TABLE  "&amp;エンティティ一覧!$O$2&amp;"."&amp;D$8</f>
        <v>CREATE TABLE  milscm_2023_010.azn_202310_base_text_mml_mmlrd_byomei</v>
      </c>
      <c r="O11" s="76"/>
      <c r="P11" s="76"/>
      <c r="Q11" s="76"/>
      <c r="R11" s="76"/>
      <c r="S11" s="76"/>
      <c r="T11" s="76"/>
      <c r="AJ11" s="76" t="str">
        <f>"ADD CONSTRAINT "&amp;D$8&amp;"_pkey PRIMARY KEY"</f>
        <v>ADD CONSTRAINT azn_202310_base_text_mml_mmlrd_byomei_pkey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milscm_2023_010.azn_202310_base_text_mml_mmlrd_byomei IS 'ベース_MML_診断履歴情報モジュール_病名';</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milscm_2023_010.azn_202310_base_text_mml_mmlrd_byomei.zip_no IS 'ZipファイルNo';</v>
      </c>
    </row>
    <row r="14" spans="1:45" s="25" customFormat="1">
      <c r="A14" s="4"/>
      <c r="B14" s="21">
        <f t="shared" ref="B14:B21" si="2">ROW()-12</f>
        <v>2</v>
      </c>
      <c r="C14" s="6" t="s">
        <v>2781</v>
      </c>
      <c r="D14" s="6" t="s">
        <v>2782</v>
      </c>
      <c r="E14" s="8" t="s">
        <v>127</v>
      </c>
      <c r="F14" s="7" t="s">
        <v>2780</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milscm_2023_010.azn_202310_base_text_mml_mmlrd_byomei.file_no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milscm_2023_010.azn_202310_base_text_mml_mmlrd_byomei.body_no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milscm_2023_010.azn_202310_base_text_mml_mmlrd_byomei.facility_id_mml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milscm_2023_010.azn_202310_base_text_mml_mmlrd_byomei.master_id IS '患者ID';</v>
      </c>
    </row>
    <row r="18" spans="1:52" s="25" customFormat="1">
      <c r="A18" s="4"/>
      <c r="B18" s="21">
        <f t="shared" si="2"/>
        <v>6</v>
      </c>
      <c r="C18" s="6" t="s">
        <v>2794</v>
      </c>
      <c r="D18" s="6" t="s">
        <v>2795</v>
      </c>
      <c r="E18" s="8" t="s">
        <v>127</v>
      </c>
      <c r="F18" s="7" t="s">
        <v>2780</v>
      </c>
      <c r="G18" s="7" t="str">
        <f t="shared" si="3"/>
        <v>integer</v>
      </c>
      <c r="H18" s="26"/>
      <c r="I18" s="10" t="s">
        <v>127</v>
      </c>
      <c r="J18" s="11"/>
      <c r="M18" s="4"/>
      <c r="N18" s="76"/>
      <c r="O18" s="76"/>
      <c r="P18" s="76" t="str">
        <f t="shared" si="4"/>
        <v>,byomei_no</v>
      </c>
      <c r="Q18" s="76" t="str">
        <f t="shared" si="0"/>
        <v>INTEGER</v>
      </c>
      <c r="R18" s="76" t="str">
        <f t="shared" si="1"/>
        <v/>
      </c>
      <c r="S18" s="76" t="str">
        <f t="shared" si="5"/>
        <v>NOT NULL</v>
      </c>
      <c r="T18" s="76" t="str">
        <f t="shared" si="6"/>
        <v>-- 病名No</v>
      </c>
      <c r="U18" s="4"/>
      <c r="AA18" s="4"/>
      <c r="AB18" s="4"/>
      <c r="AC18" s="4"/>
      <c r="AD18" s="4"/>
      <c r="AE18" s="4"/>
      <c r="AF18" s="4"/>
      <c r="AG18" s="4"/>
      <c r="AH18" s="4"/>
      <c r="AI18" s="4"/>
      <c r="AJ18" s="76" t="str">
        <f>IF(E18="○",IF(COUNTA(E$13:E18)=1,"",",")&amp;D18,"")</f>
        <v>,byomei_no</v>
      </c>
      <c r="AK18" s="4"/>
      <c r="AL18" s="4"/>
      <c r="AM18" s="4"/>
      <c r="AN18" s="4"/>
      <c r="AO18" s="4"/>
      <c r="AP18" s="4"/>
      <c r="AQ18" s="4"/>
      <c r="AR18" s="4"/>
      <c r="AS18" s="76" t="str">
        <f>"COMMENT ON COLUMN "&amp;エンティティ一覧!$O$2&amp;"."&amp;D$8&amp;"."&amp;D18&amp;" IS '"&amp;C18&amp;"';"</f>
        <v>COMMENT ON COLUMN milscm_2023_010.azn_202310_base_text_mml_mmlrd_byomei.byomei_no IS '病名No';</v>
      </c>
    </row>
    <row r="19" spans="1:52" s="25" customFormat="1">
      <c r="A19" s="4"/>
      <c r="B19" s="21">
        <f t="shared" si="2"/>
        <v>7</v>
      </c>
      <c r="C19" s="6" t="s">
        <v>2796</v>
      </c>
      <c r="D19" s="6" t="s">
        <v>2797</v>
      </c>
      <c r="E19" s="8"/>
      <c r="F19" s="7" t="s">
        <v>1819</v>
      </c>
      <c r="G19" s="7" t="str">
        <f t="shared" si="3"/>
        <v>text</v>
      </c>
      <c r="H19" s="26"/>
      <c r="I19" s="10"/>
      <c r="J19" s="11" t="s">
        <v>2802</v>
      </c>
      <c r="M19" s="4"/>
      <c r="N19" s="76"/>
      <c r="O19" s="76"/>
      <c r="P19" s="76" t="str">
        <f t="shared" si="4"/>
        <v>,tag_name</v>
      </c>
      <c r="Q19" s="76" t="str">
        <f t="shared" si="0"/>
        <v>TEXT</v>
      </c>
      <c r="R19" s="76" t="str">
        <f t="shared" si="1"/>
        <v/>
      </c>
      <c r="S19" s="76" t="str">
        <f t="shared" si="5"/>
        <v/>
      </c>
      <c r="T19" s="76" t="str">
        <f t="shared" si="6"/>
        <v>-- タグ名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milscm_2023_010.azn_202310_base_text_mml_mmlrd_byomei.tag_name IS 'タグ名';</v>
      </c>
    </row>
    <row r="20" spans="1:52" s="25" customFormat="1" ht="37.5">
      <c r="A20" s="4"/>
      <c r="B20" s="21">
        <f t="shared" si="2"/>
        <v>8</v>
      </c>
      <c r="C20" s="6" t="s">
        <v>1319</v>
      </c>
      <c r="D20" s="6" t="s">
        <v>2798</v>
      </c>
      <c r="E20" s="8"/>
      <c r="F20" s="7" t="s">
        <v>1819</v>
      </c>
      <c r="G20" s="7" t="str">
        <f t="shared" si="3"/>
        <v>text</v>
      </c>
      <c r="H20" s="26"/>
      <c r="I20" s="10"/>
      <c r="J20" s="11" t="s">
        <v>2803</v>
      </c>
      <c r="M20" s="4"/>
      <c r="N20" s="76"/>
      <c r="O20" s="76"/>
      <c r="P20" s="76" t="str">
        <f t="shared" si="4"/>
        <v>,diagnosis</v>
      </c>
      <c r="Q20" s="76" t="str">
        <f t="shared" si="0"/>
        <v>TEXT</v>
      </c>
      <c r="R20" s="76" t="str">
        <f t="shared" si="1"/>
        <v/>
      </c>
      <c r="S20" s="76" t="str">
        <f t="shared" si="5"/>
        <v/>
      </c>
      <c r="T20" s="76" t="str">
        <f t="shared" si="6"/>
        <v>-- 病名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milscm_2023_010.azn_202310_base_text_mml_mmlrd_byomei.diagnosis IS '病名';</v>
      </c>
    </row>
    <row r="21" spans="1:52" s="25" customFormat="1">
      <c r="A21" s="4"/>
      <c r="B21" s="21">
        <f t="shared" si="2"/>
        <v>9</v>
      </c>
      <c r="C21" s="6" t="s">
        <v>2799</v>
      </c>
      <c r="D21" s="6" t="s">
        <v>358</v>
      </c>
      <c r="E21" s="8"/>
      <c r="F21" s="7" t="s">
        <v>1819</v>
      </c>
      <c r="G21" s="7" t="str">
        <f t="shared" si="3"/>
        <v>text</v>
      </c>
      <c r="H21" s="26"/>
      <c r="I21" s="10"/>
      <c r="J21" s="11"/>
      <c r="M21" s="4"/>
      <c r="N21" s="76"/>
      <c r="O21" s="76"/>
      <c r="P21" s="76" t="str">
        <f t="shared" si="4"/>
        <v>,code</v>
      </c>
      <c r="Q21" s="76" t="str">
        <f t="shared" si="0"/>
        <v>TEXT</v>
      </c>
      <c r="R21" s="76" t="str">
        <f t="shared" si="1"/>
        <v/>
      </c>
      <c r="S21" s="76" t="str">
        <f t="shared" si="5"/>
        <v/>
      </c>
      <c r="T21" s="76" t="str">
        <f t="shared" si="6"/>
        <v>-- コード値</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milscm_2023_010.azn_202310_base_text_mml_mmlrd_byomei.code IS 'コード値';</v>
      </c>
    </row>
    <row r="22" spans="1:52" s="25" customFormat="1" ht="19.5" thickBot="1">
      <c r="A22" s="4"/>
      <c r="B22" s="27">
        <f>ROW()-12</f>
        <v>10</v>
      </c>
      <c r="C22" s="57" t="s">
        <v>2800</v>
      </c>
      <c r="D22" s="57" t="s">
        <v>2801</v>
      </c>
      <c r="E22" s="56"/>
      <c r="F22" s="56" t="s">
        <v>1819</v>
      </c>
      <c r="G22" s="56" t="str">
        <f t="shared" si="3"/>
        <v>text</v>
      </c>
      <c r="H22" s="59"/>
      <c r="I22" s="60"/>
      <c r="J22" s="63"/>
      <c r="N22" s="76"/>
      <c r="O22" s="76"/>
      <c r="P22" s="76" t="str">
        <f t="shared" si="4"/>
        <v>,system</v>
      </c>
      <c r="Q22" s="76" t="str">
        <f t="shared" si="0"/>
        <v>TEXT</v>
      </c>
      <c r="R22" s="76" t="str">
        <f t="shared" si="1"/>
        <v/>
      </c>
      <c r="S22" s="76" t="str">
        <f t="shared" si="5"/>
        <v/>
      </c>
      <c r="T22" s="76" t="str">
        <f t="shared" si="6"/>
        <v>-- コード体系名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milscm_2023_010.azn_202310_base_text_mml_mmlrd_byomei.system IS 'コード体系名';</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31</v>
      </c>
      <c r="E4" s="248"/>
      <c r="F4" s="248"/>
      <c r="G4" s="248"/>
      <c r="H4" s="248"/>
      <c r="I4" s="248"/>
      <c r="J4" s="249"/>
    </row>
    <row r="5" spans="1:45">
      <c r="B5" s="261" t="s">
        <v>3704</v>
      </c>
      <c r="C5" s="262"/>
      <c r="D5" s="271" t="str">
        <f>VLOOKUP(D7,エンティティ一覧!A1:'エンティティ一覧'!AM10203,7,FALSE)</f>
        <v>base</v>
      </c>
      <c r="E5" s="272"/>
      <c r="F5" s="272"/>
      <c r="G5" s="272"/>
      <c r="H5" s="272"/>
      <c r="I5" s="272"/>
      <c r="J5" s="273"/>
    </row>
    <row r="6" spans="1:45">
      <c r="B6" s="261" t="s">
        <v>3705</v>
      </c>
      <c r="C6" s="262"/>
      <c r="D6" s="271" t="str">
        <f>VLOOKUP(D7,エンティティ一覧!A1:'エンティティ一覧'!AM10203,15,FALSE)</f>
        <v>ENT_31_A6-18</v>
      </c>
      <c r="E6" s="272"/>
      <c r="F6" s="272"/>
      <c r="G6" s="272"/>
      <c r="H6" s="272"/>
      <c r="I6" s="272"/>
      <c r="J6" s="273"/>
    </row>
    <row r="7" spans="1:45">
      <c r="B7" s="261" t="s">
        <v>115</v>
      </c>
      <c r="C7" s="262"/>
      <c r="D7" s="263" t="s">
        <v>3944</v>
      </c>
      <c r="E7" s="264"/>
      <c r="F7" s="264"/>
      <c r="G7" s="264"/>
      <c r="H7" s="264"/>
      <c r="I7" s="264"/>
      <c r="J7" s="265"/>
    </row>
    <row r="8" spans="1:45">
      <c r="B8" s="261" t="s">
        <v>116</v>
      </c>
      <c r="C8" s="262"/>
      <c r="D8" s="263" t="str">
        <f>エンティティ一覧!AE2&amp;"_"&amp;D5&amp;"_text_mml_mmllb_body"</f>
        <v>azn_202310_base_text_mml_mmllb_body</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ベース_MML_検歴情報モジュール_本文テーブルから組入れ条件の第一条件で絞り込んだ結果を格納するテーブル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milscm_2023_010.azn_202310_base_text_mml_mmllb_body;</v>
      </c>
      <c r="O10" s="76"/>
      <c r="P10" s="76"/>
      <c r="Q10" s="76"/>
      <c r="R10" s="76"/>
      <c r="S10" s="76"/>
      <c r="T10" s="76"/>
      <c r="AJ10" s="76" t="str">
        <f>"ALTER TABLE ONLY "&amp;エンティティ一覧!$O$2&amp;"."&amp;D$8</f>
        <v>ALTER TABLE ONLY milscm_2023_010.azn_202310_base_text_mml_mmllb_body</v>
      </c>
      <c r="AS10" s="76" t="str">
        <f>"ALTER TABLE "&amp;エンティティ一覧!$O$2&amp;"."&amp;D$8&amp;" OWNER TO pgmisgrp1;"</f>
        <v>ALTER TABLE milscm_2023_010.azn_202310_base_text_mml_mmllb_body OWNER TO pgmisgrp1;</v>
      </c>
    </row>
    <row r="11" spans="1:45" ht="19.5" thickBot="1">
      <c r="B11" s="20" t="s">
        <v>118</v>
      </c>
      <c r="C11" s="19"/>
      <c r="D11" s="5"/>
      <c r="E11" s="5"/>
      <c r="F11" s="5"/>
      <c r="G11" s="5"/>
      <c r="H11" s="5"/>
      <c r="I11" s="5"/>
      <c r="J11" s="18"/>
      <c r="N11" s="76" t="str">
        <f>"CREATE TABLE  "&amp;エンティティ一覧!$O$2&amp;"."&amp;D$8</f>
        <v>CREATE TABLE  milscm_2023_010.azn_202310_base_text_mml_mmllb_body</v>
      </c>
      <c r="O11" s="76"/>
      <c r="P11" s="76"/>
      <c r="Q11" s="76"/>
      <c r="R11" s="76"/>
      <c r="S11" s="76"/>
      <c r="T11" s="76"/>
      <c r="AJ11" s="76" t="str">
        <f>"ADD CONSTRAINT "&amp;D$8&amp;"_pkey PRIMARY KEY"</f>
        <v>ADD CONSTRAINT azn_202310_base_text_mml_mmllb_body_pkey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milscm_2023_010.azn_202310_base_text_mml_mmllb_body IS 'ベース_MML_検歴情報モジュール_本文';</v>
      </c>
    </row>
    <row r="13" spans="1:45" s="25" customFormat="1">
      <c r="A13" s="4"/>
      <c r="B13" s="21">
        <f>ROW()-12</f>
        <v>1</v>
      </c>
      <c r="C13" s="6" t="s">
        <v>2778</v>
      </c>
      <c r="D13" s="6" t="s">
        <v>2779</v>
      </c>
      <c r="E13" s="8" t="s">
        <v>127</v>
      </c>
      <c r="F13" s="8" t="s">
        <v>3275</v>
      </c>
      <c r="G13" s="7" t="str">
        <f>IF(F13="フラグ","boolean",IF(F13="文字列","text",IF(F13="整数","integer",IF(F13="実数","numeric",""))))</f>
        <v>integer</v>
      </c>
      <c r="H13" s="9"/>
      <c r="I13" s="10" t="s">
        <v>127</v>
      </c>
      <c r="J13" s="11"/>
      <c r="M13" s="4"/>
      <c r="N13" s="76"/>
      <c r="O13" s="76"/>
      <c r="P13" s="76" t="str">
        <f>IF(B13&lt;&gt;1,","&amp;D13,D13)</f>
        <v>zip_no</v>
      </c>
      <c r="Q13" s="76" t="str">
        <f t="shared" ref="Q13:Q46" si="0">UPPER(G13)</f>
        <v>INTEGER</v>
      </c>
      <c r="R13" s="76" t="str">
        <f t="shared" ref="R13:R46"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milscm_2023_010.azn_202310_base_text_mml_mmllb_body.zip_no IS 'ZipファイルNo';</v>
      </c>
    </row>
    <row r="14" spans="1:45" s="25" customFormat="1">
      <c r="A14" s="4"/>
      <c r="B14" s="21">
        <f t="shared" ref="B14:B45" si="2">ROW()-12</f>
        <v>2</v>
      </c>
      <c r="C14" s="6" t="s">
        <v>2781</v>
      </c>
      <c r="D14" s="6" t="s">
        <v>2782</v>
      </c>
      <c r="E14" s="8" t="s">
        <v>127</v>
      </c>
      <c r="F14" s="7" t="s">
        <v>3275</v>
      </c>
      <c r="G14" s="7" t="str">
        <f t="shared" ref="G14:G46" si="3">IF(F14="フラグ","boolean",IF(F14="文字列","text",IF(F14="整数","integer",IF(F14="実数","numeric",""))))</f>
        <v>integer</v>
      </c>
      <c r="H14" s="26"/>
      <c r="I14" s="10" t="s">
        <v>127</v>
      </c>
      <c r="J14" s="11"/>
      <c r="M14" s="4"/>
      <c r="N14" s="76"/>
      <c r="O14" s="76"/>
      <c r="P14" s="76" t="str">
        <f t="shared" ref="P14:P46" si="4">IF(B14&lt;&gt;1,","&amp;D14,D14)</f>
        <v>,file_no</v>
      </c>
      <c r="Q14" s="76" t="str">
        <f t="shared" si="0"/>
        <v>INTEGER</v>
      </c>
      <c r="R14" s="76" t="str">
        <f t="shared" si="1"/>
        <v/>
      </c>
      <c r="S14" s="76" t="str">
        <f t="shared" ref="S14:S46" si="5">IF(I14="○","NOT NULL","")</f>
        <v>NOT NULL</v>
      </c>
      <c r="T14" s="76" t="str">
        <f t="shared" ref="T14:T46"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milscm_2023_010.azn_202310_base_text_mml_mmllb_body.file_no IS 'ファイルNo';</v>
      </c>
    </row>
    <row r="15" spans="1:45" s="25" customFormat="1">
      <c r="A15" s="4"/>
      <c r="B15" s="21">
        <f t="shared" si="2"/>
        <v>3</v>
      </c>
      <c r="C15" s="6" t="s">
        <v>3259</v>
      </c>
      <c r="D15" s="6" t="s">
        <v>2784</v>
      </c>
      <c r="E15" s="8" t="s">
        <v>127</v>
      </c>
      <c r="F15" s="7" t="s">
        <v>3275</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milscm_2023_010.azn_202310_base_text_mml_mmllb_body.body_no IS '本文No';</v>
      </c>
    </row>
    <row r="16" spans="1:45" s="25" customFormat="1">
      <c r="A16" s="4"/>
      <c r="B16" s="21">
        <f t="shared" si="2"/>
        <v>4</v>
      </c>
      <c r="C16" s="6" t="s">
        <v>3276</v>
      </c>
      <c r="D16" s="6" t="s">
        <v>2401</v>
      </c>
      <c r="E16" s="8"/>
      <c r="F16" s="7" t="s">
        <v>3277</v>
      </c>
      <c r="G16" s="7" t="str">
        <f t="shared" si="3"/>
        <v>text</v>
      </c>
      <c r="H16" s="26"/>
      <c r="I16" s="10" t="s">
        <v>127</v>
      </c>
      <c r="J16" s="11" t="s">
        <v>3271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milscm_2023_010.azn_202310_base_text_mml_mmllb_body.facility_id_mml IS '施設ID（MML）';</v>
      </c>
    </row>
    <row r="17" spans="1:45" s="25" customFormat="1">
      <c r="A17" s="4"/>
      <c r="B17" s="21">
        <f t="shared" si="2"/>
        <v>5</v>
      </c>
      <c r="C17" s="6" t="s">
        <v>2786</v>
      </c>
      <c r="D17" s="6" t="s">
        <v>1244</v>
      </c>
      <c r="E17" s="8"/>
      <c r="F17" s="7" t="s">
        <v>3277</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milscm_2023_010.azn_202310_base_text_mml_mmllb_body.master_id IS '患者ID';</v>
      </c>
    </row>
    <row r="18" spans="1:45" s="25" customFormat="1">
      <c r="A18" s="4"/>
      <c r="B18" s="21">
        <f t="shared" si="2"/>
        <v>6</v>
      </c>
      <c r="C18" s="6" t="s">
        <v>1544</v>
      </c>
      <c r="D18" s="6" t="s">
        <v>3825</v>
      </c>
      <c r="E18" s="8"/>
      <c r="F18" s="7" t="s">
        <v>3277</v>
      </c>
      <c r="G18" s="7" t="str">
        <f t="shared" si="3"/>
        <v>text</v>
      </c>
      <c r="H18" s="26"/>
      <c r="I18" s="10"/>
      <c r="J18" s="11"/>
      <c r="M18" s="4"/>
      <c r="N18" s="76"/>
      <c r="O18" s="76"/>
      <c r="P18" s="76" t="str">
        <f t="shared" si="4"/>
        <v>,regist_id</v>
      </c>
      <c r="Q18" s="76" t="str">
        <f t="shared" si="0"/>
        <v>TEXT</v>
      </c>
      <c r="R18" s="76" t="str">
        <f t="shared" si="1"/>
        <v/>
      </c>
      <c r="S18" s="76" t="str">
        <f t="shared" si="5"/>
        <v/>
      </c>
      <c r="T18" s="76" t="str">
        <f t="shared" si="6"/>
        <v>-- 依頼ID</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milscm_2023_010.azn_202310_base_text_mml_mmllb_body.regist_id IS '依頼ID';</v>
      </c>
    </row>
    <row r="19" spans="1:45" s="25" customFormat="1">
      <c r="A19" s="4"/>
      <c r="B19" s="21">
        <f t="shared" si="2"/>
        <v>7</v>
      </c>
      <c r="C19" s="6" t="s">
        <v>1546</v>
      </c>
      <c r="D19" s="6" t="s">
        <v>1547</v>
      </c>
      <c r="E19" s="8"/>
      <c r="F19" s="7" t="s">
        <v>3277</v>
      </c>
      <c r="G19" s="7" t="str">
        <f t="shared" si="3"/>
        <v>text</v>
      </c>
      <c r="H19" s="26"/>
      <c r="I19" s="10"/>
      <c r="J19" s="11" t="s">
        <v>2792</v>
      </c>
      <c r="M19" s="4"/>
      <c r="N19" s="76"/>
      <c r="O19" s="76"/>
      <c r="P19" s="76" t="str">
        <f t="shared" si="4"/>
        <v>,sample_time</v>
      </c>
      <c r="Q19" s="76" t="str">
        <f t="shared" si="0"/>
        <v>TEXT</v>
      </c>
      <c r="R19" s="76" t="str">
        <f t="shared" si="1"/>
        <v/>
      </c>
      <c r="S19" s="76" t="str">
        <f t="shared" si="5"/>
        <v/>
      </c>
      <c r="T19" s="76" t="str">
        <f t="shared" si="6"/>
        <v>-- 採取日時</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milscm_2023_010.azn_202310_base_text_mml_mmllb_body.sample_time IS '採取日時';</v>
      </c>
    </row>
    <row r="20" spans="1:45" s="25" customFormat="1">
      <c r="A20" s="4"/>
      <c r="B20" s="21">
        <f t="shared" si="2"/>
        <v>8</v>
      </c>
      <c r="C20" s="6" t="s">
        <v>1548</v>
      </c>
      <c r="D20" s="6" t="s">
        <v>3826</v>
      </c>
      <c r="E20" s="8"/>
      <c r="F20" s="7" t="s">
        <v>3277</v>
      </c>
      <c r="G20" s="7" t="str">
        <f t="shared" si="3"/>
        <v>text</v>
      </c>
      <c r="H20" s="26"/>
      <c r="I20" s="10"/>
      <c r="J20" s="11" t="s">
        <v>2792</v>
      </c>
      <c r="M20" s="4"/>
      <c r="N20" s="76"/>
      <c r="O20" s="76"/>
      <c r="P20" s="76" t="str">
        <f t="shared" si="4"/>
        <v>,regist_time</v>
      </c>
      <c r="Q20" s="76" t="str">
        <f t="shared" si="0"/>
        <v>TEXT</v>
      </c>
      <c r="R20" s="76" t="str">
        <f t="shared" si="1"/>
        <v/>
      </c>
      <c r="S20" s="76" t="str">
        <f t="shared" si="5"/>
        <v/>
      </c>
      <c r="T20" s="76" t="str">
        <f t="shared" si="6"/>
        <v>-- 受付日時</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milscm_2023_010.azn_202310_base_text_mml_mmllb_body.regist_time IS '受付日時';</v>
      </c>
    </row>
    <row r="21" spans="1:45" s="25" customFormat="1">
      <c r="A21" s="4"/>
      <c r="B21" s="21">
        <f t="shared" si="2"/>
        <v>9</v>
      </c>
      <c r="C21" s="6" t="s">
        <v>1550</v>
      </c>
      <c r="D21" s="6" t="s">
        <v>1551</v>
      </c>
      <c r="E21" s="8"/>
      <c r="F21" s="7" t="s">
        <v>3277</v>
      </c>
      <c r="G21" s="7" t="str">
        <f t="shared" si="3"/>
        <v>text</v>
      </c>
      <c r="H21" s="26"/>
      <c r="I21" s="10"/>
      <c r="J21" s="11" t="s">
        <v>2792</v>
      </c>
      <c r="M21" s="4"/>
      <c r="N21" s="76"/>
      <c r="O21" s="76"/>
      <c r="P21" s="76" t="str">
        <f t="shared" si="4"/>
        <v>,report_time</v>
      </c>
      <c r="Q21" s="76" t="str">
        <f t="shared" si="0"/>
        <v>TEXT</v>
      </c>
      <c r="R21" s="76" t="str">
        <f t="shared" si="1"/>
        <v/>
      </c>
      <c r="S21" s="76" t="str">
        <f t="shared" si="5"/>
        <v/>
      </c>
      <c r="T21" s="76" t="str">
        <f t="shared" si="6"/>
        <v>-- 報告日時</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milscm_2023_010.azn_202310_base_text_mml_mmllb_body.report_time IS '報告日時';</v>
      </c>
    </row>
    <row r="22" spans="1:45" s="25" customFormat="1">
      <c r="A22" s="4"/>
      <c r="B22" s="21">
        <f t="shared" si="2"/>
        <v>10</v>
      </c>
      <c r="C22" s="6" t="s">
        <v>1552</v>
      </c>
      <c r="D22" s="6" t="s">
        <v>2941</v>
      </c>
      <c r="E22" s="8"/>
      <c r="F22" s="7" t="s">
        <v>3277</v>
      </c>
      <c r="G22" s="7" t="str">
        <f t="shared" si="3"/>
        <v>text</v>
      </c>
      <c r="H22" s="26"/>
      <c r="I22" s="10"/>
      <c r="J22" s="11"/>
      <c r="M22" s="4"/>
      <c r="N22" s="76"/>
      <c r="O22" s="76"/>
      <c r="P22" s="76" t="str">
        <f t="shared" si="4"/>
        <v>,report_status</v>
      </c>
      <c r="Q22" s="76" t="str">
        <f t="shared" si="0"/>
        <v>TEXT</v>
      </c>
      <c r="R22" s="76" t="str">
        <f t="shared" si="1"/>
        <v/>
      </c>
      <c r="S22" s="76" t="str">
        <f t="shared" si="5"/>
        <v/>
      </c>
      <c r="T22" s="76" t="str">
        <f t="shared" si="6"/>
        <v>-- 報告状態</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milscm_2023_010.azn_202310_base_text_mml_mmllb_body.report_status IS '報告状態';</v>
      </c>
    </row>
    <row r="23" spans="1:45" s="25" customFormat="1">
      <c r="A23" s="4"/>
      <c r="B23" s="21">
        <f t="shared" si="2"/>
        <v>11</v>
      </c>
      <c r="C23" s="6" t="s">
        <v>1554</v>
      </c>
      <c r="D23" s="6" t="s">
        <v>1555</v>
      </c>
      <c r="E23" s="8"/>
      <c r="F23" s="7" t="s">
        <v>3277</v>
      </c>
      <c r="G23" s="7" t="str">
        <f t="shared" si="3"/>
        <v>text</v>
      </c>
      <c r="H23" s="26"/>
      <c r="I23" s="10"/>
      <c r="J23" s="11"/>
      <c r="M23" s="4"/>
      <c r="N23" s="76"/>
      <c r="O23" s="76"/>
      <c r="P23" s="76" t="str">
        <f t="shared" si="4"/>
        <v>,status_code</v>
      </c>
      <c r="Q23" s="76" t="str">
        <f t="shared" si="0"/>
        <v>TEXT</v>
      </c>
      <c r="R23" s="76" t="str">
        <f t="shared" si="1"/>
        <v/>
      </c>
      <c r="S23" s="76" t="str">
        <f t="shared" si="5"/>
        <v/>
      </c>
      <c r="T23" s="76" t="str">
        <f t="shared" si="6"/>
        <v>-- 報告状態コード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milscm_2023_010.azn_202310_base_text_mml_mmllb_body.status_code IS '報告状態コード';</v>
      </c>
    </row>
    <row r="24" spans="1:45" s="25" customFormat="1">
      <c r="A24" s="4"/>
      <c r="B24" s="21">
        <f t="shared" si="2"/>
        <v>12</v>
      </c>
      <c r="C24" s="6" t="s">
        <v>2943</v>
      </c>
      <c r="D24" s="6" t="s">
        <v>3827</v>
      </c>
      <c r="E24" s="8"/>
      <c r="F24" s="7" t="s">
        <v>3277</v>
      </c>
      <c r="G24" s="7" t="str">
        <f t="shared" si="3"/>
        <v>text</v>
      </c>
      <c r="H24" s="26"/>
      <c r="I24" s="10"/>
      <c r="J24" s="11"/>
      <c r="M24" s="4"/>
      <c r="N24" s="76"/>
      <c r="O24" s="76"/>
      <c r="P24" s="76" t="str">
        <f t="shared" si="4"/>
        <v>,status_code_id</v>
      </c>
      <c r="Q24" s="76" t="str">
        <f t="shared" si="0"/>
        <v>TEXT</v>
      </c>
      <c r="R24" s="76" t="str">
        <f t="shared" si="1"/>
        <v/>
      </c>
      <c r="S24" s="76" t="str">
        <f t="shared" si="5"/>
        <v/>
      </c>
      <c r="T24" s="76" t="str">
        <f t="shared" si="6"/>
        <v>-- 報告状態コードID</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milscm_2023_010.azn_202310_base_text_mml_mmllb_body.status_code_id IS '報告状態コードID';</v>
      </c>
    </row>
    <row r="25" spans="1:45" s="25" customFormat="1">
      <c r="A25" s="4"/>
      <c r="B25" s="21">
        <f t="shared" si="2"/>
        <v>13</v>
      </c>
      <c r="C25" s="6" t="s">
        <v>1556</v>
      </c>
      <c r="D25" s="6" t="s">
        <v>3828</v>
      </c>
      <c r="E25" s="8"/>
      <c r="F25" s="7" t="s">
        <v>3277</v>
      </c>
      <c r="G25" s="7" t="str">
        <f t="shared" si="3"/>
        <v>text</v>
      </c>
      <c r="H25" s="26"/>
      <c r="I25" s="10"/>
      <c r="J25" s="11"/>
      <c r="M25" s="4"/>
      <c r="N25" s="76"/>
      <c r="O25" s="76"/>
      <c r="P25" s="76" t="str">
        <f t="shared" si="4"/>
        <v>,set</v>
      </c>
      <c r="Q25" s="76" t="str">
        <f t="shared" si="0"/>
        <v>TEXT</v>
      </c>
      <c r="R25" s="76" t="str">
        <f t="shared" si="1"/>
        <v/>
      </c>
      <c r="S25" s="76" t="str">
        <f t="shared" si="5"/>
        <v/>
      </c>
      <c r="T25" s="76" t="str">
        <f t="shared" si="6"/>
        <v>-- セット名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milscm_2023_010.azn_202310_base_text_mml_mmllb_body.set IS 'セット名';</v>
      </c>
    </row>
    <row r="26" spans="1:45" s="25" customFormat="1">
      <c r="A26" s="4"/>
      <c r="B26" s="21">
        <f t="shared" si="2"/>
        <v>14</v>
      </c>
      <c r="C26" s="6" t="s">
        <v>1558</v>
      </c>
      <c r="D26" s="6" t="s">
        <v>3829</v>
      </c>
      <c r="E26" s="8"/>
      <c r="F26" s="7" t="s">
        <v>3277</v>
      </c>
      <c r="G26" s="7" t="str">
        <f t="shared" si="3"/>
        <v>text</v>
      </c>
      <c r="H26" s="26"/>
      <c r="I26" s="10"/>
      <c r="J26" s="11"/>
      <c r="M26" s="4"/>
      <c r="N26" s="76"/>
      <c r="O26" s="76"/>
      <c r="P26" s="76" t="str">
        <f t="shared" si="4"/>
        <v>,set_code</v>
      </c>
      <c r="Q26" s="76" t="str">
        <f t="shared" si="0"/>
        <v>TEXT</v>
      </c>
      <c r="R26" s="76" t="str">
        <f t="shared" si="1"/>
        <v/>
      </c>
      <c r="S26" s="76" t="str">
        <f t="shared" si="5"/>
        <v/>
      </c>
      <c r="T26" s="76" t="str">
        <f t="shared" si="6"/>
        <v>-- セット名コード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milscm_2023_010.azn_202310_base_text_mml_mmllb_body.set_code IS 'セット名コード';</v>
      </c>
    </row>
    <row r="27" spans="1:45" s="25" customFormat="1">
      <c r="A27" s="4"/>
      <c r="B27" s="21">
        <f t="shared" si="2"/>
        <v>15</v>
      </c>
      <c r="C27" s="6" t="s">
        <v>1560</v>
      </c>
      <c r="D27" s="6" t="s">
        <v>3830</v>
      </c>
      <c r="E27" s="8"/>
      <c r="F27" s="7" t="s">
        <v>3277</v>
      </c>
      <c r="G27" s="7" t="str">
        <f t="shared" si="3"/>
        <v>text</v>
      </c>
      <c r="H27" s="26"/>
      <c r="I27" s="10"/>
      <c r="J27" s="11"/>
      <c r="M27" s="4"/>
      <c r="N27" s="76"/>
      <c r="O27" s="76"/>
      <c r="P27" s="76" t="str">
        <f t="shared" si="4"/>
        <v>,set_code_id</v>
      </c>
      <c r="Q27" s="76" t="str">
        <f t="shared" si="0"/>
        <v>TEXT</v>
      </c>
      <c r="R27" s="76" t="str">
        <f t="shared" si="1"/>
        <v/>
      </c>
      <c r="S27" s="76" t="str">
        <f t="shared" si="5"/>
        <v/>
      </c>
      <c r="T27" s="76" t="str">
        <f t="shared" si="6"/>
        <v>-- セット名コードID</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milscm_2023_010.azn_202310_base_text_mml_mmllb_body.set_code_id IS 'セット名コードID';</v>
      </c>
    </row>
    <row r="28" spans="1:45" s="25" customFormat="1">
      <c r="A28" s="4"/>
      <c r="B28" s="21">
        <f t="shared" si="2"/>
        <v>16</v>
      </c>
      <c r="C28" s="6" t="s">
        <v>2959</v>
      </c>
      <c r="D28" s="6" t="s">
        <v>3831</v>
      </c>
      <c r="E28" s="8"/>
      <c r="F28" s="7" t="s">
        <v>3277</v>
      </c>
      <c r="G28" s="7" t="str">
        <f t="shared" si="3"/>
        <v>text</v>
      </c>
      <c r="H28" s="26"/>
      <c r="I28" s="10"/>
      <c r="J28" s="11"/>
      <c r="M28" s="4"/>
      <c r="N28" s="76"/>
      <c r="O28" s="76"/>
      <c r="P28" s="76" t="str">
        <f t="shared" si="4"/>
        <v>,facility</v>
      </c>
      <c r="Q28" s="76" t="str">
        <f t="shared" si="0"/>
        <v>TEXT</v>
      </c>
      <c r="R28" s="76" t="str">
        <f t="shared" si="1"/>
        <v/>
      </c>
      <c r="S28" s="76" t="str">
        <f t="shared" si="5"/>
        <v/>
      </c>
      <c r="T28" s="76" t="str">
        <f t="shared" si="6"/>
        <v>-- 依頼施設</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milscm_2023_010.azn_202310_base_text_mml_mmllb_body.facility IS '依頼施設';</v>
      </c>
    </row>
    <row r="29" spans="1:45" s="25" customFormat="1">
      <c r="A29" s="4"/>
      <c r="B29" s="21">
        <f t="shared" si="2"/>
        <v>17</v>
      </c>
      <c r="C29" s="6" t="s">
        <v>1564</v>
      </c>
      <c r="D29" s="6" t="s">
        <v>3832</v>
      </c>
      <c r="E29" s="8"/>
      <c r="F29" s="7" t="s">
        <v>3277</v>
      </c>
      <c r="G29" s="7" t="str">
        <f t="shared" si="3"/>
        <v>text</v>
      </c>
      <c r="H29" s="26"/>
      <c r="I29" s="10"/>
      <c r="J29" s="11"/>
      <c r="M29" s="4"/>
      <c r="N29" s="76"/>
      <c r="O29" s="76"/>
      <c r="P29" s="76" t="str">
        <f t="shared" si="4"/>
        <v>,facility_code</v>
      </c>
      <c r="Q29" s="76" t="str">
        <f t="shared" si="0"/>
        <v>TEXT</v>
      </c>
      <c r="R29" s="76" t="str">
        <f t="shared" si="1"/>
        <v/>
      </c>
      <c r="S29" s="76" t="str">
        <f t="shared" si="5"/>
        <v/>
      </c>
      <c r="T29" s="76" t="str">
        <f t="shared" si="6"/>
        <v>-- 依頼施設コード</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milscm_2023_010.azn_202310_base_text_mml_mmllb_body.facility_code IS '依頼施設コード';</v>
      </c>
    </row>
    <row r="30" spans="1:45" s="25" customFormat="1">
      <c r="A30" s="4"/>
      <c r="B30" s="21">
        <f t="shared" si="2"/>
        <v>18</v>
      </c>
      <c r="C30" s="6" t="s">
        <v>1566</v>
      </c>
      <c r="D30" s="6" t="s">
        <v>3833</v>
      </c>
      <c r="E30" s="8"/>
      <c r="F30" s="7" t="s">
        <v>3277</v>
      </c>
      <c r="G30" s="7" t="str">
        <f t="shared" si="3"/>
        <v>text</v>
      </c>
      <c r="H30" s="26"/>
      <c r="I30" s="10"/>
      <c r="J30" s="11"/>
      <c r="M30" s="4"/>
      <c r="N30" s="76"/>
      <c r="O30" s="76"/>
      <c r="P30" s="76" t="str">
        <f t="shared" si="4"/>
        <v>,facility_code_id</v>
      </c>
      <c r="Q30" s="76" t="str">
        <f t="shared" si="0"/>
        <v>TEXT</v>
      </c>
      <c r="R30" s="76" t="str">
        <f t="shared" si="1"/>
        <v/>
      </c>
      <c r="S30" s="76" t="str">
        <f t="shared" si="5"/>
        <v/>
      </c>
      <c r="T30" s="76" t="str">
        <f t="shared" si="6"/>
        <v>-- 依頼施設コードID</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milscm_2023_010.azn_202310_base_text_mml_mmllb_body.facility_code_id IS '依頼施設コードID';</v>
      </c>
    </row>
    <row r="31" spans="1:45" s="25" customFormat="1">
      <c r="A31" s="4"/>
      <c r="B31" s="21">
        <f t="shared" si="2"/>
        <v>19</v>
      </c>
      <c r="C31" s="6" t="s">
        <v>1568</v>
      </c>
      <c r="D31" s="6" t="s">
        <v>3834</v>
      </c>
      <c r="E31" s="8"/>
      <c r="F31" s="7" t="s">
        <v>3277</v>
      </c>
      <c r="G31" s="7" t="str">
        <f t="shared" si="3"/>
        <v>text</v>
      </c>
      <c r="H31" s="26"/>
      <c r="I31" s="10"/>
      <c r="J31" s="11"/>
      <c r="M31" s="4"/>
      <c r="N31" s="76"/>
      <c r="O31" s="76"/>
      <c r="P31" s="76" t="str">
        <f t="shared" si="4"/>
        <v>,department</v>
      </c>
      <c r="Q31" s="76" t="str">
        <f t="shared" si="0"/>
        <v>TEXT</v>
      </c>
      <c r="R31" s="76" t="str">
        <f t="shared" si="1"/>
        <v/>
      </c>
      <c r="S31" s="76" t="str">
        <f t="shared" si="5"/>
        <v/>
      </c>
      <c r="T31" s="76" t="str">
        <f t="shared" si="6"/>
        <v>-- 依頼診療科</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milscm_2023_010.azn_202310_base_text_mml_mmllb_body.department IS '依頼診療科';</v>
      </c>
    </row>
    <row r="32" spans="1:45" s="25" customFormat="1">
      <c r="A32" s="4"/>
      <c r="B32" s="21">
        <f t="shared" si="2"/>
        <v>20</v>
      </c>
      <c r="C32" s="6" t="s">
        <v>1570</v>
      </c>
      <c r="D32" s="6" t="s">
        <v>1681</v>
      </c>
      <c r="E32" s="8"/>
      <c r="F32" s="7" t="s">
        <v>3277</v>
      </c>
      <c r="G32" s="7" t="str">
        <f t="shared" si="3"/>
        <v>text</v>
      </c>
      <c r="H32" s="26"/>
      <c r="I32" s="10"/>
      <c r="J32" s="11"/>
      <c r="M32" s="4"/>
      <c r="N32" s="76"/>
      <c r="O32" s="76"/>
      <c r="P32" s="76" t="str">
        <f t="shared" si="4"/>
        <v>,department_code</v>
      </c>
      <c r="Q32" s="76" t="str">
        <f t="shared" si="0"/>
        <v>TEXT</v>
      </c>
      <c r="R32" s="76" t="str">
        <f t="shared" si="1"/>
        <v/>
      </c>
      <c r="S32" s="76" t="str">
        <f t="shared" si="5"/>
        <v/>
      </c>
      <c r="T32" s="76" t="str">
        <f t="shared" si="6"/>
        <v>-- 依頼診療科コード</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milscm_2023_010.azn_202310_base_text_mml_mmllb_body.department_code IS '依頼診療科コード';</v>
      </c>
    </row>
    <row r="33" spans="1:52" s="25" customFormat="1">
      <c r="A33" s="4"/>
      <c r="B33" s="21">
        <f t="shared" si="2"/>
        <v>21</v>
      </c>
      <c r="C33" s="6" t="s">
        <v>2965</v>
      </c>
      <c r="D33" s="6" t="s">
        <v>3835</v>
      </c>
      <c r="E33" s="8"/>
      <c r="F33" s="7" t="s">
        <v>3277</v>
      </c>
      <c r="G33" s="7" t="str">
        <f t="shared" si="3"/>
        <v>text</v>
      </c>
      <c r="H33" s="26"/>
      <c r="I33" s="10"/>
      <c r="J33" s="11"/>
      <c r="M33" s="4"/>
      <c r="N33" s="76"/>
      <c r="O33" s="76"/>
      <c r="P33" s="76" t="str">
        <f t="shared" si="4"/>
        <v>,department_code_id</v>
      </c>
      <c r="Q33" s="76" t="str">
        <f t="shared" si="0"/>
        <v>TEXT</v>
      </c>
      <c r="R33" s="76" t="str">
        <f t="shared" si="1"/>
        <v/>
      </c>
      <c r="S33" s="76" t="str">
        <f t="shared" si="5"/>
        <v/>
      </c>
      <c r="T33" s="76" t="str">
        <f t="shared" si="6"/>
        <v>-- 依頼診療科コードID</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milscm_2023_010.azn_202310_base_text_mml_mmllb_body.department_code_id IS '依頼診療科コードID';</v>
      </c>
    </row>
    <row r="34" spans="1:52" s="25" customFormat="1">
      <c r="A34" s="4"/>
      <c r="B34" s="21">
        <f t="shared" si="2"/>
        <v>22</v>
      </c>
      <c r="C34" s="6" t="s">
        <v>1572</v>
      </c>
      <c r="D34" s="6" t="s">
        <v>1683</v>
      </c>
      <c r="E34" s="8"/>
      <c r="F34" s="7" t="s">
        <v>3277</v>
      </c>
      <c r="G34" s="7" t="str">
        <f t="shared" si="3"/>
        <v>text</v>
      </c>
      <c r="H34" s="26"/>
      <c r="I34" s="10"/>
      <c r="J34" s="11"/>
      <c r="M34" s="4"/>
      <c r="N34" s="76"/>
      <c r="O34" s="76"/>
      <c r="P34" s="76" t="str">
        <f t="shared" si="4"/>
        <v>,ward</v>
      </c>
      <c r="Q34" s="76" t="str">
        <f t="shared" si="0"/>
        <v>TEXT</v>
      </c>
      <c r="R34" s="76" t="str">
        <f t="shared" si="1"/>
        <v/>
      </c>
      <c r="S34" s="76" t="str">
        <f t="shared" si="5"/>
        <v/>
      </c>
      <c r="T34" s="76" t="str">
        <f t="shared" si="6"/>
        <v>-- 依頼病棟</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milscm_2023_010.azn_202310_base_text_mml_mmllb_body.ward IS '依頼病棟';</v>
      </c>
    </row>
    <row r="35" spans="1:52" s="25" customFormat="1">
      <c r="A35" s="4"/>
      <c r="B35" s="21">
        <f t="shared" si="2"/>
        <v>23</v>
      </c>
      <c r="C35" s="6" t="s">
        <v>1574</v>
      </c>
      <c r="D35" s="6" t="s">
        <v>238</v>
      </c>
      <c r="E35" s="8"/>
      <c r="F35" s="7" t="s">
        <v>3277</v>
      </c>
      <c r="G35" s="7" t="str">
        <f t="shared" si="3"/>
        <v>text</v>
      </c>
      <c r="H35" s="26"/>
      <c r="I35" s="10"/>
      <c r="J35" s="11"/>
      <c r="M35" s="4"/>
      <c r="N35" s="76"/>
      <c r="O35" s="76"/>
      <c r="P35" s="76" t="str">
        <f t="shared" si="4"/>
        <v>,ward_code</v>
      </c>
      <c r="Q35" s="76" t="str">
        <f t="shared" si="0"/>
        <v>TEXT</v>
      </c>
      <c r="R35" s="76" t="str">
        <f t="shared" si="1"/>
        <v/>
      </c>
      <c r="S35" s="76" t="str">
        <f t="shared" si="5"/>
        <v/>
      </c>
      <c r="T35" s="76" t="str">
        <f t="shared" si="6"/>
        <v>-- 依頼病棟コード</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milscm_2023_010.azn_202310_base_text_mml_mmllb_body.ward_code IS '依頼病棟コード';</v>
      </c>
    </row>
    <row r="36" spans="1:52" s="25" customFormat="1">
      <c r="A36" s="4"/>
      <c r="B36" s="21">
        <f t="shared" si="2"/>
        <v>24</v>
      </c>
      <c r="C36" s="6" t="s">
        <v>1576</v>
      </c>
      <c r="D36" s="6" t="s">
        <v>1685</v>
      </c>
      <c r="E36" s="8"/>
      <c r="F36" s="7" t="s">
        <v>3277</v>
      </c>
      <c r="G36" s="7" t="str">
        <f t="shared" si="3"/>
        <v>text</v>
      </c>
      <c r="H36" s="26"/>
      <c r="I36" s="10"/>
      <c r="J36" s="11"/>
      <c r="M36" s="4"/>
      <c r="N36" s="76"/>
      <c r="O36" s="76"/>
      <c r="P36" s="76" t="str">
        <f t="shared" si="4"/>
        <v>,ward_code_id</v>
      </c>
      <c r="Q36" s="76" t="str">
        <f t="shared" si="0"/>
        <v>TEXT</v>
      </c>
      <c r="R36" s="76" t="str">
        <f t="shared" si="1"/>
        <v/>
      </c>
      <c r="S36" s="76" t="str">
        <f t="shared" si="5"/>
        <v/>
      </c>
      <c r="T36" s="76" t="str">
        <f t="shared" si="6"/>
        <v>-- 依頼病棟コードID</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milscm_2023_010.azn_202310_base_text_mml_mmllb_body.ward_code_id IS '依頼病棟コードID';</v>
      </c>
    </row>
    <row r="37" spans="1:52" s="25" customFormat="1">
      <c r="A37" s="4"/>
      <c r="B37" s="21">
        <f t="shared" si="2"/>
        <v>25</v>
      </c>
      <c r="C37" s="6" t="s">
        <v>3836</v>
      </c>
      <c r="D37" s="6" t="s">
        <v>3837</v>
      </c>
      <c r="E37" s="8"/>
      <c r="F37" s="7" t="s">
        <v>3277</v>
      </c>
      <c r="G37" s="7" t="str">
        <f t="shared" si="3"/>
        <v>text</v>
      </c>
      <c r="H37" s="26"/>
      <c r="I37" s="10"/>
      <c r="J37" s="11"/>
      <c r="M37" s="4"/>
      <c r="N37" s="76"/>
      <c r="O37" s="76"/>
      <c r="P37" s="76" t="str">
        <f t="shared" si="4"/>
        <v>,client</v>
      </c>
      <c r="Q37" s="76" t="str">
        <f t="shared" si="0"/>
        <v>TEXT</v>
      </c>
      <c r="R37" s="76" t="str">
        <f t="shared" si="1"/>
        <v/>
      </c>
      <c r="S37" s="76" t="str">
        <f t="shared" si="5"/>
        <v/>
      </c>
      <c r="T37" s="76" t="str">
        <f t="shared" si="6"/>
        <v>-- 依頼者</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milscm_2023_010.azn_202310_base_text_mml_mmllb_body.client IS '依頼者';</v>
      </c>
    </row>
    <row r="38" spans="1:52" s="25" customFormat="1">
      <c r="A38" s="4"/>
      <c r="B38" s="21">
        <f t="shared" si="2"/>
        <v>26</v>
      </c>
      <c r="C38" s="6" t="s">
        <v>3838</v>
      </c>
      <c r="D38" s="6" t="s">
        <v>3839</v>
      </c>
      <c r="E38" s="8"/>
      <c r="F38" s="7" t="s">
        <v>3277</v>
      </c>
      <c r="G38" s="7" t="str">
        <f t="shared" si="3"/>
        <v>text</v>
      </c>
      <c r="H38" s="26"/>
      <c r="I38" s="10"/>
      <c r="J38" s="11"/>
      <c r="M38" s="4"/>
      <c r="N38" s="76"/>
      <c r="O38" s="76"/>
      <c r="P38" s="76" t="str">
        <f t="shared" si="4"/>
        <v>,client_code</v>
      </c>
      <c r="Q38" s="76" t="str">
        <f t="shared" si="0"/>
        <v>TEXT</v>
      </c>
      <c r="R38" s="76" t="str">
        <f t="shared" si="1"/>
        <v/>
      </c>
      <c r="S38" s="76" t="str">
        <f t="shared" si="5"/>
        <v/>
      </c>
      <c r="T38" s="76" t="str">
        <f t="shared" si="6"/>
        <v>-- 依頼者コード</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milscm_2023_010.azn_202310_base_text_mml_mmllb_body.client_code IS '依頼者コード';</v>
      </c>
    </row>
    <row r="39" spans="1:52" s="25" customFormat="1">
      <c r="A39" s="4"/>
      <c r="B39" s="21">
        <f t="shared" si="2"/>
        <v>27</v>
      </c>
      <c r="C39" s="6" t="s">
        <v>3840</v>
      </c>
      <c r="D39" s="6" t="s">
        <v>3841</v>
      </c>
      <c r="E39" s="8"/>
      <c r="F39" s="7" t="s">
        <v>3277</v>
      </c>
      <c r="G39" s="7" t="str">
        <f t="shared" si="3"/>
        <v>text</v>
      </c>
      <c r="H39" s="26"/>
      <c r="I39" s="10"/>
      <c r="J39" s="11"/>
      <c r="M39" s="4"/>
      <c r="N39" s="76"/>
      <c r="O39" s="76"/>
      <c r="P39" s="76" t="str">
        <f t="shared" si="4"/>
        <v>,client_code_id</v>
      </c>
      <c r="Q39" s="76" t="str">
        <f t="shared" si="0"/>
        <v>TEXT</v>
      </c>
      <c r="R39" s="76" t="str">
        <f t="shared" si="1"/>
        <v/>
      </c>
      <c r="S39" s="76" t="str">
        <f t="shared" si="5"/>
        <v/>
      </c>
      <c r="T39" s="76" t="str">
        <f t="shared" si="6"/>
        <v>-- 依頼者コードID</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milscm_2023_010.azn_202310_base_text_mml_mmllb_body.client_code_id IS '依頼者コードID';</v>
      </c>
    </row>
    <row r="40" spans="1:52" s="25" customFormat="1">
      <c r="A40" s="4"/>
      <c r="B40" s="21">
        <f t="shared" si="2"/>
        <v>28</v>
      </c>
      <c r="C40" s="6" t="s">
        <v>3842</v>
      </c>
      <c r="D40" s="6" t="s">
        <v>3843</v>
      </c>
      <c r="E40" s="8"/>
      <c r="F40" s="7" t="s">
        <v>3277</v>
      </c>
      <c r="G40" s="7" t="str">
        <f t="shared" si="3"/>
        <v>text</v>
      </c>
      <c r="H40" s="26"/>
      <c r="I40" s="10"/>
      <c r="J40" s="11"/>
      <c r="M40" s="4"/>
      <c r="N40" s="76"/>
      <c r="O40" s="76"/>
      <c r="P40" s="76" t="str">
        <f t="shared" si="4"/>
        <v>,laboratory_center</v>
      </c>
      <c r="Q40" s="76" t="str">
        <f t="shared" si="0"/>
        <v>TEXT</v>
      </c>
      <c r="R40" s="76" t="str">
        <f t="shared" si="1"/>
        <v/>
      </c>
      <c r="S40" s="76" t="str">
        <f t="shared" si="5"/>
        <v/>
      </c>
      <c r="T40" s="76" t="str">
        <f t="shared" si="6"/>
        <v>-- 検査実施施設</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milscm_2023_010.azn_202310_base_text_mml_mmllb_body.laboratory_center IS '検査実施施設';</v>
      </c>
    </row>
    <row r="41" spans="1:52" s="25" customFormat="1">
      <c r="A41" s="4"/>
      <c r="B41" s="21">
        <f t="shared" si="2"/>
        <v>29</v>
      </c>
      <c r="C41" s="6" t="s">
        <v>3844</v>
      </c>
      <c r="D41" s="6" t="s">
        <v>3845</v>
      </c>
      <c r="E41" s="8"/>
      <c r="F41" s="7" t="s">
        <v>3277</v>
      </c>
      <c r="G41" s="7" t="str">
        <f t="shared" si="3"/>
        <v>text</v>
      </c>
      <c r="H41" s="26"/>
      <c r="I41" s="10"/>
      <c r="J41" s="11"/>
      <c r="M41" s="4"/>
      <c r="N41" s="76"/>
      <c r="O41" s="76"/>
      <c r="P41" s="76" t="str">
        <f t="shared" si="4"/>
        <v>,laboratory_center_code</v>
      </c>
      <c r="Q41" s="76" t="str">
        <f t="shared" si="0"/>
        <v>TEXT</v>
      </c>
      <c r="R41" s="76" t="str">
        <f t="shared" si="1"/>
        <v/>
      </c>
      <c r="S41" s="76" t="str">
        <f t="shared" si="5"/>
        <v/>
      </c>
      <c r="T41" s="76" t="str">
        <f t="shared" si="6"/>
        <v>-- 検査実施施設コード</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milscm_2023_010.azn_202310_base_text_mml_mmllb_body.laboratory_center_code IS '検査実施施設コード';</v>
      </c>
    </row>
    <row r="42" spans="1:52" s="25" customFormat="1" ht="31.5">
      <c r="A42" s="4"/>
      <c r="B42" s="21">
        <f t="shared" si="2"/>
        <v>30</v>
      </c>
      <c r="C42" s="6" t="s">
        <v>3846</v>
      </c>
      <c r="D42" s="6" t="s">
        <v>3847</v>
      </c>
      <c r="E42" s="8"/>
      <c r="F42" s="7" t="s">
        <v>3277</v>
      </c>
      <c r="G42" s="7" t="str">
        <f t="shared" si="3"/>
        <v>text</v>
      </c>
      <c r="H42" s="26"/>
      <c r="I42" s="10"/>
      <c r="J42" s="11"/>
      <c r="M42" s="4"/>
      <c r="N42" s="76"/>
      <c r="O42" s="76"/>
      <c r="P42" s="76" t="str">
        <f t="shared" si="4"/>
        <v>,laboratory_center_code_id</v>
      </c>
      <c r="Q42" s="76" t="str">
        <f t="shared" si="0"/>
        <v>TEXT</v>
      </c>
      <c r="R42" s="76" t="str">
        <f t="shared" si="1"/>
        <v/>
      </c>
      <c r="S42" s="76" t="str">
        <f t="shared" si="5"/>
        <v/>
      </c>
      <c r="T42" s="76" t="str">
        <f t="shared" si="6"/>
        <v>-- 検査実施施設コードID</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milscm_2023_010.azn_202310_base_text_mml_mmllb_body.laboratory_center_code_id IS '検査実施施設コードID';</v>
      </c>
    </row>
    <row r="43" spans="1:52" s="25" customFormat="1">
      <c r="A43" s="4"/>
      <c r="B43" s="21">
        <f t="shared" si="2"/>
        <v>31</v>
      </c>
      <c r="C43" s="6" t="s">
        <v>3848</v>
      </c>
      <c r="D43" s="6" t="s">
        <v>3849</v>
      </c>
      <c r="E43" s="8"/>
      <c r="F43" s="7" t="s">
        <v>3277</v>
      </c>
      <c r="G43" s="7" t="str">
        <f t="shared" si="3"/>
        <v>text</v>
      </c>
      <c r="H43" s="26"/>
      <c r="I43" s="10"/>
      <c r="J43" s="11"/>
      <c r="M43" s="4"/>
      <c r="N43" s="76"/>
      <c r="O43" s="76"/>
      <c r="P43" s="76" t="str">
        <f t="shared" si="4"/>
        <v>,technician</v>
      </c>
      <c r="Q43" s="76" t="str">
        <f t="shared" si="0"/>
        <v>TEXT</v>
      </c>
      <c r="R43" s="76" t="str">
        <f t="shared" si="1"/>
        <v/>
      </c>
      <c r="S43" s="76" t="str">
        <f t="shared" si="5"/>
        <v/>
      </c>
      <c r="T43" s="76" t="str">
        <f t="shared" si="6"/>
        <v>-- 検査実施者</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milscm_2023_010.azn_202310_base_text_mml_mmllb_body.technician IS '検査実施者';</v>
      </c>
    </row>
    <row r="44" spans="1:52" s="25" customFormat="1">
      <c r="A44" s="4"/>
      <c r="B44" s="21">
        <f t="shared" si="2"/>
        <v>32</v>
      </c>
      <c r="C44" s="6" t="s">
        <v>3850</v>
      </c>
      <c r="D44" s="6" t="s">
        <v>3851</v>
      </c>
      <c r="E44" s="8"/>
      <c r="F44" s="7" t="s">
        <v>3277</v>
      </c>
      <c r="G44" s="7" t="str">
        <f t="shared" si="3"/>
        <v>text</v>
      </c>
      <c r="H44" s="26"/>
      <c r="I44" s="10"/>
      <c r="J44" s="11"/>
      <c r="M44" s="4"/>
      <c r="N44" s="76"/>
      <c r="O44" s="76"/>
      <c r="P44" s="76" t="str">
        <f t="shared" si="4"/>
        <v>,technician_code</v>
      </c>
      <c r="Q44" s="76" t="str">
        <f t="shared" si="0"/>
        <v>TEXT</v>
      </c>
      <c r="R44" s="76" t="str">
        <f t="shared" si="1"/>
        <v/>
      </c>
      <c r="S44" s="76" t="str">
        <f t="shared" si="5"/>
        <v/>
      </c>
      <c r="T44" s="76" t="str">
        <f t="shared" si="6"/>
        <v>-- 検査実施者コード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milscm_2023_010.azn_202310_base_text_mml_mmllb_body.technician_code IS '検査実施者コード';</v>
      </c>
    </row>
    <row r="45" spans="1:52" s="25" customFormat="1">
      <c r="A45" s="4"/>
      <c r="B45" s="21">
        <f t="shared" si="2"/>
        <v>33</v>
      </c>
      <c r="C45" s="6" t="s">
        <v>3852</v>
      </c>
      <c r="D45" s="6" t="s">
        <v>3853</v>
      </c>
      <c r="E45" s="8"/>
      <c r="F45" s="7" t="s">
        <v>3277</v>
      </c>
      <c r="G45" s="7" t="str">
        <f t="shared" si="3"/>
        <v>text</v>
      </c>
      <c r="H45" s="26"/>
      <c r="I45" s="10"/>
      <c r="J45" s="11"/>
      <c r="M45" s="4"/>
      <c r="N45" s="76"/>
      <c r="O45" s="76"/>
      <c r="P45" s="76" t="str">
        <f t="shared" si="4"/>
        <v>,technician_code_id</v>
      </c>
      <c r="Q45" s="76" t="str">
        <f t="shared" si="0"/>
        <v>TEXT</v>
      </c>
      <c r="R45" s="76" t="str">
        <f t="shared" si="1"/>
        <v/>
      </c>
      <c r="S45" s="76" t="str">
        <f t="shared" si="5"/>
        <v/>
      </c>
      <c r="T45" s="76" t="str">
        <f t="shared" si="6"/>
        <v>-- 検査実施者コードID</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milscm_2023_010.azn_202310_base_text_mml_mmllb_body.technician_code_id IS '検査実施者コードID';</v>
      </c>
    </row>
    <row r="46" spans="1:52" s="25" customFormat="1" ht="19.5" thickBot="1">
      <c r="A46" s="4"/>
      <c r="B46" s="27">
        <f>ROW()-12</f>
        <v>34</v>
      </c>
      <c r="C46" s="57" t="s">
        <v>1578</v>
      </c>
      <c r="D46" s="57" t="s">
        <v>3854</v>
      </c>
      <c r="E46" s="56"/>
      <c r="F46" s="56" t="s">
        <v>3277</v>
      </c>
      <c r="G46" s="56" t="str">
        <f t="shared" si="3"/>
        <v>text</v>
      </c>
      <c r="H46" s="59"/>
      <c r="I46" s="60"/>
      <c r="J46" s="63"/>
      <c r="N46" s="76"/>
      <c r="O46" s="76"/>
      <c r="P46" s="76" t="str">
        <f t="shared" si="4"/>
        <v>,rep_memo</v>
      </c>
      <c r="Q46" s="76" t="str">
        <f t="shared" si="0"/>
        <v>TEXT</v>
      </c>
      <c r="R46" s="76" t="str">
        <f t="shared" si="1"/>
        <v/>
      </c>
      <c r="S46" s="76" t="str">
        <f t="shared" si="5"/>
        <v/>
      </c>
      <c r="T46" s="76" t="str">
        <f t="shared" si="6"/>
        <v>-- 報告フリーコメント</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milscm_2023_010.azn_202310_base_text_mml_mmllb_body.rep_memo IS '報告フリーコメント';</v>
      </c>
    </row>
    <row r="47" spans="1:52">
      <c r="L47" s="25"/>
      <c r="M47" s="25"/>
      <c r="N47" s="76" t="s">
        <v>142</v>
      </c>
      <c r="O47" s="76"/>
      <c r="P47" s="76"/>
      <c r="Q47" s="76"/>
      <c r="R47" s="76"/>
      <c r="S47" s="76"/>
      <c r="T47" s="76"/>
      <c r="V47" s="25"/>
      <c r="W47" s="25"/>
      <c r="X47" s="25"/>
      <c r="Y47" s="25"/>
      <c r="Z47" s="25"/>
      <c r="AJ47" s="76" t="s">
        <v>142</v>
      </c>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M50" s="25"/>
    </row>
    <row r="51" spans="12:52">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31</v>
      </c>
      <c r="E4" s="248"/>
      <c r="F4" s="248"/>
      <c r="G4" s="248"/>
      <c r="H4" s="248"/>
      <c r="I4" s="248"/>
      <c r="J4" s="249"/>
    </row>
    <row r="5" spans="1:45">
      <c r="B5" s="261" t="s">
        <v>3704</v>
      </c>
      <c r="C5" s="262"/>
      <c r="D5" s="271" t="str">
        <f>VLOOKUP(D7,エンティティ一覧!A1:'エンティティ一覧'!AM10203,7,FALSE)</f>
        <v>base</v>
      </c>
      <c r="E5" s="272"/>
      <c r="F5" s="272"/>
      <c r="G5" s="272"/>
      <c r="H5" s="272"/>
      <c r="I5" s="272"/>
      <c r="J5" s="273"/>
    </row>
    <row r="6" spans="1:45">
      <c r="B6" s="261" t="s">
        <v>3705</v>
      </c>
      <c r="C6" s="262"/>
      <c r="D6" s="271" t="str">
        <f>VLOOKUP(D7,エンティティ一覧!A1:'エンティティ一覧'!AM10203,15,FALSE)</f>
        <v>ENT_31_A6-19</v>
      </c>
      <c r="E6" s="272"/>
      <c r="F6" s="272"/>
      <c r="G6" s="272"/>
      <c r="H6" s="272"/>
      <c r="I6" s="272"/>
      <c r="J6" s="273"/>
    </row>
    <row r="7" spans="1:45">
      <c r="B7" s="261" t="s">
        <v>115</v>
      </c>
      <c r="C7" s="262"/>
      <c r="D7" s="263" t="s">
        <v>3945</v>
      </c>
      <c r="E7" s="264"/>
      <c r="F7" s="264"/>
      <c r="G7" s="264"/>
      <c r="H7" s="264"/>
      <c r="I7" s="264"/>
      <c r="J7" s="265"/>
    </row>
    <row r="8" spans="1:45">
      <c r="B8" s="261" t="s">
        <v>116</v>
      </c>
      <c r="C8" s="262"/>
      <c r="D8" s="263" t="str">
        <f>エンティティ一覧!AE2&amp;"_"&amp;D5&amp;"_text_mml_mmllb_memo"</f>
        <v>azn_202310_base_text_mml_mmllb_memo</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ベース_MML_検歴情報モジュール_報告コメントテーブルから組入れ条件の第一条件で絞り込んだ結果を格納するテーブル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milscm_2023_010.azn_202310_base_text_mml_mmllb_memo;</v>
      </c>
      <c r="O10" s="76"/>
      <c r="P10" s="76"/>
      <c r="Q10" s="76"/>
      <c r="R10" s="76"/>
      <c r="S10" s="76"/>
      <c r="T10" s="76"/>
      <c r="AJ10" s="76" t="str">
        <f>"ALTER TABLE ONLY "&amp;エンティティ一覧!$O$2&amp;"."&amp;D$8</f>
        <v>ALTER TABLE ONLY milscm_2023_010.azn_202310_base_text_mml_mmllb_memo</v>
      </c>
      <c r="AS10" s="76" t="str">
        <f>"ALTER TABLE "&amp;エンティティ一覧!$O$2&amp;"."&amp;D$8&amp;" OWNER TO pgmisgrp1;"</f>
        <v>ALTER TABLE milscm_2023_010.azn_202310_base_text_mml_mmllb_memo OWNER TO pgmisgrp1;</v>
      </c>
    </row>
    <row r="11" spans="1:45" ht="19.5" thickBot="1">
      <c r="B11" s="20" t="s">
        <v>118</v>
      </c>
      <c r="C11" s="19"/>
      <c r="D11" s="5"/>
      <c r="E11" s="5"/>
      <c r="F11" s="5"/>
      <c r="G11" s="5"/>
      <c r="H11" s="5"/>
      <c r="I11" s="5"/>
      <c r="J11" s="18"/>
      <c r="N11" s="76" t="str">
        <f>"CREATE TABLE  "&amp;エンティティ一覧!$O$2&amp;"."&amp;D$8</f>
        <v>CREATE TABLE  milscm_2023_010.azn_202310_base_text_mml_mmllb_memo</v>
      </c>
      <c r="O11" s="76"/>
      <c r="P11" s="76"/>
      <c r="Q11" s="76"/>
      <c r="R11" s="76"/>
      <c r="S11" s="76"/>
      <c r="T11" s="76"/>
      <c r="AJ11" s="76" t="str">
        <f>"ADD CONSTRAINT "&amp;D$8&amp;"_pkey PRIMARY KEY"</f>
        <v>ADD CONSTRAINT azn_202310_base_text_mml_mmllb_memo_pkey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milscm_2023_010.azn_202310_base_text_mml_mmllb_memo IS 'ベース_MML_検歴情報モジュール_報告コメント';</v>
      </c>
    </row>
    <row r="13" spans="1:45" s="25" customFormat="1">
      <c r="A13" s="4"/>
      <c r="B13" s="21">
        <f>ROW()-12</f>
        <v>1</v>
      </c>
      <c r="C13" s="6" t="s">
        <v>2778</v>
      </c>
      <c r="D13" s="6" t="s">
        <v>2779</v>
      </c>
      <c r="E13" s="8" t="s">
        <v>127</v>
      </c>
      <c r="F13" s="8" t="s">
        <v>3275</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milscm_2023_010.azn_202310_base_text_mml_mmllb_memo.zip_no IS 'ZipファイルNo';</v>
      </c>
    </row>
    <row r="14" spans="1:45" s="25" customFormat="1">
      <c r="A14" s="4"/>
      <c r="B14" s="21">
        <f t="shared" ref="B14:B21" si="2">ROW()-12</f>
        <v>2</v>
      </c>
      <c r="C14" s="6" t="s">
        <v>2781</v>
      </c>
      <c r="D14" s="6" t="s">
        <v>2782</v>
      </c>
      <c r="E14" s="8" t="s">
        <v>127</v>
      </c>
      <c r="F14" s="7" t="s">
        <v>3275</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milscm_2023_010.azn_202310_base_text_mml_mmllb_memo.file_no IS 'ファイルNo';</v>
      </c>
    </row>
    <row r="15" spans="1:45" s="25" customFormat="1">
      <c r="A15" s="4"/>
      <c r="B15" s="21">
        <f t="shared" si="2"/>
        <v>3</v>
      </c>
      <c r="C15" s="6" t="s">
        <v>3259</v>
      </c>
      <c r="D15" s="6" t="s">
        <v>2784</v>
      </c>
      <c r="E15" s="8" t="s">
        <v>127</v>
      </c>
      <c r="F15" s="7" t="s">
        <v>3275</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milscm_2023_010.azn_202310_base_text_mml_mmllb_memo.body_no IS '本文No';</v>
      </c>
    </row>
    <row r="16" spans="1:45" s="25" customFormat="1">
      <c r="A16" s="4"/>
      <c r="B16" s="21">
        <f t="shared" si="2"/>
        <v>4</v>
      </c>
      <c r="C16" s="6" t="s">
        <v>3276</v>
      </c>
      <c r="D16" s="6" t="s">
        <v>2401</v>
      </c>
      <c r="E16" s="8"/>
      <c r="F16" s="7" t="s">
        <v>3277</v>
      </c>
      <c r="G16" s="7" t="str">
        <f t="shared" si="3"/>
        <v>text</v>
      </c>
      <c r="H16" s="26"/>
      <c r="I16" s="10" t="s">
        <v>127</v>
      </c>
      <c r="J16" s="11" t="s">
        <v>3271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milscm_2023_010.azn_202310_base_text_mml_mmllb_memo.facility_id_mml IS '施設ID（MML）';</v>
      </c>
    </row>
    <row r="17" spans="1:52" s="25" customFormat="1">
      <c r="A17" s="4"/>
      <c r="B17" s="21">
        <f t="shared" si="2"/>
        <v>5</v>
      </c>
      <c r="C17" s="6" t="s">
        <v>2786</v>
      </c>
      <c r="D17" s="6" t="s">
        <v>1244</v>
      </c>
      <c r="E17" s="8"/>
      <c r="F17" s="7" t="s">
        <v>3277</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milscm_2023_010.azn_202310_base_text_mml_mmllb_memo.master_id IS '患者ID';</v>
      </c>
    </row>
    <row r="18" spans="1:52" s="25" customFormat="1">
      <c r="A18" s="4"/>
      <c r="B18" s="21">
        <f t="shared" si="2"/>
        <v>6</v>
      </c>
      <c r="C18" s="6" t="s">
        <v>3855</v>
      </c>
      <c r="D18" s="6" t="s">
        <v>3856</v>
      </c>
      <c r="E18" s="8" t="s">
        <v>127</v>
      </c>
      <c r="F18" s="7" t="s">
        <v>3275</v>
      </c>
      <c r="G18" s="7" t="str">
        <f t="shared" si="3"/>
        <v>integer</v>
      </c>
      <c r="H18" s="26"/>
      <c r="I18" s="10" t="s">
        <v>127</v>
      </c>
      <c r="J18" s="11"/>
      <c r="M18" s="4"/>
      <c r="N18" s="76"/>
      <c r="O18" s="76"/>
      <c r="P18" s="76" t="str">
        <f t="shared" si="4"/>
        <v>,memo_no</v>
      </c>
      <c r="Q18" s="76" t="str">
        <f t="shared" si="0"/>
        <v>INTEGER</v>
      </c>
      <c r="R18" s="76" t="str">
        <f t="shared" si="1"/>
        <v/>
      </c>
      <c r="S18" s="76" t="str">
        <f t="shared" si="5"/>
        <v>NOT NULL</v>
      </c>
      <c r="T18" s="76" t="str">
        <f t="shared" si="6"/>
        <v>-- メモNo</v>
      </c>
      <c r="U18" s="4"/>
      <c r="AA18" s="4"/>
      <c r="AB18" s="4"/>
      <c r="AC18" s="4"/>
      <c r="AD18" s="4"/>
      <c r="AE18" s="4"/>
      <c r="AF18" s="4"/>
      <c r="AG18" s="4"/>
      <c r="AH18" s="4"/>
      <c r="AI18" s="4"/>
      <c r="AJ18" s="76" t="str">
        <f>IF(E18="○",IF(COUNTA(E$13:E18)=1,"",",")&amp;D18,"")</f>
        <v>,memo_no</v>
      </c>
      <c r="AK18" s="4"/>
      <c r="AL18" s="4"/>
      <c r="AM18" s="4"/>
      <c r="AN18" s="4"/>
      <c r="AO18" s="4"/>
      <c r="AP18" s="4"/>
      <c r="AQ18" s="4"/>
      <c r="AR18" s="4"/>
      <c r="AS18" s="76" t="str">
        <f>"COMMENT ON COLUMN "&amp;エンティティ一覧!$O$2&amp;"."&amp;D$8&amp;"."&amp;D18&amp;" IS '"&amp;C18&amp;"';"</f>
        <v>COMMENT ON COLUMN milscm_2023_010.azn_202310_base_text_mml_mmllb_memo.memo_no IS 'メモNo';</v>
      </c>
    </row>
    <row r="19" spans="1:52" s="25" customFormat="1">
      <c r="A19" s="4"/>
      <c r="B19" s="21">
        <f t="shared" si="2"/>
        <v>7</v>
      </c>
      <c r="C19" s="6" t="s">
        <v>3857</v>
      </c>
      <c r="D19" s="6" t="s">
        <v>3854</v>
      </c>
      <c r="E19" s="8"/>
      <c r="F19" s="7" t="s">
        <v>3277</v>
      </c>
      <c r="G19" s="7" t="str">
        <f t="shared" si="3"/>
        <v>text</v>
      </c>
      <c r="H19" s="26"/>
      <c r="I19" s="10"/>
      <c r="J19" s="11"/>
      <c r="M19" s="4"/>
      <c r="N19" s="76"/>
      <c r="O19" s="76"/>
      <c r="P19" s="76" t="str">
        <f t="shared" si="4"/>
        <v>,rep_memo</v>
      </c>
      <c r="Q19" s="76" t="str">
        <f t="shared" si="0"/>
        <v>TEXT</v>
      </c>
      <c r="R19" s="76" t="str">
        <f t="shared" si="1"/>
        <v/>
      </c>
      <c r="S19" s="76" t="str">
        <f t="shared" si="5"/>
        <v/>
      </c>
      <c r="T19" s="76" t="str">
        <f t="shared" si="6"/>
        <v>-- 報告コメント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milscm_2023_010.azn_202310_base_text_mml_mmllb_memo.rep_memo IS '報告コメント';</v>
      </c>
    </row>
    <row r="20" spans="1:52" s="25" customFormat="1">
      <c r="A20" s="4"/>
      <c r="B20" s="21">
        <f t="shared" si="2"/>
        <v>8</v>
      </c>
      <c r="C20" s="6" t="s">
        <v>3858</v>
      </c>
      <c r="D20" s="6" t="s">
        <v>3859</v>
      </c>
      <c r="E20" s="8"/>
      <c r="F20" s="7" t="s">
        <v>3277</v>
      </c>
      <c r="G20" s="7" t="str">
        <f t="shared" si="3"/>
        <v>text</v>
      </c>
      <c r="H20" s="26"/>
      <c r="I20" s="10"/>
      <c r="J20" s="11"/>
      <c r="M20" s="4"/>
      <c r="N20" s="76"/>
      <c r="O20" s="76"/>
      <c r="P20" s="76" t="str">
        <f t="shared" si="4"/>
        <v>,rep_code_name</v>
      </c>
      <c r="Q20" s="76" t="str">
        <f t="shared" si="0"/>
        <v>TEXT</v>
      </c>
      <c r="R20" s="76" t="str">
        <f t="shared" si="1"/>
        <v/>
      </c>
      <c r="S20" s="76" t="str">
        <f t="shared" si="5"/>
        <v/>
      </c>
      <c r="T20" s="76" t="str">
        <f t="shared" si="6"/>
        <v>-- 報告コメントコード名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milscm_2023_010.azn_202310_base_text_mml_mmllb_memo.rep_code_name IS '報告コメントコード名';</v>
      </c>
    </row>
    <row r="21" spans="1:52" s="25" customFormat="1">
      <c r="A21" s="4"/>
      <c r="B21" s="21">
        <f t="shared" si="2"/>
        <v>9</v>
      </c>
      <c r="C21" s="6" t="s">
        <v>3860</v>
      </c>
      <c r="D21" s="6" t="s">
        <v>3055</v>
      </c>
      <c r="E21" s="8"/>
      <c r="F21" s="7" t="s">
        <v>3277</v>
      </c>
      <c r="G21" s="7" t="str">
        <f t="shared" si="3"/>
        <v>text</v>
      </c>
      <c r="H21" s="26"/>
      <c r="I21" s="10"/>
      <c r="J21" s="11"/>
      <c r="M21" s="4"/>
      <c r="N21" s="76"/>
      <c r="O21" s="76"/>
      <c r="P21" s="76" t="str">
        <f t="shared" si="4"/>
        <v>,rep_code</v>
      </c>
      <c r="Q21" s="76" t="str">
        <f t="shared" si="0"/>
        <v>TEXT</v>
      </c>
      <c r="R21" s="76" t="str">
        <f t="shared" si="1"/>
        <v/>
      </c>
      <c r="S21" s="76" t="str">
        <f t="shared" si="5"/>
        <v/>
      </c>
      <c r="T21" s="76" t="str">
        <f t="shared" si="6"/>
        <v>-- 報告コメントコード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milscm_2023_010.azn_202310_base_text_mml_mmllb_memo.rep_code IS '報告コメントコード';</v>
      </c>
    </row>
    <row r="22" spans="1:52" s="25" customFormat="1" ht="19.5" thickBot="1">
      <c r="A22" s="4"/>
      <c r="B22" s="27">
        <f>ROW()-12</f>
        <v>10</v>
      </c>
      <c r="C22" s="57" t="s">
        <v>3861</v>
      </c>
      <c r="D22" s="57" t="s">
        <v>3862</v>
      </c>
      <c r="E22" s="56"/>
      <c r="F22" s="56" t="s">
        <v>3277</v>
      </c>
      <c r="G22" s="56" t="str">
        <f t="shared" si="3"/>
        <v>text</v>
      </c>
      <c r="H22" s="59"/>
      <c r="I22" s="60"/>
      <c r="J22" s="63"/>
      <c r="N22" s="76"/>
      <c r="O22" s="76"/>
      <c r="P22" s="76" t="str">
        <f t="shared" si="4"/>
        <v>,rep_code_id</v>
      </c>
      <c r="Q22" s="76" t="str">
        <f t="shared" si="0"/>
        <v>TEXT</v>
      </c>
      <c r="R22" s="76" t="str">
        <f t="shared" si="1"/>
        <v/>
      </c>
      <c r="S22" s="76" t="str">
        <f t="shared" si="5"/>
        <v/>
      </c>
      <c r="T22" s="76" t="str">
        <f t="shared" si="6"/>
        <v>-- 報告コメントコードID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milscm_2023_010.azn_202310_base_text_mml_mmllb_memo.rep_code_id IS '報告コメントコードID';</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31</v>
      </c>
      <c r="E4" s="248"/>
      <c r="F4" s="248"/>
      <c r="G4" s="248"/>
      <c r="H4" s="248"/>
      <c r="I4" s="248"/>
      <c r="J4" s="249"/>
    </row>
    <row r="5" spans="1:45">
      <c r="B5" s="261" t="s">
        <v>3704</v>
      </c>
      <c r="C5" s="262"/>
      <c r="D5" s="271" t="str">
        <f>VLOOKUP(D7,エンティティ一覧!A1:'エンティティ一覧'!AM10203,7,FALSE)</f>
        <v>base</v>
      </c>
      <c r="E5" s="272"/>
      <c r="F5" s="272"/>
      <c r="G5" s="272"/>
      <c r="H5" s="272"/>
      <c r="I5" s="272"/>
      <c r="J5" s="273"/>
    </row>
    <row r="6" spans="1:45">
      <c r="B6" s="261" t="s">
        <v>3705</v>
      </c>
      <c r="C6" s="262"/>
      <c r="D6" s="271" t="str">
        <f>VLOOKUP(D7,エンティティ一覧!A1:'エンティティ一覧'!AM10203,15,FALSE)</f>
        <v>ENT_31_A6-20</v>
      </c>
      <c r="E6" s="272"/>
      <c r="F6" s="272"/>
      <c r="G6" s="272"/>
      <c r="H6" s="272"/>
      <c r="I6" s="272"/>
      <c r="J6" s="273"/>
    </row>
    <row r="7" spans="1:45">
      <c r="B7" s="261" t="s">
        <v>115</v>
      </c>
      <c r="C7" s="262"/>
      <c r="D7" s="263" t="s">
        <v>3946</v>
      </c>
      <c r="E7" s="264"/>
      <c r="F7" s="264"/>
      <c r="G7" s="264"/>
      <c r="H7" s="264"/>
      <c r="I7" s="264"/>
      <c r="J7" s="265"/>
    </row>
    <row r="8" spans="1:45">
      <c r="B8" s="261" t="s">
        <v>116</v>
      </c>
      <c r="C8" s="262"/>
      <c r="D8" s="263" t="str">
        <f>エンティティ一覧!AE2&amp;"_"&amp;D5&amp;"_text_mml_mmllb_labo_test"</f>
        <v>azn_202310_base_text_mml_mmllb_labo_test</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ベース_MML_検歴情報モジュール_検体検査結果情報テーブルから組入れ条件の第一条件で絞り込んだ結果を格納するテーブル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milscm_2023_010.azn_202310_base_text_mml_mmllb_labo_test;</v>
      </c>
      <c r="O10" s="76"/>
      <c r="P10" s="76"/>
      <c r="Q10" s="76"/>
      <c r="R10" s="76"/>
      <c r="S10" s="76"/>
      <c r="T10" s="76"/>
      <c r="AJ10" s="76" t="str">
        <f>"ALTER TABLE ONLY "&amp;エンティティ一覧!$O$2&amp;"."&amp;D$8</f>
        <v>ALTER TABLE ONLY milscm_2023_010.azn_202310_base_text_mml_mmllb_labo_test</v>
      </c>
      <c r="AS10" s="76" t="str">
        <f>"ALTER TABLE "&amp;エンティティ一覧!$O$2&amp;"."&amp;D$8&amp;" OWNER TO pgmisgrp1;"</f>
        <v>ALTER TABLE milscm_2023_010.azn_202310_base_text_mml_mmllb_labo_test OWNER TO pgmisgrp1;</v>
      </c>
    </row>
    <row r="11" spans="1:45" ht="19.5" thickBot="1">
      <c r="B11" s="20" t="s">
        <v>118</v>
      </c>
      <c r="C11" s="19"/>
      <c r="D11" s="5"/>
      <c r="E11" s="5"/>
      <c r="F11" s="5"/>
      <c r="G11" s="5"/>
      <c r="H11" s="5"/>
      <c r="I11" s="5"/>
      <c r="J11" s="18"/>
      <c r="N11" s="76" t="str">
        <f>"CREATE TABLE  "&amp;エンティティ一覧!$O$2&amp;"."&amp;D$8</f>
        <v>CREATE TABLE  milscm_2023_010.azn_202310_base_text_mml_mmllb_labo_test</v>
      </c>
      <c r="O11" s="76"/>
      <c r="P11" s="76"/>
      <c r="Q11" s="76"/>
      <c r="R11" s="76"/>
      <c r="S11" s="76"/>
      <c r="T11" s="76"/>
      <c r="AJ11" s="76" t="str">
        <f>"ADD CONSTRAINT "&amp;D$8&amp;"_pkey PRIMARY KEY"</f>
        <v>ADD CONSTRAINT azn_202310_base_text_mml_mmllb_labo_test_pkey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milscm_2023_010.azn_202310_base_text_mml_mmllb_labo_test IS 'ベース_MML_検歴情報モジュール_検体検査結果情報';</v>
      </c>
    </row>
    <row r="13" spans="1:45" s="25" customFormat="1">
      <c r="A13" s="4"/>
      <c r="B13" s="21">
        <f>ROW()-12</f>
        <v>1</v>
      </c>
      <c r="C13" s="6" t="s">
        <v>2778</v>
      </c>
      <c r="D13" s="6" t="s">
        <v>2779</v>
      </c>
      <c r="E13" s="8" t="s">
        <v>127</v>
      </c>
      <c r="F13" s="8" t="s">
        <v>3275</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milscm_2023_010.azn_202310_base_text_mml_mmllb_labo_test.zip_no IS 'ZipファイルNo';</v>
      </c>
    </row>
    <row r="14" spans="1:45" s="25" customFormat="1">
      <c r="A14" s="4"/>
      <c r="B14" s="21">
        <f t="shared" ref="B14:B21" si="2">ROW()-12</f>
        <v>2</v>
      </c>
      <c r="C14" s="6" t="s">
        <v>2781</v>
      </c>
      <c r="D14" s="6" t="s">
        <v>2782</v>
      </c>
      <c r="E14" s="8" t="s">
        <v>127</v>
      </c>
      <c r="F14" s="7" t="s">
        <v>3275</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milscm_2023_010.azn_202310_base_text_mml_mmllb_labo_test.file_no IS 'ファイルNo';</v>
      </c>
    </row>
    <row r="15" spans="1:45" s="25" customFormat="1">
      <c r="A15" s="4"/>
      <c r="B15" s="21">
        <f t="shared" si="2"/>
        <v>3</v>
      </c>
      <c r="C15" s="6" t="s">
        <v>3259</v>
      </c>
      <c r="D15" s="6" t="s">
        <v>2784</v>
      </c>
      <c r="E15" s="8" t="s">
        <v>127</v>
      </c>
      <c r="F15" s="7" t="s">
        <v>3275</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milscm_2023_010.azn_202310_base_text_mml_mmllb_labo_test.body_no IS '本文No';</v>
      </c>
    </row>
    <row r="16" spans="1:45" s="25" customFormat="1">
      <c r="A16" s="4"/>
      <c r="B16" s="21">
        <f t="shared" si="2"/>
        <v>4</v>
      </c>
      <c r="C16" s="6" t="s">
        <v>3276</v>
      </c>
      <c r="D16" s="6" t="s">
        <v>2401</v>
      </c>
      <c r="E16" s="8"/>
      <c r="F16" s="7" t="s">
        <v>3277</v>
      </c>
      <c r="G16" s="7" t="str">
        <f t="shared" si="3"/>
        <v>text</v>
      </c>
      <c r="H16" s="26"/>
      <c r="I16" s="10" t="s">
        <v>127</v>
      </c>
      <c r="J16" s="11" t="s">
        <v>3271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milscm_2023_010.azn_202310_base_text_mml_mmllb_labo_test.facility_id_mml IS '施設ID（MML）';</v>
      </c>
    </row>
    <row r="17" spans="1:52" s="25" customFormat="1">
      <c r="A17" s="4"/>
      <c r="B17" s="21">
        <f t="shared" si="2"/>
        <v>5</v>
      </c>
      <c r="C17" s="6" t="s">
        <v>2786</v>
      </c>
      <c r="D17" s="6" t="s">
        <v>1244</v>
      </c>
      <c r="E17" s="8"/>
      <c r="F17" s="7" t="s">
        <v>3277</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milscm_2023_010.azn_202310_base_text_mml_mmllb_labo_test.master_id IS '患者ID';</v>
      </c>
    </row>
    <row r="18" spans="1:52" s="25" customFormat="1">
      <c r="A18" s="4"/>
      <c r="B18" s="21">
        <f t="shared" si="2"/>
        <v>6</v>
      </c>
      <c r="C18" s="6" t="s">
        <v>3863</v>
      </c>
      <c r="D18" s="6" t="s">
        <v>3864</v>
      </c>
      <c r="E18" s="8" t="s">
        <v>127</v>
      </c>
      <c r="F18" s="7" t="s">
        <v>3275</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milscm_2023_010.azn_202310_base_text_mml_mmllb_labo_test.labo_test_no IS '検体検査結果情報No';</v>
      </c>
    </row>
    <row r="19" spans="1:52" s="25" customFormat="1">
      <c r="A19" s="4"/>
      <c r="B19" s="21">
        <f t="shared" si="2"/>
        <v>7</v>
      </c>
      <c r="C19" s="6" t="s">
        <v>1604</v>
      </c>
      <c r="D19" s="6" t="s">
        <v>1605</v>
      </c>
      <c r="E19" s="8"/>
      <c r="F19" s="7" t="s">
        <v>3277</v>
      </c>
      <c r="G19" s="7" t="str">
        <f t="shared" si="3"/>
        <v>text</v>
      </c>
      <c r="H19" s="26"/>
      <c r="I19" s="10"/>
      <c r="J19" s="11"/>
      <c r="M19" s="4"/>
      <c r="N19" s="76"/>
      <c r="O19" s="76"/>
      <c r="P19" s="76" t="str">
        <f t="shared" si="4"/>
        <v>,specimen_name</v>
      </c>
      <c r="Q19" s="76" t="str">
        <f t="shared" si="0"/>
        <v>TEXT</v>
      </c>
      <c r="R19" s="76" t="str">
        <f t="shared" si="1"/>
        <v/>
      </c>
      <c r="S19" s="76" t="str">
        <f t="shared" si="5"/>
        <v/>
      </c>
      <c r="T19" s="76" t="str">
        <f t="shared" si="6"/>
        <v>-- 検体材料</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milscm_2023_010.azn_202310_base_text_mml_mmllb_labo_test.specimen_name IS '検体材料';</v>
      </c>
    </row>
    <row r="20" spans="1:52" s="25" customFormat="1">
      <c r="A20" s="4"/>
      <c r="B20" s="21">
        <f t="shared" si="2"/>
        <v>8</v>
      </c>
      <c r="C20" s="6" t="s">
        <v>1606</v>
      </c>
      <c r="D20" s="6" t="s">
        <v>1607</v>
      </c>
      <c r="E20" s="8"/>
      <c r="F20" s="7" t="s">
        <v>3277</v>
      </c>
      <c r="G20" s="7" t="str">
        <f t="shared" si="3"/>
        <v>text</v>
      </c>
      <c r="H20" s="26"/>
      <c r="I20" s="10"/>
      <c r="J20" s="11"/>
      <c r="M20" s="4"/>
      <c r="N20" s="76"/>
      <c r="O20" s="76"/>
      <c r="P20" s="76" t="str">
        <f t="shared" si="4"/>
        <v>,sp_code</v>
      </c>
      <c r="Q20" s="76" t="str">
        <f t="shared" si="0"/>
        <v>TEXT</v>
      </c>
      <c r="R20" s="76" t="str">
        <f t="shared" si="1"/>
        <v/>
      </c>
      <c r="S20" s="76" t="str">
        <f t="shared" si="5"/>
        <v/>
      </c>
      <c r="T20" s="76" t="str">
        <f t="shared" si="6"/>
        <v>-- 検体材料コード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milscm_2023_010.azn_202310_base_text_mml_mmllb_labo_test.sp_code IS '検体材料コード';</v>
      </c>
    </row>
    <row r="21" spans="1:52" s="25" customFormat="1">
      <c r="A21" s="4"/>
      <c r="B21" s="21">
        <f t="shared" si="2"/>
        <v>9</v>
      </c>
      <c r="C21" s="6" t="s">
        <v>3865</v>
      </c>
      <c r="D21" s="6" t="s">
        <v>1609</v>
      </c>
      <c r="E21" s="8"/>
      <c r="F21" s="7" t="s">
        <v>3277</v>
      </c>
      <c r="G21" s="7" t="str">
        <f t="shared" si="3"/>
        <v>text</v>
      </c>
      <c r="H21" s="26"/>
      <c r="I21" s="10"/>
      <c r="J21" s="11"/>
      <c r="M21" s="4"/>
      <c r="N21" s="76"/>
      <c r="O21" s="76"/>
      <c r="P21" s="76" t="str">
        <f t="shared" si="4"/>
        <v>,sp_code_id</v>
      </c>
      <c r="Q21" s="76" t="str">
        <f t="shared" si="0"/>
        <v>TEXT</v>
      </c>
      <c r="R21" s="76" t="str">
        <f t="shared" si="1"/>
        <v/>
      </c>
      <c r="S21" s="76" t="str">
        <f t="shared" si="5"/>
        <v/>
      </c>
      <c r="T21" s="76" t="str">
        <f t="shared" si="6"/>
        <v>-- 検体材料コードID</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milscm_2023_010.azn_202310_base_text_mml_mmllb_labo_test.sp_code_id IS '検体材料コードID';</v>
      </c>
    </row>
    <row r="22" spans="1:52" s="25" customFormat="1" ht="19.5" thickBot="1">
      <c r="A22" s="4"/>
      <c r="B22" s="27">
        <f>ROW()-12</f>
        <v>10</v>
      </c>
      <c r="C22" s="57" t="s">
        <v>1610</v>
      </c>
      <c r="D22" s="57" t="s">
        <v>3866</v>
      </c>
      <c r="E22" s="56"/>
      <c r="F22" s="56" t="s">
        <v>3277</v>
      </c>
      <c r="G22" s="56" t="str">
        <f t="shared" si="3"/>
        <v>text</v>
      </c>
      <c r="H22" s="59"/>
      <c r="I22" s="60"/>
      <c r="J22" s="63"/>
      <c r="N22" s="76"/>
      <c r="O22" s="76"/>
      <c r="P22" s="76" t="str">
        <f t="shared" si="4"/>
        <v>,spc_memo_f</v>
      </c>
      <c r="Q22" s="76" t="str">
        <f t="shared" si="0"/>
        <v>TEXT</v>
      </c>
      <c r="R22" s="76" t="str">
        <f t="shared" si="1"/>
        <v/>
      </c>
      <c r="S22" s="76" t="str">
        <f t="shared" si="5"/>
        <v/>
      </c>
      <c r="T22" s="76" t="str">
        <f t="shared" si="6"/>
        <v>-- 検体フリーコメント</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milscm_2023_010.azn_202310_base_text_mml_mmllb_labo_test.spc_memo_f IS '検体フリーコメント';</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31</v>
      </c>
      <c r="E4" s="248"/>
      <c r="F4" s="248"/>
      <c r="G4" s="248"/>
      <c r="H4" s="248"/>
      <c r="I4" s="248"/>
      <c r="J4" s="249"/>
    </row>
    <row r="5" spans="1:45">
      <c r="B5" s="261" t="s">
        <v>3704</v>
      </c>
      <c r="C5" s="262"/>
      <c r="D5" s="271" t="str">
        <f>VLOOKUP(D7,エンティティ一覧!A1:'エンティティ一覧'!AM10203,7,FALSE)</f>
        <v>base</v>
      </c>
      <c r="E5" s="272"/>
      <c r="F5" s="272"/>
      <c r="G5" s="272"/>
      <c r="H5" s="272"/>
      <c r="I5" s="272"/>
      <c r="J5" s="273"/>
    </row>
    <row r="6" spans="1:45">
      <c r="B6" s="261" t="s">
        <v>3705</v>
      </c>
      <c r="C6" s="262"/>
      <c r="D6" s="271" t="str">
        <f>VLOOKUP(D7,エンティティ一覧!A1:'エンティティ一覧'!AM10203,15,FALSE)</f>
        <v>ENT_31_A6-21</v>
      </c>
      <c r="E6" s="272"/>
      <c r="F6" s="272"/>
      <c r="G6" s="272"/>
      <c r="H6" s="272"/>
      <c r="I6" s="272"/>
      <c r="J6" s="273"/>
    </row>
    <row r="7" spans="1:45">
      <c r="B7" s="261" t="s">
        <v>115</v>
      </c>
      <c r="C7" s="262"/>
      <c r="D7" s="263" t="s">
        <v>3947</v>
      </c>
      <c r="E7" s="264"/>
      <c r="F7" s="264"/>
      <c r="G7" s="264"/>
      <c r="H7" s="264"/>
      <c r="I7" s="264"/>
      <c r="J7" s="265"/>
    </row>
    <row r="8" spans="1:45">
      <c r="B8" s="261" t="s">
        <v>116</v>
      </c>
      <c r="C8" s="262"/>
      <c r="D8" s="263" t="str">
        <f>エンティティ一覧!AE2&amp;"_"&amp;D5&amp;"_text_mml_mmllb_spc_memo"</f>
        <v>azn_202310_base_text_mml_mmllb_spc_memo</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ベース_MML_検歴情報モジュール_検体コメントテーブルから組入れ条件の第一条件で絞り込んだ結果を格納するテーブル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milscm_2023_010.azn_202310_base_text_mml_mmllb_spc_memo;</v>
      </c>
      <c r="O10" s="76"/>
      <c r="P10" s="76"/>
      <c r="Q10" s="76"/>
      <c r="R10" s="76"/>
      <c r="S10" s="76"/>
      <c r="T10" s="76"/>
      <c r="AJ10" s="76" t="str">
        <f>"ALTER TABLE ONLY "&amp;エンティティ一覧!$O$2&amp;"."&amp;D$8</f>
        <v>ALTER TABLE ONLY milscm_2023_010.azn_202310_base_text_mml_mmllb_spc_memo</v>
      </c>
      <c r="AS10" s="76" t="str">
        <f>"ALTER TABLE "&amp;エンティティ一覧!$O$2&amp;"."&amp;D$8&amp;" OWNER TO pgmisgrp1;"</f>
        <v>ALTER TABLE milscm_2023_010.azn_202310_base_text_mml_mmllb_spc_memo OWNER TO pgmisgrp1;</v>
      </c>
    </row>
    <row r="11" spans="1:45" ht="19.5" thickBot="1">
      <c r="B11" s="20" t="s">
        <v>118</v>
      </c>
      <c r="C11" s="19"/>
      <c r="D11" s="5"/>
      <c r="E11" s="5"/>
      <c r="F11" s="5"/>
      <c r="G11" s="5"/>
      <c r="H11" s="5"/>
      <c r="I11" s="5"/>
      <c r="J11" s="18"/>
      <c r="N11" s="76" t="str">
        <f>"CREATE TABLE  "&amp;エンティティ一覧!$O$2&amp;"."&amp;D$8</f>
        <v>CREATE TABLE  milscm_2023_010.azn_202310_base_text_mml_mmllb_spc_memo</v>
      </c>
      <c r="O11" s="76"/>
      <c r="P11" s="76"/>
      <c r="Q11" s="76"/>
      <c r="R11" s="76"/>
      <c r="S11" s="76"/>
      <c r="T11" s="76"/>
      <c r="AJ11" s="76" t="str">
        <f>"ADD CONSTRAINT "&amp;D$8&amp;"_pkey PRIMARY KEY"</f>
        <v>ADD CONSTRAINT azn_202310_base_text_mml_mmllb_spc_memo_pkey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milscm_2023_010.azn_202310_base_text_mml_mmllb_spc_memo IS 'ベース_MML_検歴情報モジュール_検体コメント';</v>
      </c>
    </row>
    <row r="13" spans="1:45" s="25" customFormat="1">
      <c r="A13" s="4"/>
      <c r="B13" s="21">
        <f>ROW()-12</f>
        <v>1</v>
      </c>
      <c r="C13" s="6" t="s">
        <v>2778</v>
      </c>
      <c r="D13" s="6" t="s">
        <v>2779</v>
      </c>
      <c r="E13" s="8" t="s">
        <v>127</v>
      </c>
      <c r="F13" s="8" t="s">
        <v>3275</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milscm_2023_010.azn_202310_base_text_mml_mmllb_spc_memo.zip_no IS 'ZipファイルNo';</v>
      </c>
    </row>
    <row r="14" spans="1:45" s="25" customFormat="1">
      <c r="A14" s="4"/>
      <c r="B14" s="21">
        <f t="shared" ref="B14:B22" si="2">ROW()-12</f>
        <v>2</v>
      </c>
      <c r="C14" s="6" t="s">
        <v>2781</v>
      </c>
      <c r="D14" s="6" t="s">
        <v>2782</v>
      </c>
      <c r="E14" s="8" t="s">
        <v>127</v>
      </c>
      <c r="F14" s="7" t="s">
        <v>3275</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milscm_2023_010.azn_202310_base_text_mml_mmllb_spc_memo.file_no IS 'ファイルNo';</v>
      </c>
    </row>
    <row r="15" spans="1:45" s="25" customFormat="1">
      <c r="A15" s="4"/>
      <c r="B15" s="21">
        <f t="shared" si="2"/>
        <v>3</v>
      </c>
      <c r="C15" s="6" t="s">
        <v>3259</v>
      </c>
      <c r="D15" s="6" t="s">
        <v>2784</v>
      </c>
      <c r="E15" s="8" t="s">
        <v>127</v>
      </c>
      <c r="F15" s="7" t="s">
        <v>3275</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milscm_2023_010.azn_202310_base_text_mml_mmllb_spc_memo.body_no IS '本文No';</v>
      </c>
    </row>
    <row r="16" spans="1:45" s="25" customFormat="1">
      <c r="A16" s="4"/>
      <c r="B16" s="21">
        <f t="shared" si="2"/>
        <v>4</v>
      </c>
      <c r="C16" s="6" t="s">
        <v>3276</v>
      </c>
      <c r="D16" s="6" t="s">
        <v>2401</v>
      </c>
      <c r="E16" s="8"/>
      <c r="F16" s="7" t="s">
        <v>3277</v>
      </c>
      <c r="G16" s="7" t="str">
        <f t="shared" si="3"/>
        <v>text</v>
      </c>
      <c r="H16" s="26"/>
      <c r="I16" s="10" t="s">
        <v>127</v>
      </c>
      <c r="J16" s="11" t="s">
        <v>3271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milscm_2023_010.azn_202310_base_text_mml_mmllb_spc_memo.facility_id_mml IS '施設ID（MML）';</v>
      </c>
    </row>
    <row r="17" spans="1:52" s="25" customFormat="1">
      <c r="A17" s="4"/>
      <c r="B17" s="21">
        <f t="shared" si="2"/>
        <v>5</v>
      </c>
      <c r="C17" s="6" t="s">
        <v>2786</v>
      </c>
      <c r="D17" s="6" t="s">
        <v>1244</v>
      </c>
      <c r="E17" s="8"/>
      <c r="F17" s="7" t="s">
        <v>3277</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milscm_2023_010.azn_202310_base_text_mml_mmllb_spc_memo.master_id IS '患者ID';</v>
      </c>
    </row>
    <row r="18" spans="1:52" s="25" customFormat="1">
      <c r="A18" s="4"/>
      <c r="B18" s="21">
        <f t="shared" si="2"/>
        <v>6</v>
      </c>
      <c r="C18" s="6" t="s">
        <v>3863</v>
      </c>
      <c r="D18" s="6" t="s">
        <v>3864</v>
      </c>
      <c r="E18" s="8" t="s">
        <v>127</v>
      </c>
      <c r="F18" s="7" t="s">
        <v>3275</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milscm_2023_010.azn_202310_base_text_mml_mmllb_spc_memo.labo_test_no IS '検体検査結果情報No';</v>
      </c>
    </row>
    <row r="19" spans="1:52" s="25" customFormat="1">
      <c r="A19" s="4"/>
      <c r="B19" s="21">
        <f t="shared" si="2"/>
        <v>7</v>
      </c>
      <c r="C19" s="6" t="s">
        <v>3867</v>
      </c>
      <c r="D19" s="6" t="s">
        <v>3868</v>
      </c>
      <c r="E19" s="8" t="s">
        <v>127</v>
      </c>
      <c r="F19" s="7" t="s">
        <v>3275</v>
      </c>
      <c r="G19" s="7" t="str">
        <f t="shared" si="3"/>
        <v>integer</v>
      </c>
      <c r="H19" s="26"/>
      <c r="I19" s="10" t="s">
        <v>127</v>
      </c>
      <c r="J19" s="11"/>
      <c r="M19" s="4"/>
      <c r="N19" s="76"/>
      <c r="O19" s="76"/>
      <c r="P19" s="76" t="str">
        <f t="shared" si="4"/>
        <v>,spc_memo_no</v>
      </c>
      <c r="Q19" s="76" t="str">
        <f t="shared" si="0"/>
        <v>INTEGER</v>
      </c>
      <c r="R19" s="76" t="str">
        <f t="shared" si="1"/>
        <v/>
      </c>
      <c r="S19" s="76" t="str">
        <f t="shared" si="5"/>
        <v>NOT NULL</v>
      </c>
      <c r="T19" s="76" t="str">
        <f t="shared" si="6"/>
        <v>-- 検体コメントNo</v>
      </c>
      <c r="U19" s="4"/>
      <c r="AA19" s="4"/>
      <c r="AB19" s="4"/>
      <c r="AC19" s="4"/>
      <c r="AD19" s="4"/>
      <c r="AE19" s="4"/>
      <c r="AF19" s="4"/>
      <c r="AG19" s="4"/>
      <c r="AH19" s="4"/>
      <c r="AI19" s="4"/>
      <c r="AJ19" s="76" t="str">
        <f>IF(E19="○",IF(COUNTA(E$13:E19)=1,"",",")&amp;D19,"")</f>
        <v>,spc_memo_no</v>
      </c>
      <c r="AK19" s="4"/>
      <c r="AL19" s="4"/>
      <c r="AM19" s="4"/>
      <c r="AN19" s="4"/>
      <c r="AO19" s="4"/>
      <c r="AP19" s="4"/>
      <c r="AQ19" s="4"/>
      <c r="AR19" s="4"/>
      <c r="AS19" s="76" t="str">
        <f>"COMMENT ON COLUMN "&amp;エンティティ一覧!$O$2&amp;"."&amp;D$8&amp;"."&amp;D19&amp;" IS '"&amp;C19&amp;"';"</f>
        <v>COMMENT ON COLUMN milscm_2023_010.azn_202310_base_text_mml_mmllb_spc_memo.spc_memo_no IS '検体コメントNo';</v>
      </c>
    </row>
    <row r="20" spans="1:52" s="25" customFormat="1">
      <c r="A20" s="4"/>
      <c r="B20" s="21">
        <f t="shared" si="2"/>
        <v>8</v>
      </c>
      <c r="C20" s="6" t="s">
        <v>3869</v>
      </c>
      <c r="D20" s="6" t="s">
        <v>3870</v>
      </c>
      <c r="E20" s="8"/>
      <c r="F20" s="7" t="s">
        <v>3277</v>
      </c>
      <c r="G20" s="7" t="str">
        <f t="shared" si="3"/>
        <v>text</v>
      </c>
      <c r="H20" s="26"/>
      <c r="I20" s="10"/>
      <c r="J20" s="11"/>
      <c r="M20" s="4"/>
      <c r="N20" s="76"/>
      <c r="O20" s="76"/>
      <c r="P20" s="76" t="str">
        <f t="shared" si="4"/>
        <v>,spc_memo</v>
      </c>
      <c r="Q20" s="76" t="str">
        <f t="shared" si="0"/>
        <v>TEXT</v>
      </c>
      <c r="R20" s="76" t="str">
        <f t="shared" si="1"/>
        <v/>
      </c>
      <c r="S20" s="76" t="str">
        <f t="shared" si="5"/>
        <v/>
      </c>
      <c r="T20" s="76" t="str">
        <f t="shared" si="6"/>
        <v>-- 検体コメント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milscm_2023_010.azn_202310_base_text_mml_mmllb_spc_memo.spc_memo IS '検体コメント';</v>
      </c>
    </row>
    <row r="21" spans="1:52" s="25" customFormat="1">
      <c r="A21" s="4"/>
      <c r="B21" s="21">
        <f t="shared" si="2"/>
        <v>9</v>
      </c>
      <c r="C21" s="6" t="s">
        <v>3871</v>
      </c>
      <c r="D21" s="6" t="s">
        <v>3872</v>
      </c>
      <c r="E21" s="8"/>
      <c r="F21" s="7" t="s">
        <v>3277</v>
      </c>
      <c r="G21" s="7" t="str">
        <f t="shared" si="3"/>
        <v>text</v>
      </c>
      <c r="H21" s="26"/>
      <c r="I21" s="10"/>
      <c r="J21" s="11"/>
      <c r="M21" s="4"/>
      <c r="N21" s="76"/>
      <c r="O21" s="76"/>
      <c r="P21" s="76" t="str">
        <f t="shared" si="4"/>
        <v>,sm_code_name</v>
      </c>
      <c r="Q21" s="76" t="str">
        <f t="shared" si="0"/>
        <v>TEXT</v>
      </c>
      <c r="R21" s="76" t="str">
        <f t="shared" si="1"/>
        <v/>
      </c>
      <c r="S21" s="76" t="str">
        <f t="shared" si="5"/>
        <v/>
      </c>
      <c r="T21" s="76" t="str">
        <f t="shared" si="6"/>
        <v>-- 検体コメントコード名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milscm_2023_010.azn_202310_base_text_mml_mmllb_spc_memo.sm_code_name IS '検体コメントコード名';</v>
      </c>
    </row>
    <row r="22" spans="1:52" s="25" customFormat="1">
      <c r="A22" s="4"/>
      <c r="B22" s="21">
        <f t="shared" si="2"/>
        <v>10</v>
      </c>
      <c r="C22" s="6" t="s">
        <v>3873</v>
      </c>
      <c r="D22" s="6" t="s">
        <v>3874</v>
      </c>
      <c r="E22" s="8"/>
      <c r="F22" s="7" t="s">
        <v>3277</v>
      </c>
      <c r="G22" s="7" t="str">
        <f t="shared" si="3"/>
        <v>text</v>
      </c>
      <c r="H22" s="26"/>
      <c r="I22" s="10"/>
      <c r="J22" s="11"/>
      <c r="M22" s="4"/>
      <c r="N22" s="76"/>
      <c r="O22" s="76"/>
      <c r="P22" s="76" t="str">
        <f t="shared" si="4"/>
        <v>,sm_code</v>
      </c>
      <c r="Q22" s="76" t="str">
        <f t="shared" si="0"/>
        <v>TEXT</v>
      </c>
      <c r="R22" s="76" t="str">
        <f t="shared" si="1"/>
        <v/>
      </c>
      <c r="S22" s="76" t="str">
        <f t="shared" si="5"/>
        <v/>
      </c>
      <c r="T22" s="76" t="str">
        <f t="shared" si="6"/>
        <v>-- 検体コメントコード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milscm_2023_010.azn_202310_base_text_mml_mmllb_spc_memo.sm_code IS '検体コメントコード';</v>
      </c>
    </row>
    <row r="23" spans="1:52" s="25" customFormat="1" ht="19.5" thickBot="1">
      <c r="A23" s="4"/>
      <c r="B23" s="27">
        <f>ROW()-12</f>
        <v>11</v>
      </c>
      <c r="C23" s="57" t="s">
        <v>3875</v>
      </c>
      <c r="D23" s="57" t="s">
        <v>3876</v>
      </c>
      <c r="E23" s="56"/>
      <c r="F23" s="56" t="s">
        <v>3277</v>
      </c>
      <c r="G23" s="56" t="str">
        <f t="shared" si="3"/>
        <v>text</v>
      </c>
      <c r="H23" s="59"/>
      <c r="I23" s="60"/>
      <c r="J23" s="63"/>
      <c r="N23" s="76"/>
      <c r="O23" s="76"/>
      <c r="P23" s="76" t="str">
        <f t="shared" si="4"/>
        <v>,sm_code_id</v>
      </c>
      <c r="Q23" s="76" t="str">
        <f t="shared" si="0"/>
        <v>TEXT</v>
      </c>
      <c r="R23" s="76" t="str">
        <f t="shared" si="1"/>
        <v/>
      </c>
      <c r="S23" s="76" t="str">
        <f t="shared" si="5"/>
        <v/>
      </c>
      <c r="T23" s="76" t="str">
        <f t="shared" si="6"/>
        <v>-- 検体コメントコードID</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milscm_2023_010.azn_202310_base_text_mml_mmllb_spc_memo.sm_code_id IS '検体コメントコードID';</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31</v>
      </c>
      <c r="E4" s="248"/>
      <c r="F4" s="248"/>
      <c r="G4" s="248"/>
      <c r="H4" s="248"/>
      <c r="I4" s="248"/>
      <c r="J4" s="249"/>
    </row>
    <row r="5" spans="1:45">
      <c r="B5" s="261" t="s">
        <v>3704</v>
      </c>
      <c r="C5" s="262"/>
      <c r="D5" s="271" t="str">
        <f>VLOOKUP(D7,エンティティ一覧!A1:'エンティティ一覧'!AM10203,7,FALSE)</f>
        <v>base</v>
      </c>
      <c r="E5" s="272"/>
      <c r="F5" s="272"/>
      <c r="G5" s="272"/>
      <c r="H5" s="272"/>
      <c r="I5" s="272"/>
      <c r="J5" s="273"/>
    </row>
    <row r="6" spans="1:45">
      <c r="B6" s="261" t="s">
        <v>3705</v>
      </c>
      <c r="C6" s="262"/>
      <c r="D6" s="271" t="str">
        <f>VLOOKUP(D7,エンティティ一覧!A1:'エンティティ一覧'!AM10203,15,FALSE)</f>
        <v>ENT_31_A6-22</v>
      </c>
      <c r="E6" s="272"/>
      <c r="F6" s="272"/>
      <c r="G6" s="272"/>
      <c r="H6" s="272"/>
      <c r="I6" s="272"/>
      <c r="J6" s="273"/>
    </row>
    <row r="7" spans="1:45">
      <c r="B7" s="261" t="s">
        <v>115</v>
      </c>
      <c r="C7" s="262"/>
      <c r="D7" s="263" t="s">
        <v>3948</v>
      </c>
      <c r="E7" s="264"/>
      <c r="F7" s="264"/>
      <c r="G7" s="264"/>
      <c r="H7" s="264"/>
      <c r="I7" s="264"/>
      <c r="J7" s="265"/>
    </row>
    <row r="8" spans="1:45">
      <c r="B8" s="261" t="s">
        <v>116</v>
      </c>
      <c r="C8" s="262"/>
      <c r="D8" s="263" t="str">
        <f>エンティティ一覧!AE2&amp;"_"&amp;D5&amp;"_text_mml_mmllb_item"</f>
        <v>azn_202310_base_text_mml_mmllb_item</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ベース_MML_検歴情報モジュール_検査項目テーブルから組入れ条件の第一条件で絞り込んだ結果を格納するテーブル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milscm_2023_010.azn_202310_base_text_mml_mmllb_item;</v>
      </c>
      <c r="O10" s="76"/>
      <c r="P10" s="76"/>
      <c r="Q10" s="76"/>
      <c r="R10" s="76"/>
      <c r="S10" s="76"/>
      <c r="T10" s="76"/>
      <c r="AJ10" s="76" t="str">
        <f>"ALTER TABLE ONLY "&amp;エンティティ一覧!$O$2&amp;"."&amp;D$8</f>
        <v>ALTER TABLE ONLY milscm_2023_010.azn_202310_base_text_mml_mmllb_item</v>
      </c>
      <c r="AS10" s="76" t="str">
        <f>"ALTER TABLE "&amp;エンティティ一覧!$O$2&amp;"."&amp;D$8&amp;" OWNER TO pgmisgrp1;"</f>
        <v>ALTER TABLE milscm_2023_010.azn_202310_base_text_mml_mmllb_item OWNER TO pgmisgrp1;</v>
      </c>
    </row>
    <row r="11" spans="1:45" ht="19.5" thickBot="1">
      <c r="B11" s="20" t="s">
        <v>118</v>
      </c>
      <c r="C11" s="19"/>
      <c r="D11" s="5"/>
      <c r="E11" s="5"/>
      <c r="F11" s="5"/>
      <c r="G11" s="5"/>
      <c r="H11" s="5"/>
      <c r="I11" s="5"/>
      <c r="J11" s="18"/>
      <c r="N11" s="76" t="str">
        <f>"CREATE TABLE  "&amp;エンティティ一覧!$O$2&amp;"."&amp;D$8</f>
        <v>CREATE TABLE  milscm_2023_010.azn_202310_base_text_mml_mmllb_item</v>
      </c>
      <c r="O11" s="76"/>
      <c r="P11" s="76"/>
      <c r="Q11" s="76"/>
      <c r="R11" s="76"/>
      <c r="S11" s="76"/>
      <c r="T11" s="76"/>
      <c r="AJ11" s="76" t="str">
        <f>"ADD CONSTRAINT "&amp;D$8&amp;"_pkey PRIMARY KEY"</f>
        <v>ADD CONSTRAINT azn_202310_base_text_mml_mmllb_item_pkey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milscm_2023_010.azn_202310_base_text_mml_mmllb_item IS 'ベース_MML_検歴情報モジュール_検査項目';</v>
      </c>
    </row>
    <row r="13" spans="1:45" s="25" customFormat="1">
      <c r="A13" s="4"/>
      <c r="B13" s="21">
        <f>ROW()-12</f>
        <v>1</v>
      </c>
      <c r="C13" s="6" t="s">
        <v>2778</v>
      </c>
      <c r="D13" s="6" t="s">
        <v>2779</v>
      </c>
      <c r="E13" s="8" t="s">
        <v>127</v>
      </c>
      <c r="F13" s="8" t="s">
        <v>3275</v>
      </c>
      <c r="G13" s="7" t="str">
        <f>IF(F13="フラグ","boolean",IF(F13="文字列","text",IF(F13="整数","integer",IF(F13="実数","numeric",""))))</f>
        <v>integer</v>
      </c>
      <c r="H13" s="9"/>
      <c r="I13" s="10" t="s">
        <v>127</v>
      </c>
      <c r="J13" s="11"/>
      <c r="M13" s="4"/>
      <c r="N13" s="76"/>
      <c r="O13" s="76"/>
      <c r="P13" s="76" t="str">
        <f>IF(B13&lt;&gt;1,","&amp;D13,D13)</f>
        <v>zip_no</v>
      </c>
      <c r="Q13" s="76" t="str">
        <f t="shared" ref="Q13:Q41" si="0">UPPER(G13)</f>
        <v>INTEGER</v>
      </c>
      <c r="R13" s="76" t="str">
        <f t="shared" ref="R13:R4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milscm_2023_010.azn_202310_base_text_mml_mmllb_item.zip_no IS 'ZipファイルNo';</v>
      </c>
    </row>
    <row r="14" spans="1:45" s="25" customFormat="1">
      <c r="A14" s="4"/>
      <c r="B14" s="21">
        <f t="shared" ref="B14:B40" si="2">ROW()-12</f>
        <v>2</v>
      </c>
      <c r="C14" s="6" t="s">
        <v>2781</v>
      </c>
      <c r="D14" s="6" t="s">
        <v>2782</v>
      </c>
      <c r="E14" s="8" t="s">
        <v>127</v>
      </c>
      <c r="F14" s="7" t="s">
        <v>3275</v>
      </c>
      <c r="G14" s="7" t="str">
        <f t="shared" ref="G14:G41" si="3">IF(F14="フラグ","boolean",IF(F14="文字列","text",IF(F14="整数","integer",IF(F14="実数","numeric",""))))</f>
        <v>integer</v>
      </c>
      <c r="H14" s="26"/>
      <c r="I14" s="10" t="s">
        <v>127</v>
      </c>
      <c r="J14" s="11"/>
      <c r="M14" s="4"/>
      <c r="N14" s="76"/>
      <c r="O14" s="76"/>
      <c r="P14" s="76" t="str">
        <f t="shared" ref="P14:P41" si="4">IF(B14&lt;&gt;1,","&amp;D14,D14)</f>
        <v>,file_no</v>
      </c>
      <c r="Q14" s="76" t="str">
        <f t="shared" si="0"/>
        <v>INTEGER</v>
      </c>
      <c r="R14" s="76" t="str">
        <f t="shared" si="1"/>
        <v/>
      </c>
      <c r="S14" s="76" t="str">
        <f t="shared" ref="S14:S41" si="5">IF(I14="○","NOT NULL","")</f>
        <v>NOT NULL</v>
      </c>
      <c r="T14" s="76" t="str">
        <f t="shared" ref="T14:T4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milscm_2023_010.azn_202310_base_text_mml_mmllb_item.file_no IS 'ファイルNo';</v>
      </c>
    </row>
    <row r="15" spans="1:45" s="25" customFormat="1">
      <c r="A15" s="4"/>
      <c r="B15" s="21">
        <f t="shared" si="2"/>
        <v>3</v>
      </c>
      <c r="C15" s="6" t="s">
        <v>3259</v>
      </c>
      <c r="D15" s="6" t="s">
        <v>2784</v>
      </c>
      <c r="E15" s="8" t="s">
        <v>127</v>
      </c>
      <c r="F15" s="7" t="s">
        <v>3275</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milscm_2023_010.azn_202310_base_text_mml_mmllb_item.body_no IS '本文No';</v>
      </c>
    </row>
    <row r="16" spans="1:45" s="25" customFormat="1">
      <c r="A16" s="4"/>
      <c r="B16" s="21">
        <f t="shared" si="2"/>
        <v>4</v>
      </c>
      <c r="C16" s="6" t="s">
        <v>3276</v>
      </c>
      <c r="D16" s="6" t="s">
        <v>2401</v>
      </c>
      <c r="E16" s="8"/>
      <c r="F16" s="7" t="s">
        <v>3277</v>
      </c>
      <c r="G16" s="7" t="str">
        <f t="shared" si="3"/>
        <v>text</v>
      </c>
      <c r="H16" s="26"/>
      <c r="I16" s="10" t="s">
        <v>127</v>
      </c>
      <c r="J16" s="11" t="s">
        <v>3271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milscm_2023_010.azn_202310_base_text_mml_mmllb_item.facility_id_mml IS '施設ID（MML）';</v>
      </c>
    </row>
    <row r="17" spans="1:45" s="25" customFormat="1">
      <c r="A17" s="4"/>
      <c r="B17" s="21">
        <f t="shared" si="2"/>
        <v>5</v>
      </c>
      <c r="C17" s="6" t="s">
        <v>2786</v>
      </c>
      <c r="D17" s="6" t="s">
        <v>1244</v>
      </c>
      <c r="E17" s="8"/>
      <c r="F17" s="7" t="s">
        <v>3277</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milscm_2023_010.azn_202310_base_text_mml_mmllb_item.master_id IS '患者ID';</v>
      </c>
    </row>
    <row r="18" spans="1:45" s="25" customFormat="1">
      <c r="A18" s="4"/>
      <c r="B18" s="21">
        <f t="shared" si="2"/>
        <v>6</v>
      </c>
      <c r="C18" s="6" t="s">
        <v>3863</v>
      </c>
      <c r="D18" s="6" t="s">
        <v>3864</v>
      </c>
      <c r="E18" s="8" t="s">
        <v>127</v>
      </c>
      <c r="F18" s="7" t="s">
        <v>3275</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milscm_2023_010.azn_202310_base_text_mml_mmllb_item.labo_test_no IS '検体検査結果情報No';</v>
      </c>
    </row>
    <row r="19" spans="1:45" s="25" customFormat="1">
      <c r="A19" s="4"/>
      <c r="B19" s="21">
        <f t="shared" si="2"/>
        <v>7</v>
      </c>
      <c r="C19" s="6" t="s">
        <v>3877</v>
      </c>
      <c r="D19" s="6" t="s">
        <v>3878</v>
      </c>
      <c r="E19" s="8" t="s">
        <v>127</v>
      </c>
      <c r="F19" s="7" t="s">
        <v>3275</v>
      </c>
      <c r="G19" s="7" t="str">
        <f t="shared" si="3"/>
        <v>integer</v>
      </c>
      <c r="H19" s="26"/>
      <c r="I19" s="10" t="s">
        <v>127</v>
      </c>
      <c r="J19" s="11"/>
      <c r="M19" s="4"/>
      <c r="N19" s="76"/>
      <c r="O19" s="76"/>
      <c r="P19" s="76" t="str">
        <f t="shared" si="4"/>
        <v>,item_no</v>
      </c>
      <c r="Q19" s="76" t="str">
        <f t="shared" si="0"/>
        <v>INTEGER</v>
      </c>
      <c r="R19" s="76" t="str">
        <f t="shared" si="1"/>
        <v/>
      </c>
      <c r="S19" s="76" t="str">
        <f t="shared" si="5"/>
        <v>NOT NULL</v>
      </c>
      <c r="T19" s="76" t="str">
        <f t="shared" si="6"/>
        <v>-- 項目No</v>
      </c>
      <c r="U19" s="4"/>
      <c r="AA19" s="4"/>
      <c r="AB19" s="4"/>
      <c r="AC19" s="4"/>
      <c r="AD19" s="4"/>
      <c r="AE19" s="4"/>
      <c r="AF19" s="4"/>
      <c r="AG19" s="4"/>
      <c r="AH19" s="4"/>
      <c r="AI19" s="4"/>
      <c r="AJ19" s="76" t="str">
        <f>IF(E19="○",IF(COUNTA(E$13:E19)=1,"",",")&amp;D19,"")</f>
        <v>,item_no</v>
      </c>
      <c r="AK19" s="4"/>
      <c r="AL19" s="4"/>
      <c r="AM19" s="4"/>
      <c r="AN19" s="4"/>
      <c r="AO19" s="4"/>
      <c r="AP19" s="4"/>
      <c r="AQ19" s="4"/>
      <c r="AR19" s="4"/>
      <c r="AS19" s="76" t="str">
        <f>"COMMENT ON COLUMN "&amp;エンティティ一覧!$O$2&amp;"."&amp;D$8&amp;"."&amp;D19&amp;" IS '"&amp;C19&amp;"';"</f>
        <v>COMMENT ON COLUMN milscm_2023_010.azn_202310_base_text_mml_mmllb_item.item_no IS '項目No';</v>
      </c>
    </row>
    <row r="20" spans="1:45" s="25" customFormat="1">
      <c r="A20" s="4"/>
      <c r="B20" s="21">
        <f t="shared" si="2"/>
        <v>8</v>
      </c>
      <c r="C20" s="6" t="s">
        <v>3879</v>
      </c>
      <c r="D20" s="6" t="s">
        <v>1622</v>
      </c>
      <c r="E20" s="8"/>
      <c r="F20" s="7" t="s">
        <v>3277</v>
      </c>
      <c r="G20" s="7" t="str">
        <f t="shared" si="3"/>
        <v>text</v>
      </c>
      <c r="H20" s="26"/>
      <c r="I20" s="10"/>
      <c r="J20" s="11"/>
      <c r="M20" s="4"/>
      <c r="N20" s="76"/>
      <c r="O20" s="76"/>
      <c r="P20" s="76" t="str">
        <f t="shared" si="4"/>
        <v>,item_name</v>
      </c>
      <c r="Q20" s="76" t="str">
        <f t="shared" si="0"/>
        <v>TEXT</v>
      </c>
      <c r="R20" s="76" t="str">
        <f t="shared" si="1"/>
        <v/>
      </c>
      <c r="S20" s="76" t="str">
        <f t="shared" si="5"/>
        <v/>
      </c>
      <c r="T20" s="76" t="str">
        <f t="shared" si="6"/>
        <v>-- 検査名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milscm_2023_010.azn_202310_base_text_mml_mmllb_item.item_name IS '検査名';</v>
      </c>
    </row>
    <row r="21" spans="1:45" s="25" customFormat="1">
      <c r="A21" s="4"/>
      <c r="B21" s="21">
        <f t="shared" si="2"/>
        <v>9</v>
      </c>
      <c r="C21" s="6" t="s">
        <v>3880</v>
      </c>
      <c r="D21" s="6" t="s">
        <v>3881</v>
      </c>
      <c r="E21" s="8"/>
      <c r="F21" s="7" t="s">
        <v>3277</v>
      </c>
      <c r="G21" s="7" t="str">
        <f t="shared" si="3"/>
        <v>text</v>
      </c>
      <c r="H21" s="26"/>
      <c r="I21" s="10"/>
      <c r="J21" s="11"/>
      <c r="M21" s="4"/>
      <c r="N21" s="76"/>
      <c r="O21" s="76"/>
      <c r="P21" s="76" t="str">
        <f t="shared" si="4"/>
        <v>,item_code</v>
      </c>
      <c r="Q21" s="76" t="str">
        <f t="shared" si="0"/>
        <v>TEXT</v>
      </c>
      <c r="R21" s="76" t="str">
        <f t="shared" si="1"/>
        <v/>
      </c>
      <c r="S21" s="76" t="str">
        <f t="shared" si="5"/>
        <v/>
      </c>
      <c r="T21" s="76" t="str">
        <f t="shared" si="6"/>
        <v>-- 検査名_施設固有コード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milscm_2023_010.azn_202310_base_text_mml_mmllb_item.item_code IS '検査名_施設固有コード';</v>
      </c>
    </row>
    <row r="22" spans="1:45" s="25" customFormat="1">
      <c r="A22" s="4"/>
      <c r="B22" s="21">
        <f t="shared" si="2"/>
        <v>10</v>
      </c>
      <c r="C22" s="6" t="s">
        <v>3882</v>
      </c>
      <c r="D22" s="6" t="s">
        <v>3883</v>
      </c>
      <c r="E22" s="8"/>
      <c r="F22" s="7" t="s">
        <v>3277</v>
      </c>
      <c r="G22" s="7" t="str">
        <f t="shared" si="3"/>
        <v>text</v>
      </c>
      <c r="H22" s="26"/>
      <c r="I22" s="10"/>
      <c r="J22" s="11"/>
      <c r="M22" s="4"/>
      <c r="N22" s="76"/>
      <c r="O22" s="76"/>
      <c r="P22" s="76" t="str">
        <f t="shared" si="4"/>
        <v>,item_code_id</v>
      </c>
      <c r="Q22" s="76" t="str">
        <f t="shared" si="0"/>
        <v>TEXT</v>
      </c>
      <c r="R22" s="76" t="str">
        <f t="shared" si="1"/>
        <v/>
      </c>
      <c r="S22" s="76" t="str">
        <f t="shared" si="5"/>
        <v/>
      </c>
      <c r="T22" s="76" t="str">
        <f t="shared" si="6"/>
        <v>-- 検査名_施設固有コードID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milscm_2023_010.azn_202310_base_text_mml_mmllb_item.item_code_id IS '検査名_施設固有コードID';</v>
      </c>
    </row>
    <row r="23" spans="1:45" s="25" customFormat="1">
      <c r="A23" s="4"/>
      <c r="B23" s="21">
        <f t="shared" si="2"/>
        <v>11</v>
      </c>
      <c r="C23" s="6" t="s">
        <v>3884</v>
      </c>
      <c r="D23" s="6" t="s">
        <v>3885</v>
      </c>
      <c r="E23" s="8"/>
      <c r="F23" s="7" t="s">
        <v>3277</v>
      </c>
      <c r="G23" s="7" t="str">
        <f t="shared" si="3"/>
        <v>text</v>
      </c>
      <c r="H23" s="26"/>
      <c r="I23" s="10"/>
      <c r="J23" s="11" t="s">
        <v>1627</v>
      </c>
      <c r="M23" s="4"/>
      <c r="N23" s="76"/>
      <c r="O23" s="76"/>
      <c r="P23" s="76" t="str">
        <f t="shared" si="4"/>
        <v>,a_code</v>
      </c>
      <c r="Q23" s="76" t="str">
        <f t="shared" si="0"/>
        <v>TEXT</v>
      </c>
      <c r="R23" s="76" t="str">
        <f t="shared" si="1"/>
        <v/>
      </c>
      <c r="S23" s="76" t="str">
        <f t="shared" si="5"/>
        <v/>
      </c>
      <c r="T23" s="76" t="str">
        <f t="shared" si="6"/>
        <v>-- 検査名_分析物コード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milscm_2023_010.azn_202310_base_text_mml_mmllb_item.a_code IS '検査名_分析物コード';</v>
      </c>
    </row>
    <row r="24" spans="1:45" s="25" customFormat="1">
      <c r="A24" s="4"/>
      <c r="B24" s="21">
        <f t="shared" si="2"/>
        <v>12</v>
      </c>
      <c r="C24" s="6" t="s">
        <v>3886</v>
      </c>
      <c r="D24" s="6" t="s">
        <v>3887</v>
      </c>
      <c r="E24" s="8"/>
      <c r="F24" s="7" t="s">
        <v>3277</v>
      </c>
      <c r="G24" s="7" t="str">
        <f t="shared" si="3"/>
        <v>text</v>
      </c>
      <c r="H24" s="26"/>
      <c r="I24" s="10"/>
      <c r="J24" s="11" t="s">
        <v>1629</v>
      </c>
      <c r="M24" s="4"/>
      <c r="N24" s="76"/>
      <c r="O24" s="76"/>
      <c r="P24" s="76" t="str">
        <f t="shared" si="4"/>
        <v>,i_code</v>
      </c>
      <c r="Q24" s="76" t="str">
        <f t="shared" si="0"/>
        <v>TEXT</v>
      </c>
      <c r="R24" s="76" t="str">
        <f t="shared" si="1"/>
        <v/>
      </c>
      <c r="S24" s="76" t="str">
        <f t="shared" si="5"/>
        <v/>
      </c>
      <c r="T24" s="76" t="str">
        <f t="shared" si="6"/>
        <v>-- 検査名_識別コード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milscm_2023_010.azn_202310_base_text_mml_mmllb_item.i_code IS '検査名_識別コード';</v>
      </c>
    </row>
    <row r="25" spans="1:45" s="25" customFormat="1">
      <c r="A25" s="4"/>
      <c r="B25" s="21">
        <f t="shared" si="2"/>
        <v>13</v>
      </c>
      <c r="C25" s="6" t="s">
        <v>3888</v>
      </c>
      <c r="D25" s="6" t="s">
        <v>3889</v>
      </c>
      <c r="E25" s="8"/>
      <c r="F25" s="7" t="s">
        <v>3277</v>
      </c>
      <c r="G25" s="7" t="str">
        <f t="shared" si="3"/>
        <v>text</v>
      </c>
      <c r="H25" s="26"/>
      <c r="I25" s="10"/>
      <c r="J25" s="11" t="s">
        <v>1631</v>
      </c>
      <c r="M25" s="4"/>
      <c r="N25" s="76"/>
      <c r="O25" s="76"/>
      <c r="P25" s="76" t="str">
        <f t="shared" si="4"/>
        <v>,s_code</v>
      </c>
      <c r="Q25" s="76" t="str">
        <f t="shared" si="0"/>
        <v>TEXT</v>
      </c>
      <c r="R25" s="76" t="str">
        <f t="shared" si="1"/>
        <v/>
      </c>
      <c r="S25" s="76" t="str">
        <f t="shared" si="5"/>
        <v/>
      </c>
      <c r="T25" s="76" t="str">
        <f t="shared" si="6"/>
        <v>-- 検査名_材料コード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milscm_2023_010.azn_202310_base_text_mml_mmllb_item.s_code IS '検査名_材料コード';</v>
      </c>
    </row>
    <row r="26" spans="1:45" s="25" customFormat="1">
      <c r="A26" s="4"/>
      <c r="B26" s="21">
        <f t="shared" si="2"/>
        <v>14</v>
      </c>
      <c r="C26" s="6" t="s">
        <v>3890</v>
      </c>
      <c r="D26" s="6" t="s">
        <v>3891</v>
      </c>
      <c r="E26" s="8"/>
      <c r="F26" s="7" t="s">
        <v>3277</v>
      </c>
      <c r="G26" s="7" t="str">
        <f t="shared" si="3"/>
        <v>text</v>
      </c>
      <c r="H26" s="26"/>
      <c r="I26" s="10"/>
      <c r="J26" s="11" t="s">
        <v>1633</v>
      </c>
      <c r="M26" s="4"/>
      <c r="N26" s="76"/>
      <c r="O26" s="76"/>
      <c r="P26" s="76" t="str">
        <f t="shared" si="4"/>
        <v>,m_code</v>
      </c>
      <c r="Q26" s="76" t="str">
        <f t="shared" si="0"/>
        <v>TEXT</v>
      </c>
      <c r="R26" s="76" t="str">
        <f t="shared" si="1"/>
        <v/>
      </c>
      <c r="S26" s="76" t="str">
        <f t="shared" si="5"/>
        <v/>
      </c>
      <c r="T26" s="76" t="str">
        <f t="shared" si="6"/>
        <v>-- 検査名_測定法コード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milscm_2023_010.azn_202310_base_text_mml_mmllb_item.m_code IS '検査名_測定法コード';</v>
      </c>
    </row>
    <row r="27" spans="1:45" s="25" customFormat="1">
      <c r="A27" s="4"/>
      <c r="B27" s="21">
        <f t="shared" si="2"/>
        <v>15</v>
      </c>
      <c r="C27" s="6" t="s">
        <v>3892</v>
      </c>
      <c r="D27" s="6" t="s">
        <v>3893</v>
      </c>
      <c r="E27" s="8"/>
      <c r="F27" s="7" t="s">
        <v>3277</v>
      </c>
      <c r="G27" s="7" t="str">
        <f t="shared" si="3"/>
        <v>text</v>
      </c>
      <c r="H27" s="26"/>
      <c r="I27" s="10"/>
      <c r="J27" s="11" t="s">
        <v>1635</v>
      </c>
      <c r="M27" s="4"/>
      <c r="N27" s="76"/>
      <c r="O27" s="76"/>
      <c r="P27" s="76" t="str">
        <f t="shared" si="4"/>
        <v>,r_code</v>
      </c>
      <c r="Q27" s="76" t="str">
        <f t="shared" si="0"/>
        <v>TEXT</v>
      </c>
      <c r="R27" s="76" t="str">
        <f t="shared" si="1"/>
        <v/>
      </c>
      <c r="S27" s="76" t="str">
        <f t="shared" si="5"/>
        <v/>
      </c>
      <c r="T27" s="76" t="str">
        <f t="shared" si="6"/>
        <v>-- 検査名_結果識別コード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milscm_2023_010.azn_202310_base_text_mml_mmllb_item.r_code IS '検査名_結果識別コード';</v>
      </c>
    </row>
    <row r="28" spans="1:45" s="25" customFormat="1">
      <c r="A28" s="4"/>
      <c r="B28" s="21">
        <f t="shared" si="2"/>
        <v>16</v>
      </c>
      <c r="C28" s="6" t="s">
        <v>3894</v>
      </c>
      <c r="D28" s="6" t="s">
        <v>1638</v>
      </c>
      <c r="E28" s="8"/>
      <c r="F28" s="7" t="s">
        <v>3277</v>
      </c>
      <c r="G28" s="7" t="str">
        <f t="shared" si="3"/>
        <v>text</v>
      </c>
      <c r="H28" s="26"/>
      <c r="I28" s="10"/>
      <c r="J28" s="11"/>
      <c r="M28" s="4"/>
      <c r="N28" s="76"/>
      <c r="O28" s="76"/>
      <c r="P28" s="76" t="str">
        <f t="shared" si="4"/>
        <v>,value</v>
      </c>
      <c r="Q28" s="76" t="str">
        <f t="shared" si="0"/>
        <v>TEXT</v>
      </c>
      <c r="R28" s="76" t="str">
        <f t="shared" si="1"/>
        <v/>
      </c>
      <c r="S28" s="76" t="str">
        <f t="shared" si="5"/>
        <v/>
      </c>
      <c r="T28" s="76" t="str">
        <f t="shared" si="6"/>
        <v>-- 検査値（文字列）</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milscm_2023_010.azn_202310_base_text_mml_mmllb_item.value IS '検査値（文字列）';</v>
      </c>
    </row>
    <row r="29" spans="1:45" s="25" customFormat="1">
      <c r="A29" s="4"/>
      <c r="B29" s="21">
        <f t="shared" si="2"/>
        <v>17</v>
      </c>
      <c r="C29" s="6" t="s">
        <v>3895</v>
      </c>
      <c r="D29" s="6" t="s">
        <v>3896</v>
      </c>
      <c r="E29" s="8"/>
      <c r="F29" s="7" t="s">
        <v>3277</v>
      </c>
      <c r="G29" s="7" t="str">
        <f t="shared" si="3"/>
        <v>text</v>
      </c>
      <c r="H29" s="26"/>
      <c r="I29" s="10"/>
      <c r="J29" s="11"/>
      <c r="M29" s="4"/>
      <c r="N29" s="76"/>
      <c r="O29" s="76"/>
      <c r="P29" s="76" t="str">
        <f t="shared" si="4"/>
        <v>,value_up</v>
      </c>
      <c r="Q29" s="76" t="str">
        <f t="shared" si="0"/>
        <v>TEXT</v>
      </c>
      <c r="R29" s="76" t="str">
        <f t="shared" si="1"/>
        <v/>
      </c>
      <c r="S29" s="76" t="str">
        <f t="shared" si="5"/>
        <v/>
      </c>
      <c r="T29" s="76" t="str">
        <f t="shared" si="6"/>
        <v>-- 検査値（文字列）_上限値</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milscm_2023_010.azn_202310_base_text_mml_mmllb_item.value_up IS '検査値（文字列）_上限値';</v>
      </c>
    </row>
    <row r="30" spans="1:45" s="25" customFormat="1">
      <c r="A30" s="4"/>
      <c r="B30" s="21">
        <f t="shared" si="2"/>
        <v>18</v>
      </c>
      <c r="C30" s="6" t="s">
        <v>3897</v>
      </c>
      <c r="D30" s="6" t="s">
        <v>3898</v>
      </c>
      <c r="E30" s="8"/>
      <c r="F30" s="7" t="s">
        <v>3277</v>
      </c>
      <c r="G30" s="7" t="str">
        <f t="shared" si="3"/>
        <v>text</v>
      </c>
      <c r="H30" s="26"/>
      <c r="I30" s="10"/>
      <c r="J30" s="11"/>
      <c r="M30" s="4"/>
      <c r="N30" s="76"/>
      <c r="O30" s="76"/>
      <c r="P30" s="76" t="str">
        <f t="shared" si="4"/>
        <v>,value_low</v>
      </c>
      <c r="Q30" s="76" t="str">
        <f t="shared" si="0"/>
        <v>TEXT</v>
      </c>
      <c r="R30" s="76" t="str">
        <f t="shared" si="1"/>
        <v/>
      </c>
      <c r="S30" s="76" t="str">
        <f t="shared" si="5"/>
        <v/>
      </c>
      <c r="T30" s="76" t="str">
        <f t="shared" si="6"/>
        <v>-- 検査値（文字列）_下限値</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milscm_2023_010.azn_202310_base_text_mml_mmllb_item.value_low IS '検査値（文字列）_下限値';</v>
      </c>
    </row>
    <row r="31" spans="1:45" s="25" customFormat="1">
      <c r="A31" s="4"/>
      <c r="B31" s="21">
        <f t="shared" si="2"/>
        <v>19</v>
      </c>
      <c r="C31" s="6" t="s">
        <v>3899</v>
      </c>
      <c r="D31" s="6" t="s">
        <v>3900</v>
      </c>
      <c r="E31" s="8"/>
      <c r="F31" s="7" t="s">
        <v>3277</v>
      </c>
      <c r="G31" s="7" t="str">
        <f t="shared" si="3"/>
        <v>text</v>
      </c>
      <c r="H31" s="26"/>
      <c r="I31" s="10"/>
      <c r="J31" s="11"/>
      <c r="M31" s="4"/>
      <c r="N31" s="76"/>
      <c r="O31" s="76"/>
      <c r="P31" s="76" t="str">
        <f t="shared" si="4"/>
        <v>,value_normal</v>
      </c>
      <c r="Q31" s="76" t="str">
        <f t="shared" si="0"/>
        <v>TEXT</v>
      </c>
      <c r="R31" s="76" t="str">
        <f t="shared" si="1"/>
        <v/>
      </c>
      <c r="S31" s="76" t="str">
        <f t="shared" si="5"/>
        <v/>
      </c>
      <c r="T31" s="76" t="str">
        <f t="shared" si="6"/>
        <v>-- 検査値（文字列）_基準値</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milscm_2023_010.azn_202310_base_text_mml_mmllb_item.value_normal IS '検査値（文字列）_基準値';</v>
      </c>
    </row>
    <row r="32" spans="1:45" s="25" customFormat="1" ht="75">
      <c r="A32" s="4"/>
      <c r="B32" s="21">
        <f t="shared" si="2"/>
        <v>20</v>
      </c>
      <c r="C32" s="6" t="s">
        <v>3901</v>
      </c>
      <c r="D32" s="6" t="s">
        <v>3902</v>
      </c>
      <c r="E32" s="8"/>
      <c r="F32" s="7" t="s">
        <v>3277</v>
      </c>
      <c r="G32" s="7" t="str">
        <f t="shared" si="3"/>
        <v>text</v>
      </c>
      <c r="H32" s="26"/>
      <c r="I32" s="10"/>
      <c r="J32" s="11" t="s">
        <v>3915</v>
      </c>
      <c r="M32" s="4"/>
      <c r="N32" s="76"/>
      <c r="O32" s="76"/>
      <c r="P32" s="76" t="str">
        <f t="shared" si="4"/>
        <v>,value_out</v>
      </c>
      <c r="Q32" s="76" t="str">
        <f t="shared" si="0"/>
        <v>TEXT</v>
      </c>
      <c r="R32" s="76" t="str">
        <f t="shared" si="1"/>
        <v/>
      </c>
      <c r="S32" s="76" t="str">
        <f t="shared" si="5"/>
        <v/>
      </c>
      <c r="T32" s="76" t="str">
        <f t="shared" si="6"/>
        <v>-- 検査値（文字列）_異常値フラグ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milscm_2023_010.azn_202310_base_text_mml_mmllb_item.value_out IS '検査値（文字列）_異常値フラグ';</v>
      </c>
    </row>
    <row r="33" spans="1:52" s="25" customFormat="1">
      <c r="A33" s="4"/>
      <c r="B33" s="21">
        <f t="shared" si="2"/>
        <v>21</v>
      </c>
      <c r="C33" s="6" t="s">
        <v>3903</v>
      </c>
      <c r="D33" s="6" t="s">
        <v>1640</v>
      </c>
      <c r="E33" s="8"/>
      <c r="F33" s="7" t="s">
        <v>3277</v>
      </c>
      <c r="G33" s="7" t="str">
        <f t="shared" si="3"/>
        <v>text</v>
      </c>
      <c r="H33" s="26"/>
      <c r="I33" s="10"/>
      <c r="J33" s="11"/>
      <c r="M33" s="4"/>
      <c r="N33" s="76"/>
      <c r="O33" s="76"/>
      <c r="P33" s="76" t="str">
        <f t="shared" si="4"/>
        <v>,num_value</v>
      </c>
      <c r="Q33" s="76" t="str">
        <f t="shared" si="0"/>
        <v>TEXT</v>
      </c>
      <c r="R33" s="76" t="str">
        <f t="shared" si="1"/>
        <v/>
      </c>
      <c r="S33" s="76" t="str">
        <f t="shared" si="5"/>
        <v/>
      </c>
      <c r="T33" s="76" t="str">
        <f t="shared" si="6"/>
        <v>-- 検査値（数値）</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milscm_2023_010.azn_202310_base_text_mml_mmllb_item.num_value IS '検査値（数値）';</v>
      </c>
    </row>
    <row r="34" spans="1:52" s="25" customFormat="1">
      <c r="A34" s="4"/>
      <c r="B34" s="21">
        <f t="shared" si="2"/>
        <v>22</v>
      </c>
      <c r="C34" s="6" t="s">
        <v>3904</v>
      </c>
      <c r="D34" s="6" t="s">
        <v>3905</v>
      </c>
      <c r="E34" s="8"/>
      <c r="F34" s="7" t="s">
        <v>3277</v>
      </c>
      <c r="G34" s="7" t="str">
        <f t="shared" si="3"/>
        <v>text</v>
      </c>
      <c r="H34" s="26"/>
      <c r="I34" s="10"/>
      <c r="J34" s="11"/>
      <c r="M34" s="4"/>
      <c r="N34" s="76"/>
      <c r="O34" s="76"/>
      <c r="P34" s="76" t="str">
        <f t="shared" si="4"/>
        <v>,num_value_up</v>
      </c>
      <c r="Q34" s="76" t="str">
        <f t="shared" si="0"/>
        <v>TEXT</v>
      </c>
      <c r="R34" s="76" t="str">
        <f t="shared" si="1"/>
        <v/>
      </c>
      <c r="S34" s="76" t="str">
        <f t="shared" si="5"/>
        <v/>
      </c>
      <c r="T34" s="76" t="str">
        <f t="shared" si="6"/>
        <v>-- 検査値（数値）_上限値</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milscm_2023_010.azn_202310_base_text_mml_mmllb_item.num_value_up IS '検査値（数値）_上限値';</v>
      </c>
    </row>
    <row r="35" spans="1:52" s="25" customFormat="1">
      <c r="A35" s="4"/>
      <c r="B35" s="21">
        <f t="shared" si="2"/>
        <v>23</v>
      </c>
      <c r="C35" s="6" t="s">
        <v>3906</v>
      </c>
      <c r="D35" s="6" t="s">
        <v>3907</v>
      </c>
      <c r="E35" s="8"/>
      <c r="F35" s="7" t="s">
        <v>3277</v>
      </c>
      <c r="G35" s="7" t="str">
        <f t="shared" si="3"/>
        <v>text</v>
      </c>
      <c r="H35" s="26"/>
      <c r="I35" s="10"/>
      <c r="J35" s="11"/>
      <c r="M35" s="4"/>
      <c r="N35" s="76"/>
      <c r="O35" s="76"/>
      <c r="P35" s="76" t="str">
        <f t="shared" si="4"/>
        <v>,num_value_low</v>
      </c>
      <c r="Q35" s="76" t="str">
        <f t="shared" si="0"/>
        <v>TEXT</v>
      </c>
      <c r="R35" s="76" t="str">
        <f t="shared" si="1"/>
        <v/>
      </c>
      <c r="S35" s="76" t="str">
        <f t="shared" si="5"/>
        <v/>
      </c>
      <c r="T35" s="76" t="str">
        <f t="shared" si="6"/>
        <v>-- 検査値（数値）_下限値</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milscm_2023_010.azn_202310_base_text_mml_mmllb_item.num_value_low IS '検査値（数値）_下限値';</v>
      </c>
    </row>
    <row r="36" spans="1:52" s="25" customFormat="1">
      <c r="A36" s="4"/>
      <c r="B36" s="21">
        <f t="shared" si="2"/>
        <v>24</v>
      </c>
      <c r="C36" s="6" t="s">
        <v>3908</v>
      </c>
      <c r="D36" s="6" t="s">
        <v>3909</v>
      </c>
      <c r="E36" s="8"/>
      <c r="F36" s="7" t="s">
        <v>3277</v>
      </c>
      <c r="G36" s="7" t="str">
        <f t="shared" si="3"/>
        <v>text</v>
      </c>
      <c r="H36" s="26"/>
      <c r="I36" s="10"/>
      <c r="J36" s="11"/>
      <c r="M36" s="4"/>
      <c r="N36" s="76"/>
      <c r="O36" s="76"/>
      <c r="P36" s="76" t="str">
        <f t="shared" si="4"/>
        <v>,num_value_normal</v>
      </c>
      <c r="Q36" s="76" t="str">
        <f t="shared" si="0"/>
        <v>TEXT</v>
      </c>
      <c r="R36" s="76" t="str">
        <f t="shared" si="1"/>
        <v/>
      </c>
      <c r="S36" s="76" t="str">
        <f t="shared" si="5"/>
        <v/>
      </c>
      <c r="T36" s="76" t="str">
        <f t="shared" si="6"/>
        <v>-- 検査値（数値）_基準値</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milscm_2023_010.azn_202310_base_text_mml_mmllb_item.num_value_normal IS '検査値（数値）_基準値';</v>
      </c>
    </row>
    <row r="37" spans="1:52" s="25" customFormat="1" ht="75">
      <c r="A37" s="4"/>
      <c r="B37" s="21">
        <f t="shared" si="2"/>
        <v>25</v>
      </c>
      <c r="C37" s="6" t="s">
        <v>3910</v>
      </c>
      <c r="D37" s="6" t="s">
        <v>3911</v>
      </c>
      <c r="E37" s="8"/>
      <c r="F37" s="7" t="s">
        <v>3277</v>
      </c>
      <c r="G37" s="7" t="str">
        <f t="shared" si="3"/>
        <v>text</v>
      </c>
      <c r="H37" s="26"/>
      <c r="I37" s="10"/>
      <c r="J37" s="11" t="s">
        <v>3915</v>
      </c>
      <c r="M37" s="4"/>
      <c r="N37" s="76"/>
      <c r="O37" s="76"/>
      <c r="P37" s="76" t="str">
        <f t="shared" si="4"/>
        <v>,num_value_out</v>
      </c>
      <c r="Q37" s="76" t="str">
        <f t="shared" si="0"/>
        <v>TEXT</v>
      </c>
      <c r="R37" s="76" t="str">
        <f t="shared" si="1"/>
        <v/>
      </c>
      <c r="S37" s="76" t="str">
        <f t="shared" si="5"/>
        <v/>
      </c>
      <c r="T37" s="76" t="str">
        <f t="shared" si="6"/>
        <v>-- 検査値（数値）_異常値フラグ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milscm_2023_010.azn_202310_base_text_mml_mmllb_item.num_value_out IS '検査値（数値）_異常値フラグ';</v>
      </c>
    </row>
    <row r="38" spans="1:52" s="25" customFormat="1">
      <c r="A38" s="4"/>
      <c r="B38" s="21">
        <f t="shared" si="2"/>
        <v>26</v>
      </c>
      <c r="C38" s="6" t="s">
        <v>1649</v>
      </c>
      <c r="D38" s="6" t="s">
        <v>275</v>
      </c>
      <c r="E38" s="8"/>
      <c r="F38" s="7" t="s">
        <v>3277</v>
      </c>
      <c r="G38" s="7" t="str">
        <f t="shared" si="3"/>
        <v>text</v>
      </c>
      <c r="H38" s="26"/>
      <c r="I38" s="10"/>
      <c r="J38" s="11"/>
      <c r="M38" s="4"/>
      <c r="N38" s="76"/>
      <c r="O38" s="76"/>
      <c r="P38" s="76" t="str">
        <f t="shared" si="4"/>
        <v>,unit</v>
      </c>
      <c r="Q38" s="76" t="str">
        <f t="shared" si="0"/>
        <v>TEXT</v>
      </c>
      <c r="R38" s="76" t="str">
        <f t="shared" si="1"/>
        <v/>
      </c>
      <c r="S38" s="76" t="str">
        <f t="shared" si="5"/>
        <v/>
      </c>
      <c r="T38" s="76" t="str">
        <f t="shared" si="6"/>
        <v>-- 単位</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milscm_2023_010.azn_202310_base_text_mml_mmllb_item.unit IS '単位';</v>
      </c>
    </row>
    <row r="39" spans="1:52" s="25" customFormat="1">
      <c r="A39" s="4"/>
      <c r="B39" s="21">
        <f t="shared" si="2"/>
        <v>27</v>
      </c>
      <c r="C39" s="6" t="s">
        <v>1650</v>
      </c>
      <c r="D39" s="6" t="s">
        <v>3912</v>
      </c>
      <c r="E39" s="8"/>
      <c r="F39" s="7" t="s">
        <v>3277</v>
      </c>
      <c r="G39" s="7" t="str">
        <f t="shared" si="3"/>
        <v>text</v>
      </c>
      <c r="H39" s="26"/>
      <c r="I39" s="10"/>
      <c r="J39" s="11"/>
      <c r="M39" s="4"/>
      <c r="N39" s="76"/>
      <c r="O39" s="76"/>
      <c r="P39" s="76" t="str">
        <f t="shared" si="4"/>
        <v>,u_code</v>
      </c>
      <c r="Q39" s="76" t="str">
        <f t="shared" si="0"/>
        <v>TEXT</v>
      </c>
      <c r="R39" s="76" t="str">
        <f t="shared" si="1"/>
        <v/>
      </c>
      <c r="S39" s="76" t="str">
        <f t="shared" si="5"/>
        <v/>
      </c>
      <c r="T39" s="76" t="str">
        <f t="shared" si="6"/>
        <v>-- 単位コード</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milscm_2023_010.azn_202310_base_text_mml_mmllb_item.u_code IS '単位コード';</v>
      </c>
    </row>
    <row r="40" spans="1:52" s="25" customFormat="1">
      <c r="A40" s="4"/>
      <c r="B40" s="21">
        <f t="shared" si="2"/>
        <v>28</v>
      </c>
      <c r="C40" s="6" t="s">
        <v>1652</v>
      </c>
      <c r="D40" s="6" t="s">
        <v>3913</v>
      </c>
      <c r="E40" s="8"/>
      <c r="F40" s="7" t="s">
        <v>3277</v>
      </c>
      <c r="G40" s="7" t="str">
        <f t="shared" si="3"/>
        <v>text</v>
      </c>
      <c r="H40" s="26"/>
      <c r="I40" s="10"/>
      <c r="J40" s="11"/>
      <c r="M40" s="4"/>
      <c r="N40" s="76"/>
      <c r="O40" s="76"/>
      <c r="P40" s="76" t="str">
        <f t="shared" si="4"/>
        <v>,u_code_id</v>
      </c>
      <c r="Q40" s="76" t="str">
        <f t="shared" si="0"/>
        <v>TEXT</v>
      </c>
      <c r="R40" s="76" t="str">
        <f t="shared" si="1"/>
        <v/>
      </c>
      <c r="S40" s="76" t="str">
        <f t="shared" si="5"/>
        <v/>
      </c>
      <c r="T40" s="76" t="str">
        <f t="shared" si="6"/>
        <v>-- 単位コードID</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milscm_2023_010.azn_202310_base_text_mml_mmllb_item.u_code_id IS '単位コードID';</v>
      </c>
    </row>
    <row r="41" spans="1:52" s="25" customFormat="1" ht="19.5" thickBot="1">
      <c r="A41" s="4"/>
      <c r="B41" s="27">
        <f>ROW()-12</f>
        <v>29</v>
      </c>
      <c r="C41" s="57" t="s">
        <v>1654</v>
      </c>
      <c r="D41" s="57" t="s">
        <v>3914</v>
      </c>
      <c r="E41" s="56"/>
      <c r="F41" s="56" t="s">
        <v>3277</v>
      </c>
      <c r="G41" s="56" t="str">
        <f t="shared" si="3"/>
        <v>text</v>
      </c>
      <c r="H41" s="59"/>
      <c r="I41" s="60"/>
      <c r="J41" s="63"/>
      <c r="N41" s="76"/>
      <c r="O41" s="76"/>
      <c r="P41" s="76" t="str">
        <f t="shared" si="4"/>
        <v>,item_memo_f</v>
      </c>
      <c r="Q41" s="76" t="str">
        <f t="shared" si="0"/>
        <v>TEXT</v>
      </c>
      <c r="R41" s="76" t="str">
        <f t="shared" si="1"/>
        <v/>
      </c>
      <c r="S41" s="76" t="str">
        <f t="shared" si="5"/>
        <v/>
      </c>
      <c r="T41" s="76" t="str">
        <f t="shared" si="6"/>
        <v>-- 項目フリーコメント</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milscm_2023_010.azn_202310_base_text_mml_mmllb_item.item_memo_f IS '項目フリーコメント';</v>
      </c>
    </row>
    <row r="42" spans="1:52">
      <c r="L42" s="25"/>
      <c r="M42" s="25"/>
      <c r="N42" s="76" t="s">
        <v>142</v>
      </c>
      <c r="O42" s="76"/>
      <c r="P42" s="76"/>
      <c r="Q42" s="76"/>
      <c r="R42" s="76"/>
      <c r="S42" s="76"/>
      <c r="T42" s="76"/>
      <c r="V42" s="25"/>
      <c r="W42" s="25"/>
      <c r="X42" s="25"/>
      <c r="Y42" s="25"/>
      <c r="Z42" s="25"/>
      <c r="AJ42" s="76" t="s">
        <v>142</v>
      </c>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M45" s="25"/>
    </row>
    <row r="46" spans="1: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31</v>
      </c>
      <c r="E4" s="248"/>
      <c r="F4" s="248"/>
      <c r="G4" s="248"/>
      <c r="H4" s="248"/>
      <c r="I4" s="248"/>
      <c r="J4" s="249"/>
    </row>
    <row r="5" spans="1:45">
      <c r="B5" s="261" t="s">
        <v>3704</v>
      </c>
      <c r="C5" s="262"/>
      <c r="D5" s="271" t="str">
        <f>VLOOKUP(D7,エンティティ一覧!A1:'エンティティ一覧'!AM10203,7,FALSE)</f>
        <v>base</v>
      </c>
      <c r="E5" s="272"/>
      <c r="F5" s="272"/>
      <c r="G5" s="272"/>
      <c r="H5" s="272"/>
      <c r="I5" s="272"/>
      <c r="J5" s="273"/>
    </row>
    <row r="6" spans="1:45">
      <c r="B6" s="261" t="s">
        <v>3705</v>
      </c>
      <c r="C6" s="262"/>
      <c r="D6" s="271" t="str">
        <f>VLOOKUP(D7,エンティティ一覧!A1:'エンティティ一覧'!AM10203,15,FALSE)</f>
        <v>ENT_31_A6-23</v>
      </c>
      <c r="E6" s="272"/>
      <c r="F6" s="272"/>
      <c r="G6" s="272"/>
      <c r="H6" s="272"/>
      <c r="I6" s="272"/>
      <c r="J6" s="273"/>
    </row>
    <row r="7" spans="1:45">
      <c r="B7" s="261" t="s">
        <v>115</v>
      </c>
      <c r="C7" s="262"/>
      <c r="D7" s="263" t="s">
        <v>3949</v>
      </c>
      <c r="E7" s="264"/>
      <c r="F7" s="264"/>
      <c r="G7" s="264"/>
      <c r="H7" s="264"/>
      <c r="I7" s="264"/>
      <c r="J7" s="265"/>
    </row>
    <row r="8" spans="1:45">
      <c r="B8" s="261" t="s">
        <v>116</v>
      </c>
      <c r="C8" s="262"/>
      <c r="D8" s="263" t="str">
        <f>エンティティ一覧!AE2&amp;"_"&amp;D5&amp;"_text_mml_mmllb_item_memo"</f>
        <v>azn_202310_base_text_mml_mmllb_item_memo</v>
      </c>
      <c r="E8" s="264"/>
      <c r="F8" s="264"/>
      <c r="G8" s="264"/>
      <c r="H8" s="264"/>
      <c r="I8" s="264"/>
      <c r="J8" s="265"/>
    </row>
    <row r="9" spans="1:45" ht="19.5" customHeight="1" thickBot="1">
      <c r="B9" s="266" t="s">
        <v>117</v>
      </c>
      <c r="C9" s="267"/>
      <c r="D9" s="268" t="str">
        <f>SUBSTITUTE(D7,"バックアップ_","")&amp;"テーブルから組入れ条件の第一条件で絞り込んだ結果を格納するテーブル"</f>
        <v>ベース_MML_検歴情報モジュール_検査項目コメントテーブルから組入れ条件の第一条件で絞り込んだ結果を格納するテーブル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milscm_2023_010.azn_202310_base_text_mml_mmllb_item_memo;</v>
      </c>
      <c r="O10" s="76"/>
      <c r="P10" s="76"/>
      <c r="Q10" s="76"/>
      <c r="R10" s="76"/>
      <c r="S10" s="76"/>
      <c r="T10" s="76"/>
      <c r="AJ10" s="76" t="str">
        <f>"ALTER TABLE ONLY "&amp;エンティティ一覧!$O$2&amp;"."&amp;D$8</f>
        <v>ALTER TABLE ONLY milscm_2023_010.azn_202310_base_text_mml_mmllb_item_memo</v>
      </c>
      <c r="AS10" s="76" t="str">
        <f>"ALTER TABLE "&amp;エンティティ一覧!$O$2&amp;"."&amp;D$8&amp;" OWNER TO pgmisgrp1;"</f>
        <v>ALTER TABLE milscm_2023_010.azn_202310_base_text_mml_mmllb_item_memo OWNER TO pgmisgrp1;</v>
      </c>
    </row>
    <row r="11" spans="1:45" ht="19.5" thickBot="1">
      <c r="B11" s="20" t="s">
        <v>118</v>
      </c>
      <c r="C11" s="19"/>
      <c r="D11" s="5"/>
      <c r="E11" s="5"/>
      <c r="F11" s="5"/>
      <c r="G11" s="5"/>
      <c r="H11" s="5"/>
      <c r="I11" s="5"/>
      <c r="J11" s="18"/>
      <c r="N11" s="76" t="str">
        <f>"CREATE TABLE  "&amp;エンティティ一覧!$O$2&amp;"."&amp;D$8</f>
        <v>CREATE TABLE  milscm_2023_010.azn_202310_base_text_mml_mmllb_item_memo</v>
      </c>
      <c r="O11" s="76"/>
      <c r="P11" s="76"/>
      <c r="Q11" s="76"/>
      <c r="R11" s="76"/>
      <c r="S11" s="76"/>
      <c r="T11" s="76"/>
      <c r="AJ11" s="76" t="str">
        <f>"ADD CONSTRAINT "&amp;D$8&amp;"_pkey PRIMARY KEY"</f>
        <v>ADD CONSTRAINT azn_202310_base_text_mml_mmllb_item_memo_pkey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milscm_2023_010.azn_202310_base_text_mml_mmllb_item_memo IS 'ベース_MML_検歴情報モジュール_検査項目コメント';</v>
      </c>
    </row>
    <row r="13" spans="1:45" s="25" customFormat="1">
      <c r="A13" s="4"/>
      <c r="B13" s="21">
        <f>ROW()-12</f>
        <v>1</v>
      </c>
      <c r="C13" s="6" t="s">
        <v>2778</v>
      </c>
      <c r="D13" s="6" t="s">
        <v>2779</v>
      </c>
      <c r="E13" s="8" t="s">
        <v>127</v>
      </c>
      <c r="F13" s="8" t="s">
        <v>3275</v>
      </c>
      <c r="G13" s="7" t="str">
        <f>IF(F13="フラグ","boolean",IF(F13="文字列","text",IF(F13="整数","integer",IF(F13="実数","numeric",""))))</f>
        <v>integer</v>
      </c>
      <c r="H13" s="9"/>
      <c r="I13" s="10" t="s">
        <v>127</v>
      </c>
      <c r="J13" s="11"/>
      <c r="M13" s="4"/>
      <c r="N13" s="76"/>
      <c r="O13" s="76"/>
      <c r="P13" s="76" t="str">
        <f>IF(B13&lt;&gt;1,","&amp;D13,D13)</f>
        <v>zip_no</v>
      </c>
      <c r="Q13" s="76" t="str">
        <f t="shared" ref="Q13:Q24" si="0">UPPER(G13)</f>
        <v>INTEGER</v>
      </c>
      <c r="R13" s="76" t="str">
        <f t="shared" ref="R13:R24"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milscm_2023_010.azn_202310_base_text_mml_mmllb_item_memo.zip_no IS 'ZipファイルNo';</v>
      </c>
    </row>
    <row r="14" spans="1:45" s="25" customFormat="1">
      <c r="A14" s="4"/>
      <c r="B14" s="21">
        <f t="shared" ref="B14:B23" si="2">ROW()-12</f>
        <v>2</v>
      </c>
      <c r="C14" s="6" t="s">
        <v>2781</v>
      </c>
      <c r="D14" s="6" t="s">
        <v>2782</v>
      </c>
      <c r="E14" s="8" t="s">
        <v>127</v>
      </c>
      <c r="F14" s="7" t="s">
        <v>3275</v>
      </c>
      <c r="G14" s="7" t="str">
        <f t="shared" ref="G14:G24" si="3">IF(F14="フラグ","boolean",IF(F14="文字列","text",IF(F14="整数","integer",IF(F14="実数","numeric",""))))</f>
        <v>integer</v>
      </c>
      <c r="H14" s="26"/>
      <c r="I14" s="10" t="s">
        <v>127</v>
      </c>
      <c r="J14" s="11"/>
      <c r="M14" s="4"/>
      <c r="N14" s="76"/>
      <c r="O14" s="76"/>
      <c r="P14" s="76" t="str">
        <f t="shared" ref="P14:P24" si="4">IF(B14&lt;&gt;1,","&amp;D14,D14)</f>
        <v>,file_no</v>
      </c>
      <c r="Q14" s="76" t="str">
        <f t="shared" si="0"/>
        <v>INTEGER</v>
      </c>
      <c r="R14" s="76" t="str">
        <f t="shared" si="1"/>
        <v/>
      </c>
      <c r="S14" s="76" t="str">
        <f t="shared" ref="S14:S24" si="5">IF(I14="○","NOT NULL","")</f>
        <v>NOT NULL</v>
      </c>
      <c r="T14" s="76" t="str">
        <f t="shared" ref="T14:T24"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milscm_2023_010.azn_202310_base_text_mml_mmllb_item_memo.file_no IS 'ファイルNo';</v>
      </c>
    </row>
    <row r="15" spans="1:45" s="25" customFormat="1">
      <c r="A15" s="4"/>
      <c r="B15" s="21">
        <f t="shared" si="2"/>
        <v>3</v>
      </c>
      <c r="C15" s="6" t="s">
        <v>3259</v>
      </c>
      <c r="D15" s="6" t="s">
        <v>2784</v>
      </c>
      <c r="E15" s="8" t="s">
        <v>127</v>
      </c>
      <c r="F15" s="7" t="s">
        <v>3275</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milscm_2023_010.azn_202310_base_text_mml_mmllb_item_memo.body_no IS '本文No';</v>
      </c>
    </row>
    <row r="16" spans="1:45" s="25" customFormat="1">
      <c r="A16" s="4"/>
      <c r="B16" s="21">
        <f t="shared" si="2"/>
        <v>4</v>
      </c>
      <c r="C16" s="6" t="s">
        <v>3276</v>
      </c>
      <c r="D16" s="6" t="s">
        <v>2401</v>
      </c>
      <c r="E16" s="8"/>
      <c r="F16" s="7" t="s">
        <v>3277</v>
      </c>
      <c r="G16" s="7" t="str">
        <f t="shared" si="3"/>
        <v>text</v>
      </c>
      <c r="H16" s="26"/>
      <c r="I16" s="10" t="s">
        <v>127</v>
      </c>
      <c r="J16" s="11" t="s">
        <v>3271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milscm_2023_010.azn_202310_base_text_mml_mmllb_item_memo.facility_id_mml IS '施設ID（MML）';</v>
      </c>
    </row>
    <row r="17" spans="1:52" s="25" customFormat="1">
      <c r="A17" s="4"/>
      <c r="B17" s="21">
        <f t="shared" si="2"/>
        <v>5</v>
      </c>
      <c r="C17" s="6" t="s">
        <v>2786</v>
      </c>
      <c r="D17" s="6" t="s">
        <v>1244</v>
      </c>
      <c r="E17" s="8"/>
      <c r="F17" s="7" t="s">
        <v>3277</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milscm_2023_010.azn_202310_base_text_mml_mmllb_item_memo.master_id IS '患者ID';</v>
      </c>
    </row>
    <row r="18" spans="1:52" s="25" customFormat="1">
      <c r="A18" s="4"/>
      <c r="B18" s="21">
        <f t="shared" si="2"/>
        <v>6</v>
      </c>
      <c r="C18" s="6" t="s">
        <v>3863</v>
      </c>
      <c r="D18" s="6" t="s">
        <v>3864</v>
      </c>
      <c r="E18" s="8" t="s">
        <v>127</v>
      </c>
      <c r="F18" s="7" t="s">
        <v>3275</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milscm_2023_010.azn_202310_base_text_mml_mmllb_item_memo.labo_test_no IS '検体検査結果情報No';</v>
      </c>
    </row>
    <row r="19" spans="1:52" s="25" customFormat="1">
      <c r="A19" s="4"/>
      <c r="B19" s="21">
        <f t="shared" si="2"/>
        <v>7</v>
      </c>
      <c r="C19" s="6" t="s">
        <v>3877</v>
      </c>
      <c r="D19" s="6" t="s">
        <v>3878</v>
      </c>
      <c r="E19" s="8" t="s">
        <v>127</v>
      </c>
      <c r="F19" s="7" t="s">
        <v>3275</v>
      </c>
      <c r="G19" s="7" t="str">
        <f t="shared" si="3"/>
        <v>integer</v>
      </c>
      <c r="H19" s="26"/>
      <c r="I19" s="10" t="s">
        <v>127</v>
      </c>
      <c r="J19" s="11"/>
      <c r="M19" s="4"/>
      <c r="N19" s="76"/>
      <c r="O19" s="76"/>
      <c r="P19" s="76" t="str">
        <f t="shared" si="4"/>
        <v>,item_no</v>
      </c>
      <c r="Q19" s="76" t="str">
        <f t="shared" si="0"/>
        <v>INTEGER</v>
      </c>
      <c r="R19" s="76" t="str">
        <f t="shared" si="1"/>
        <v/>
      </c>
      <c r="S19" s="76" t="str">
        <f t="shared" si="5"/>
        <v>NOT NULL</v>
      </c>
      <c r="T19" s="76" t="str">
        <f t="shared" si="6"/>
        <v>-- 項目No</v>
      </c>
      <c r="U19" s="4"/>
      <c r="AA19" s="4"/>
      <c r="AB19" s="4"/>
      <c r="AC19" s="4"/>
      <c r="AD19" s="4"/>
      <c r="AE19" s="4"/>
      <c r="AF19" s="4"/>
      <c r="AG19" s="4"/>
      <c r="AH19" s="4"/>
      <c r="AI19" s="4"/>
      <c r="AJ19" s="76" t="str">
        <f>IF(E19="○",IF(COUNTA(E$13:E19)=1,"",",")&amp;D19,"")</f>
        <v>,item_no</v>
      </c>
      <c r="AK19" s="4"/>
      <c r="AL19" s="4"/>
      <c r="AM19" s="4"/>
      <c r="AN19" s="4"/>
      <c r="AO19" s="4"/>
      <c r="AP19" s="4"/>
      <c r="AQ19" s="4"/>
      <c r="AR19" s="4"/>
      <c r="AS19" s="76" t="str">
        <f>"COMMENT ON COLUMN "&amp;エンティティ一覧!$O$2&amp;"."&amp;D$8&amp;"."&amp;D19&amp;" IS '"&amp;C19&amp;"';"</f>
        <v>COMMENT ON COLUMN milscm_2023_010.azn_202310_base_text_mml_mmllb_item_memo.item_no IS '項目No';</v>
      </c>
    </row>
    <row r="20" spans="1:52" s="25" customFormat="1">
      <c r="A20" s="4"/>
      <c r="B20" s="21">
        <f t="shared" si="2"/>
        <v>8</v>
      </c>
      <c r="C20" s="6" t="s">
        <v>3916</v>
      </c>
      <c r="D20" s="6" t="s">
        <v>3917</v>
      </c>
      <c r="E20" s="8" t="s">
        <v>127</v>
      </c>
      <c r="F20" s="7" t="s">
        <v>3275</v>
      </c>
      <c r="G20" s="7" t="str">
        <f t="shared" si="3"/>
        <v>integer</v>
      </c>
      <c r="H20" s="26"/>
      <c r="I20" s="10" t="s">
        <v>127</v>
      </c>
      <c r="J20" s="11"/>
      <c r="M20" s="4"/>
      <c r="N20" s="76"/>
      <c r="O20" s="76"/>
      <c r="P20" s="76" t="str">
        <f t="shared" si="4"/>
        <v>,item_memo_no</v>
      </c>
      <c r="Q20" s="76" t="str">
        <f t="shared" si="0"/>
        <v>INTEGER</v>
      </c>
      <c r="R20" s="76" t="str">
        <f t="shared" si="1"/>
        <v/>
      </c>
      <c r="S20" s="76" t="str">
        <f t="shared" si="5"/>
        <v>NOT NULL</v>
      </c>
      <c r="T20" s="76" t="str">
        <f t="shared" si="6"/>
        <v>-- 項目コメントNo</v>
      </c>
      <c r="U20" s="4"/>
      <c r="AA20" s="4"/>
      <c r="AB20" s="4"/>
      <c r="AC20" s="4"/>
      <c r="AD20" s="4"/>
      <c r="AE20" s="4"/>
      <c r="AF20" s="4"/>
      <c r="AG20" s="4"/>
      <c r="AH20" s="4"/>
      <c r="AI20" s="4"/>
      <c r="AJ20" s="76" t="str">
        <f>IF(E20="○",IF(COUNTA(E$13:E20)=1,"",",")&amp;D20,"")</f>
        <v>,item_memo_no</v>
      </c>
      <c r="AK20" s="4"/>
      <c r="AL20" s="4"/>
      <c r="AM20" s="4"/>
      <c r="AN20" s="4"/>
      <c r="AO20" s="4"/>
      <c r="AP20" s="4"/>
      <c r="AQ20" s="4"/>
      <c r="AR20" s="4"/>
      <c r="AS20" s="76" t="str">
        <f>"COMMENT ON COLUMN "&amp;エンティティ一覧!$O$2&amp;"."&amp;D$8&amp;"."&amp;D20&amp;" IS '"&amp;C20&amp;"';"</f>
        <v>COMMENT ON COLUMN milscm_2023_010.azn_202310_base_text_mml_mmllb_item_memo.item_memo_no IS '項目コメントNo';</v>
      </c>
    </row>
    <row r="21" spans="1:52" s="25" customFormat="1">
      <c r="A21" s="4"/>
      <c r="B21" s="21">
        <f t="shared" si="2"/>
        <v>9</v>
      </c>
      <c r="C21" s="6" t="s">
        <v>3918</v>
      </c>
      <c r="D21" s="6" t="s">
        <v>3919</v>
      </c>
      <c r="E21" s="8"/>
      <c r="F21" s="7" t="s">
        <v>3277</v>
      </c>
      <c r="G21" s="7" t="str">
        <f t="shared" si="3"/>
        <v>text</v>
      </c>
      <c r="H21" s="26"/>
      <c r="I21" s="10"/>
      <c r="J21" s="11"/>
      <c r="M21" s="4"/>
      <c r="N21" s="76"/>
      <c r="O21" s="76"/>
      <c r="P21" s="76" t="str">
        <f t="shared" si="4"/>
        <v>,item_memo</v>
      </c>
      <c r="Q21" s="76" t="str">
        <f t="shared" si="0"/>
        <v>TEXT</v>
      </c>
      <c r="R21" s="76" t="str">
        <f t="shared" si="1"/>
        <v/>
      </c>
      <c r="S21" s="76" t="str">
        <f t="shared" si="5"/>
        <v/>
      </c>
      <c r="T21" s="76" t="str">
        <f t="shared" si="6"/>
        <v>-- 項目コメント</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milscm_2023_010.azn_202310_base_text_mml_mmllb_item_memo.item_memo IS '項目コメント';</v>
      </c>
    </row>
    <row r="22" spans="1:52" s="25" customFormat="1">
      <c r="A22" s="4"/>
      <c r="B22" s="21">
        <f t="shared" si="2"/>
        <v>10</v>
      </c>
      <c r="C22" s="6" t="s">
        <v>3920</v>
      </c>
      <c r="D22" s="6" t="s">
        <v>3921</v>
      </c>
      <c r="E22" s="8"/>
      <c r="F22" s="7" t="s">
        <v>3277</v>
      </c>
      <c r="G22" s="7" t="str">
        <f t="shared" si="3"/>
        <v>text</v>
      </c>
      <c r="H22" s="26"/>
      <c r="I22" s="10"/>
      <c r="J22" s="11"/>
      <c r="M22" s="4"/>
      <c r="N22" s="76"/>
      <c r="O22" s="76"/>
      <c r="P22" s="76" t="str">
        <f t="shared" si="4"/>
        <v>,im_code_name</v>
      </c>
      <c r="Q22" s="76" t="str">
        <f t="shared" si="0"/>
        <v>TEXT</v>
      </c>
      <c r="R22" s="76" t="str">
        <f t="shared" si="1"/>
        <v/>
      </c>
      <c r="S22" s="76" t="str">
        <f t="shared" si="5"/>
        <v/>
      </c>
      <c r="T22" s="76" t="str">
        <f t="shared" si="6"/>
        <v>-- 項目コメントコード名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milscm_2023_010.azn_202310_base_text_mml_mmllb_item_memo.im_code_name IS '項目コメントコード名';</v>
      </c>
    </row>
    <row r="23" spans="1:52" s="25" customFormat="1">
      <c r="A23" s="4"/>
      <c r="B23" s="21">
        <f t="shared" si="2"/>
        <v>11</v>
      </c>
      <c r="C23" s="6" t="s">
        <v>3922</v>
      </c>
      <c r="D23" s="6" t="s">
        <v>3923</v>
      </c>
      <c r="E23" s="8"/>
      <c r="F23" s="7" t="s">
        <v>3277</v>
      </c>
      <c r="G23" s="7" t="str">
        <f t="shared" si="3"/>
        <v>text</v>
      </c>
      <c r="H23" s="26"/>
      <c r="I23" s="10"/>
      <c r="J23" s="11"/>
      <c r="M23" s="4"/>
      <c r="N23" s="76"/>
      <c r="O23" s="76"/>
      <c r="P23" s="76" t="str">
        <f t="shared" si="4"/>
        <v>,im_code</v>
      </c>
      <c r="Q23" s="76" t="str">
        <f t="shared" si="0"/>
        <v>TEXT</v>
      </c>
      <c r="R23" s="76" t="str">
        <f t="shared" si="1"/>
        <v/>
      </c>
      <c r="S23" s="76" t="str">
        <f t="shared" si="5"/>
        <v/>
      </c>
      <c r="T23" s="76" t="str">
        <f t="shared" si="6"/>
        <v>-- 項目コメントコード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milscm_2023_010.azn_202310_base_text_mml_mmllb_item_memo.im_code IS '項目コメントコード';</v>
      </c>
    </row>
    <row r="24" spans="1:52" s="25" customFormat="1" ht="19.5" thickBot="1">
      <c r="A24" s="4"/>
      <c r="B24" s="27">
        <f>ROW()-12</f>
        <v>12</v>
      </c>
      <c r="C24" s="57" t="s">
        <v>3924</v>
      </c>
      <c r="D24" s="57" t="s">
        <v>3925</v>
      </c>
      <c r="E24" s="56"/>
      <c r="F24" s="56" t="s">
        <v>3277</v>
      </c>
      <c r="G24" s="56" t="str">
        <f t="shared" si="3"/>
        <v>text</v>
      </c>
      <c r="H24" s="59"/>
      <c r="I24" s="60"/>
      <c r="J24" s="63"/>
      <c r="N24" s="76"/>
      <c r="O24" s="76"/>
      <c r="P24" s="76" t="str">
        <f t="shared" si="4"/>
        <v>,im_code_id</v>
      </c>
      <c r="Q24" s="76" t="str">
        <f t="shared" si="0"/>
        <v>TEXT</v>
      </c>
      <c r="R24" s="76" t="str">
        <f t="shared" si="1"/>
        <v/>
      </c>
      <c r="S24" s="76" t="str">
        <f t="shared" si="5"/>
        <v/>
      </c>
      <c r="T24" s="76" t="str">
        <f t="shared" si="6"/>
        <v>-- 項目コメントコードID</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milscm_2023_010.azn_202310_base_text_mml_mmllb_item_memo.im_code_id IS '項目コメントコードID';</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31</v>
      </c>
      <c r="E4" s="248"/>
      <c r="F4" s="248"/>
      <c r="G4" s="248"/>
      <c r="H4" s="248"/>
      <c r="I4" s="248"/>
      <c r="J4" s="249"/>
    </row>
    <row r="5" spans="1:45">
      <c r="B5" s="261" t="s">
        <v>3704</v>
      </c>
      <c r="C5" s="262"/>
      <c r="D5" s="271" t="str">
        <f>VLOOKUP(D7,エンティティ一覧!A1:'エンティティ一覧'!AM10203,7,FALSE)</f>
        <v>base</v>
      </c>
      <c r="E5" s="272"/>
      <c r="F5" s="272"/>
      <c r="G5" s="272"/>
      <c r="H5" s="272"/>
      <c r="I5" s="272"/>
      <c r="J5" s="273"/>
    </row>
    <row r="6" spans="1:45">
      <c r="B6" s="261" t="s">
        <v>3705</v>
      </c>
      <c r="C6" s="262"/>
      <c r="D6" s="271" t="str">
        <f>VLOOKUP(D7,エンティティ一覧!A1:'エンティティ一覧'!AM10203,15,FALSE)</f>
        <v>ENT_31_A6-24</v>
      </c>
      <c r="E6" s="272"/>
      <c r="F6" s="272"/>
      <c r="G6" s="272"/>
      <c r="H6" s="272"/>
      <c r="I6" s="272"/>
      <c r="J6" s="273"/>
    </row>
    <row r="7" spans="1:45">
      <c r="B7" s="261" t="s">
        <v>115</v>
      </c>
      <c r="C7" s="262"/>
      <c r="D7" s="263" t="s">
        <v>3700</v>
      </c>
      <c r="E7" s="264"/>
      <c r="F7" s="264"/>
      <c r="G7" s="264"/>
      <c r="H7" s="264"/>
      <c r="I7" s="264"/>
      <c r="J7" s="265"/>
    </row>
    <row r="8" spans="1:45">
      <c r="B8" s="261" t="s">
        <v>116</v>
      </c>
      <c r="C8" s="262"/>
      <c r="D8" s="263" t="str">
        <f>エンティティ一覧!AE2&amp;"_"&amp;D5&amp;"_text_mml_mmlps_body"</f>
        <v>azn_202310_base_text_mml_mmlps_body</v>
      </c>
      <c r="E8" s="264"/>
      <c r="F8" s="264"/>
      <c r="G8" s="264"/>
      <c r="H8" s="264"/>
      <c r="I8" s="264"/>
      <c r="J8" s="265"/>
    </row>
    <row r="9" spans="1:45" ht="19.5" customHeight="1" thickBot="1">
      <c r="B9" s="266" t="s">
        <v>117</v>
      </c>
      <c r="C9" s="267"/>
      <c r="D9" s="268" t="str">
        <f>"バックアップ_"&amp;SUBSTITUTE(D7,"ベース_","")&amp;"テーブルから対象患者で絞り込んだ結果を格納するテーブル"</f>
        <v>バックアップ_MML_処方箋モジュール_本文テーブルから対象患者で絞り込んだ結果を格納するテーブル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milscm_2023_010.azn_202310_base_text_mml_mmlps_body;</v>
      </c>
      <c r="O10" s="76"/>
      <c r="P10" s="76"/>
      <c r="Q10" s="76"/>
      <c r="R10" s="76"/>
      <c r="S10" s="76"/>
      <c r="T10" s="76"/>
      <c r="AJ10" s="76" t="str">
        <f>"ALTER TABLE ONLY "&amp;エンティティ一覧!$O$2&amp;"."&amp;D$8</f>
        <v>ALTER TABLE ONLY milscm_2023_010.azn_202310_base_text_mml_mmlps_body</v>
      </c>
      <c r="AS10" s="76" t="str">
        <f>"ALTER TABLE "&amp;エンティティ一覧!$O$2&amp;"."&amp;D$8&amp;" OWNER TO pgmisgrp1;"</f>
        <v>ALTER TABLE milscm_2023_010.azn_202310_base_text_mml_mmlps_body OWNER TO pgmisgrp1;</v>
      </c>
    </row>
    <row r="11" spans="1:45" ht="19.5" thickBot="1">
      <c r="B11" s="20" t="s">
        <v>118</v>
      </c>
      <c r="C11" s="19"/>
      <c r="D11" s="5"/>
      <c r="E11" s="5"/>
      <c r="F11" s="5"/>
      <c r="G11" s="5"/>
      <c r="H11" s="5"/>
      <c r="I11" s="5"/>
      <c r="J11" s="18"/>
      <c r="N11" s="76" t="str">
        <f>"CREATE TABLE  "&amp;エンティティ一覧!$O$2&amp;"."&amp;D$8</f>
        <v>CREATE TABLE  milscm_2023_010.azn_202310_base_text_mml_mmlps_body</v>
      </c>
      <c r="O11" s="76"/>
      <c r="P11" s="76"/>
      <c r="Q11" s="76"/>
      <c r="R11" s="76"/>
      <c r="S11" s="76"/>
      <c r="T11" s="76"/>
      <c r="AJ11" s="76" t="str">
        <f>"ADD CONSTRAINT "&amp;D$8&amp;"_pkey PRIMARY KEY"</f>
        <v>ADD CONSTRAINT azn_202310_base_text_mml_mmlps_body_pkey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milscm_2023_010.azn_202310_base_text_mml_mmlps_body IS 'ベース_MML_処方箋モジュール_本文';</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0" si="0">UPPER(G13)</f>
        <v>INTEGER</v>
      </c>
      <c r="R13" s="76" t="str">
        <f t="shared" ref="R13:R20"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milscm_2023_010.azn_202310_base_text_mml_mmlps_body.zip_no IS 'ZipファイルNo';</v>
      </c>
    </row>
    <row r="14" spans="1:45" s="25" customFormat="1">
      <c r="A14" s="4"/>
      <c r="B14" s="21">
        <f t="shared" ref="B14:B19" si="2">ROW()-12</f>
        <v>2</v>
      </c>
      <c r="C14" s="6" t="s">
        <v>2781</v>
      </c>
      <c r="D14" s="6" t="s">
        <v>2782</v>
      </c>
      <c r="E14" s="8" t="s">
        <v>127</v>
      </c>
      <c r="F14" s="7" t="s">
        <v>2780</v>
      </c>
      <c r="G14" s="7" t="str">
        <f t="shared" ref="G14:G20" si="3">IF(F14="フラグ","boolean",IF(F14="文字列","text",IF(F14="整数","integer",IF(F14="実数","numeric",""))))</f>
        <v>integer</v>
      </c>
      <c r="H14" s="26"/>
      <c r="I14" s="10" t="s">
        <v>127</v>
      </c>
      <c r="J14" s="11"/>
      <c r="M14" s="4"/>
      <c r="N14" s="76"/>
      <c r="O14" s="76"/>
      <c r="P14" s="76" t="str">
        <f t="shared" ref="P14:P20" si="4">IF(B14&lt;&gt;1,","&amp;D14,D14)</f>
        <v>,file_no</v>
      </c>
      <c r="Q14" s="76" t="str">
        <f t="shared" si="0"/>
        <v>INTEGER</v>
      </c>
      <c r="R14" s="76" t="str">
        <f t="shared" si="1"/>
        <v/>
      </c>
      <c r="S14" s="76" t="str">
        <f t="shared" ref="S14:S20" si="5">IF(I14="○","NOT NULL","")</f>
        <v>NOT NULL</v>
      </c>
      <c r="T14" s="76" t="str">
        <f t="shared" ref="T14:T20"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milscm_2023_010.azn_202310_base_text_mml_mmlps_body.file_no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milscm_2023_010.azn_202310_base_text_mml_mmlps_body.body_no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milscm_2023_010.azn_202310_base_text_mml_mmlps_body.facility_id_mml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milscm_2023_010.azn_202310_base_text_mml_mmlps_body.master_id IS '患者ID';</v>
      </c>
    </row>
    <row r="18" spans="1:52" s="25" customFormat="1" ht="37.5">
      <c r="A18" s="4"/>
      <c r="B18" s="21">
        <f t="shared" si="2"/>
        <v>6</v>
      </c>
      <c r="C18" s="6" t="s">
        <v>2810</v>
      </c>
      <c r="D18" s="6" t="s">
        <v>2811</v>
      </c>
      <c r="E18" s="8"/>
      <c r="F18" s="7" t="s">
        <v>1819</v>
      </c>
      <c r="G18" s="7" t="str">
        <f t="shared" si="3"/>
        <v>text</v>
      </c>
      <c r="H18" s="26"/>
      <c r="I18" s="10"/>
      <c r="J18" s="11" t="s">
        <v>2816</v>
      </c>
      <c r="M18" s="4"/>
      <c r="N18" s="76"/>
      <c r="O18" s="76"/>
      <c r="P18" s="76" t="str">
        <f t="shared" si="4"/>
        <v>,issued_to</v>
      </c>
      <c r="Q18" s="76" t="str">
        <f t="shared" si="0"/>
        <v>TEXT</v>
      </c>
      <c r="R18" s="76" t="str">
        <f t="shared" si="1"/>
        <v/>
      </c>
      <c r="S18" s="76" t="str">
        <f t="shared" si="5"/>
        <v/>
      </c>
      <c r="T18" s="76" t="str">
        <f t="shared" si="6"/>
        <v>-- 院外、院内処方箋の別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milscm_2023_010.azn_202310_base_text_mml_mmlps_body.issued_to IS '院外、院内処方箋の別';</v>
      </c>
    </row>
    <row r="19" spans="1:52" s="25" customFormat="1" ht="31.5">
      <c r="A19" s="4"/>
      <c r="B19" s="21">
        <f t="shared" si="2"/>
        <v>7</v>
      </c>
      <c r="C19" s="6" t="s">
        <v>2812</v>
      </c>
      <c r="D19" s="6" t="s">
        <v>2813</v>
      </c>
      <c r="E19" s="8"/>
      <c r="F19" s="7" t="s">
        <v>1819</v>
      </c>
      <c r="G19" s="7" t="str">
        <f t="shared" si="3"/>
        <v>text</v>
      </c>
      <c r="H19" s="26"/>
      <c r="I19" s="10"/>
      <c r="J19" s="11"/>
      <c r="M19" s="4"/>
      <c r="N19" s="76"/>
      <c r="O19" s="76"/>
      <c r="P19" s="76" t="str">
        <f t="shared" si="4"/>
        <v>,narcotic_prescription_license_no</v>
      </c>
      <c r="Q19" s="76" t="str">
        <f t="shared" si="0"/>
        <v>TEXT</v>
      </c>
      <c r="R19" s="76" t="str">
        <f t="shared" si="1"/>
        <v/>
      </c>
      <c r="S19" s="76" t="str">
        <f t="shared" si="5"/>
        <v/>
      </c>
      <c r="T19" s="76" t="str">
        <f t="shared" si="6"/>
        <v>-- 麻薬施用者番号</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milscm_2023_010.azn_202310_base_text_mml_mmlps_body.narcotic_prescription_license_no IS '麻薬施用者番号';</v>
      </c>
    </row>
    <row r="20" spans="1:52" s="25" customFormat="1" ht="19.5" thickBot="1">
      <c r="A20" s="4"/>
      <c r="B20" s="27">
        <f>ROW()-12</f>
        <v>8</v>
      </c>
      <c r="C20" s="57" t="s">
        <v>2814</v>
      </c>
      <c r="D20" s="57" t="s">
        <v>2815</v>
      </c>
      <c r="E20" s="56"/>
      <c r="F20" s="56" t="s">
        <v>1819</v>
      </c>
      <c r="G20" s="56" t="str">
        <f t="shared" si="3"/>
        <v>text</v>
      </c>
      <c r="H20" s="59"/>
      <c r="I20" s="60"/>
      <c r="J20" s="63"/>
      <c r="N20" s="76"/>
      <c r="O20" s="76"/>
      <c r="P20" s="76" t="str">
        <f t="shared" si="4"/>
        <v>,comment</v>
      </c>
      <c r="Q20" s="76" t="str">
        <f t="shared" si="0"/>
        <v>TEXT</v>
      </c>
      <c r="R20" s="76" t="str">
        <f t="shared" si="1"/>
        <v/>
      </c>
      <c r="S20" s="76" t="str">
        <f t="shared" si="5"/>
        <v/>
      </c>
      <c r="T20" s="76" t="str">
        <f t="shared" si="6"/>
        <v>-- コメント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milscm_2023_010.azn_202310_base_text_mml_mmlps_body.comment IS 'コメント';</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31</v>
      </c>
      <c r="E4" s="248"/>
      <c r="F4" s="248"/>
      <c r="G4" s="248"/>
      <c r="H4" s="248"/>
      <c r="I4" s="248"/>
      <c r="J4" s="249"/>
    </row>
    <row r="5" spans="1:45">
      <c r="B5" s="261" t="s">
        <v>3704</v>
      </c>
      <c r="C5" s="262"/>
      <c r="D5" s="271" t="str">
        <f>VLOOKUP(D7,エンティティ一覧!A1:'エンティティ一覧'!AM10203,7,FALSE)</f>
        <v>base</v>
      </c>
      <c r="E5" s="272"/>
      <c r="F5" s="272"/>
      <c r="G5" s="272"/>
      <c r="H5" s="272"/>
      <c r="I5" s="272"/>
      <c r="J5" s="273"/>
    </row>
    <row r="6" spans="1:45">
      <c r="B6" s="261" t="s">
        <v>3705</v>
      </c>
      <c r="C6" s="262"/>
      <c r="D6" s="271" t="str">
        <f>VLOOKUP(D7,エンティティ一覧!A1:'エンティティ一覧'!AM10203,15,FALSE)</f>
        <v>ENT_31_A6-25</v>
      </c>
      <c r="E6" s="272"/>
      <c r="F6" s="272"/>
      <c r="G6" s="272"/>
      <c r="H6" s="272"/>
      <c r="I6" s="272"/>
      <c r="J6" s="273"/>
    </row>
    <row r="7" spans="1:45">
      <c r="B7" s="261" t="s">
        <v>115</v>
      </c>
      <c r="C7" s="262"/>
      <c r="D7" s="263" t="s">
        <v>3701</v>
      </c>
      <c r="E7" s="264"/>
      <c r="F7" s="264"/>
      <c r="G7" s="264"/>
      <c r="H7" s="264"/>
      <c r="I7" s="264"/>
      <c r="J7" s="265"/>
    </row>
    <row r="8" spans="1:45">
      <c r="B8" s="261" t="s">
        <v>116</v>
      </c>
      <c r="C8" s="262"/>
      <c r="D8" s="263" t="str">
        <f>エンティティ一覧!AE2&amp;"_"&amp;D5&amp;"_text_mml_mmlps_medication"</f>
        <v>azn_202310_base_text_mml_mmlps_medication</v>
      </c>
      <c r="E8" s="264"/>
      <c r="F8" s="264"/>
      <c r="G8" s="264"/>
      <c r="H8" s="264"/>
      <c r="I8" s="264"/>
      <c r="J8" s="265"/>
    </row>
    <row r="9" spans="1:45" ht="19.5" customHeight="1" thickBot="1">
      <c r="B9" s="266" t="s">
        <v>117</v>
      </c>
      <c r="C9" s="267"/>
      <c r="D9" s="268" t="str">
        <f>"バックアップ_"&amp;SUBSTITUTE(D7,"ベース_","")&amp;"テーブルから対象患者で絞り込んだ結果を格納するテーブル"</f>
        <v>バックアップ_MML_処方箋モジュール_投薬テーブルから対象患者で絞り込んだ結果を格納するテーブル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milscm_2023_010.azn_202310_base_text_mml_mmlps_medication;</v>
      </c>
      <c r="O10" s="76"/>
      <c r="P10" s="76"/>
      <c r="Q10" s="76"/>
      <c r="R10" s="76"/>
      <c r="S10" s="76"/>
      <c r="T10" s="76"/>
      <c r="AJ10" s="76" t="str">
        <f>"ALTER TABLE ONLY "&amp;エンティティ一覧!$O$2&amp;"."&amp;D$8</f>
        <v>ALTER TABLE ONLY milscm_2023_010.azn_202310_base_text_mml_mmlps_medication</v>
      </c>
      <c r="AS10" s="76" t="str">
        <f>"ALTER TABLE "&amp;エンティティ一覧!$O$2&amp;"."&amp;D$8&amp;" OWNER TO pgmisgrp1;"</f>
        <v>ALTER TABLE milscm_2023_010.azn_202310_base_text_mml_mmlps_medication OWNER TO pgmisgrp1;</v>
      </c>
    </row>
    <row r="11" spans="1:45" ht="19.5" thickBot="1">
      <c r="B11" s="20" t="s">
        <v>118</v>
      </c>
      <c r="C11" s="19"/>
      <c r="D11" s="5"/>
      <c r="E11" s="5"/>
      <c r="F11" s="5"/>
      <c r="G11" s="5"/>
      <c r="H11" s="5"/>
      <c r="I11" s="5"/>
      <c r="J11" s="18"/>
      <c r="N11" s="76" t="str">
        <f>"CREATE TABLE  "&amp;エンティティ一覧!$O$2&amp;"."&amp;D$8</f>
        <v>CREATE TABLE  milscm_2023_010.azn_202310_base_text_mml_mmlps_medication</v>
      </c>
      <c r="O11" s="76"/>
      <c r="P11" s="76"/>
      <c r="Q11" s="76"/>
      <c r="R11" s="76"/>
      <c r="S11" s="76"/>
      <c r="T11" s="76"/>
      <c r="AJ11" s="76" t="str">
        <f>"ADD CONSTRAINT "&amp;D$8&amp;"_pkey PRIMARY KEY"</f>
        <v>ADD CONSTRAINT azn_202310_base_text_mml_mmlps_medication_pkey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milscm_2023_010.azn_202310_base_text_mml_mmlps_medication IS 'ベース_MML_処方箋モジュール_投薬';</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33" si="0">UPPER(G13)</f>
        <v>INTEGER</v>
      </c>
      <c r="R13" s="76" t="str">
        <f t="shared" ref="R13:R3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milscm_2023_010.azn_202310_base_text_mml_mmlps_medication.zip_no IS 'ZipファイルNo';</v>
      </c>
    </row>
    <row r="14" spans="1:45" s="25" customFormat="1">
      <c r="A14" s="4"/>
      <c r="B14" s="21">
        <f t="shared" ref="B14:B32" si="2">ROW()-12</f>
        <v>2</v>
      </c>
      <c r="C14" s="6" t="s">
        <v>2781</v>
      </c>
      <c r="D14" s="6" t="s">
        <v>2782</v>
      </c>
      <c r="E14" s="8" t="s">
        <v>127</v>
      </c>
      <c r="F14" s="7" t="s">
        <v>2780</v>
      </c>
      <c r="G14" s="7" t="str">
        <f t="shared" ref="G14:G33" si="3">IF(F14="フラグ","boolean",IF(F14="文字列","text",IF(F14="整数","integer",IF(F14="実数","numeric",""))))</f>
        <v>integer</v>
      </c>
      <c r="H14" s="26"/>
      <c r="I14" s="10" t="s">
        <v>127</v>
      </c>
      <c r="J14" s="11"/>
      <c r="M14" s="4"/>
      <c r="N14" s="76"/>
      <c r="O14" s="76"/>
      <c r="P14" s="76" t="str">
        <f t="shared" ref="P14:P33" si="4">IF(B14&lt;&gt;1,","&amp;D14,D14)</f>
        <v>,file_no</v>
      </c>
      <c r="Q14" s="76" t="str">
        <f t="shared" si="0"/>
        <v>INTEGER</v>
      </c>
      <c r="R14" s="76" t="str">
        <f t="shared" si="1"/>
        <v/>
      </c>
      <c r="S14" s="76" t="str">
        <f t="shared" ref="S14:S33" si="5">IF(I14="○","NOT NULL","")</f>
        <v>NOT NULL</v>
      </c>
      <c r="T14" s="76" t="str">
        <f t="shared" ref="T14:T3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milscm_2023_010.azn_202310_base_text_mml_mmlps_medication.file_no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milscm_2023_010.azn_202310_base_text_mml_mmlps_medication.body_no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milscm_2023_010.azn_202310_base_text_mml_mmlps_medication.facility_id_mml IS '施設ID（MML）';</v>
      </c>
    </row>
    <row r="17" spans="1:45"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milscm_2023_010.azn_202310_base_text_mml_mmlps_medication.master_id IS '患者ID';</v>
      </c>
    </row>
    <row r="18" spans="1:45" s="25" customFormat="1">
      <c r="A18" s="4"/>
      <c r="B18" s="21">
        <f t="shared" si="2"/>
        <v>6</v>
      </c>
      <c r="C18" s="6" t="s">
        <v>2818</v>
      </c>
      <c r="D18" s="6" t="s">
        <v>2819</v>
      </c>
      <c r="E18" s="8" t="s">
        <v>127</v>
      </c>
      <c r="F18" s="7" t="s">
        <v>2780</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milscm_2023_010.azn_202310_base_text_mml_mmlps_medication.medication_no IS '投薬No';</v>
      </c>
    </row>
    <row r="19" spans="1:45" s="25" customFormat="1">
      <c r="A19" s="4"/>
      <c r="B19" s="21">
        <f t="shared" si="2"/>
        <v>7</v>
      </c>
      <c r="C19" s="6" t="s">
        <v>2820</v>
      </c>
      <c r="D19" s="6" t="s">
        <v>2821</v>
      </c>
      <c r="E19" s="8"/>
      <c r="F19" s="7" t="s">
        <v>1819</v>
      </c>
      <c r="G19" s="7" t="str">
        <f t="shared" si="3"/>
        <v>text</v>
      </c>
      <c r="H19" s="26"/>
      <c r="I19" s="10"/>
      <c r="J19" s="11"/>
      <c r="M19" s="4"/>
      <c r="N19" s="76"/>
      <c r="O19" s="76"/>
      <c r="P19" s="76" t="str">
        <f t="shared" si="4"/>
        <v>,medicine_name</v>
      </c>
      <c r="Q19" s="76" t="str">
        <f t="shared" si="0"/>
        <v>TEXT</v>
      </c>
      <c r="R19" s="76" t="str">
        <f t="shared" si="1"/>
        <v/>
      </c>
      <c r="S19" s="76" t="str">
        <f t="shared" si="5"/>
        <v/>
      </c>
      <c r="T19" s="76" t="str">
        <f t="shared" si="6"/>
        <v>-- 薬剤名称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milscm_2023_010.azn_202310_base_text_mml_mmlps_medication.medicine_name IS '薬剤名称';</v>
      </c>
    </row>
    <row r="20" spans="1:45" s="25" customFormat="1">
      <c r="A20" s="4"/>
      <c r="B20" s="21">
        <f t="shared" si="2"/>
        <v>8</v>
      </c>
      <c r="C20" s="6" t="s">
        <v>2822</v>
      </c>
      <c r="D20" s="6" t="s">
        <v>2823</v>
      </c>
      <c r="E20" s="8"/>
      <c r="F20" s="7" t="s">
        <v>1819</v>
      </c>
      <c r="G20" s="7" t="str">
        <f t="shared" si="3"/>
        <v>text</v>
      </c>
      <c r="H20" s="26"/>
      <c r="I20" s="10"/>
      <c r="J20" s="11"/>
      <c r="M20" s="4"/>
      <c r="N20" s="76"/>
      <c r="O20" s="76"/>
      <c r="P20" s="76" t="str">
        <f t="shared" si="4"/>
        <v>,dose</v>
      </c>
      <c r="Q20" s="76" t="str">
        <f t="shared" si="0"/>
        <v>TEXT</v>
      </c>
      <c r="R20" s="76" t="str">
        <f t="shared" si="1"/>
        <v/>
      </c>
      <c r="S20" s="76" t="str">
        <f t="shared" si="5"/>
        <v/>
      </c>
      <c r="T20" s="76" t="str">
        <f t="shared" si="6"/>
        <v>-- 用量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milscm_2023_010.azn_202310_base_text_mml_mmlps_medication.dose IS '用量';</v>
      </c>
    </row>
    <row r="21" spans="1:45" s="25" customFormat="1">
      <c r="A21" s="4"/>
      <c r="B21" s="21">
        <f t="shared" si="2"/>
        <v>9</v>
      </c>
      <c r="C21" s="6" t="s">
        <v>2824</v>
      </c>
      <c r="D21" s="6" t="s">
        <v>2825</v>
      </c>
      <c r="E21" s="8"/>
      <c r="F21" s="7" t="s">
        <v>1819</v>
      </c>
      <c r="G21" s="7" t="str">
        <f t="shared" si="3"/>
        <v>text</v>
      </c>
      <c r="H21" s="26"/>
      <c r="I21" s="10"/>
      <c r="J21" s="11"/>
      <c r="M21" s="4"/>
      <c r="N21" s="76"/>
      <c r="O21" s="76"/>
      <c r="P21" s="76" t="str">
        <f t="shared" si="4"/>
        <v>,dose_unit</v>
      </c>
      <c r="Q21" s="76" t="str">
        <f t="shared" si="0"/>
        <v>TEXT</v>
      </c>
      <c r="R21" s="76" t="str">
        <f t="shared" si="1"/>
        <v/>
      </c>
      <c r="S21" s="76" t="str">
        <f t="shared" si="5"/>
        <v/>
      </c>
      <c r="T21" s="76" t="str">
        <f t="shared" si="6"/>
        <v>-- 用量の単位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milscm_2023_010.azn_202310_base_text_mml_mmlps_medication.dose_unit IS '用量の単位';</v>
      </c>
    </row>
    <row r="22" spans="1:45" s="25" customFormat="1">
      <c r="A22" s="4"/>
      <c r="B22" s="21">
        <f t="shared" si="2"/>
        <v>10</v>
      </c>
      <c r="C22" s="6" t="s">
        <v>2826</v>
      </c>
      <c r="D22" s="6" t="s">
        <v>2827</v>
      </c>
      <c r="E22" s="8"/>
      <c r="F22" s="7" t="s">
        <v>1819</v>
      </c>
      <c r="G22" s="7" t="str">
        <f t="shared" si="3"/>
        <v>text</v>
      </c>
      <c r="H22" s="26"/>
      <c r="I22" s="10"/>
      <c r="J22" s="11"/>
      <c r="M22" s="4"/>
      <c r="N22" s="76"/>
      <c r="O22" s="76"/>
      <c r="P22" s="76" t="str">
        <f t="shared" si="4"/>
        <v>,frequency_per_day</v>
      </c>
      <c r="Q22" s="76" t="str">
        <f t="shared" si="0"/>
        <v>TEXT</v>
      </c>
      <c r="R22" s="76" t="str">
        <f t="shared" si="1"/>
        <v/>
      </c>
      <c r="S22" s="76" t="str">
        <f t="shared" si="5"/>
        <v/>
      </c>
      <c r="T22" s="76" t="str">
        <f t="shared" si="6"/>
        <v>-- 一日の内服回数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milscm_2023_010.azn_202310_base_text_mml_mmlps_medication.frequency_per_day IS '一日の内服回数';</v>
      </c>
    </row>
    <row r="23" spans="1:45" s="25" customFormat="1">
      <c r="A23" s="4"/>
      <c r="B23" s="21">
        <f t="shared" si="2"/>
        <v>11</v>
      </c>
      <c r="C23" s="6" t="s">
        <v>2828</v>
      </c>
      <c r="D23" s="6" t="s">
        <v>2787</v>
      </c>
      <c r="E23" s="8"/>
      <c r="F23" s="7" t="s">
        <v>1819</v>
      </c>
      <c r="G23" s="7" t="str">
        <f t="shared" si="3"/>
        <v>text</v>
      </c>
      <c r="H23" s="26"/>
      <c r="I23" s="10"/>
      <c r="J23" s="11" t="s">
        <v>2849</v>
      </c>
      <c r="M23" s="4"/>
      <c r="N23" s="76"/>
      <c r="O23" s="76"/>
      <c r="P23" s="76" t="str">
        <f t="shared" si="4"/>
        <v>,start_date</v>
      </c>
      <c r="Q23" s="76" t="str">
        <f t="shared" si="0"/>
        <v>TEXT</v>
      </c>
      <c r="R23" s="76" t="str">
        <f t="shared" si="1"/>
        <v/>
      </c>
      <c r="S23" s="76" t="str">
        <f t="shared" si="5"/>
        <v/>
      </c>
      <c r="T23" s="76" t="str">
        <f t="shared" si="6"/>
        <v>-- 服薬開始日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milscm_2023_010.azn_202310_base_text_mml_mmlps_medication.start_date IS '服薬開始日';</v>
      </c>
    </row>
    <row r="24" spans="1:45" s="25" customFormat="1">
      <c r="A24" s="4"/>
      <c r="B24" s="21">
        <f t="shared" si="2"/>
        <v>12</v>
      </c>
      <c r="C24" s="6" t="s">
        <v>2829</v>
      </c>
      <c r="D24" s="6" t="s">
        <v>2830</v>
      </c>
      <c r="E24" s="8"/>
      <c r="F24" s="7" t="s">
        <v>1819</v>
      </c>
      <c r="G24" s="7" t="str">
        <f t="shared" si="3"/>
        <v>text</v>
      </c>
      <c r="H24" s="26"/>
      <c r="I24" s="10"/>
      <c r="J24" s="11"/>
      <c r="M24" s="4"/>
      <c r="N24" s="76"/>
      <c r="O24" s="76"/>
      <c r="P24" s="76" t="str">
        <f t="shared" si="4"/>
        <v>,duration</v>
      </c>
      <c r="Q24" s="76" t="str">
        <f t="shared" si="0"/>
        <v>TEXT</v>
      </c>
      <c r="R24" s="76" t="str">
        <f t="shared" si="1"/>
        <v/>
      </c>
      <c r="S24" s="76" t="str">
        <f t="shared" si="5"/>
        <v/>
      </c>
      <c r="T24" s="76" t="str">
        <f t="shared" si="6"/>
        <v>-- 服薬期間（日数）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milscm_2023_010.azn_202310_base_text_mml_mmlps_medication.duration IS '服薬期間（日数）';</v>
      </c>
    </row>
    <row r="25" spans="1:45" s="25" customFormat="1">
      <c r="A25" s="4"/>
      <c r="B25" s="21">
        <f t="shared" si="2"/>
        <v>13</v>
      </c>
      <c r="C25" s="6" t="s">
        <v>2831</v>
      </c>
      <c r="D25" s="6" t="s">
        <v>2832</v>
      </c>
      <c r="E25" s="8"/>
      <c r="F25" s="7" t="s">
        <v>1819</v>
      </c>
      <c r="G25" s="7" t="str">
        <f t="shared" si="3"/>
        <v>text</v>
      </c>
      <c r="H25" s="26"/>
      <c r="I25" s="10"/>
      <c r="J25" s="11"/>
      <c r="M25" s="4"/>
      <c r="N25" s="76"/>
      <c r="O25" s="76"/>
      <c r="P25" s="76" t="str">
        <f t="shared" si="4"/>
        <v>,instruction</v>
      </c>
      <c r="Q25" s="76" t="str">
        <f t="shared" si="0"/>
        <v>TEXT</v>
      </c>
      <c r="R25" s="76" t="str">
        <f t="shared" si="1"/>
        <v/>
      </c>
      <c r="S25" s="76" t="str">
        <f t="shared" si="5"/>
        <v/>
      </c>
      <c r="T25" s="76" t="str">
        <f t="shared" si="6"/>
        <v>-- 用法指示</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milscm_2023_010.azn_202310_base_text_mml_mmlps_medication.instruction IS '用法指示';</v>
      </c>
    </row>
    <row r="26" spans="1:45" s="25" customFormat="1">
      <c r="A26" s="4"/>
      <c r="B26" s="21">
        <f t="shared" si="2"/>
        <v>14</v>
      </c>
      <c r="C26" s="6" t="s">
        <v>2833</v>
      </c>
      <c r="D26" s="6" t="s">
        <v>2834</v>
      </c>
      <c r="E26" s="8"/>
      <c r="F26" s="7" t="s">
        <v>1819</v>
      </c>
      <c r="G26" s="7" t="str">
        <f t="shared" si="3"/>
        <v>text</v>
      </c>
      <c r="H26" s="26"/>
      <c r="I26" s="10"/>
      <c r="J26" s="11" t="s">
        <v>2850</v>
      </c>
      <c r="M26" s="4"/>
      <c r="N26" s="76"/>
      <c r="O26" s="76"/>
      <c r="P26" s="76" t="str">
        <f t="shared" si="4"/>
        <v>,prn</v>
      </c>
      <c r="Q26" s="76" t="str">
        <f t="shared" si="0"/>
        <v>TEXT</v>
      </c>
      <c r="R26" s="76" t="str">
        <f t="shared" si="1"/>
        <v/>
      </c>
      <c r="S26" s="76" t="str">
        <f t="shared" si="5"/>
        <v/>
      </c>
      <c r="T26" s="76" t="str">
        <f t="shared" si="6"/>
        <v>-- 頓用指示</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milscm_2023_010.azn_202310_base_text_mml_mmlps_medication.prn IS '頓用指示';</v>
      </c>
    </row>
    <row r="27" spans="1:45" s="25" customFormat="1">
      <c r="A27" s="4"/>
      <c r="B27" s="21">
        <f t="shared" si="2"/>
        <v>15</v>
      </c>
      <c r="C27" s="6" t="s">
        <v>2835</v>
      </c>
      <c r="D27" s="6" t="s">
        <v>2836</v>
      </c>
      <c r="E27" s="8"/>
      <c r="F27" s="7" t="s">
        <v>1819</v>
      </c>
      <c r="G27" s="7" t="str">
        <f t="shared" si="3"/>
        <v>text</v>
      </c>
      <c r="H27" s="26"/>
      <c r="I27" s="10"/>
      <c r="J27" s="11"/>
      <c r="M27" s="4"/>
      <c r="N27" s="76"/>
      <c r="O27" s="76"/>
      <c r="P27" s="76" t="str">
        <f t="shared" si="4"/>
        <v>,repetitions</v>
      </c>
      <c r="Q27" s="76" t="str">
        <f t="shared" si="0"/>
        <v>TEXT</v>
      </c>
      <c r="R27" s="76" t="str">
        <f t="shared" si="1"/>
        <v/>
      </c>
      <c r="S27" s="76" t="str">
        <f t="shared" si="5"/>
        <v/>
      </c>
      <c r="T27" s="76" t="str">
        <f t="shared" si="6"/>
        <v>-- 総投与回数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milscm_2023_010.azn_202310_base_text_mml_mmlps_medication.repetitions IS '総投与回数';</v>
      </c>
    </row>
    <row r="28" spans="1:45" s="25" customFormat="1">
      <c r="A28" s="4"/>
      <c r="B28" s="21">
        <f t="shared" si="2"/>
        <v>16</v>
      </c>
      <c r="C28" s="6" t="s">
        <v>2837</v>
      </c>
      <c r="D28" s="6" t="s">
        <v>2838</v>
      </c>
      <c r="E28" s="8"/>
      <c r="F28" s="7" t="s">
        <v>1819</v>
      </c>
      <c r="G28" s="7" t="str">
        <f t="shared" si="3"/>
        <v>text</v>
      </c>
      <c r="H28" s="26"/>
      <c r="I28" s="10"/>
      <c r="J28" s="11"/>
      <c r="M28" s="4"/>
      <c r="N28" s="76"/>
      <c r="O28" s="76"/>
      <c r="P28" s="76" t="str">
        <f t="shared" si="4"/>
        <v>,route</v>
      </c>
      <c r="Q28" s="76" t="str">
        <f t="shared" si="0"/>
        <v>TEXT</v>
      </c>
      <c r="R28" s="76" t="str">
        <f t="shared" si="1"/>
        <v/>
      </c>
      <c r="S28" s="76" t="str">
        <f t="shared" si="5"/>
        <v/>
      </c>
      <c r="T28" s="76" t="str">
        <f t="shared" si="6"/>
        <v>-- 投与経路</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milscm_2023_010.azn_202310_base_text_mml_mmlps_medication.route IS '投与経路';</v>
      </c>
    </row>
    <row r="29" spans="1:45" s="25" customFormat="1">
      <c r="A29" s="4"/>
      <c r="B29" s="21">
        <f t="shared" si="2"/>
        <v>17</v>
      </c>
      <c r="C29" s="6" t="s">
        <v>2839</v>
      </c>
      <c r="D29" s="6" t="s">
        <v>2840</v>
      </c>
      <c r="E29" s="8"/>
      <c r="F29" s="7" t="s">
        <v>1819</v>
      </c>
      <c r="G29" s="7" t="str">
        <f t="shared" si="3"/>
        <v>text</v>
      </c>
      <c r="H29" s="26"/>
      <c r="I29" s="10"/>
      <c r="J29" s="11"/>
      <c r="M29" s="4"/>
      <c r="N29" s="76"/>
      <c r="O29" s="76"/>
      <c r="P29" s="76" t="str">
        <f t="shared" si="4"/>
        <v>,form</v>
      </c>
      <c r="Q29" s="76" t="str">
        <f t="shared" si="0"/>
        <v>TEXT</v>
      </c>
      <c r="R29" s="76" t="str">
        <f t="shared" si="1"/>
        <v/>
      </c>
      <c r="S29" s="76" t="str">
        <f t="shared" si="5"/>
        <v/>
      </c>
      <c r="T29" s="76" t="str">
        <f t="shared" si="6"/>
        <v>-- 剤形</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milscm_2023_010.azn_202310_base_text_mml_mmlps_medication.form IS '剤形';</v>
      </c>
    </row>
    <row r="30" spans="1:45" s="25" customFormat="1">
      <c r="A30" s="4"/>
      <c r="B30" s="21">
        <f t="shared" si="2"/>
        <v>18</v>
      </c>
      <c r="C30" s="6" t="s">
        <v>2841</v>
      </c>
      <c r="D30" s="6" t="s">
        <v>2842</v>
      </c>
      <c r="E30" s="8"/>
      <c r="F30" s="7" t="s">
        <v>1819</v>
      </c>
      <c r="G30" s="7" t="str">
        <f t="shared" si="3"/>
        <v>text</v>
      </c>
      <c r="H30" s="26"/>
      <c r="I30" s="10"/>
      <c r="J30" s="11"/>
      <c r="M30" s="4"/>
      <c r="N30" s="76"/>
      <c r="O30" s="76"/>
      <c r="P30" s="76" t="str">
        <f t="shared" si="4"/>
        <v>,batch_no</v>
      </c>
      <c r="Q30" s="76" t="str">
        <f t="shared" si="0"/>
        <v>TEXT</v>
      </c>
      <c r="R30" s="76" t="str">
        <f t="shared" si="1"/>
        <v/>
      </c>
      <c r="S30" s="76" t="str">
        <f t="shared" si="5"/>
        <v/>
      </c>
      <c r="T30" s="76" t="str">
        <f t="shared" si="6"/>
        <v>-- 処方番号</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milscm_2023_010.azn_202310_base_text_mml_mmlps_medication.batch_no IS '処方番号';</v>
      </c>
    </row>
    <row r="31" spans="1:45" s="25" customFormat="1" ht="37.5">
      <c r="A31" s="4"/>
      <c r="B31" s="21">
        <f t="shared" si="2"/>
        <v>19</v>
      </c>
      <c r="C31" s="6" t="s">
        <v>2843</v>
      </c>
      <c r="D31" s="6" t="s">
        <v>2844</v>
      </c>
      <c r="E31" s="8"/>
      <c r="F31" s="7" t="s">
        <v>1819</v>
      </c>
      <c r="G31" s="7" t="str">
        <f t="shared" si="3"/>
        <v>text</v>
      </c>
      <c r="H31" s="26"/>
      <c r="I31" s="10"/>
      <c r="J31" s="11" t="s">
        <v>2851</v>
      </c>
      <c r="M31" s="4"/>
      <c r="N31" s="76"/>
      <c r="O31" s="76"/>
      <c r="P31" s="76" t="str">
        <f t="shared" si="4"/>
        <v>,brand_substitution_permitted</v>
      </c>
      <c r="Q31" s="76" t="str">
        <f t="shared" si="0"/>
        <v>TEXT</v>
      </c>
      <c r="R31" s="76" t="str">
        <f t="shared" si="1"/>
        <v/>
      </c>
      <c r="S31" s="76" t="str">
        <f t="shared" si="5"/>
        <v/>
      </c>
      <c r="T31" s="76" t="str">
        <f t="shared" si="6"/>
        <v>-- ジェネリック医薬品への代替可</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milscm_2023_010.azn_202310_base_text_mml_mmlps_medication.brand_substitution_permitted IS 'ジェネリック医薬品への代替可';</v>
      </c>
    </row>
    <row r="32" spans="1:45" s="25" customFormat="1">
      <c r="A32" s="4"/>
      <c r="B32" s="21">
        <f t="shared" si="2"/>
        <v>20</v>
      </c>
      <c r="C32" s="6" t="s">
        <v>2845</v>
      </c>
      <c r="D32" s="6" t="s">
        <v>2846</v>
      </c>
      <c r="E32" s="8"/>
      <c r="F32" s="7" t="s">
        <v>1819</v>
      </c>
      <c r="G32" s="7" t="str">
        <f t="shared" si="3"/>
        <v>text</v>
      </c>
      <c r="H32" s="26"/>
      <c r="I32" s="10"/>
      <c r="J32" s="11" t="s">
        <v>2852</v>
      </c>
      <c r="M32" s="4"/>
      <c r="N32" s="76"/>
      <c r="O32" s="76"/>
      <c r="P32" s="76" t="str">
        <f t="shared" si="4"/>
        <v>,long_term</v>
      </c>
      <c r="Q32" s="76" t="str">
        <f t="shared" si="0"/>
        <v>TEXT</v>
      </c>
      <c r="R32" s="76" t="str">
        <f t="shared" si="1"/>
        <v/>
      </c>
      <c r="S32" s="76" t="str">
        <f t="shared" si="5"/>
        <v/>
      </c>
      <c r="T32" s="76" t="str">
        <f t="shared" si="6"/>
        <v>-- 長期処方可</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milscm_2023_010.azn_202310_base_text_mml_mmlps_medication.long_term IS '長期処方可';</v>
      </c>
    </row>
    <row r="33" spans="1:52" s="25" customFormat="1" ht="19.5" thickBot="1">
      <c r="A33" s="4"/>
      <c r="B33" s="27">
        <f>ROW()-12</f>
        <v>21</v>
      </c>
      <c r="C33" s="57" t="s">
        <v>2847</v>
      </c>
      <c r="D33" s="57" t="s">
        <v>2848</v>
      </c>
      <c r="E33" s="56"/>
      <c r="F33" s="56" t="s">
        <v>1819</v>
      </c>
      <c r="G33" s="56" t="str">
        <f t="shared" si="3"/>
        <v>text</v>
      </c>
      <c r="H33" s="59"/>
      <c r="I33" s="60"/>
      <c r="J33" s="63"/>
      <c r="N33" s="76"/>
      <c r="O33" s="76"/>
      <c r="P33" s="76" t="str">
        <f t="shared" si="4"/>
        <v>,additional_instruction</v>
      </c>
      <c r="Q33" s="76" t="str">
        <f t="shared" si="0"/>
        <v>TEXT</v>
      </c>
      <c r="R33" s="76" t="str">
        <f t="shared" si="1"/>
        <v/>
      </c>
      <c r="S33" s="76" t="str">
        <f t="shared" si="5"/>
        <v/>
      </c>
      <c r="T33" s="76" t="str">
        <f t="shared" si="6"/>
        <v>-- 追加指示，コメント</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milscm_2023_010.azn_202310_base_text_mml_mmlps_medication.additional_instruction IS '追加指示，コメント';</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31</v>
      </c>
      <c r="E4" s="248"/>
      <c r="F4" s="248"/>
      <c r="G4" s="248"/>
      <c r="H4" s="248"/>
      <c r="I4" s="248"/>
      <c r="J4" s="249"/>
    </row>
    <row r="5" spans="1:45">
      <c r="B5" s="261" t="s">
        <v>3704</v>
      </c>
      <c r="C5" s="262"/>
      <c r="D5" s="271" t="str">
        <f>VLOOKUP(D7,エンティティ一覧!A1:'エンティティ一覧'!AM10203,7,FALSE)</f>
        <v>base</v>
      </c>
      <c r="E5" s="272"/>
      <c r="F5" s="272"/>
      <c r="G5" s="272"/>
      <c r="H5" s="272"/>
      <c r="I5" s="272"/>
      <c r="J5" s="273"/>
    </row>
    <row r="6" spans="1:45">
      <c r="B6" s="261" t="s">
        <v>3705</v>
      </c>
      <c r="C6" s="262"/>
      <c r="D6" s="271" t="str">
        <f>VLOOKUP(D7,エンティティ一覧!A1:'エンティティ一覧'!AM10203,15,FALSE)</f>
        <v>ENT_31_A6-26</v>
      </c>
      <c r="E6" s="272"/>
      <c r="F6" s="272"/>
      <c r="G6" s="272"/>
      <c r="H6" s="272"/>
      <c r="I6" s="272"/>
      <c r="J6" s="273"/>
    </row>
    <row r="7" spans="1:45">
      <c r="B7" s="261" t="s">
        <v>115</v>
      </c>
      <c r="C7" s="262"/>
      <c r="D7" s="263" t="s">
        <v>3702</v>
      </c>
      <c r="E7" s="264"/>
      <c r="F7" s="264"/>
      <c r="G7" s="264"/>
      <c r="H7" s="264"/>
      <c r="I7" s="264"/>
      <c r="J7" s="265"/>
    </row>
    <row r="8" spans="1:45">
      <c r="B8" s="261" t="s">
        <v>116</v>
      </c>
      <c r="C8" s="262"/>
      <c r="D8" s="263" t="str">
        <f>エンティティ一覧!AE2&amp;"_"&amp;D5&amp;"_text_mml_mmlps_medicine"</f>
        <v>azn_202310_base_text_mml_mmlps_medicine</v>
      </c>
      <c r="E8" s="264"/>
      <c r="F8" s="264"/>
      <c r="G8" s="264"/>
      <c r="H8" s="264"/>
      <c r="I8" s="264"/>
      <c r="J8" s="265"/>
    </row>
    <row r="9" spans="1:45" ht="19.5" customHeight="1" thickBot="1">
      <c r="B9" s="266" t="s">
        <v>117</v>
      </c>
      <c r="C9" s="267"/>
      <c r="D9" s="268" t="str">
        <f>"バックアップ_"&amp;SUBSTITUTE(D7,"ベース_","")&amp;"テーブルから対象患者で絞り込んだ結果を格納するテーブル"</f>
        <v>バックアップ_MML_処方箋モジュール_薬剤テーブルから対象患者で絞り込んだ結果を格納するテーブル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milscm_2023_010.azn_202310_base_text_mml_mmlps_medicine;</v>
      </c>
      <c r="O10" s="76"/>
      <c r="P10" s="76"/>
      <c r="Q10" s="76"/>
      <c r="R10" s="76"/>
      <c r="S10" s="76"/>
      <c r="T10" s="76"/>
      <c r="AJ10" s="76" t="str">
        <f>"ALTER TABLE ONLY "&amp;エンティティ一覧!$O$2&amp;"."&amp;D$8</f>
        <v>ALTER TABLE ONLY milscm_2023_010.azn_202310_base_text_mml_mmlps_medicine</v>
      </c>
      <c r="AS10" s="76" t="str">
        <f>"ALTER TABLE "&amp;エンティティ一覧!$O$2&amp;"."&amp;D$8&amp;" OWNER TO pgmisgrp1;"</f>
        <v>ALTER TABLE milscm_2023_010.azn_202310_base_text_mml_mmlps_medicine OWNER TO pgmisgrp1;</v>
      </c>
    </row>
    <row r="11" spans="1:45" ht="19.5" thickBot="1">
      <c r="B11" s="20" t="s">
        <v>118</v>
      </c>
      <c r="C11" s="19"/>
      <c r="D11" s="5"/>
      <c r="E11" s="5"/>
      <c r="F11" s="5"/>
      <c r="G11" s="5"/>
      <c r="H11" s="5"/>
      <c r="I11" s="5"/>
      <c r="J11" s="18"/>
      <c r="N11" s="76" t="str">
        <f>"CREATE TABLE  "&amp;エンティティ一覧!$O$2&amp;"."&amp;D$8</f>
        <v>CREATE TABLE  milscm_2023_010.azn_202310_base_text_mml_mmlps_medicine</v>
      </c>
      <c r="O11" s="76"/>
      <c r="P11" s="76"/>
      <c r="Q11" s="76"/>
      <c r="R11" s="76"/>
      <c r="S11" s="76"/>
      <c r="T11" s="76"/>
      <c r="AJ11" s="76" t="str">
        <f>"ADD CONSTRAINT "&amp;D$8&amp;"_pkey PRIMARY KEY"</f>
        <v>ADD CONSTRAINT azn_202310_base_text_mml_mmlps_medicine_pkey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milscm_2023_010.azn_202310_base_text_mml_mmlps_medicine IS 'ベース_MML_処方箋モジュール_薬剤';</v>
      </c>
    </row>
    <row r="13" spans="1:45" s="25" customFormat="1">
      <c r="A13" s="4"/>
      <c r="B13" s="21">
        <f>ROW()-12</f>
        <v>1</v>
      </c>
      <c r="C13" s="6" t="s">
        <v>2778</v>
      </c>
      <c r="D13" s="6" t="s">
        <v>2779</v>
      </c>
      <c r="E13" s="8" t="s">
        <v>127</v>
      </c>
      <c r="F13" s="8" t="s">
        <v>2780</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milscm_2023_010.azn_202310_base_text_mml_mmlps_medicine.zip_no IS 'ZipファイルNo';</v>
      </c>
    </row>
    <row r="14" spans="1:45" s="25" customFormat="1">
      <c r="A14" s="4"/>
      <c r="B14" s="21">
        <f t="shared" ref="B14:B20" si="2">ROW()-12</f>
        <v>2</v>
      </c>
      <c r="C14" s="6" t="s">
        <v>2781</v>
      </c>
      <c r="D14" s="6" t="s">
        <v>2782</v>
      </c>
      <c r="E14" s="8" t="s">
        <v>127</v>
      </c>
      <c r="F14" s="7" t="s">
        <v>2780</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milscm_2023_010.azn_202310_base_text_mml_mmlps_medicine.file_no IS 'ファイルNo';</v>
      </c>
    </row>
    <row r="15" spans="1:45" s="25" customFormat="1">
      <c r="A15" s="4"/>
      <c r="B15" s="21">
        <f t="shared" si="2"/>
        <v>3</v>
      </c>
      <c r="C15" s="6" t="s">
        <v>2783</v>
      </c>
      <c r="D15" s="6" t="s">
        <v>2784</v>
      </c>
      <c r="E15" s="8" t="s">
        <v>127</v>
      </c>
      <c r="F15" s="7" t="s">
        <v>2780</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milscm_2023_010.azn_202310_base_text_mml_mmlps_medicine.body_no IS '本文No';</v>
      </c>
    </row>
    <row r="16" spans="1:45" s="25" customFormat="1">
      <c r="A16" s="4"/>
      <c r="B16" s="21">
        <f t="shared" si="2"/>
        <v>4</v>
      </c>
      <c r="C16" s="6" t="s">
        <v>2785</v>
      </c>
      <c r="D16" s="6" t="s">
        <v>2401</v>
      </c>
      <c r="E16" s="8"/>
      <c r="F16" s="7" t="s">
        <v>1819</v>
      </c>
      <c r="G16" s="7" t="str">
        <f t="shared" si="3"/>
        <v>text</v>
      </c>
      <c r="H16" s="26"/>
      <c r="I16" s="10" t="s">
        <v>127</v>
      </c>
      <c r="J16" s="11" t="s">
        <v>2791</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milscm_2023_010.azn_202310_base_text_mml_mmlps_medicine.facility_id_mml IS '施設ID（MML）';</v>
      </c>
    </row>
    <row r="17" spans="1:52" s="25" customFormat="1">
      <c r="A17" s="4"/>
      <c r="B17" s="21">
        <f t="shared" si="2"/>
        <v>5</v>
      </c>
      <c r="C17" s="6" t="s">
        <v>2786</v>
      </c>
      <c r="D17" s="6" t="s">
        <v>1244</v>
      </c>
      <c r="E17" s="8"/>
      <c r="F17" s="7" t="s">
        <v>1819</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milscm_2023_010.azn_202310_base_text_mml_mmlps_medicine.master_id IS '患者ID';</v>
      </c>
    </row>
    <row r="18" spans="1:52" s="25" customFormat="1">
      <c r="A18" s="4"/>
      <c r="B18" s="21">
        <f t="shared" si="2"/>
        <v>6</v>
      </c>
      <c r="C18" s="6" t="s">
        <v>2818</v>
      </c>
      <c r="D18" s="6" t="s">
        <v>2819</v>
      </c>
      <c r="E18" s="8" t="s">
        <v>127</v>
      </c>
      <c r="F18" s="7" t="s">
        <v>2780</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milscm_2023_010.azn_202310_base_text_mml_mmlps_medicine.medication_no IS '投薬No';</v>
      </c>
    </row>
    <row r="19" spans="1:52" s="25" customFormat="1">
      <c r="A19" s="4"/>
      <c r="B19" s="21">
        <f t="shared" si="2"/>
        <v>7</v>
      </c>
      <c r="C19" s="6" t="s">
        <v>2854</v>
      </c>
      <c r="D19" s="6" t="s">
        <v>2855</v>
      </c>
      <c r="E19" s="8" t="s">
        <v>127</v>
      </c>
      <c r="F19" s="7" t="s">
        <v>2780</v>
      </c>
      <c r="G19" s="7" t="str">
        <f t="shared" si="3"/>
        <v>integer</v>
      </c>
      <c r="H19" s="26"/>
      <c r="I19" s="10" t="s">
        <v>127</v>
      </c>
      <c r="J19" s="11"/>
      <c r="M19" s="4"/>
      <c r="N19" s="76"/>
      <c r="O19" s="76"/>
      <c r="P19" s="76" t="str">
        <f t="shared" si="4"/>
        <v>,medicine_no</v>
      </c>
      <c r="Q19" s="76" t="str">
        <f t="shared" si="0"/>
        <v>INTEGER</v>
      </c>
      <c r="R19" s="76" t="str">
        <f t="shared" si="1"/>
        <v/>
      </c>
      <c r="S19" s="76" t="str">
        <f t="shared" si="5"/>
        <v>NOT NULL</v>
      </c>
      <c r="T19" s="76" t="str">
        <f t="shared" si="6"/>
        <v>-- 薬剤No</v>
      </c>
      <c r="U19" s="4"/>
      <c r="AA19" s="4"/>
      <c r="AB19" s="4"/>
      <c r="AC19" s="4"/>
      <c r="AD19" s="4"/>
      <c r="AE19" s="4"/>
      <c r="AF19" s="4"/>
      <c r="AG19" s="4"/>
      <c r="AH19" s="4"/>
      <c r="AI19" s="4"/>
      <c r="AJ19" s="76" t="str">
        <f>IF(E19="○",IF(COUNTA(E$13:E19)=1,"",",")&amp;D19,"")</f>
        <v>,medicine_no</v>
      </c>
      <c r="AK19" s="4"/>
      <c r="AL19" s="4"/>
      <c r="AM19" s="4"/>
      <c r="AN19" s="4"/>
      <c r="AO19" s="4"/>
      <c r="AP19" s="4"/>
      <c r="AQ19" s="4"/>
      <c r="AR19" s="4"/>
      <c r="AS19" s="76" t="str">
        <f>"COMMENT ON COLUMN "&amp;エンティティ一覧!$O$2&amp;"."&amp;D$8&amp;"."&amp;D19&amp;" IS '"&amp;C19&amp;"';"</f>
        <v>COMMENT ON COLUMN milscm_2023_010.azn_202310_base_text_mml_mmlps_medicine.medicine_no IS '薬剤No';</v>
      </c>
    </row>
    <row r="20" spans="1:52" s="25" customFormat="1">
      <c r="A20" s="4"/>
      <c r="B20" s="21">
        <f t="shared" si="2"/>
        <v>8</v>
      </c>
      <c r="C20" s="6" t="s">
        <v>2856</v>
      </c>
      <c r="D20" s="6" t="s">
        <v>358</v>
      </c>
      <c r="E20" s="8"/>
      <c r="F20" s="7" t="s">
        <v>1819</v>
      </c>
      <c r="G20" s="7" t="str">
        <f t="shared" si="3"/>
        <v>text</v>
      </c>
      <c r="H20" s="26"/>
      <c r="I20" s="10"/>
      <c r="J20" s="11"/>
      <c r="M20" s="4"/>
      <c r="N20" s="76"/>
      <c r="O20" s="76"/>
      <c r="P20" s="76" t="str">
        <f t="shared" si="4"/>
        <v>,code</v>
      </c>
      <c r="Q20" s="76" t="str">
        <f t="shared" si="0"/>
        <v>TEXT</v>
      </c>
      <c r="R20" s="76" t="str">
        <f t="shared" si="1"/>
        <v/>
      </c>
      <c r="S20" s="76" t="str">
        <f t="shared" si="5"/>
        <v/>
      </c>
      <c r="T20" s="76" t="str">
        <f t="shared" si="6"/>
        <v>-- 薬剤コード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milscm_2023_010.azn_202310_base_text_mml_mmlps_medicine.code IS '薬剤コード';</v>
      </c>
    </row>
    <row r="21" spans="1:52" s="25" customFormat="1" ht="19.5" thickBot="1">
      <c r="A21" s="4"/>
      <c r="B21" s="27">
        <f>ROW()-12</f>
        <v>9</v>
      </c>
      <c r="C21" s="57" t="s">
        <v>2857</v>
      </c>
      <c r="D21" s="57" t="s">
        <v>2801</v>
      </c>
      <c r="E21" s="56"/>
      <c r="F21" s="56" t="s">
        <v>1819</v>
      </c>
      <c r="G21" s="56" t="str">
        <f t="shared" si="3"/>
        <v>text</v>
      </c>
      <c r="H21" s="59"/>
      <c r="I21" s="60"/>
      <c r="J21" s="63"/>
      <c r="N21" s="76"/>
      <c r="O21" s="76"/>
      <c r="P21" s="76" t="str">
        <f t="shared" si="4"/>
        <v>,system</v>
      </c>
      <c r="Q21" s="76" t="str">
        <f t="shared" si="0"/>
        <v>TEXT</v>
      </c>
      <c r="R21" s="76" t="str">
        <f t="shared" si="1"/>
        <v/>
      </c>
      <c r="S21" s="76" t="str">
        <f t="shared" si="5"/>
        <v/>
      </c>
      <c r="T21" s="76" t="str">
        <f t="shared" si="6"/>
        <v>-- 薬剤コード体系</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milscm_2023_010.azn_202310_base_text_mml_mmlps_medicine.system IS '薬剤コード体系';</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4095</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31</v>
      </c>
      <c r="E4" s="248"/>
      <c r="F4" s="248"/>
      <c r="G4" s="248"/>
      <c r="H4" s="248"/>
      <c r="I4" s="248"/>
      <c r="J4" s="249"/>
    </row>
    <row r="5" spans="1:45">
      <c r="B5" s="261" t="s">
        <v>3704</v>
      </c>
      <c r="C5" s="262"/>
      <c r="D5" s="271" t="str">
        <f>VLOOKUP(D7,エンティティ一覧!A1:'エンティティ一覧'!AM10203,7,FALSE)</f>
        <v>base</v>
      </c>
      <c r="E5" s="272"/>
      <c r="F5" s="272"/>
      <c r="G5" s="272"/>
      <c r="H5" s="272"/>
      <c r="I5" s="272"/>
      <c r="J5" s="273"/>
    </row>
    <row r="6" spans="1:45">
      <c r="B6" s="261" t="s">
        <v>3705</v>
      </c>
      <c r="C6" s="262"/>
      <c r="D6" s="271" t="str">
        <f>VLOOKUP(D7,エンティティ一覧!A1:'エンティティ一覧'!AM10203,15,FALSE)</f>
        <v>ENT_31_C1-02</v>
      </c>
      <c r="E6" s="272"/>
      <c r="F6" s="272"/>
      <c r="G6" s="272"/>
      <c r="H6" s="272"/>
      <c r="I6" s="272"/>
      <c r="J6" s="273"/>
    </row>
    <row r="7" spans="1:45">
      <c r="B7" s="261" t="s">
        <v>115</v>
      </c>
      <c r="C7" s="262"/>
      <c r="D7" s="263" t="s">
        <v>308</v>
      </c>
      <c r="E7" s="264"/>
      <c r="F7" s="264"/>
      <c r="G7" s="264"/>
      <c r="H7" s="264"/>
      <c r="I7" s="264"/>
      <c r="J7" s="265"/>
    </row>
    <row r="8" spans="1:45">
      <c r="B8" s="261" t="s">
        <v>116</v>
      </c>
      <c r="C8" s="262"/>
      <c r="D8" s="263" t="str">
        <f>エンティティ一覧!AE2&amp;"_"&amp;D5&amp;"_merge_dpc_efn"</f>
        <v>azn_202310_base_merge_dpc_efn</v>
      </c>
      <c r="E8" s="264"/>
      <c r="F8" s="264"/>
      <c r="G8" s="264"/>
      <c r="H8" s="264"/>
      <c r="I8" s="264"/>
      <c r="J8" s="265"/>
    </row>
    <row r="9" spans="1:45" ht="19.5" customHeight="1" thickBot="1">
      <c r="B9" s="266" t="s">
        <v>117</v>
      </c>
      <c r="C9" s="267"/>
      <c r="D9" s="268" t="str">
        <f>"バックアップ_"&amp;SUBSTITUTE(D7,"ベース_","")&amp;"テーブルから対象患者で絞り込んだ結果を格納するテーブル"</f>
        <v>バックアップ_DPC調査データ_入院EF統合ファイルテーブルから対象患者で絞り込んだ結果を格納するテーブル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milscm_2023_010.azn_202310_base_merge_dpc_efn;</v>
      </c>
      <c r="O10" s="76"/>
      <c r="P10" s="76"/>
      <c r="Q10" s="76"/>
      <c r="R10" s="76"/>
      <c r="S10" s="76"/>
      <c r="T10" s="76"/>
      <c r="AJ10" s="76" t="str">
        <f>"ALTER TABLE ONLY "&amp;エンティティ一覧!$O$2&amp;"."&amp;D$8</f>
        <v>ALTER TABLE ONLY milscm_2023_010.azn_202310_base_merge_dpc_efn</v>
      </c>
      <c r="AS10" s="76" t="str">
        <f>"ALTER TABLE "&amp;エンティティ一覧!$O$2&amp;"."&amp;D$8&amp;" OWNER TO pgmisgrp1;"</f>
        <v>ALTER TABLE milscm_2023_010.azn_202310_base_merge_dpc_efn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milscm_2023_010.azn_202310_base_merge_dpc_efn</v>
      </c>
      <c r="O11" s="76"/>
      <c r="P11" s="76"/>
      <c r="Q11" s="76"/>
      <c r="R11" s="76"/>
      <c r="S11" s="76"/>
      <c r="T11" s="76"/>
      <c r="AJ11" s="76" t="str">
        <f>"ADD CONSTRAINT "&amp;D$8&amp;"_pkey PRIMARY KEY"</f>
        <v>ADD CONSTRAINT azn_202310_base_merge_dpc_efn_pkey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milscm_2023_010.azn_202310_base_merge_dpc_efn IS 'ベース_DPC調査データ_入院EF統合ファイル';</v>
      </c>
    </row>
    <row r="13" spans="1:45" s="25" customFormat="1">
      <c r="A13" s="4"/>
      <c r="B13" s="21">
        <f>ROW()-12</f>
        <v>1</v>
      </c>
      <c r="C13" s="13" t="s">
        <v>198</v>
      </c>
      <c r="D13" s="13" t="s">
        <v>199</v>
      </c>
      <c r="E13" s="7"/>
      <c r="F13" s="7" t="s">
        <v>200</v>
      </c>
      <c r="G13" s="7" t="str">
        <f>IF(F13="フラグ","boolean",IF(F13="文字列","text",IF(F13="整数","integer",IF(F13="実数","numeric",""))))</f>
        <v>text</v>
      </c>
      <c r="H13" s="22"/>
      <c r="I13" s="23" t="s">
        <v>127</v>
      </c>
      <c r="J13" s="54" t="s">
        <v>255</v>
      </c>
      <c r="M13" s="4"/>
      <c r="N13" s="76"/>
      <c r="O13" s="76"/>
      <c r="P13" s="76" t="str">
        <f>IF(B13&lt;&gt;1,","&amp;D13,D13)</f>
        <v>torikomi_ym</v>
      </c>
      <c r="Q13" s="76" t="str">
        <f t="shared" ref="Q13:Q30" si="0">UPPER(G13)</f>
        <v>TEXT</v>
      </c>
      <c r="R13" s="76" t="str">
        <f t="shared" ref="R13:R3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milscm_2023_010.azn_202310_base_merge_dpc_efn.torikomi_ym IS '取込年月';</v>
      </c>
    </row>
    <row r="14" spans="1:45" s="25" customFormat="1">
      <c r="A14" s="4"/>
      <c r="B14" s="21">
        <f t="shared" ref="B14:B46" si="2">ROW()-12</f>
        <v>2</v>
      </c>
      <c r="C14" s="6" t="s">
        <v>201</v>
      </c>
      <c r="D14" s="6" t="s">
        <v>202</v>
      </c>
      <c r="E14" s="8"/>
      <c r="F14" s="8" t="s">
        <v>203</v>
      </c>
      <c r="G14" s="7" t="str">
        <f t="shared" ref="G14:G47" si="3">IF(F14="フラグ","boolean",IF(F14="文字列","text",IF(F14="整数","integer",IF(F14="実数","numeric",""))))</f>
        <v>integer</v>
      </c>
      <c r="H14" s="26"/>
      <c r="I14" s="10"/>
      <c r="J14" s="53" t="s">
        <v>256</v>
      </c>
      <c r="M14" s="4"/>
      <c r="N14" s="76"/>
      <c r="O14" s="76"/>
      <c r="P14" s="76" t="str">
        <f t="shared" ref="P14:P3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milscm_2023_010.azn_202310_base_merge_dpc_efn.mil_karute_id IS '千年カルテID';</v>
      </c>
    </row>
    <row r="15" spans="1:45" s="25" customFormat="1" ht="37.5">
      <c r="A15" s="4"/>
      <c r="B15" s="21">
        <f t="shared" si="2"/>
        <v>3</v>
      </c>
      <c r="C15" s="6" t="s">
        <v>137</v>
      </c>
      <c r="D15" s="6" t="s">
        <v>128</v>
      </c>
      <c r="E15" s="8" t="s">
        <v>127</v>
      </c>
      <c r="F15" s="8" t="s">
        <v>200</v>
      </c>
      <c r="G15" s="7" t="str">
        <f t="shared" si="3"/>
        <v>text</v>
      </c>
      <c r="H15" s="26"/>
      <c r="I15" s="10" t="s">
        <v>127</v>
      </c>
      <c r="J15" s="53" t="s">
        <v>257</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milscm_2023_010.azn_202310_base_merge_dpc_efn.facility_id IS '施設ID';</v>
      </c>
    </row>
    <row r="16" spans="1:45" s="25" customFormat="1" ht="93.75">
      <c r="B16" s="21">
        <f t="shared" si="2"/>
        <v>4</v>
      </c>
      <c r="C16" s="6" t="s">
        <v>204</v>
      </c>
      <c r="D16" s="6" t="s">
        <v>205</v>
      </c>
      <c r="E16" s="7" t="s">
        <v>127</v>
      </c>
      <c r="F16" s="7" t="s">
        <v>200</v>
      </c>
      <c r="G16" s="7" t="str">
        <f t="shared" si="3"/>
        <v>text</v>
      </c>
      <c r="H16" s="9"/>
      <c r="I16" s="10" t="s">
        <v>127</v>
      </c>
      <c r="J16" s="53" t="s">
        <v>896</v>
      </c>
      <c r="M16" s="4"/>
      <c r="N16" s="76"/>
      <c r="O16" s="76"/>
      <c r="P16" s="76" t="str">
        <f t="shared" si="4"/>
        <v>,shinryo_ym</v>
      </c>
      <c r="Q16" s="76" t="str">
        <f t="shared" si="0"/>
        <v>TEXT</v>
      </c>
      <c r="R16" s="76" t="str">
        <f t="shared" si="1"/>
        <v/>
      </c>
      <c r="S16" s="76" t="str">
        <f t="shared" ref="S16:S30" si="5">IF(I16="○","NOT NULL","")</f>
        <v>NOT NULL</v>
      </c>
      <c r="T16" s="76" t="str">
        <f t="shared" ref="T16:T30"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milscm_2023_010.azn_202310_base_merge_dpc_efn.shinryo_ym IS '診療年月';</v>
      </c>
    </row>
    <row r="17" spans="1:45" s="25" customFormat="1">
      <c r="B17" s="21">
        <f t="shared" si="2"/>
        <v>5</v>
      </c>
      <c r="C17" s="6" t="s">
        <v>264</v>
      </c>
      <c r="D17" s="6" t="s">
        <v>207</v>
      </c>
      <c r="E17" s="7"/>
      <c r="F17" s="8" t="s">
        <v>200</v>
      </c>
      <c r="G17" s="7" t="str">
        <f t="shared" si="3"/>
        <v>text</v>
      </c>
      <c r="H17" s="9" t="s">
        <v>258</v>
      </c>
      <c r="I17" s="10" t="s">
        <v>127</v>
      </c>
      <c r="J17" s="53" t="s">
        <v>259</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milscm_2023_010.azn_202310_base_merge_dpc_efn.data_type IS 'データ種別';</v>
      </c>
    </row>
    <row r="18" spans="1:45" s="25" customFormat="1">
      <c r="B18" s="21">
        <f t="shared" si="2"/>
        <v>6</v>
      </c>
      <c r="C18" s="6" t="s">
        <v>208</v>
      </c>
      <c r="D18" s="6" t="s">
        <v>209</v>
      </c>
      <c r="E18" s="7" t="s">
        <v>127</v>
      </c>
      <c r="F18" s="8" t="s">
        <v>200</v>
      </c>
      <c r="G18" s="7" t="str">
        <f t="shared" si="3"/>
        <v>text</v>
      </c>
      <c r="H18" s="9"/>
      <c r="I18" s="10" t="s">
        <v>127</v>
      </c>
      <c r="J18" s="53"/>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milscm_2023_010.azn_202310_base_merge_dpc_efn.shikibetsu_no IS 'データ識別番号';</v>
      </c>
    </row>
    <row r="19" spans="1:45" s="25" customFormat="1">
      <c r="B19" s="21">
        <f t="shared" si="2"/>
        <v>7</v>
      </c>
      <c r="C19" s="6" t="s">
        <v>265</v>
      </c>
      <c r="D19" s="6" t="s">
        <v>211</v>
      </c>
      <c r="E19" s="7" t="s">
        <v>127</v>
      </c>
      <c r="F19" s="7" t="s">
        <v>200</v>
      </c>
      <c r="G19" s="7" t="str">
        <f t="shared" si="3"/>
        <v>text</v>
      </c>
      <c r="H19" s="9"/>
      <c r="I19" s="10" t="s">
        <v>127</v>
      </c>
      <c r="J19" s="53" t="s">
        <v>144</v>
      </c>
      <c r="N19" s="76"/>
      <c r="O19" s="76"/>
      <c r="P19" s="76" t="str">
        <f t="shared" si="4"/>
        <v>,taiin_ymd</v>
      </c>
      <c r="Q19" s="76" t="str">
        <f t="shared" si="0"/>
        <v>TEXT</v>
      </c>
      <c r="R19" s="76" t="str">
        <f t="shared" si="1"/>
        <v/>
      </c>
      <c r="S19" s="76" t="str">
        <f t="shared" si="5"/>
        <v>NOT NULL</v>
      </c>
      <c r="T19" s="76" t="str">
        <f t="shared" si="6"/>
        <v>-- 退院年月日</v>
      </c>
      <c r="U19" s="4"/>
      <c r="AA19" s="4"/>
      <c r="AB19" s="4"/>
      <c r="AC19" s="4"/>
      <c r="AD19" s="4"/>
      <c r="AE19" s="4"/>
      <c r="AF19" s="4"/>
      <c r="AG19" s="4"/>
      <c r="AH19" s="4"/>
      <c r="AI19" s="4"/>
      <c r="AJ19" s="76" t="str">
        <f>IF(E19="○",IF(COUNTA(E$13:E19)=1,"",",")&amp;D19,"")</f>
        <v>,taiin_ymd</v>
      </c>
      <c r="AK19" s="4"/>
      <c r="AL19" s="4"/>
      <c r="AM19" s="4"/>
      <c r="AN19" s="4"/>
      <c r="AO19" s="4"/>
      <c r="AP19" s="4"/>
      <c r="AQ19" s="4"/>
      <c r="AR19" s="4"/>
      <c r="AS19" s="76" t="str">
        <f>"COMMENT ON COLUMN "&amp;エンティティ一覧!$O$2&amp;"."&amp;D$8&amp;"."&amp;D19&amp;" IS '"&amp;C19&amp;"';"</f>
        <v>COMMENT ON COLUMN milscm_2023_010.azn_202310_base_merge_dpc_efn.taiin_ymd IS '退院年月日';</v>
      </c>
    </row>
    <row r="20" spans="1:45" s="25" customFormat="1" ht="56.25">
      <c r="B20" s="21">
        <f t="shared" si="2"/>
        <v>8</v>
      </c>
      <c r="C20" s="6" t="s">
        <v>266</v>
      </c>
      <c r="D20" s="6" t="s">
        <v>156</v>
      </c>
      <c r="E20" s="7" t="s">
        <v>127</v>
      </c>
      <c r="F20" s="7" t="s">
        <v>200</v>
      </c>
      <c r="G20" s="7" t="str">
        <f t="shared" si="3"/>
        <v>text</v>
      </c>
      <c r="H20" s="9"/>
      <c r="I20" s="10" t="s">
        <v>127</v>
      </c>
      <c r="J20" s="53" t="s">
        <v>294</v>
      </c>
      <c r="N20" s="76"/>
      <c r="O20" s="76"/>
      <c r="P20" s="76" t="str">
        <f t="shared" si="4"/>
        <v>,nyuin_ymd</v>
      </c>
      <c r="Q20" s="76" t="str">
        <f t="shared" si="0"/>
        <v>TEXT</v>
      </c>
      <c r="R20" s="76" t="str">
        <f t="shared" si="1"/>
        <v/>
      </c>
      <c r="S20" s="76" t="str">
        <f t="shared" si="5"/>
        <v>NOT NULL</v>
      </c>
      <c r="T20" s="76" t="str">
        <f t="shared" si="6"/>
        <v>-- 入院年月日</v>
      </c>
      <c r="U20" s="4"/>
      <c r="AA20" s="4"/>
      <c r="AB20" s="4"/>
      <c r="AC20" s="4"/>
      <c r="AD20" s="4"/>
      <c r="AE20" s="4"/>
      <c r="AF20" s="4"/>
      <c r="AG20" s="4"/>
      <c r="AH20" s="4"/>
      <c r="AI20" s="4"/>
      <c r="AJ20" s="76" t="str">
        <f>IF(E20="○",IF(COUNTA(E$13:E20)=1,"",",")&amp;D20,"")</f>
        <v>,nyuin_ymd</v>
      </c>
      <c r="AK20" s="4"/>
      <c r="AL20" s="4"/>
      <c r="AM20" s="4"/>
      <c r="AN20" s="4"/>
      <c r="AO20" s="4"/>
      <c r="AP20" s="4"/>
      <c r="AQ20" s="4"/>
      <c r="AR20" s="4"/>
      <c r="AS20" s="76" t="str">
        <f>"COMMENT ON COLUMN "&amp;エンティティ一覧!$O$2&amp;"."&amp;D$8&amp;"."&amp;D20&amp;" IS '"&amp;C20&amp;"';"</f>
        <v>COMMENT ON COLUMN milscm_2023_010.azn_202310_base_merge_dpc_efn.nyuin_ymd IS '入院年月日';</v>
      </c>
    </row>
    <row r="21" spans="1:45" s="25" customFormat="1">
      <c r="A21" s="4"/>
      <c r="B21" s="21">
        <f t="shared" si="2"/>
        <v>9</v>
      </c>
      <c r="C21" s="6" t="s">
        <v>267</v>
      </c>
      <c r="D21" s="6" t="s">
        <v>213</v>
      </c>
      <c r="E21" s="7" t="s">
        <v>127</v>
      </c>
      <c r="F21" s="7" t="s">
        <v>200</v>
      </c>
      <c r="G21" s="7" t="str">
        <f t="shared" si="3"/>
        <v>text</v>
      </c>
      <c r="H21" s="9"/>
      <c r="I21" s="10" t="s">
        <v>127</v>
      </c>
      <c r="J21" s="53"/>
      <c r="N21" s="76"/>
      <c r="O21" s="76"/>
      <c r="P21" s="76" t="str">
        <f t="shared" si="4"/>
        <v>,data_kubun</v>
      </c>
      <c r="Q21" s="76" t="str">
        <f t="shared" si="0"/>
        <v>TEXT</v>
      </c>
      <c r="R21" s="76" t="str">
        <f t="shared" si="1"/>
        <v/>
      </c>
      <c r="S21" s="76" t="str">
        <f t="shared" si="5"/>
        <v>NOT NULL</v>
      </c>
      <c r="T21" s="76" t="str">
        <f t="shared" si="6"/>
        <v>-- データ区分</v>
      </c>
      <c r="U21" s="4"/>
      <c r="AA21" s="4"/>
      <c r="AB21" s="4"/>
      <c r="AC21" s="4"/>
      <c r="AD21" s="4"/>
      <c r="AE21" s="4"/>
      <c r="AF21" s="4"/>
      <c r="AG21" s="4"/>
      <c r="AH21" s="4"/>
      <c r="AI21" s="4"/>
      <c r="AJ21" s="76" t="str">
        <f>IF(E21="○",IF(COUNTA(E$13:E21)=1,"",",")&amp;D21,"")</f>
        <v>,data_kubun</v>
      </c>
      <c r="AK21" s="4"/>
      <c r="AL21" s="4"/>
      <c r="AM21" s="4"/>
      <c r="AN21" s="4"/>
      <c r="AO21" s="4"/>
      <c r="AP21" s="4"/>
      <c r="AQ21" s="4"/>
      <c r="AR21" s="4"/>
      <c r="AS21" s="76" t="str">
        <f>"COMMENT ON COLUMN "&amp;エンティティ一覧!$O$2&amp;"."&amp;D$8&amp;"."&amp;D21&amp;" IS '"&amp;C21&amp;"';"</f>
        <v>COMMENT ON COLUMN milscm_2023_010.azn_202310_base_merge_dpc_efn.data_kubun IS 'データ区分';</v>
      </c>
    </row>
    <row r="22" spans="1:45" s="25" customFormat="1">
      <c r="A22" s="4"/>
      <c r="B22" s="21">
        <f t="shared" si="2"/>
        <v>10</v>
      </c>
      <c r="C22" s="14" t="s">
        <v>268</v>
      </c>
      <c r="D22" s="14" t="s">
        <v>215</v>
      </c>
      <c r="E22" s="7" t="s">
        <v>127</v>
      </c>
      <c r="F22" s="7" t="s">
        <v>200</v>
      </c>
      <c r="G22" s="7" t="str">
        <f t="shared" si="3"/>
        <v>text</v>
      </c>
      <c r="H22" s="26"/>
      <c r="I22" s="10" t="s">
        <v>127</v>
      </c>
      <c r="J22" s="53"/>
      <c r="N22" s="76"/>
      <c r="O22" s="76"/>
      <c r="P22" s="76" t="str">
        <f t="shared" si="4"/>
        <v>,junjo_no</v>
      </c>
      <c r="Q22" s="76" t="str">
        <f t="shared" si="0"/>
        <v>TEXT</v>
      </c>
      <c r="R22" s="76" t="str">
        <f t="shared" si="1"/>
        <v/>
      </c>
      <c r="S22" s="76" t="str">
        <f t="shared" si="5"/>
        <v>NOT NULL</v>
      </c>
      <c r="T22" s="76" t="str">
        <f t="shared" si="6"/>
        <v>-- 順序番号</v>
      </c>
      <c r="U22" s="4"/>
      <c r="AA22" s="4"/>
      <c r="AB22" s="4"/>
      <c r="AC22" s="4"/>
      <c r="AD22" s="4"/>
      <c r="AE22" s="4"/>
      <c r="AF22" s="4"/>
      <c r="AG22" s="4"/>
      <c r="AH22" s="4"/>
      <c r="AI22" s="4"/>
      <c r="AJ22" s="76" t="str">
        <f>IF(E22="○",IF(COUNTA(E$13:E22)=1,"",",")&amp;D22,"")</f>
        <v>,junjo_no</v>
      </c>
      <c r="AK22" s="4"/>
      <c r="AL22" s="4"/>
      <c r="AM22" s="4"/>
      <c r="AN22" s="4"/>
      <c r="AO22" s="4"/>
      <c r="AP22" s="4"/>
      <c r="AQ22" s="4"/>
      <c r="AR22" s="4"/>
      <c r="AS22" s="76" t="str">
        <f>"COMMENT ON COLUMN "&amp;エンティティ一覧!$O$2&amp;"."&amp;D$8&amp;"."&amp;D22&amp;" IS '"&amp;C22&amp;"';"</f>
        <v>COMMENT ON COLUMN milscm_2023_010.azn_202310_base_merge_dpc_efn.junjo_no IS '順序番号';</v>
      </c>
    </row>
    <row r="23" spans="1:45" s="25" customFormat="1" ht="37.5">
      <c r="A23" s="4"/>
      <c r="B23" s="21">
        <f t="shared" si="2"/>
        <v>11</v>
      </c>
      <c r="C23" s="14" t="s">
        <v>269</v>
      </c>
      <c r="D23" s="14" t="s">
        <v>153</v>
      </c>
      <c r="E23" s="7" t="s">
        <v>127</v>
      </c>
      <c r="F23" s="7" t="s">
        <v>200</v>
      </c>
      <c r="G23" s="7" t="str">
        <f t="shared" si="3"/>
        <v>text</v>
      </c>
      <c r="H23" s="26"/>
      <c r="I23" s="10" t="s">
        <v>127</v>
      </c>
      <c r="J23" s="53" t="s">
        <v>295</v>
      </c>
      <c r="N23" s="76"/>
      <c r="O23" s="76"/>
      <c r="P23" s="76" t="str">
        <f t="shared" si="4"/>
        <v>,koi_meisai_no</v>
      </c>
      <c r="Q23" s="76" t="str">
        <f t="shared" si="0"/>
        <v>TEXT</v>
      </c>
      <c r="R23" s="76" t="str">
        <f t="shared" si="1"/>
        <v/>
      </c>
      <c r="S23" s="76" t="str">
        <f t="shared" si="5"/>
        <v>NOT NULL</v>
      </c>
      <c r="T23" s="76" t="str">
        <f t="shared" si="6"/>
        <v>-- 行為明細番号</v>
      </c>
      <c r="U23" s="4"/>
      <c r="AA23" s="4"/>
      <c r="AB23" s="4"/>
      <c r="AC23" s="4"/>
      <c r="AD23" s="4"/>
      <c r="AE23" s="4"/>
      <c r="AF23" s="4"/>
      <c r="AG23" s="4"/>
      <c r="AH23" s="4"/>
      <c r="AI23" s="4"/>
      <c r="AJ23" s="76" t="str">
        <f>IF(E23="○",IF(COUNTA(E$13:E23)=1,"",",")&amp;D23,"")</f>
        <v>,koi_meisai_no</v>
      </c>
      <c r="AK23" s="4"/>
      <c r="AL23" s="4"/>
      <c r="AM23" s="4"/>
      <c r="AN23" s="4"/>
      <c r="AO23" s="4"/>
      <c r="AP23" s="4"/>
      <c r="AQ23" s="4"/>
      <c r="AR23" s="4"/>
      <c r="AS23" s="76" t="str">
        <f>"COMMENT ON COLUMN "&amp;エンティティ一覧!$O$2&amp;"."&amp;D$8&amp;"."&amp;D23&amp;" IS '"&amp;C23&amp;"';"</f>
        <v>COMMENT ON COLUMN milscm_2023_010.azn_202310_base_merge_dpc_efn.koi_meisai_no IS '行為明細番号';</v>
      </c>
    </row>
    <row r="24" spans="1:45" s="25" customFormat="1">
      <c r="A24" s="4"/>
      <c r="B24" s="21">
        <f t="shared" si="2"/>
        <v>12</v>
      </c>
      <c r="C24" s="6" t="s">
        <v>270</v>
      </c>
      <c r="D24" s="6" t="s">
        <v>217</v>
      </c>
      <c r="E24" s="8"/>
      <c r="F24" s="8" t="s">
        <v>200</v>
      </c>
      <c r="G24" s="7" t="str">
        <f t="shared" si="3"/>
        <v>text</v>
      </c>
      <c r="H24" s="9"/>
      <c r="I24" s="10"/>
      <c r="J24" s="53"/>
      <c r="N24" s="76"/>
      <c r="O24" s="76"/>
      <c r="P24" s="76" t="str">
        <f t="shared" si="4"/>
        <v>,tensu_master_code</v>
      </c>
      <c r="Q24" s="76" t="str">
        <f t="shared" si="0"/>
        <v>TEXT</v>
      </c>
      <c r="R24" s="76" t="str">
        <f t="shared" si="1"/>
        <v/>
      </c>
      <c r="S24" s="76" t="str">
        <f t="shared" si="5"/>
        <v/>
      </c>
      <c r="T24" s="76" t="str">
        <f t="shared" si="6"/>
        <v>-- 病院点数マスタコード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milscm_2023_010.azn_202310_base_merge_dpc_efn.tensu_master_code IS '病院点数マスタコード';</v>
      </c>
    </row>
    <row r="25" spans="1:45" s="25" customFormat="1" ht="37.5">
      <c r="A25" s="4"/>
      <c r="B25" s="21">
        <f t="shared" si="2"/>
        <v>13</v>
      </c>
      <c r="C25" s="6" t="s">
        <v>145</v>
      </c>
      <c r="D25" s="6" t="s">
        <v>154</v>
      </c>
      <c r="E25" s="8"/>
      <c r="F25" s="8" t="s">
        <v>200</v>
      </c>
      <c r="G25" s="7" t="str">
        <f t="shared" si="3"/>
        <v>text</v>
      </c>
      <c r="H25" s="9"/>
      <c r="I25" s="10"/>
      <c r="J25" s="53" t="s">
        <v>296</v>
      </c>
      <c r="N25" s="76"/>
      <c r="O25" s="76"/>
      <c r="P25" s="76" t="str">
        <f t="shared" si="4"/>
        <v>,receipt_densan_code</v>
      </c>
      <c r="Q25" s="76" t="str">
        <f t="shared" si="0"/>
        <v>TEXT</v>
      </c>
      <c r="R25" s="76" t="str">
        <f t="shared" si="1"/>
        <v/>
      </c>
      <c r="S25" s="76" t="str">
        <f t="shared" si="5"/>
        <v/>
      </c>
      <c r="T25" s="76" t="str">
        <f t="shared" si="6"/>
        <v>-- レセプト電算処理システム用コード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milscm_2023_010.azn_202310_base_merge_dpc_efn.receipt_densan_code IS 'レセプト電算処理システム用コード';</v>
      </c>
    </row>
    <row r="26" spans="1:45" s="25" customFormat="1">
      <c r="A26" s="4"/>
      <c r="B26" s="21">
        <f t="shared" si="2"/>
        <v>14</v>
      </c>
      <c r="C26" s="6" t="s">
        <v>271</v>
      </c>
      <c r="D26" s="6" t="s">
        <v>219</v>
      </c>
      <c r="E26" s="8"/>
      <c r="F26" s="8" t="s">
        <v>200</v>
      </c>
      <c r="G26" s="7" t="str">
        <f t="shared" si="3"/>
        <v>text</v>
      </c>
      <c r="H26" s="9"/>
      <c r="I26" s="10"/>
      <c r="J26" s="53"/>
      <c r="N26" s="76"/>
      <c r="O26" s="76"/>
      <c r="P26" s="76" t="str">
        <f t="shared" si="4"/>
        <v>,kaishaku_no</v>
      </c>
      <c r="Q26" s="76" t="str">
        <f t="shared" si="0"/>
        <v>TEXT</v>
      </c>
      <c r="R26" s="76" t="str">
        <f t="shared" si="1"/>
        <v/>
      </c>
      <c r="S26" s="76" t="str">
        <f t="shared" si="5"/>
        <v/>
      </c>
      <c r="T26" s="76" t="str">
        <f t="shared" si="6"/>
        <v>-- 解釈番号</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milscm_2023_010.azn_202310_base_merge_dpc_efn.kaishaku_no IS '解釈番号';</v>
      </c>
    </row>
    <row r="27" spans="1:45" s="25" customFormat="1">
      <c r="A27" s="4"/>
      <c r="B27" s="21">
        <f t="shared" si="2"/>
        <v>15</v>
      </c>
      <c r="C27" s="6" t="s">
        <v>272</v>
      </c>
      <c r="D27" s="6" t="s">
        <v>146</v>
      </c>
      <c r="E27" s="8"/>
      <c r="F27" s="8" t="s">
        <v>200</v>
      </c>
      <c r="G27" s="7" t="str">
        <f t="shared" si="3"/>
        <v>text</v>
      </c>
      <c r="H27" s="9"/>
      <c r="I27" s="10"/>
      <c r="J27" s="53" t="s">
        <v>147</v>
      </c>
      <c r="N27" s="76"/>
      <c r="O27" s="76"/>
      <c r="P27" s="76" t="str">
        <f t="shared" si="4"/>
        <v>,sinryo_meisai_name</v>
      </c>
      <c r="Q27" s="76" t="str">
        <f t="shared" si="0"/>
        <v>TEXT</v>
      </c>
      <c r="R27" s="76" t="str">
        <f t="shared" si="1"/>
        <v/>
      </c>
      <c r="S27" s="76" t="str">
        <f t="shared" si="5"/>
        <v/>
      </c>
      <c r="T27" s="76" t="str">
        <f t="shared" si="6"/>
        <v>-- 診療明細名称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milscm_2023_010.azn_202310_base_merge_dpc_efn.sinryo_meisai_name IS '診療明細名称';</v>
      </c>
    </row>
    <row r="28" spans="1:45" s="25" customFormat="1" ht="37.5">
      <c r="A28" s="4"/>
      <c r="B28" s="21">
        <f t="shared" si="2"/>
        <v>16</v>
      </c>
      <c r="C28" s="6" t="s">
        <v>273</v>
      </c>
      <c r="D28" s="6" t="s">
        <v>129</v>
      </c>
      <c r="E28" s="8"/>
      <c r="F28" s="8" t="s">
        <v>224</v>
      </c>
      <c r="G28" s="7" t="str">
        <f t="shared" si="3"/>
        <v>numeric</v>
      </c>
      <c r="H28" s="9"/>
      <c r="I28" s="10"/>
      <c r="J28" s="53" t="s">
        <v>150</v>
      </c>
      <c r="N28" s="76"/>
      <c r="O28" s="76"/>
      <c r="P28" s="76" t="str">
        <f t="shared" si="4"/>
        <v>,shiyoryo</v>
      </c>
      <c r="Q28" s="76" t="str">
        <f t="shared" si="0"/>
        <v>NUMERIC</v>
      </c>
      <c r="R28" s="76" t="str">
        <f t="shared" si="1"/>
        <v/>
      </c>
      <c r="S28" s="76" t="str">
        <f t="shared" si="5"/>
        <v/>
      </c>
      <c r="T28" s="76" t="str">
        <f t="shared" si="6"/>
        <v>-- 使用量</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milscm_2023_010.azn_202310_base_merge_dpc_efn.shiyoryo IS '使用量';</v>
      </c>
    </row>
    <row r="29" spans="1:45" s="25" customFormat="1">
      <c r="A29" s="4"/>
      <c r="B29" s="21">
        <f t="shared" si="2"/>
        <v>17</v>
      </c>
      <c r="C29" s="6" t="s">
        <v>274</v>
      </c>
      <c r="D29" s="6" t="s">
        <v>275</v>
      </c>
      <c r="E29" s="8"/>
      <c r="F29" s="8" t="s">
        <v>200</v>
      </c>
      <c r="G29" s="7" t="str">
        <f t="shared" si="3"/>
        <v>text</v>
      </c>
      <c r="H29" s="9"/>
      <c r="I29" s="10"/>
      <c r="J29" s="53"/>
      <c r="N29" s="76"/>
      <c r="O29" s="76"/>
      <c r="P29" s="76" t="str">
        <f t="shared" si="4"/>
        <v>,unit</v>
      </c>
      <c r="Q29" s="76" t="str">
        <f t="shared" si="0"/>
        <v>TEXT</v>
      </c>
      <c r="R29" s="76" t="str">
        <f t="shared" si="1"/>
        <v/>
      </c>
      <c r="S29" s="76" t="str">
        <f t="shared" si="5"/>
        <v/>
      </c>
      <c r="T29" s="76" t="str">
        <f t="shared" si="6"/>
        <v>-- 基準単位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milscm_2023_010.azn_202310_base_merge_dpc_efn.unit IS '基準単位';</v>
      </c>
    </row>
    <row r="30" spans="1:45" s="25" customFormat="1">
      <c r="A30" s="4"/>
      <c r="B30" s="21">
        <f t="shared" si="2"/>
        <v>18</v>
      </c>
      <c r="C30" s="6" t="s">
        <v>276</v>
      </c>
      <c r="D30" s="6" t="s">
        <v>130</v>
      </c>
      <c r="E30" s="8"/>
      <c r="F30" s="8" t="s">
        <v>224</v>
      </c>
      <c r="G30" s="7" t="str">
        <f t="shared" si="3"/>
        <v>numeric</v>
      </c>
      <c r="H30" s="9"/>
      <c r="I30" s="10"/>
      <c r="J30" s="53"/>
      <c r="N30" s="76"/>
      <c r="O30" s="76"/>
      <c r="P30" s="76" t="str">
        <f t="shared" si="4"/>
        <v>,meisai_tensu</v>
      </c>
      <c r="Q30" s="76" t="str">
        <f t="shared" si="0"/>
        <v>NUMERIC</v>
      </c>
      <c r="R30" s="76" t="str">
        <f t="shared" si="1"/>
        <v/>
      </c>
      <c r="S30" s="76" t="str">
        <f t="shared" si="5"/>
        <v/>
      </c>
      <c r="T30" s="76" t="str">
        <f t="shared" si="6"/>
        <v>-- 明細点数・金額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milscm_2023_010.azn_202310_base_merge_dpc_efn.meisai_tensu IS '明細点数・金額';</v>
      </c>
    </row>
    <row r="31" spans="1:45" s="25" customFormat="1">
      <c r="A31" s="4"/>
      <c r="B31" s="21">
        <f t="shared" si="2"/>
        <v>19</v>
      </c>
      <c r="C31" s="6" t="s">
        <v>277</v>
      </c>
      <c r="D31" s="6" t="s">
        <v>131</v>
      </c>
      <c r="E31" s="8"/>
      <c r="F31" s="8" t="s">
        <v>200</v>
      </c>
      <c r="G31" s="7" t="str">
        <f t="shared" si="3"/>
        <v>text</v>
      </c>
      <c r="H31" s="9"/>
      <c r="I31" s="10"/>
      <c r="J31" s="53" t="s">
        <v>152</v>
      </c>
      <c r="N31" s="76"/>
      <c r="O31" s="76"/>
      <c r="P31" s="76" t="str">
        <f t="shared" ref="P31:P47" si="7">IF(B31&lt;&gt;1,","&amp;D31,D31)</f>
        <v>,ten_kubun</v>
      </c>
      <c r="Q31" s="76" t="str">
        <f t="shared" ref="Q31:Q47" si="8">UPPER(G31)</f>
        <v>TEXT</v>
      </c>
      <c r="R31" s="76" t="str">
        <f t="shared" ref="R31:R47" si="9">IF(H31&lt;&gt;"","default "&amp;IF(G31="text","'"&amp;H31&amp;"'",H31),"")</f>
        <v/>
      </c>
      <c r="S31" s="76" t="str">
        <f t="shared" ref="S31:S47" si="10">IF(I31="○","NOT NULL","")</f>
        <v/>
      </c>
      <c r="T31" s="76" t="str">
        <f t="shared" ref="T31:T47" si="11">"-- "&amp;C31</f>
        <v>-- 円・点区分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milscm_2023_010.azn_202310_base_merge_dpc_efn.ten_kubun IS '円・点区分';</v>
      </c>
    </row>
    <row r="32" spans="1:45" s="25" customFormat="1">
      <c r="A32" s="4"/>
      <c r="B32" s="21">
        <f t="shared" si="2"/>
        <v>20</v>
      </c>
      <c r="C32" s="6" t="s">
        <v>278</v>
      </c>
      <c r="D32" s="6" t="s">
        <v>279</v>
      </c>
      <c r="E32" s="8"/>
      <c r="F32" s="8" t="s">
        <v>224</v>
      </c>
      <c r="G32" s="7" t="str">
        <f t="shared" si="3"/>
        <v>numeric</v>
      </c>
      <c r="H32" s="9"/>
      <c r="I32" s="10"/>
      <c r="J32" s="53"/>
      <c r="N32" s="76"/>
      <c r="O32" s="76"/>
      <c r="P32" s="76" t="str">
        <f t="shared" si="7"/>
        <v>,dekidaka_tensu</v>
      </c>
      <c r="Q32" s="76" t="str">
        <f t="shared" si="8"/>
        <v>NUMERIC</v>
      </c>
      <c r="R32" s="76" t="str">
        <f t="shared" si="9"/>
        <v/>
      </c>
      <c r="S32" s="76" t="str">
        <f t="shared" si="10"/>
        <v/>
      </c>
      <c r="T32" s="76" t="str">
        <f t="shared" si="11"/>
        <v>-- 出来高実績点数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milscm_2023_010.azn_202310_base_merge_dpc_efn.dekidaka_tensu IS '出来高実績点数';</v>
      </c>
    </row>
    <row r="33" spans="1:52" s="25" customFormat="1" ht="56.25">
      <c r="A33" s="4"/>
      <c r="B33" s="21">
        <f t="shared" si="2"/>
        <v>21</v>
      </c>
      <c r="C33" s="6" t="s">
        <v>280</v>
      </c>
      <c r="D33" s="6" t="s">
        <v>132</v>
      </c>
      <c r="E33" s="8"/>
      <c r="F33" s="8" t="s">
        <v>200</v>
      </c>
      <c r="G33" s="7" t="str">
        <f t="shared" si="3"/>
        <v>text</v>
      </c>
      <c r="H33" s="9"/>
      <c r="I33" s="10"/>
      <c r="J33" s="53" t="s">
        <v>297</v>
      </c>
      <c r="N33" s="76"/>
      <c r="O33" s="76"/>
      <c r="P33" s="76" t="str">
        <f t="shared" si="7"/>
        <v>,koi_meisai_kubun</v>
      </c>
      <c r="Q33" s="76" t="str">
        <f t="shared" si="8"/>
        <v>TEXT</v>
      </c>
      <c r="R33" s="76" t="str">
        <f t="shared" si="9"/>
        <v/>
      </c>
      <c r="S33" s="76" t="str">
        <f t="shared" si="10"/>
        <v/>
      </c>
      <c r="T33" s="76" t="str">
        <f t="shared" si="11"/>
        <v>-- 行為明細区分情報</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milscm_2023_010.azn_202310_base_merge_dpc_efn.koi_meisai_kubun IS '行為明細区分情報';</v>
      </c>
    </row>
    <row r="34" spans="1:52" s="25" customFormat="1" ht="56.25">
      <c r="A34" s="4"/>
      <c r="B34" s="21">
        <f t="shared" si="2"/>
        <v>22</v>
      </c>
      <c r="C34" s="6" t="s">
        <v>281</v>
      </c>
      <c r="D34" s="6" t="s">
        <v>223</v>
      </c>
      <c r="E34" s="8"/>
      <c r="F34" s="8" t="s">
        <v>224</v>
      </c>
      <c r="G34" s="7" t="str">
        <f t="shared" si="3"/>
        <v>numeric</v>
      </c>
      <c r="H34" s="9"/>
      <c r="I34" s="10"/>
      <c r="J34" s="53" t="s">
        <v>298</v>
      </c>
      <c r="N34" s="76"/>
      <c r="O34" s="76"/>
      <c r="P34" s="76" t="str">
        <f t="shared" si="7"/>
        <v>,koi_tensu</v>
      </c>
      <c r="Q34" s="76" t="str">
        <f t="shared" si="8"/>
        <v>NUMERIC</v>
      </c>
      <c r="R34" s="76" t="str">
        <f t="shared" si="9"/>
        <v/>
      </c>
      <c r="S34" s="76" t="str">
        <f t="shared" si="10"/>
        <v/>
      </c>
      <c r="T34" s="76" t="str">
        <f t="shared" si="11"/>
        <v>-- 行為点数</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milscm_2023_010.azn_202310_base_merge_dpc_efn.koi_tensu IS '行為点数';</v>
      </c>
    </row>
    <row r="35" spans="1:52" s="25" customFormat="1">
      <c r="A35" s="4"/>
      <c r="B35" s="21">
        <f t="shared" si="2"/>
        <v>23</v>
      </c>
      <c r="C35" s="6" t="s">
        <v>282</v>
      </c>
      <c r="D35" s="6" t="s">
        <v>226</v>
      </c>
      <c r="E35" s="8"/>
      <c r="F35" s="8" t="s">
        <v>224</v>
      </c>
      <c r="G35" s="7" t="str">
        <f t="shared" si="3"/>
        <v>numeric</v>
      </c>
      <c r="H35" s="9"/>
      <c r="I35" s="10"/>
      <c r="J35" s="53" t="s">
        <v>299</v>
      </c>
      <c r="N35" s="76"/>
      <c r="O35" s="76"/>
      <c r="P35" s="76" t="str">
        <f t="shared" si="7"/>
        <v>,koi_yakuzai</v>
      </c>
      <c r="Q35" s="76" t="str">
        <f t="shared" si="8"/>
        <v>NUMERIC</v>
      </c>
      <c r="R35" s="76" t="str">
        <f t="shared" si="9"/>
        <v/>
      </c>
      <c r="S35" s="76" t="str">
        <f t="shared" si="10"/>
        <v/>
      </c>
      <c r="T35" s="76" t="str">
        <f t="shared" si="11"/>
        <v>-- 行為薬剤料</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milscm_2023_010.azn_202310_base_merge_dpc_efn.koi_yakuzai IS '行為薬剤料';</v>
      </c>
    </row>
    <row r="36" spans="1:52" s="25" customFormat="1">
      <c r="A36" s="4"/>
      <c r="B36" s="21">
        <f t="shared" si="2"/>
        <v>24</v>
      </c>
      <c r="C36" s="6" t="s">
        <v>283</v>
      </c>
      <c r="D36" s="6" t="s">
        <v>228</v>
      </c>
      <c r="E36" s="8"/>
      <c r="F36" s="8" t="s">
        <v>224</v>
      </c>
      <c r="G36" s="7" t="str">
        <f t="shared" si="3"/>
        <v>numeric</v>
      </c>
      <c r="H36" s="9"/>
      <c r="I36" s="10"/>
      <c r="J36" s="53" t="s">
        <v>299</v>
      </c>
      <c r="N36" s="76"/>
      <c r="O36" s="76"/>
      <c r="P36" s="76" t="str">
        <f t="shared" si="7"/>
        <v>,koi_zairyo</v>
      </c>
      <c r="Q36" s="76" t="str">
        <f t="shared" si="8"/>
        <v>NUMERIC</v>
      </c>
      <c r="R36" s="76" t="str">
        <f t="shared" si="9"/>
        <v/>
      </c>
      <c r="S36" s="76" t="str">
        <f t="shared" si="10"/>
        <v/>
      </c>
      <c r="T36" s="76" t="str">
        <f t="shared" si="11"/>
        <v>-- 行為材料料</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milscm_2023_010.azn_202310_base_merge_dpc_efn.koi_zairyo IS '行為材料料';</v>
      </c>
    </row>
    <row r="37" spans="1:52" s="25" customFormat="1">
      <c r="A37" s="4"/>
      <c r="B37" s="21">
        <f t="shared" si="2"/>
        <v>25</v>
      </c>
      <c r="C37" s="6" t="s">
        <v>284</v>
      </c>
      <c r="D37" s="6" t="s">
        <v>133</v>
      </c>
      <c r="E37" s="8"/>
      <c r="F37" s="8" t="s">
        <v>224</v>
      </c>
      <c r="G37" s="7" t="str">
        <f t="shared" si="3"/>
        <v>numeric</v>
      </c>
      <c r="H37" s="9"/>
      <c r="I37" s="10"/>
      <c r="J37" s="53" t="s">
        <v>300</v>
      </c>
      <c r="N37" s="76"/>
      <c r="O37" s="76"/>
      <c r="P37" s="76" t="str">
        <f t="shared" si="7"/>
        <v>,koi_times</v>
      </c>
      <c r="Q37" s="76" t="str">
        <f t="shared" si="8"/>
        <v>NUMERIC</v>
      </c>
      <c r="R37" s="76" t="str">
        <f t="shared" si="9"/>
        <v/>
      </c>
      <c r="S37" s="76" t="str">
        <f t="shared" si="10"/>
        <v/>
      </c>
      <c r="T37" s="76" t="str">
        <f t="shared" si="11"/>
        <v>-- 行為回数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milscm_2023_010.azn_202310_base_merge_dpc_efn.koi_times IS '行為回数';</v>
      </c>
    </row>
    <row r="38" spans="1:52" s="25" customFormat="1">
      <c r="A38" s="4"/>
      <c r="B38" s="21">
        <f t="shared" si="2"/>
        <v>26</v>
      </c>
      <c r="C38" s="6" t="s">
        <v>285</v>
      </c>
      <c r="D38" s="6" t="s">
        <v>230</v>
      </c>
      <c r="E38" s="8"/>
      <c r="F38" s="8" t="s">
        <v>200</v>
      </c>
      <c r="G38" s="7" t="str">
        <f t="shared" si="3"/>
        <v>text</v>
      </c>
      <c r="H38" s="9"/>
      <c r="I38" s="10"/>
      <c r="J38" s="53"/>
      <c r="N38" s="76"/>
      <c r="O38" s="76"/>
      <c r="P38" s="76" t="str">
        <f t="shared" si="7"/>
        <v>,hoken_no</v>
      </c>
      <c r="Q38" s="76" t="str">
        <f t="shared" si="8"/>
        <v>TEXT</v>
      </c>
      <c r="R38" s="76" t="str">
        <f t="shared" si="9"/>
        <v/>
      </c>
      <c r="S38" s="76" t="str">
        <f t="shared" si="10"/>
        <v/>
      </c>
      <c r="T38" s="76" t="str">
        <f t="shared" si="11"/>
        <v>-- 保険者番号</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milscm_2023_010.azn_202310_base_merge_dpc_efn.hoken_no IS '保険者番号';</v>
      </c>
    </row>
    <row r="39" spans="1:52" s="25" customFormat="1">
      <c r="A39" s="4"/>
      <c r="B39" s="21">
        <f t="shared" si="2"/>
        <v>27</v>
      </c>
      <c r="C39" s="6" t="s">
        <v>286</v>
      </c>
      <c r="D39" s="6" t="s">
        <v>232</v>
      </c>
      <c r="E39" s="8"/>
      <c r="F39" s="8" t="s">
        <v>200</v>
      </c>
      <c r="G39" s="7" t="str">
        <f t="shared" si="3"/>
        <v>text</v>
      </c>
      <c r="H39" s="9"/>
      <c r="I39" s="10"/>
      <c r="J39" s="53"/>
      <c r="N39" s="76"/>
      <c r="O39" s="76"/>
      <c r="P39" s="76" t="str">
        <f t="shared" si="7"/>
        <v>,receipt_type_code</v>
      </c>
      <c r="Q39" s="76" t="str">
        <f t="shared" si="8"/>
        <v>TEXT</v>
      </c>
      <c r="R39" s="76" t="str">
        <f t="shared" si="9"/>
        <v/>
      </c>
      <c r="S39" s="76" t="str">
        <f t="shared" si="10"/>
        <v/>
      </c>
      <c r="T39" s="76" t="str">
        <f t="shared" si="11"/>
        <v>-- レセプト種別コード</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milscm_2023_010.azn_202310_base_merge_dpc_efn.receipt_type_code IS 'レセプト種別コード';</v>
      </c>
    </row>
    <row r="40" spans="1:52" s="25" customFormat="1">
      <c r="A40" s="4"/>
      <c r="B40" s="21">
        <f t="shared" si="2"/>
        <v>28</v>
      </c>
      <c r="C40" s="6" t="s">
        <v>287</v>
      </c>
      <c r="D40" s="6" t="s">
        <v>155</v>
      </c>
      <c r="E40" s="8"/>
      <c r="F40" s="8" t="s">
        <v>200</v>
      </c>
      <c r="G40" s="7" t="str">
        <f t="shared" si="3"/>
        <v>text</v>
      </c>
      <c r="H40" s="9"/>
      <c r="I40" s="10" t="s">
        <v>127</v>
      </c>
      <c r="J40" s="53" t="s">
        <v>144</v>
      </c>
      <c r="N40" s="76"/>
      <c r="O40" s="76"/>
      <c r="P40" s="76" t="str">
        <f t="shared" si="7"/>
        <v>,jisshi_ymd</v>
      </c>
      <c r="Q40" s="76" t="str">
        <f t="shared" si="8"/>
        <v>TEXT</v>
      </c>
      <c r="R40" s="76" t="str">
        <f t="shared" si="9"/>
        <v/>
      </c>
      <c r="S40" s="76" t="str">
        <f t="shared" si="10"/>
        <v>NOT NULL</v>
      </c>
      <c r="T40" s="76" t="str">
        <f t="shared" si="11"/>
        <v>-- 実施年月日</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milscm_2023_010.azn_202310_base_merge_dpc_efn.jisshi_ymd IS '実施年月日';</v>
      </c>
    </row>
    <row r="41" spans="1:52" s="25" customFormat="1">
      <c r="A41" s="4"/>
      <c r="B41" s="21">
        <f t="shared" si="2"/>
        <v>29</v>
      </c>
      <c r="C41" s="6" t="s">
        <v>288</v>
      </c>
      <c r="D41" s="6" t="s">
        <v>234</v>
      </c>
      <c r="E41" s="8"/>
      <c r="F41" s="8" t="s">
        <v>200</v>
      </c>
      <c r="G41" s="7" t="str">
        <f t="shared" si="3"/>
        <v>text</v>
      </c>
      <c r="H41" s="9"/>
      <c r="I41" s="10"/>
      <c r="J41" s="53"/>
      <c r="N41" s="76"/>
      <c r="O41" s="76"/>
      <c r="P41" s="76" t="str">
        <f t="shared" si="7"/>
        <v>,receipt_ka_kubun</v>
      </c>
      <c r="Q41" s="76" t="str">
        <f t="shared" si="8"/>
        <v>TEXT</v>
      </c>
      <c r="R41" s="76" t="str">
        <f t="shared" si="9"/>
        <v/>
      </c>
      <c r="S41" s="76" t="str">
        <f t="shared" si="10"/>
        <v/>
      </c>
      <c r="T41" s="76" t="str">
        <f t="shared" si="11"/>
        <v>-- レセプト科区分</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milscm_2023_010.azn_202310_base_merge_dpc_efn.receipt_ka_kubun IS 'レセプト科区分';</v>
      </c>
    </row>
    <row r="42" spans="1:52" s="25" customFormat="1">
      <c r="A42" s="4"/>
      <c r="B42" s="21">
        <f t="shared" si="2"/>
        <v>30</v>
      </c>
      <c r="C42" s="6" t="s">
        <v>134</v>
      </c>
      <c r="D42" s="6" t="s">
        <v>135</v>
      </c>
      <c r="E42" s="8"/>
      <c r="F42" s="8" t="s">
        <v>200</v>
      </c>
      <c r="G42" s="7" t="str">
        <f t="shared" si="3"/>
        <v>text</v>
      </c>
      <c r="H42" s="9"/>
      <c r="I42" s="10"/>
      <c r="J42" s="53"/>
      <c r="N42" s="76"/>
      <c r="O42" s="76"/>
      <c r="P42" s="76" t="str">
        <f t="shared" si="7"/>
        <v>,department_kubun</v>
      </c>
      <c r="Q42" s="76" t="str">
        <f t="shared" si="8"/>
        <v>TEXT</v>
      </c>
      <c r="R42" s="76" t="str">
        <f t="shared" si="9"/>
        <v/>
      </c>
      <c r="S42" s="76" t="str">
        <f t="shared" si="10"/>
        <v/>
      </c>
      <c r="T42" s="76" t="str">
        <f t="shared" si="11"/>
        <v>-- 診療科区分</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milscm_2023_010.azn_202310_base_merge_dpc_efn.department_kubun IS '診療科区分';</v>
      </c>
    </row>
    <row r="43" spans="1:52" s="25" customFormat="1">
      <c r="A43" s="4"/>
      <c r="B43" s="21">
        <f t="shared" si="2"/>
        <v>31</v>
      </c>
      <c r="C43" s="6" t="s">
        <v>289</v>
      </c>
      <c r="D43" s="6" t="s">
        <v>236</v>
      </c>
      <c r="E43" s="8"/>
      <c r="F43" s="8" t="s">
        <v>200</v>
      </c>
      <c r="G43" s="7" t="str">
        <f t="shared" si="3"/>
        <v>text</v>
      </c>
      <c r="H43" s="9"/>
      <c r="I43" s="10"/>
      <c r="J43" s="53"/>
      <c r="N43" s="76"/>
      <c r="O43" s="76"/>
      <c r="P43" s="76" t="str">
        <f t="shared" si="7"/>
        <v>,doctor_code</v>
      </c>
      <c r="Q43" s="76" t="str">
        <f t="shared" si="8"/>
        <v>TEXT</v>
      </c>
      <c r="R43" s="76" t="str">
        <f t="shared" si="9"/>
        <v/>
      </c>
      <c r="S43" s="76" t="str">
        <f t="shared" si="10"/>
        <v/>
      </c>
      <c r="T43" s="76" t="str">
        <f t="shared" si="11"/>
        <v>-- 医師コード</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milscm_2023_010.azn_202310_base_merge_dpc_efn.doctor_code IS '医師コード';</v>
      </c>
    </row>
    <row r="44" spans="1:52" s="25" customFormat="1">
      <c r="A44" s="4"/>
      <c r="B44" s="21">
        <f t="shared" si="2"/>
        <v>32</v>
      </c>
      <c r="C44" s="6" t="s">
        <v>290</v>
      </c>
      <c r="D44" s="6" t="s">
        <v>238</v>
      </c>
      <c r="E44" s="8"/>
      <c r="F44" s="8" t="s">
        <v>200</v>
      </c>
      <c r="G44" s="7" t="str">
        <f t="shared" si="3"/>
        <v>text</v>
      </c>
      <c r="H44" s="9"/>
      <c r="I44" s="10"/>
      <c r="J44" s="53"/>
      <c r="N44" s="76"/>
      <c r="O44" s="76"/>
      <c r="P44" s="76" t="str">
        <f t="shared" si="7"/>
        <v>,ward_code</v>
      </c>
      <c r="Q44" s="76" t="str">
        <f t="shared" si="8"/>
        <v>TEXT</v>
      </c>
      <c r="R44" s="76" t="str">
        <f t="shared" si="9"/>
        <v/>
      </c>
      <c r="S44" s="76" t="str">
        <f t="shared" si="10"/>
        <v/>
      </c>
      <c r="T44" s="76" t="str">
        <f t="shared" si="11"/>
        <v>-- 病棟コード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milscm_2023_010.azn_202310_base_merge_dpc_efn.ward_code IS '病棟コード';</v>
      </c>
    </row>
    <row r="45" spans="1:52" s="25" customFormat="1">
      <c r="A45" s="4"/>
      <c r="B45" s="21">
        <f t="shared" si="2"/>
        <v>33</v>
      </c>
      <c r="C45" s="6" t="s">
        <v>291</v>
      </c>
      <c r="D45" s="6" t="s">
        <v>240</v>
      </c>
      <c r="E45" s="8"/>
      <c r="F45" s="8" t="s">
        <v>200</v>
      </c>
      <c r="G45" s="7" t="str">
        <f t="shared" si="3"/>
        <v>text</v>
      </c>
      <c r="H45" s="9"/>
      <c r="I45" s="10"/>
      <c r="J45" s="53" t="s">
        <v>301</v>
      </c>
      <c r="N45" s="76"/>
      <c r="O45" s="76"/>
      <c r="P45" s="76" t="str">
        <f t="shared" si="7"/>
        <v>,ward_kubun</v>
      </c>
      <c r="Q45" s="76" t="str">
        <f t="shared" si="8"/>
        <v>TEXT</v>
      </c>
      <c r="R45" s="76" t="str">
        <f t="shared" si="9"/>
        <v/>
      </c>
      <c r="S45" s="76" t="str">
        <f t="shared" si="10"/>
        <v/>
      </c>
      <c r="T45" s="76" t="str">
        <f t="shared" si="11"/>
        <v>-- 病棟区分</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milscm_2023_010.azn_202310_base_merge_dpc_efn.ward_kubun IS '病棟区分';</v>
      </c>
    </row>
    <row r="46" spans="1:52" s="25" customFormat="1">
      <c r="A46" s="4"/>
      <c r="B46" s="21">
        <f t="shared" si="2"/>
        <v>34</v>
      </c>
      <c r="C46" s="6" t="s">
        <v>292</v>
      </c>
      <c r="D46" s="6" t="s">
        <v>242</v>
      </c>
      <c r="E46" s="8"/>
      <c r="F46" s="8" t="s">
        <v>200</v>
      </c>
      <c r="G46" s="7" t="str">
        <f t="shared" si="3"/>
        <v>text</v>
      </c>
      <c r="H46" s="9"/>
      <c r="I46" s="10"/>
      <c r="J46" s="53" t="s">
        <v>302</v>
      </c>
      <c r="N46" s="76"/>
      <c r="O46" s="76"/>
      <c r="P46" s="76" t="str">
        <f t="shared" si="7"/>
        <v>,nyugai_kubun</v>
      </c>
      <c r="Q46" s="76" t="str">
        <f t="shared" si="8"/>
        <v>TEXT</v>
      </c>
      <c r="R46" s="76" t="str">
        <f t="shared" si="9"/>
        <v/>
      </c>
      <c r="S46" s="76" t="str">
        <f t="shared" si="10"/>
        <v/>
      </c>
      <c r="T46" s="76" t="str">
        <f t="shared" si="11"/>
        <v>-- 入外区分</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milscm_2023_010.azn_202310_base_merge_dpc_efn.nyugai_kubun IS '入外区分';</v>
      </c>
      <c r="AT46" s="4"/>
      <c r="AU46" s="4"/>
    </row>
    <row r="47" spans="1:52" s="25" customFormat="1" ht="19.5" thickBot="1">
      <c r="A47" s="4"/>
      <c r="B47" s="27">
        <f>ROW()-12</f>
        <v>35</v>
      </c>
      <c r="C47" s="28" t="s">
        <v>293</v>
      </c>
      <c r="D47" s="28" t="s">
        <v>244</v>
      </c>
      <c r="E47" s="29"/>
      <c r="F47" s="29" t="s">
        <v>200</v>
      </c>
      <c r="G47" s="56" t="str">
        <f t="shared" si="3"/>
        <v>text</v>
      </c>
      <c r="H47" s="30"/>
      <c r="I47" s="31"/>
      <c r="J47" s="55"/>
      <c r="L47" s="4"/>
      <c r="N47" s="76"/>
      <c r="O47" s="76"/>
      <c r="P47" s="76" t="str">
        <f t="shared" si="7"/>
        <v>,facility_type</v>
      </c>
      <c r="Q47" s="76" t="str">
        <f t="shared" si="8"/>
        <v>TEXT</v>
      </c>
      <c r="R47" s="76" t="str">
        <f t="shared" si="9"/>
        <v/>
      </c>
      <c r="S47" s="76" t="str">
        <f t="shared" si="10"/>
        <v/>
      </c>
      <c r="T47" s="76" t="str">
        <f t="shared" si="11"/>
        <v>-- 施設タイプ</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milscm_2023_010.azn_202310_base_merge_dpc_efn.facility_type IS '施設タイプ';</v>
      </c>
      <c r="AT47" s="4"/>
      <c r="AU47" s="4"/>
      <c r="AV47" s="4"/>
      <c r="AW47" s="4"/>
      <c r="AX47" s="4"/>
      <c r="AY47" s="4"/>
      <c r="AZ47" s="4"/>
    </row>
    <row r="48" spans="1:52">
      <c r="M48" s="25"/>
      <c r="N48" s="76" t="s">
        <v>142</v>
      </c>
      <c r="O48" s="76"/>
      <c r="P48" s="76"/>
      <c r="Q48" s="76"/>
      <c r="R48" s="76"/>
      <c r="S48" s="76"/>
      <c r="T48" s="76"/>
      <c r="V48" s="25"/>
      <c r="W48" s="25"/>
      <c r="X48" s="25"/>
      <c r="Y48" s="25"/>
      <c r="Z48" s="25"/>
      <c r="AJ48" s="76" t="s">
        <v>142</v>
      </c>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31</v>
      </c>
      <c r="E4" s="248"/>
      <c r="F4" s="248"/>
      <c r="G4" s="248"/>
      <c r="H4" s="248"/>
      <c r="I4" s="248"/>
      <c r="J4" s="249"/>
    </row>
    <row r="5" spans="1:45">
      <c r="B5" s="261" t="s">
        <v>3704</v>
      </c>
      <c r="C5" s="262"/>
      <c r="D5" s="271" t="str">
        <f>VLOOKUP(D7,エンティティ一覧!A1:'エンティティ一覧'!AM10203,7,FALSE)</f>
        <v>base</v>
      </c>
      <c r="E5" s="272"/>
      <c r="F5" s="272"/>
      <c r="G5" s="272"/>
      <c r="H5" s="272"/>
      <c r="I5" s="272"/>
      <c r="J5" s="273"/>
    </row>
    <row r="6" spans="1:45">
      <c r="B6" s="261" t="s">
        <v>3705</v>
      </c>
      <c r="C6" s="262"/>
      <c r="D6" s="271" t="str">
        <f>VLOOKUP(D7,エンティティ一覧!A1:'エンティティ一覧'!AM10203,15,FALSE)</f>
        <v>ENT_31_C1-03</v>
      </c>
      <c r="E6" s="272"/>
      <c r="F6" s="272"/>
      <c r="G6" s="272"/>
      <c r="H6" s="272"/>
      <c r="I6" s="272"/>
      <c r="J6" s="273"/>
    </row>
    <row r="7" spans="1:45">
      <c r="B7" s="261" t="s">
        <v>115</v>
      </c>
      <c r="C7" s="262"/>
      <c r="D7" s="263" t="s">
        <v>309</v>
      </c>
      <c r="E7" s="264"/>
      <c r="F7" s="264"/>
      <c r="G7" s="264"/>
      <c r="H7" s="264"/>
      <c r="I7" s="264"/>
      <c r="J7" s="265"/>
    </row>
    <row r="8" spans="1:45">
      <c r="B8" s="261" t="s">
        <v>116</v>
      </c>
      <c r="C8" s="262"/>
      <c r="D8" s="263" t="str">
        <f>エンティティ一覧!AE2&amp;"_"&amp;D5&amp;"_merge_dpc_efg"</f>
        <v>azn_202310_base_merge_dpc_efg</v>
      </c>
      <c r="E8" s="264"/>
      <c r="F8" s="264"/>
      <c r="G8" s="264"/>
      <c r="H8" s="264"/>
      <c r="I8" s="264"/>
      <c r="J8" s="265"/>
    </row>
    <row r="9" spans="1:45" ht="19.5" customHeight="1" thickBot="1">
      <c r="B9" s="266" t="s">
        <v>117</v>
      </c>
      <c r="C9" s="267"/>
      <c r="D9" s="268" t="str">
        <f>"バックアップ_"&amp;SUBSTITUTE(D7,"ベース_","")&amp;"テーブルから対象患者で絞り込んだ結果を格納するテーブル"</f>
        <v>バックアップ_DPC調査データ_外来EF統合ファイルテーブルから対象患者で絞り込んだ結果を格納するテーブル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milscm_2023_010.azn_202310_base_merge_dpc_efg;</v>
      </c>
      <c r="O10" s="76"/>
      <c r="P10" s="76"/>
      <c r="Q10" s="76"/>
      <c r="R10" s="76"/>
      <c r="S10" s="76"/>
      <c r="T10" s="76"/>
      <c r="AJ10" s="76" t="str">
        <f>"ALTER TABLE ONLY "&amp;エンティティ一覧!$O$2&amp;"."&amp;D$8</f>
        <v>ALTER TABLE ONLY milscm_2023_010.azn_202310_base_merge_dpc_efg</v>
      </c>
      <c r="AS10" s="76" t="str">
        <f>"ALTER TABLE "&amp;エンティティ一覧!$O$2&amp;"."&amp;D$8&amp;" OWNER TO pgmisgrp1;"</f>
        <v>ALTER TABLE milscm_2023_010.azn_202310_base_merge_dpc_efg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milscm_2023_010.azn_202310_base_merge_dpc_efg</v>
      </c>
      <c r="O11" s="76"/>
      <c r="P11" s="76"/>
      <c r="Q11" s="76"/>
      <c r="R11" s="76"/>
      <c r="S11" s="76"/>
      <c r="T11" s="76"/>
      <c r="AJ11" s="76" t="str">
        <f>"ADD CONSTRAINT "&amp;D$8&amp;"_pkey PRIMARY KEY"</f>
        <v>ADD CONSTRAINT azn_202310_base_merge_dpc_efg_pkey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milscm_2023_010.azn_202310_base_merge_dpc_efg IS 'ベース_DPC調査データ_外来EF統合ファイル';</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352</v>
      </c>
      <c r="M13" s="4"/>
      <c r="N13" s="76"/>
      <c r="O13" s="76"/>
      <c r="P13" s="76" t="str">
        <f>IF(B13&lt;&gt;1,","&amp;D13,D13)</f>
        <v>torikomi_ym</v>
      </c>
      <c r="Q13" s="76" t="str">
        <f t="shared" ref="Q13:Q30" si="0">UPPER(G13)</f>
        <v>TEXT</v>
      </c>
      <c r="R13" s="76" t="str">
        <f t="shared" ref="R13:R3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milscm_2023_010.azn_202310_base_merge_dpc_efg.torikomi_ym IS '取込年月';</v>
      </c>
    </row>
    <row r="14" spans="1:45" s="25" customFormat="1">
      <c r="A14" s="4"/>
      <c r="B14" s="21">
        <f t="shared" ref="B14:B46" si="2">ROW()-12</f>
        <v>2</v>
      </c>
      <c r="C14" s="6" t="s">
        <v>201</v>
      </c>
      <c r="D14" s="6" t="s">
        <v>202</v>
      </c>
      <c r="E14" s="8"/>
      <c r="F14" s="7" t="s">
        <v>203</v>
      </c>
      <c r="G14" s="7" t="str">
        <f t="shared" ref="G14:G47" si="3">IF(F14="フラグ","boolean",IF(F14="文字列","text",IF(F14="整数","integer",IF(F14="実数","numeric",""))))</f>
        <v>integer</v>
      </c>
      <c r="H14" s="26"/>
      <c r="I14" s="10"/>
      <c r="J14" s="11" t="s">
        <v>256</v>
      </c>
      <c r="M14" s="4"/>
      <c r="N14" s="76"/>
      <c r="O14" s="76"/>
      <c r="P14" s="76" t="str">
        <f t="shared" ref="P14:P3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milscm_2023_010.azn_202310_base_merge_dpc_efg.mil_karute_id IS '千年カルテID';</v>
      </c>
    </row>
    <row r="15" spans="1:45" s="25" customFormat="1" ht="37.5">
      <c r="A15" s="4"/>
      <c r="B15" s="21">
        <f t="shared" si="2"/>
        <v>3</v>
      </c>
      <c r="C15" s="13" t="s">
        <v>137</v>
      </c>
      <c r="D15" s="13" t="s">
        <v>128</v>
      </c>
      <c r="E15" s="7" t="s">
        <v>127</v>
      </c>
      <c r="F15" s="7" t="s">
        <v>316</v>
      </c>
      <c r="G15" s="7" t="str">
        <f t="shared" si="3"/>
        <v>text</v>
      </c>
      <c r="H15" s="58"/>
      <c r="I15" s="23" t="s">
        <v>127</v>
      </c>
      <c r="J15" s="24" t="s">
        <v>353</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milscm_2023_010.azn_202310_base_merge_dpc_efg.facility_id IS '施設ID';</v>
      </c>
    </row>
    <row r="16" spans="1:45" s="25" customFormat="1" ht="93.75">
      <c r="B16" s="21">
        <f t="shared" si="2"/>
        <v>4</v>
      </c>
      <c r="C16" s="6" t="s">
        <v>317</v>
      </c>
      <c r="D16" s="6" t="s">
        <v>205</v>
      </c>
      <c r="E16" s="8" t="s">
        <v>127</v>
      </c>
      <c r="F16" s="7" t="s">
        <v>316</v>
      </c>
      <c r="G16" s="7" t="str">
        <f t="shared" si="3"/>
        <v>text</v>
      </c>
      <c r="H16" s="26"/>
      <c r="I16" s="10" t="s">
        <v>127</v>
      </c>
      <c r="J16" s="53" t="s">
        <v>896</v>
      </c>
      <c r="M16" s="4"/>
      <c r="N16" s="76"/>
      <c r="O16" s="76"/>
      <c r="P16" s="76" t="str">
        <f t="shared" si="4"/>
        <v>,shinryo_ym</v>
      </c>
      <c r="Q16" s="76" t="str">
        <f t="shared" si="0"/>
        <v>TEXT</v>
      </c>
      <c r="R16" s="76" t="str">
        <f t="shared" si="1"/>
        <v/>
      </c>
      <c r="S16" s="76" t="str">
        <f t="shared" ref="S16:S30" si="5">IF(I16="○","NOT NULL","")</f>
        <v>NOT NULL</v>
      </c>
      <c r="T16" s="76" t="str">
        <f t="shared" ref="T16:T30"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milscm_2023_010.azn_202310_base_merge_dpc_efg.shinryo_ym IS '診療年月';</v>
      </c>
    </row>
    <row r="17" spans="1:45" s="25" customFormat="1">
      <c r="B17" s="21">
        <f t="shared" si="2"/>
        <v>5</v>
      </c>
      <c r="C17" s="13" t="s">
        <v>318</v>
      </c>
      <c r="D17" s="13" t="s">
        <v>207</v>
      </c>
      <c r="E17" s="7"/>
      <c r="F17" s="7" t="s">
        <v>316</v>
      </c>
      <c r="G17" s="7" t="str">
        <f t="shared" si="3"/>
        <v>text</v>
      </c>
      <c r="H17" s="58" t="s">
        <v>258</v>
      </c>
      <c r="I17" s="23" t="s">
        <v>127</v>
      </c>
      <c r="J17" s="24" t="s">
        <v>354</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milscm_2023_010.azn_202310_base_merge_dpc_efg.data_type IS 'データ種別';</v>
      </c>
    </row>
    <row r="18" spans="1:45" s="25" customFormat="1">
      <c r="B18" s="21">
        <f t="shared" si="2"/>
        <v>6</v>
      </c>
      <c r="C18" s="6" t="s">
        <v>319</v>
      </c>
      <c r="D18" s="6" t="s">
        <v>209</v>
      </c>
      <c r="E18" s="8" t="s">
        <v>127</v>
      </c>
      <c r="F18" s="7" t="s">
        <v>316</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milscm_2023_010.azn_202310_base_merge_dpc_efg.shikibetsu_no IS 'データ識別番号';</v>
      </c>
    </row>
    <row r="19" spans="1:45" s="25" customFormat="1">
      <c r="B19" s="21">
        <f t="shared" si="2"/>
        <v>7</v>
      </c>
      <c r="C19" s="13" t="s">
        <v>320</v>
      </c>
      <c r="D19" s="13" t="s">
        <v>321</v>
      </c>
      <c r="E19" s="7" t="s">
        <v>127</v>
      </c>
      <c r="F19" s="7" t="s">
        <v>316</v>
      </c>
      <c r="G19" s="7" t="str">
        <f t="shared" si="3"/>
        <v>text</v>
      </c>
      <c r="H19" s="58"/>
      <c r="I19" s="23" t="s">
        <v>127</v>
      </c>
      <c r="J19" s="24" t="s">
        <v>144</v>
      </c>
      <c r="N19" s="76"/>
      <c r="O19" s="76"/>
      <c r="P19" s="76" t="str">
        <f t="shared" si="4"/>
        <v>,birthday</v>
      </c>
      <c r="Q19" s="76" t="str">
        <f t="shared" si="0"/>
        <v>TEXT</v>
      </c>
      <c r="R19" s="76" t="str">
        <f t="shared" si="1"/>
        <v/>
      </c>
      <c r="S19" s="76" t="str">
        <f t="shared" si="5"/>
        <v>NOT NULL</v>
      </c>
      <c r="T19" s="76" t="str">
        <f t="shared" si="6"/>
        <v>-- 生年月日</v>
      </c>
      <c r="U19" s="4"/>
      <c r="AA19" s="4"/>
      <c r="AB19" s="4"/>
      <c r="AC19" s="4"/>
      <c r="AD19" s="4"/>
      <c r="AE19" s="4"/>
      <c r="AF19" s="4"/>
      <c r="AG19" s="4"/>
      <c r="AH19" s="4"/>
      <c r="AI19" s="4"/>
      <c r="AJ19" s="76" t="str">
        <f>IF(E19="○",IF(COUNTA(E$13:E19)=1,"",",")&amp;D19,"")</f>
        <v>,birthday</v>
      </c>
      <c r="AK19" s="4"/>
      <c r="AL19" s="4"/>
      <c r="AM19" s="4"/>
      <c r="AN19" s="4"/>
      <c r="AO19" s="4"/>
      <c r="AP19" s="4"/>
      <c r="AQ19" s="4"/>
      <c r="AR19" s="4"/>
      <c r="AS19" s="76" t="str">
        <f>"COMMENT ON COLUMN "&amp;エンティティ一覧!$O$2&amp;"."&amp;D$8&amp;"."&amp;D19&amp;" IS '"&amp;C19&amp;"';"</f>
        <v>COMMENT ON COLUMN milscm_2023_010.azn_202310_base_merge_dpc_efg.birthday IS '生年月日';</v>
      </c>
    </row>
    <row r="20" spans="1:45" s="25" customFormat="1" ht="56.25">
      <c r="B20" s="21">
        <f t="shared" si="2"/>
        <v>8</v>
      </c>
      <c r="C20" s="6" t="s">
        <v>322</v>
      </c>
      <c r="D20" s="6" t="s">
        <v>323</v>
      </c>
      <c r="E20" s="8" t="s">
        <v>127</v>
      </c>
      <c r="F20" s="7" t="s">
        <v>316</v>
      </c>
      <c r="G20" s="7" t="str">
        <f t="shared" si="3"/>
        <v>text</v>
      </c>
      <c r="H20" s="26"/>
      <c r="I20" s="10" t="s">
        <v>127</v>
      </c>
      <c r="J20" s="11" t="s">
        <v>294</v>
      </c>
      <c r="N20" s="76"/>
      <c r="O20" s="76"/>
      <c r="P20" s="76" t="str">
        <f t="shared" si="4"/>
        <v>,gairai_ymd</v>
      </c>
      <c r="Q20" s="76" t="str">
        <f t="shared" si="0"/>
        <v>TEXT</v>
      </c>
      <c r="R20" s="76" t="str">
        <f t="shared" si="1"/>
        <v/>
      </c>
      <c r="S20" s="76" t="str">
        <f t="shared" si="5"/>
        <v>NOT NULL</v>
      </c>
      <c r="T20" s="76" t="str">
        <f t="shared" si="6"/>
        <v>-- 外来受診年月日</v>
      </c>
      <c r="U20" s="4"/>
      <c r="AA20" s="4"/>
      <c r="AB20" s="4"/>
      <c r="AC20" s="4"/>
      <c r="AD20" s="4"/>
      <c r="AE20" s="4"/>
      <c r="AF20" s="4"/>
      <c r="AG20" s="4"/>
      <c r="AH20" s="4"/>
      <c r="AI20" s="4"/>
      <c r="AJ20" s="76" t="str">
        <f>IF(E20="○",IF(COUNTA(E$13:E20)=1,"",",")&amp;D20,"")</f>
        <v>,gairai_ymd</v>
      </c>
      <c r="AK20" s="4"/>
      <c r="AL20" s="4"/>
      <c r="AM20" s="4"/>
      <c r="AN20" s="4"/>
      <c r="AO20" s="4"/>
      <c r="AP20" s="4"/>
      <c r="AQ20" s="4"/>
      <c r="AR20" s="4"/>
      <c r="AS20" s="76" t="str">
        <f>"COMMENT ON COLUMN "&amp;エンティティ一覧!$O$2&amp;"."&amp;D$8&amp;"."&amp;D20&amp;" IS '"&amp;C20&amp;"';"</f>
        <v>COMMENT ON COLUMN milscm_2023_010.azn_202310_base_merge_dpc_efg.gairai_ymd IS '外来受診年月日';</v>
      </c>
    </row>
    <row r="21" spans="1:45" s="25" customFormat="1">
      <c r="A21" s="4"/>
      <c r="B21" s="21">
        <f t="shared" si="2"/>
        <v>9</v>
      </c>
      <c r="C21" s="13" t="s">
        <v>324</v>
      </c>
      <c r="D21" s="13" t="s">
        <v>213</v>
      </c>
      <c r="E21" s="7" t="s">
        <v>127</v>
      </c>
      <c r="F21" s="7" t="s">
        <v>316</v>
      </c>
      <c r="G21" s="7" t="str">
        <f t="shared" si="3"/>
        <v>text</v>
      </c>
      <c r="H21" s="58"/>
      <c r="I21" s="23" t="s">
        <v>127</v>
      </c>
      <c r="J21" s="24"/>
      <c r="N21" s="76"/>
      <c r="O21" s="76"/>
      <c r="P21" s="76" t="str">
        <f t="shared" si="4"/>
        <v>,data_kubun</v>
      </c>
      <c r="Q21" s="76" t="str">
        <f t="shared" si="0"/>
        <v>TEXT</v>
      </c>
      <c r="R21" s="76" t="str">
        <f t="shared" si="1"/>
        <v/>
      </c>
      <c r="S21" s="76" t="str">
        <f t="shared" si="5"/>
        <v>NOT NULL</v>
      </c>
      <c r="T21" s="76" t="str">
        <f t="shared" si="6"/>
        <v>-- データ区分</v>
      </c>
      <c r="U21" s="4"/>
      <c r="AA21" s="4"/>
      <c r="AB21" s="4"/>
      <c r="AC21" s="4"/>
      <c r="AD21" s="4"/>
      <c r="AE21" s="4"/>
      <c r="AF21" s="4"/>
      <c r="AG21" s="4"/>
      <c r="AH21" s="4"/>
      <c r="AI21" s="4"/>
      <c r="AJ21" s="76" t="str">
        <f>IF(E21="○",IF(COUNTA(E$13:E21)=1,"",",")&amp;D21,"")</f>
        <v>,data_kubun</v>
      </c>
      <c r="AK21" s="4"/>
      <c r="AL21" s="4"/>
      <c r="AM21" s="4"/>
      <c r="AN21" s="4"/>
      <c r="AO21" s="4"/>
      <c r="AP21" s="4"/>
      <c r="AQ21" s="4"/>
      <c r="AR21" s="4"/>
      <c r="AS21" s="76" t="str">
        <f>"COMMENT ON COLUMN "&amp;エンティティ一覧!$O$2&amp;"."&amp;D$8&amp;"."&amp;D21&amp;" IS '"&amp;C21&amp;"';"</f>
        <v>COMMENT ON COLUMN milscm_2023_010.azn_202310_base_merge_dpc_efg.data_kubun IS 'データ区分';</v>
      </c>
    </row>
    <row r="22" spans="1:45" s="25" customFormat="1">
      <c r="A22" s="4"/>
      <c r="B22" s="21">
        <f t="shared" si="2"/>
        <v>10</v>
      </c>
      <c r="C22" s="6" t="s">
        <v>325</v>
      </c>
      <c r="D22" s="6" t="s">
        <v>215</v>
      </c>
      <c r="E22" s="8" t="s">
        <v>127</v>
      </c>
      <c r="F22" s="7" t="s">
        <v>316</v>
      </c>
      <c r="G22" s="7" t="str">
        <f t="shared" si="3"/>
        <v>text</v>
      </c>
      <c r="H22" s="26"/>
      <c r="I22" s="10" t="s">
        <v>127</v>
      </c>
      <c r="J22" s="11"/>
      <c r="N22" s="76"/>
      <c r="O22" s="76"/>
      <c r="P22" s="76" t="str">
        <f t="shared" si="4"/>
        <v>,junjo_no</v>
      </c>
      <c r="Q22" s="76" t="str">
        <f t="shared" si="0"/>
        <v>TEXT</v>
      </c>
      <c r="R22" s="76" t="str">
        <f t="shared" si="1"/>
        <v/>
      </c>
      <c r="S22" s="76" t="str">
        <f t="shared" si="5"/>
        <v>NOT NULL</v>
      </c>
      <c r="T22" s="76" t="str">
        <f t="shared" si="6"/>
        <v>-- 順序番号</v>
      </c>
      <c r="U22" s="4"/>
      <c r="AA22" s="4"/>
      <c r="AB22" s="4"/>
      <c r="AC22" s="4"/>
      <c r="AD22" s="4"/>
      <c r="AE22" s="4"/>
      <c r="AF22" s="4"/>
      <c r="AG22" s="4"/>
      <c r="AH22" s="4"/>
      <c r="AI22" s="4"/>
      <c r="AJ22" s="76" t="str">
        <f>IF(E22="○",IF(COUNTA(E$13:E22)=1,"",",")&amp;D22,"")</f>
        <v>,junjo_no</v>
      </c>
      <c r="AK22" s="4"/>
      <c r="AL22" s="4"/>
      <c r="AM22" s="4"/>
      <c r="AN22" s="4"/>
      <c r="AO22" s="4"/>
      <c r="AP22" s="4"/>
      <c r="AQ22" s="4"/>
      <c r="AR22" s="4"/>
      <c r="AS22" s="76" t="str">
        <f>"COMMENT ON COLUMN "&amp;エンティティ一覧!$O$2&amp;"."&amp;D$8&amp;"."&amp;D22&amp;" IS '"&amp;C22&amp;"';"</f>
        <v>COMMENT ON COLUMN milscm_2023_010.azn_202310_base_merge_dpc_efg.junjo_no IS '順序番号';</v>
      </c>
    </row>
    <row r="23" spans="1:45" s="25" customFormat="1" ht="37.5">
      <c r="A23" s="4"/>
      <c r="B23" s="21">
        <f t="shared" si="2"/>
        <v>11</v>
      </c>
      <c r="C23" s="13" t="s">
        <v>326</v>
      </c>
      <c r="D23" s="13" t="s">
        <v>153</v>
      </c>
      <c r="E23" s="7" t="s">
        <v>127</v>
      </c>
      <c r="F23" s="7" t="s">
        <v>316</v>
      </c>
      <c r="G23" s="7" t="str">
        <f t="shared" si="3"/>
        <v>text</v>
      </c>
      <c r="H23" s="58"/>
      <c r="I23" s="23" t="s">
        <v>127</v>
      </c>
      <c r="J23" s="24" t="s">
        <v>295</v>
      </c>
      <c r="N23" s="76"/>
      <c r="O23" s="76"/>
      <c r="P23" s="76" t="str">
        <f t="shared" si="4"/>
        <v>,koi_meisai_no</v>
      </c>
      <c r="Q23" s="76" t="str">
        <f t="shared" si="0"/>
        <v>TEXT</v>
      </c>
      <c r="R23" s="76" t="str">
        <f t="shared" si="1"/>
        <v/>
      </c>
      <c r="S23" s="76" t="str">
        <f t="shared" si="5"/>
        <v>NOT NULL</v>
      </c>
      <c r="T23" s="76" t="str">
        <f t="shared" si="6"/>
        <v>-- 行為明細番号</v>
      </c>
      <c r="U23" s="4"/>
      <c r="AA23" s="4"/>
      <c r="AB23" s="4"/>
      <c r="AC23" s="4"/>
      <c r="AD23" s="4"/>
      <c r="AE23" s="4"/>
      <c r="AF23" s="4"/>
      <c r="AG23" s="4"/>
      <c r="AH23" s="4"/>
      <c r="AI23" s="4"/>
      <c r="AJ23" s="76" t="str">
        <f>IF(E23="○",IF(COUNTA(E$13:E23)=1,"",",")&amp;D23,"")</f>
        <v>,koi_meisai_no</v>
      </c>
      <c r="AK23" s="4"/>
      <c r="AL23" s="4"/>
      <c r="AM23" s="4"/>
      <c r="AN23" s="4"/>
      <c r="AO23" s="4"/>
      <c r="AP23" s="4"/>
      <c r="AQ23" s="4"/>
      <c r="AR23" s="4"/>
      <c r="AS23" s="76" t="str">
        <f>"COMMENT ON COLUMN "&amp;エンティティ一覧!$O$2&amp;"."&amp;D$8&amp;"."&amp;D23&amp;" IS '"&amp;C23&amp;"';"</f>
        <v>COMMENT ON COLUMN milscm_2023_010.azn_202310_base_merge_dpc_efg.koi_meisai_no IS '行為明細番号';</v>
      </c>
    </row>
    <row r="24" spans="1:45" s="25" customFormat="1">
      <c r="A24" s="4"/>
      <c r="B24" s="21">
        <f t="shared" si="2"/>
        <v>12</v>
      </c>
      <c r="C24" s="6" t="s">
        <v>327</v>
      </c>
      <c r="D24" s="6" t="s">
        <v>217</v>
      </c>
      <c r="E24" s="8"/>
      <c r="F24" s="7" t="s">
        <v>316</v>
      </c>
      <c r="G24" s="7" t="str">
        <f t="shared" si="3"/>
        <v>text</v>
      </c>
      <c r="H24" s="26"/>
      <c r="I24" s="10"/>
      <c r="J24" s="11"/>
      <c r="N24" s="76"/>
      <c r="O24" s="76"/>
      <c r="P24" s="76" t="str">
        <f t="shared" si="4"/>
        <v>,tensu_master_code</v>
      </c>
      <c r="Q24" s="76" t="str">
        <f t="shared" si="0"/>
        <v>TEXT</v>
      </c>
      <c r="R24" s="76" t="str">
        <f t="shared" si="1"/>
        <v/>
      </c>
      <c r="S24" s="76" t="str">
        <f t="shared" si="5"/>
        <v/>
      </c>
      <c r="T24" s="76" t="str">
        <f t="shared" si="6"/>
        <v>-- 病院点数マスタコード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milscm_2023_010.azn_202310_base_merge_dpc_efg.tensu_master_code IS '病院点数マスタコード';</v>
      </c>
    </row>
    <row r="25" spans="1:45" s="25" customFormat="1" ht="37.5">
      <c r="A25" s="4"/>
      <c r="B25" s="21">
        <f t="shared" si="2"/>
        <v>13</v>
      </c>
      <c r="C25" s="13" t="s">
        <v>145</v>
      </c>
      <c r="D25" s="13" t="s">
        <v>154</v>
      </c>
      <c r="E25" s="7"/>
      <c r="F25" s="7" t="s">
        <v>316</v>
      </c>
      <c r="G25" s="7" t="str">
        <f t="shared" si="3"/>
        <v>text</v>
      </c>
      <c r="H25" s="58"/>
      <c r="I25" s="23"/>
      <c r="J25" s="24" t="s">
        <v>296</v>
      </c>
      <c r="N25" s="76"/>
      <c r="O25" s="76"/>
      <c r="P25" s="76" t="str">
        <f t="shared" si="4"/>
        <v>,receipt_densan_code</v>
      </c>
      <c r="Q25" s="76" t="str">
        <f t="shared" si="0"/>
        <v>TEXT</v>
      </c>
      <c r="R25" s="76" t="str">
        <f t="shared" si="1"/>
        <v/>
      </c>
      <c r="S25" s="76" t="str">
        <f t="shared" si="5"/>
        <v/>
      </c>
      <c r="T25" s="76" t="str">
        <f t="shared" si="6"/>
        <v>-- レセプト電算処理システム用コード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milscm_2023_010.azn_202310_base_merge_dpc_efg.receipt_densan_code IS 'レセプト電算処理システム用コード';</v>
      </c>
    </row>
    <row r="26" spans="1:45" s="25" customFormat="1">
      <c r="A26" s="4"/>
      <c r="B26" s="21">
        <f t="shared" si="2"/>
        <v>14</v>
      </c>
      <c r="C26" s="6" t="s">
        <v>328</v>
      </c>
      <c r="D26" s="6" t="s">
        <v>219</v>
      </c>
      <c r="E26" s="8"/>
      <c r="F26" s="7" t="s">
        <v>316</v>
      </c>
      <c r="G26" s="7" t="str">
        <f t="shared" si="3"/>
        <v>text</v>
      </c>
      <c r="H26" s="26"/>
      <c r="I26" s="10"/>
      <c r="J26" s="11"/>
      <c r="N26" s="76"/>
      <c r="O26" s="76"/>
      <c r="P26" s="76" t="str">
        <f t="shared" si="4"/>
        <v>,kaishaku_no</v>
      </c>
      <c r="Q26" s="76" t="str">
        <f t="shared" si="0"/>
        <v>TEXT</v>
      </c>
      <c r="R26" s="76" t="str">
        <f t="shared" si="1"/>
        <v/>
      </c>
      <c r="S26" s="76" t="str">
        <f t="shared" si="5"/>
        <v/>
      </c>
      <c r="T26" s="76" t="str">
        <f t="shared" si="6"/>
        <v>-- 解釈番号</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milscm_2023_010.azn_202310_base_merge_dpc_efg.kaishaku_no IS '解釈番号';</v>
      </c>
    </row>
    <row r="27" spans="1:45" s="25" customFormat="1">
      <c r="A27" s="4"/>
      <c r="B27" s="21">
        <f t="shared" si="2"/>
        <v>15</v>
      </c>
      <c r="C27" s="6" t="s">
        <v>329</v>
      </c>
      <c r="D27" s="6" t="s">
        <v>146</v>
      </c>
      <c r="E27" s="8"/>
      <c r="F27" s="7" t="s">
        <v>316</v>
      </c>
      <c r="G27" s="7" t="str">
        <f t="shared" si="3"/>
        <v>text</v>
      </c>
      <c r="H27" s="26"/>
      <c r="I27" s="10"/>
      <c r="J27" s="11" t="s">
        <v>147</v>
      </c>
      <c r="N27" s="76"/>
      <c r="O27" s="76"/>
      <c r="P27" s="76" t="str">
        <f t="shared" si="4"/>
        <v>,sinryo_meisai_name</v>
      </c>
      <c r="Q27" s="76" t="str">
        <f t="shared" si="0"/>
        <v>TEXT</v>
      </c>
      <c r="R27" s="76" t="str">
        <f t="shared" si="1"/>
        <v/>
      </c>
      <c r="S27" s="76" t="str">
        <f t="shared" si="5"/>
        <v/>
      </c>
      <c r="T27" s="76" t="str">
        <f t="shared" si="6"/>
        <v>-- 診療明細名称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milscm_2023_010.azn_202310_base_merge_dpc_efg.sinryo_meisai_name IS '診療明細名称';</v>
      </c>
    </row>
    <row r="28" spans="1:45" s="25" customFormat="1" ht="37.5">
      <c r="A28" s="4"/>
      <c r="B28" s="21">
        <f t="shared" si="2"/>
        <v>16</v>
      </c>
      <c r="C28" s="13" t="s">
        <v>330</v>
      </c>
      <c r="D28" s="13" t="s">
        <v>129</v>
      </c>
      <c r="E28" s="7"/>
      <c r="F28" s="7" t="s">
        <v>331</v>
      </c>
      <c r="G28" s="7" t="str">
        <f t="shared" si="3"/>
        <v>numeric</v>
      </c>
      <c r="H28" s="58"/>
      <c r="I28" s="23"/>
      <c r="J28" s="24" t="s">
        <v>150</v>
      </c>
      <c r="N28" s="76"/>
      <c r="O28" s="76"/>
      <c r="P28" s="76" t="str">
        <f t="shared" si="4"/>
        <v>,shiyoryo</v>
      </c>
      <c r="Q28" s="76" t="str">
        <f t="shared" si="0"/>
        <v>NUMERIC</v>
      </c>
      <c r="R28" s="76" t="str">
        <f t="shared" si="1"/>
        <v/>
      </c>
      <c r="S28" s="76" t="str">
        <f t="shared" si="5"/>
        <v/>
      </c>
      <c r="T28" s="76" t="str">
        <f t="shared" si="6"/>
        <v>-- 使用量</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milscm_2023_010.azn_202310_base_merge_dpc_efg.shiyoryo IS '使用量';</v>
      </c>
    </row>
    <row r="29" spans="1:45" s="25" customFormat="1">
      <c r="A29" s="4"/>
      <c r="B29" s="21">
        <f t="shared" si="2"/>
        <v>17</v>
      </c>
      <c r="C29" s="6" t="s">
        <v>332</v>
      </c>
      <c r="D29" s="6" t="s">
        <v>275</v>
      </c>
      <c r="E29" s="8"/>
      <c r="F29" s="7" t="s">
        <v>316</v>
      </c>
      <c r="G29" s="7" t="str">
        <f t="shared" si="3"/>
        <v>text</v>
      </c>
      <c r="H29" s="26"/>
      <c r="I29" s="10"/>
      <c r="J29" s="11"/>
      <c r="N29" s="76"/>
      <c r="O29" s="76"/>
      <c r="P29" s="76" t="str">
        <f t="shared" si="4"/>
        <v>,unit</v>
      </c>
      <c r="Q29" s="76" t="str">
        <f t="shared" si="0"/>
        <v>TEXT</v>
      </c>
      <c r="R29" s="76" t="str">
        <f t="shared" si="1"/>
        <v/>
      </c>
      <c r="S29" s="76" t="str">
        <f t="shared" si="5"/>
        <v/>
      </c>
      <c r="T29" s="76" t="str">
        <f t="shared" si="6"/>
        <v>-- 基準単位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milscm_2023_010.azn_202310_base_merge_dpc_efg.unit IS '基準単位';</v>
      </c>
    </row>
    <row r="30" spans="1:45" s="25" customFormat="1">
      <c r="A30" s="4"/>
      <c r="B30" s="21">
        <f t="shared" si="2"/>
        <v>18</v>
      </c>
      <c r="C30" s="13" t="s">
        <v>333</v>
      </c>
      <c r="D30" s="13" t="s">
        <v>130</v>
      </c>
      <c r="E30" s="7"/>
      <c r="F30" s="7" t="s">
        <v>331</v>
      </c>
      <c r="G30" s="7" t="str">
        <f t="shared" si="3"/>
        <v>numeric</v>
      </c>
      <c r="H30" s="58"/>
      <c r="I30" s="23"/>
      <c r="J30" s="24"/>
      <c r="N30" s="76"/>
      <c r="O30" s="76"/>
      <c r="P30" s="76" t="str">
        <f t="shared" si="4"/>
        <v>,meisai_tensu</v>
      </c>
      <c r="Q30" s="76" t="str">
        <f t="shared" si="0"/>
        <v>NUMERIC</v>
      </c>
      <c r="R30" s="76" t="str">
        <f t="shared" si="1"/>
        <v/>
      </c>
      <c r="S30" s="76" t="str">
        <f t="shared" si="5"/>
        <v/>
      </c>
      <c r="T30" s="76" t="str">
        <f t="shared" si="6"/>
        <v>-- 明細点数・金額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milscm_2023_010.azn_202310_base_merge_dpc_efg.meisai_tensu IS '明細点数・金額';</v>
      </c>
    </row>
    <row r="31" spans="1:45" s="25" customFormat="1">
      <c r="A31" s="4"/>
      <c r="B31" s="21">
        <f t="shared" si="2"/>
        <v>19</v>
      </c>
      <c r="C31" s="6" t="s">
        <v>334</v>
      </c>
      <c r="D31" s="6" t="s">
        <v>131</v>
      </c>
      <c r="E31" s="8"/>
      <c r="F31" s="7" t="s">
        <v>316</v>
      </c>
      <c r="G31" s="7" t="str">
        <f t="shared" si="3"/>
        <v>text</v>
      </c>
      <c r="H31" s="26"/>
      <c r="I31" s="10"/>
      <c r="J31" s="11" t="s">
        <v>152</v>
      </c>
      <c r="N31" s="76"/>
      <c r="O31" s="76"/>
      <c r="P31" s="76" t="str">
        <f t="shared" ref="P31:P47" si="7">IF(B31&lt;&gt;1,","&amp;D31,D31)</f>
        <v>,ten_kubun</v>
      </c>
      <c r="Q31" s="76" t="str">
        <f t="shared" ref="Q31:Q47" si="8">UPPER(G31)</f>
        <v>TEXT</v>
      </c>
      <c r="R31" s="76" t="str">
        <f t="shared" ref="R31:R47" si="9">IF(H31&lt;&gt;"","default "&amp;IF(G31="text","'"&amp;H31&amp;"'",H31),"")</f>
        <v/>
      </c>
      <c r="S31" s="76" t="str">
        <f t="shared" ref="S31:S47" si="10">IF(I31="○","NOT NULL","")</f>
        <v/>
      </c>
      <c r="T31" s="76" t="str">
        <f t="shared" ref="T31:T47" si="11">"-- "&amp;C31</f>
        <v>-- 円・点区分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milscm_2023_010.azn_202310_base_merge_dpc_efg.ten_kubun IS '円・点区分';</v>
      </c>
    </row>
    <row r="32" spans="1:45" s="25" customFormat="1">
      <c r="A32" s="4"/>
      <c r="B32" s="21">
        <f t="shared" si="2"/>
        <v>20</v>
      </c>
      <c r="C32" s="13" t="s">
        <v>335</v>
      </c>
      <c r="D32" s="13" t="s">
        <v>336</v>
      </c>
      <c r="E32" s="7"/>
      <c r="F32" s="7" t="s">
        <v>331</v>
      </c>
      <c r="G32" s="7" t="str">
        <f t="shared" si="3"/>
        <v>numeric</v>
      </c>
      <c r="H32" s="58"/>
      <c r="I32" s="23"/>
      <c r="J32" s="24"/>
      <c r="N32" s="76"/>
      <c r="O32" s="76"/>
      <c r="P32" s="76" t="str">
        <f t="shared" si="7"/>
        <v>,dekidaka_tensu</v>
      </c>
      <c r="Q32" s="76" t="str">
        <f t="shared" si="8"/>
        <v>NUMERIC</v>
      </c>
      <c r="R32" s="76" t="str">
        <f t="shared" si="9"/>
        <v/>
      </c>
      <c r="S32" s="76" t="str">
        <f t="shared" si="10"/>
        <v/>
      </c>
      <c r="T32" s="76" t="str">
        <f t="shared" si="11"/>
        <v>-- 出来高実績点数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milscm_2023_010.azn_202310_base_merge_dpc_efg.dekidaka_tensu IS '出来高実績点数';</v>
      </c>
    </row>
    <row r="33" spans="1:52" s="25" customFormat="1" ht="56.25">
      <c r="A33" s="4"/>
      <c r="B33" s="21">
        <f t="shared" si="2"/>
        <v>21</v>
      </c>
      <c r="C33" s="6" t="s">
        <v>337</v>
      </c>
      <c r="D33" s="6" t="s">
        <v>132</v>
      </c>
      <c r="E33" s="8"/>
      <c r="F33" s="7" t="s">
        <v>316</v>
      </c>
      <c r="G33" s="7" t="str">
        <f t="shared" si="3"/>
        <v>text</v>
      </c>
      <c r="H33" s="26"/>
      <c r="I33" s="10"/>
      <c r="J33" s="11" t="s">
        <v>297</v>
      </c>
      <c r="N33" s="76"/>
      <c r="O33" s="76"/>
      <c r="P33" s="76" t="str">
        <f t="shared" si="7"/>
        <v>,koi_meisai_kubun</v>
      </c>
      <c r="Q33" s="76" t="str">
        <f t="shared" si="8"/>
        <v>TEXT</v>
      </c>
      <c r="R33" s="76" t="str">
        <f t="shared" si="9"/>
        <v/>
      </c>
      <c r="S33" s="76" t="str">
        <f t="shared" si="10"/>
        <v/>
      </c>
      <c r="T33" s="76" t="str">
        <f t="shared" si="11"/>
        <v>-- 行為明細区分情報</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milscm_2023_010.azn_202310_base_merge_dpc_efg.koi_meisai_kubun IS '行為明細区分情報';</v>
      </c>
    </row>
    <row r="34" spans="1:52" s="25" customFormat="1" ht="56.25">
      <c r="A34" s="4"/>
      <c r="B34" s="21">
        <f t="shared" si="2"/>
        <v>22</v>
      </c>
      <c r="C34" s="13" t="s">
        <v>338</v>
      </c>
      <c r="D34" s="13" t="s">
        <v>339</v>
      </c>
      <c r="E34" s="7"/>
      <c r="F34" s="7" t="s">
        <v>331</v>
      </c>
      <c r="G34" s="7" t="str">
        <f t="shared" si="3"/>
        <v>numeric</v>
      </c>
      <c r="H34" s="58"/>
      <c r="I34" s="23"/>
      <c r="J34" s="24" t="s">
        <v>298</v>
      </c>
      <c r="N34" s="76"/>
      <c r="O34" s="76"/>
      <c r="P34" s="76" t="str">
        <f t="shared" si="7"/>
        <v>,koi_tensu</v>
      </c>
      <c r="Q34" s="76" t="str">
        <f t="shared" si="8"/>
        <v>NUMERIC</v>
      </c>
      <c r="R34" s="76" t="str">
        <f t="shared" si="9"/>
        <v/>
      </c>
      <c r="S34" s="76" t="str">
        <f t="shared" si="10"/>
        <v/>
      </c>
      <c r="T34" s="76" t="str">
        <f t="shared" si="11"/>
        <v>-- 行為点数</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milscm_2023_010.azn_202310_base_merge_dpc_efg.koi_tensu IS '行為点数';</v>
      </c>
    </row>
    <row r="35" spans="1:52" s="25" customFormat="1">
      <c r="A35" s="4"/>
      <c r="B35" s="21">
        <f t="shared" si="2"/>
        <v>23</v>
      </c>
      <c r="C35" s="6" t="s">
        <v>340</v>
      </c>
      <c r="D35" s="6" t="s">
        <v>226</v>
      </c>
      <c r="E35" s="8"/>
      <c r="F35" s="7" t="s">
        <v>331</v>
      </c>
      <c r="G35" s="7" t="str">
        <f t="shared" si="3"/>
        <v>numeric</v>
      </c>
      <c r="H35" s="26"/>
      <c r="I35" s="10"/>
      <c r="J35" s="11" t="s">
        <v>299</v>
      </c>
      <c r="N35" s="76"/>
      <c r="O35" s="76"/>
      <c r="P35" s="76" t="str">
        <f t="shared" si="7"/>
        <v>,koi_yakuzai</v>
      </c>
      <c r="Q35" s="76" t="str">
        <f t="shared" si="8"/>
        <v>NUMERIC</v>
      </c>
      <c r="R35" s="76" t="str">
        <f t="shared" si="9"/>
        <v/>
      </c>
      <c r="S35" s="76" t="str">
        <f t="shared" si="10"/>
        <v/>
      </c>
      <c r="T35" s="76" t="str">
        <f t="shared" si="11"/>
        <v>-- 行為薬剤料</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milscm_2023_010.azn_202310_base_merge_dpc_efg.koi_yakuzai IS '行為薬剤料';</v>
      </c>
    </row>
    <row r="36" spans="1:52" s="25" customFormat="1">
      <c r="A36" s="4"/>
      <c r="B36" s="21">
        <f t="shared" si="2"/>
        <v>24</v>
      </c>
      <c r="C36" s="6" t="s">
        <v>341</v>
      </c>
      <c r="D36" s="6" t="s">
        <v>228</v>
      </c>
      <c r="E36" s="8"/>
      <c r="F36" s="7" t="s">
        <v>331</v>
      </c>
      <c r="G36" s="7" t="str">
        <f t="shared" si="3"/>
        <v>numeric</v>
      </c>
      <c r="H36" s="26"/>
      <c r="I36" s="10"/>
      <c r="J36" s="11" t="s">
        <v>299</v>
      </c>
      <c r="N36" s="76"/>
      <c r="O36" s="76"/>
      <c r="P36" s="76" t="str">
        <f t="shared" si="7"/>
        <v>,koi_zairyo</v>
      </c>
      <c r="Q36" s="76" t="str">
        <f t="shared" si="8"/>
        <v>NUMERIC</v>
      </c>
      <c r="R36" s="76" t="str">
        <f t="shared" si="9"/>
        <v/>
      </c>
      <c r="S36" s="76" t="str">
        <f t="shared" si="10"/>
        <v/>
      </c>
      <c r="T36" s="76" t="str">
        <f t="shared" si="11"/>
        <v>-- 行為材料料</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milscm_2023_010.azn_202310_base_merge_dpc_efg.koi_zairyo IS '行為材料料';</v>
      </c>
    </row>
    <row r="37" spans="1:52" s="25" customFormat="1">
      <c r="A37" s="4"/>
      <c r="B37" s="21">
        <f t="shared" si="2"/>
        <v>25</v>
      </c>
      <c r="C37" s="13" t="s">
        <v>342</v>
      </c>
      <c r="D37" s="13" t="s">
        <v>133</v>
      </c>
      <c r="E37" s="7"/>
      <c r="F37" s="7" t="s">
        <v>331</v>
      </c>
      <c r="G37" s="7" t="str">
        <f t="shared" si="3"/>
        <v>numeric</v>
      </c>
      <c r="H37" s="58"/>
      <c r="I37" s="23"/>
      <c r="J37" s="24" t="s">
        <v>300</v>
      </c>
      <c r="N37" s="76"/>
      <c r="O37" s="76"/>
      <c r="P37" s="76" t="str">
        <f t="shared" si="7"/>
        <v>,koi_times</v>
      </c>
      <c r="Q37" s="76" t="str">
        <f t="shared" si="8"/>
        <v>NUMERIC</v>
      </c>
      <c r="R37" s="76" t="str">
        <f t="shared" si="9"/>
        <v/>
      </c>
      <c r="S37" s="76" t="str">
        <f t="shared" si="10"/>
        <v/>
      </c>
      <c r="T37" s="76" t="str">
        <f t="shared" si="11"/>
        <v>-- 行為回数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milscm_2023_010.azn_202310_base_merge_dpc_efg.koi_times IS '行為回数';</v>
      </c>
    </row>
    <row r="38" spans="1:52" s="25" customFormat="1">
      <c r="A38" s="4"/>
      <c r="B38" s="21">
        <f t="shared" si="2"/>
        <v>26</v>
      </c>
      <c r="C38" s="6" t="s">
        <v>343</v>
      </c>
      <c r="D38" s="6" t="s">
        <v>230</v>
      </c>
      <c r="E38" s="8"/>
      <c r="F38" s="7" t="s">
        <v>316</v>
      </c>
      <c r="G38" s="7" t="str">
        <f t="shared" si="3"/>
        <v>text</v>
      </c>
      <c r="H38" s="26"/>
      <c r="I38" s="10"/>
      <c r="J38" s="11"/>
      <c r="N38" s="76"/>
      <c r="O38" s="76"/>
      <c r="P38" s="76" t="str">
        <f t="shared" si="7"/>
        <v>,hoken_no</v>
      </c>
      <c r="Q38" s="76" t="str">
        <f t="shared" si="8"/>
        <v>TEXT</v>
      </c>
      <c r="R38" s="76" t="str">
        <f t="shared" si="9"/>
        <v/>
      </c>
      <c r="S38" s="76" t="str">
        <f t="shared" si="10"/>
        <v/>
      </c>
      <c r="T38" s="76" t="str">
        <f t="shared" si="11"/>
        <v>-- 保険者番号</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milscm_2023_010.azn_202310_base_merge_dpc_efg.hoken_no IS '保険者番号';</v>
      </c>
    </row>
    <row r="39" spans="1:52" s="25" customFormat="1">
      <c r="A39" s="4"/>
      <c r="B39" s="21">
        <f t="shared" si="2"/>
        <v>27</v>
      </c>
      <c r="C39" s="13" t="s">
        <v>344</v>
      </c>
      <c r="D39" s="13" t="s">
        <v>232</v>
      </c>
      <c r="E39" s="7"/>
      <c r="F39" s="7" t="s">
        <v>316</v>
      </c>
      <c r="G39" s="7" t="str">
        <f t="shared" si="3"/>
        <v>text</v>
      </c>
      <c r="H39" s="58"/>
      <c r="I39" s="23"/>
      <c r="J39" s="24"/>
      <c r="N39" s="76"/>
      <c r="O39" s="76"/>
      <c r="P39" s="76" t="str">
        <f t="shared" si="7"/>
        <v>,receipt_type_code</v>
      </c>
      <c r="Q39" s="76" t="str">
        <f t="shared" si="8"/>
        <v>TEXT</v>
      </c>
      <c r="R39" s="76" t="str">
        <f t="shared" si="9"/>
        <v/>
      </c>
      <c r="S39" s="76" t="str">
        <f t="shared" si="10"/>
        <v/>
      </c>
      <c r="T39" s="76" t="str">
        <f t="shared" si="11"/>
        <v>-- レセプト種別コード</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milscm_2023_010.azn_202310_base_merge_dpc_efg.receipt_type_code IS 'レセプト種別コード';</v>
      </c>
    </row>
    <row r="40" spans="1:52" s="25" customFormat="1">
      <c r="A40" s="4"/>
      <c r="B40" s="21">
        <f t="shared" si="2"/>
        <v>28</v>
      </c>
      <c r="C40" s="6" t="s">
        <v>345</v>
      </c>
      <c r="D40" s="6" t="s">
        <v>155</v>
      </c>
      <c r="E40" s="8"/>
      <c r="F40" s="7" t="s">
        <v>316</v>
      </c>
      <c r="G40" s="7" t="str">
        <f t="shared" si="3"/>
        <v>text</v>
      </c>
      <c r="H40" s="26"/>
      <c r="I40" s="10" t="s">
        <v>127</v>
      </c>
      <c r="J40" s="11" t="s">
        <v>144</v>
      </c>
      <c r="N40" s="76"/>
      <c r="O40" s="76"/>
      <c r="P40" s="76" t="str">
        <f t="shared" si="7"/>
        <v>,jisshi_ymd</v>
      </c>
      <c r="Q40" s="76" t="str">
        <f t="shared" si="8"/>
        <v>TEXT</v>
      </c>
      <c r="R40" s="76" t="str">
        <f t="shared" si="9"/>
        <v/>
      </c>
      <c r="S40" s="76" t="str">
        <f t="shared" si="10"/>
        <v>NOT NULL</v>
      </c>
      <c r="T40" s="76" t="str">
        <f t="shared" si="11"/>
        <v>-- 実施年月日・診療開始日</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milscm_2023_010.azn_202310_base_merge_dpc_efg.jisshi_ymd IS '実施年月日・診療開始日';</v>
      </c>
    </row>
    <row r="41" spans="1:52" s="25" customFormat="1">
      <c r="A41" s="4"/>
      <c r="B41" s="21">
        <f t="shared" si="2"/>
        <v>29</v>
      </c>
      <c r="C41" s="13" t="s">
        <v>346</v>
      </c>
      <c r="D41" s="13" t="s">
        <v>234</v>
      </c>
      <c r="E41" s="7"/>
      <c r="F41" s="7" t="s">
        <v>316</v>
      </c>
      <c r="G41" s="7" t="str">
        <f t="shared" si="3"/>
        <v>text</v>
      </c>
      <c r="H41" s="58"/>
      <c r="I41" s="23"/>
      <c r="J41" s="24"/>
      <c r="N41" s="76"/>
      <c r="O41" s="76"/>
      <c r="P41" s="76" t="str">
        <f t="shared" si="7"/>
        <v>,receipt_ka_kubun</v>
      </c>
      <c r="Q41" s="76" t="str">
        <f t="shared" si="8"/>
        <v>TEXT</v>
      </c>
      <c r="R41" s="76" t="str">
        <f t="shared" si="9"/>
        <v/>
      </c>
      <c r="S41" s="76" t="str">
        <f t="shared" si="10"/>
        <v/>
      </c>
      <c r="T41" s="76" t="str">
        <f t="shared" si="11"/>
        <v>-- レセプト科区分</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milscm_2023_010.azn_202310_base_merge_dpc_efg.receipt_ka_kubun IS 'レセプト科区分';</v>
      </c>
    </row>
    <row r="42" spans="1:52" s="25" customFormat="1">
      <c r="A42" s="4"/>
      <c r="B42" s="21">
        <f t="shared" si="2"/>
        <v>30</v>
      </c>
      <c r="C42" s="6" t="s">
        <v>134</v>
      </c>
      <c r="D42" s="6" t="s">
        <v>135</v>
      </c>
      <c r="E42" s="8"/>
      <c r="F42" s="7" t="s">
        <v>316</v>
      </c>
      <c r="G42" s="7" t="str">
        <f t="shared" si="3"/>
        <v>text</v>
      </c>
      <c r="H42" s="26"/>
      <c r="I42" s="10"/>
      <c r="J42" s="11"/>
      <c r="N42" s="76"/>
      <c r="O42" s="76"/>
      <c r="P42" s="76" t="str">
        <f t="shared" si="7"/>
        <v>,department_kubun</v>
      </c>
      <c r="Q42" s="76" t="str">
        <f t="shared" si="8"/>
        <v>TEXT</v>
      </c>
      <c r="R42" s="76" t="str">
        <f t="shared" si="9"/>
        <v/>
      </c>
      <c r="S42" s="76" t="str">
        <f t="shared" si="10"/>
        <v/>
      </c>
      <c r="T42" s="76" t="str">
        <f t="shared" si="11"/>
        <v>-- 診療科区分</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milscm_2023_010.azn_202310_base_merge_dpc_efg.department_kubun IS '診療科区分';</v>
      </c>
    </row>
    <row r="43" spans="1:52" s="25" customFormat="1">
      <c r="A43" s="4"/>
      <c r="B43" s="21">
        <f t="shared" si="2"/>
        <v>31</v>
      </c>
      <c r="C43" s="13" t="s">
        <v>347</v>
      </c>
      <c r="D43" s="13" t="s">
        <v>236</v>
      </c>
      <c r="E43" s="7"/>
      <c r="F43" s="7" t="s">
        <v>316</v>
      </c>
      <c r="G43" s="7" t="str">
        <f t="shared" si="3"/>
        <v>text</v>
      </c>
      <c r="H43" s="58"/>
      <c r="I43" s="23"/>
      <c r="J43" s="24"/>
      <c r="N43" s="76"/>
      <c r="O43" s="76"/>
      <c r="P43" s="76" t="str">
        <f t="shared" si="7"/>
        <v>,doctor_code</v>
      </c>
      <c r="Q43" s="76" t="str">
        <f t="shared" si="8"/>
        <v>TEXT</v>
      </c>
      <c r="R43" s="76" t="str">
        <f t="shared" si="9"/>
        <v/>
      </c>
      <c r="S43" s="76" t="str">
        <f t="shared" si="10"/>
        <v/>
      </c>
      <c r="T43" s="76" t="str">
        <f t="shared" si="11"/>
        <v>-- 医師コード</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milscm_2023_010.azn_202310_base_merge_dpc_efg.doctor_code IS '医師コード';</v>
      </c>
    </row>
    <row r="44" spans="1:52" s="25" customFormat="1">
      <c r="A44" s="4"/>
      <c r="B44" s="21">
        <f t="shared" si="2"/>
        <v>32</v>
      </c>
      <c r="C44" s="6" t="s">
        <v>348</v>
      </c>
      <c r="D44" s="6" t="s">
        <v>238</v>
      </c>
      <c r="E44" s="8"/>
      <c r="F44" s="7" t="s">
        <v>316</v>
      </c>
      <c r="G44" s="7" t="str">
        <f t="shared" si="3"/>
        <v>text</v>
      </c>
      <c r="H44" s="26"/>
      <c r="I44" s="10"/>
      <c r="J44" s="11"/>
      <c r="N44" s="76"/>
      <c r="O44" s="76"/>
      <c r="P44" s="76" t="str">
        <f t="shared" si="7"/>
        <v>,ward_code</v>
      </c>
      <c r="Q44" s="76" t="str">
        <f t="shared" si="8"/>
        <v>TEXT</v>
      </c>
      <c r="R44" s="76" t="str">
        <f t="shared" si="9"/>
        <v/>
      </c>
      <c r="S44" s="76" t="str">
        <f t="shared" si="10"/>
        <v/>
      </c>
      <c r="T44" s="76" t="str">
        <f t="shared" si="11"/>
        <v>-- 病棟コード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milscm_2023_010.azn_202310_base_merge_dpc_efg.ward_code IS '病棟コード';</v>
      </c>
    </row>
    <row r="45" spans="1:52" s="25" customFormat="1">
      <c r="A45" s="4"/>
      <c r="B45" s="21">
        <f t="shared" si="2"/>
        <v>33</v>
      </c>
      <c r="C45" s="13" t="s">
        <v>349</v>
      </c>
      <c r="D45" s="13" t="s">
        <v>240</v>
      </c>
      <c r="E45" s="7"/>
      <c r="F45" s="7" t="s">
        <v>316</v>
      </c>
      <c r="G45" s="7" t="str">
        <f t="shared" si="3"/>
        <v>text</v>
      </c>
      <c r="H45" s="58"/>
      <c r="I45" s="23"/>
      <c r="J45" s="24" t="s">
        <v>355</v>
      </c>
      <c r="N45" s="76"/>
      <c r="O45" s="76"/>
      <c r="P45" s="76" t="str">
        <f t="shared" si="7"/>
        <v>,ward_kubun</v>
      </c>
      <c r="Q45" s="76" t="str">
        <f t="shared" si="8"/>
        <v>TEXT</v>
      </c>
      <c r="R45" s="76" t="str">
        <f t="shared" si="9"/>
        <v/>
      </c>
      <c r="S45" s="76" t="str">
        <f t="shared" si="10"/>
        <v/>
      </c>
      <c r="T45" s="76" t="str">
        <f t="shared" si="11"/>
        <v>-- 病棟区分</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milscm_2023_010.azn_202310_base_merge_dpc_efg.ward_kubun IS '病棟区分';</v>
      </c>
    </row>
    <row r="46" spans="1:52" s="25" customFormat="1">
      <c r="A46" s="4"/>
      <c r="B46" s="21">
        <f t="shared" si="2"/>
        <v>34</v>
      </c>
      <c r="C46" s="13" t="s">
        <v>350</v>
      </c>
      <c r="D46" s="13" t="s">
        <v>242</v>
      </c>
      <c r="E46" s="7"/>
      <c r="F46" s="7" t="s">
        <v>316</v>
      </c>
      <c r="G46" s="7" t="str">
        <f t="shared" si="3"/>
        <v>text</v>
      </c>
      <c r="H46" s="58"/>
      <c r="I46" s="23"/>
      <c r="J46" s="24" t="s">
        <v>302</v>
      </c>
      <c r="N46" s="76"/>
      <c r="O46" s="76"/>
      <c r="P46" s="76" t="str">
        <f t="shared" si="7"/>
        <v>,nyugai_kubun</v>
      </c>
      <c r="Q46" s="76" t="str">
        <f t="shared" si="8"/>
        <v>TEXT</v>
      </c>
      <c r="R46" s="76" t="str">
        <f t="shared" si="9"/>
        <v/>
      </c>
      <c r="S46" s="76" t="str">
        <f t="shared" si="10"/>
        <v/>
      </c>
      <c r="T46" s="76" t="str">
        <f t="shared" si="11"/>
        <v>-- 入外区分</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milscm_2023_010.azn_202310_base_merge_dpc_efg.nyugai_kubun IS '入外区分';</v>
      </c>
      <c r="AT46" s="4"/>
      <c r="AU46" s="4"/>
    </row>
    <row r="47" spans="1:52" s="25" customFormat="1" ht="19.5" thickBot="1">
      <c r="A47" s="4"/>
      <c r="B47" s="27">
        <f>ROW()-12</f>
        <v>35</v>
      </c>
      <c r="C47" s="57" t="s">
        <v>351</v>
      </c>
      <c r="D47" s="57" t="s">
        <v>244</v>
      </c>
      <c r="E47" s="56"/>
      <c r="F47" s="56" t="s">
        <v>316</v>
      </c>
      <c r="G47" s="56" t="str">
        <f t="shared" si="3"/>
        <v>text</v>
      </c>
      <c r="H47" s="59"/>
      <c r="I47" s="60"/>
      <c r="J47" s="61"/>
      <c r="L47" s="4"/>
      <c r="N47" s="76"/>
      <c r="O47" s="76"/>
      <c r="P47" s="76" t="str">
        <f t="shared" si="7"/>
        <v>,facility_type</v>
      </c>
      <c r="Q47" s="76" t="str">
        <f t="shared" si="8"/>
        <v>TEXT</v>
      </c>
      <c r="R47" s="76" t="str">
        <f t="shared" si="9"/>
        <v/>
      </c>
      <c r="S47" s="76" t="str">
        <f t="shared" si="10"/>
        <v/>
      </c>
      <c r="T47" s="76" t="str">
        <f t="shared" si="11"/>
        <v>-- 施設タイプ</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milscm_2023_010.azn_202310_base_merge_dpc_efg.facility_type IS '施設タイプ';</v>
      </c>
      <c r="AT47" s="4"/>
      <c r="AU47" s="4"/>
      <c r="AV47" s="4"/>
      <c r="AW47" s="4"/>
      <c r="AX47" s="4"/>
      <c r="AY47" s="4"/>
      <c r="AZ47" s="4"/>
    </row>
    <row r="48" spans="1:52">
      <c r="M48" s="25"/>
      <c r="N48" s="76" t="s">
        <v>142</v>
      </c>
      <c r="O48" s="76"/>
      <c r="P48" s="76"/>
      <c r="Q48" s="76"/>
      <c r="R48" s="76"/>
      <c r="S48" s="76"/>
      <c r="T48" s="76"/>
      <c r="V48" s="25"/>
      <c r="W48" s="25"/>
      <c r="X48" s="25"/>
      <c r="Y48" s="25"/>
      <c r="Z48" s="25"/>
      <c r="AJ48" s="76" t="s">
        <v>142</v>
      </c>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5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4175</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31</v>
      </c>
      <c r="E4" s="248"/>
      <c r="F4" s="248"/>
      <c r="G4" s="248"/>
      <c r="H4" s="248"/>
      <c r="I4" s="248"/>
      <c r="J4" s="249"/>
    </row>
    <row r="5" spans="1:45">
      <c r="B5" s="261" t="s">
        <v>3704</v>
      </c>
      <c r="C5" s="262"/>
      <c r="D5" s="271" t="str">
        <f>VLOOKUP(D7,エンティティ一覧!A1:'エンティティ一覧'!AM10203,7,FALSE)</f>
        <v>base</v>
      </c>
      <c r="E5" s="272"/>
      <c r="F5" s="272"/>
      <c r="G5" s="272"/>
      <c r="H5" s="272"/>
      <c r="I5" s="272"/>
      <c r="J5" s="273"/>
    </row>
    <row r="6" spans="1:45">
      <c r="B6" s="261" t="s">
        <v>3705</v>
      </c>
      <c r="C6" s="262"/>
      <c r="D6" s="271" t="str">
        <f>VLOOKUP(D7,エンティティ一覧!A1:'エンティティ一覧'!AM10203,15,FALSE)</f>
        <v>ENT_31_C1-05</v>
      </c>
      <c r="E6" s="272"/>
      <c r="F6" s="272"/>
      <c r="G6" s="272"/>
      <c r="H6" s="272"/>
      <c r="I6" s="272"/>
      <c r="J6" s="273"/>
    </row>
    <row r="7" spans="1:45">
      <c r="B7" s="261" t="s">
        <v>115</v>
      </c>
      <c r="C7" s="262"/>
      <c r="D7" s="263" t="s">
        <v>310</v>
      </c>
      <c r="E7" s="264"/>
      <c r="F7" s="264"/>
      <c r="G7" s="264"/>
      <c r="H7" s="264"/>
      <c r="I7" s="264"/>
      <c r="J7" s="265"/>
    </row>
    <row r="8" spans="1:45">
      <c r="B8" s="261" t="s">
        <v>116</v>
      </c>
      <c r="C8" s="262"/>
      <c r="D8" s="263" t="str">
        <f>エンティティ一覧!AE2&amp;"_"&amp;D5&amp;"_merge_dpc_ff1"</f>
        <v>azn_202310_base_merge_dpc_ff1</v>
      </c>
      <c r="E8" s="264"/>
      <c r="F8" s="264"/>
      <c r="G8" s="264"/>
      <c r="H8" s="264"/>
      <c r="I8" s="264"/>
      <c r="J8" s="265"/>
    </row>
    <row r="9" spans="1:45" ht="19.5" customHeight="1" thickBot="1">
      <c r="B9" s="266" t="s">
        <v>117</v>
      </c>
      <c r="C9" s="267"/>
      <c r="D9" s="268" t="str">
        <f>"バックアップ_"&amp;SUBSTITUTE(D7,"ベース_","")&amp;"テーブルから対象患者で絞り込んだ結果を格納するテーブル"</f>
        <v>バックアップ_DPC調査データ_様式1テーブルから対象患者で絞り込んだ結果を格納するテーブル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milscm_2023_010.azn_202310_base_merge_dpc_ff1;</v>
      </c>
      <c r="O10" s="76"/>
      <c r="P10" s="76"/>
      <c r="Q10" s="76"/>
      <c r="R10" s="76"/>
      <c r="S10" s="76"/>
      <c r="T10" s="76"/>
      <c r="AJ10" s="76" t="str">
        <f>"ALTER TABLE ONLY "&amp;エンティティ一覧!$O$2&amp;"."&amp;D$8</f>
        <v>ALTER TABLE ONLY milscm_2023_010.azn_202310_base_merge_dpc_ff1</v>
      </c>
      <c r="AS10" s="76" t="str">
        <f>"ALTER TABLE "&amp;エンティティ一覧!$O$2&amp;"."&amp;D$8&amp;" OWNER TO pgmisgrp1;"</f>
        <v>ALTER TABLE milscm_2023_010.azn_202310_base_merge_dpc_ff1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milscm_2023_010.azn_202310_base_merge_dpc_ff1</v>
      </c>
      <c r="O11" s="76"/>
      <c r="P11" s="76"/>
      <c r="Q11" s="76"/>
      <c r="R11" s="76"/>
      <c r="S11" s="76"/>
      <c r="T11" s="76"/>
      <c r="AJ11" s="76" t="str">
        <f>"ADD CONSTRAINT "&amp;D$8&amp;"_pkey PRIMARY KEY"</f>
        <v>ADD CONSTRAINT azn_202310_base_merge_dpc_ff1_pkey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milscm_2023_010.azn_202310_base_merge_dpc_ff1 IS 'ベース_DPC調査データ_様式1';</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0" si="0">UPPER(G13)</f>
        <v>TEXT</v>
      </c>
      <c r="R13" s="76" t="str">
        <f t="shared" ref="R13:R3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milscm_2023_010.azn_202310_base_merge_dpc_ff1.torikomi_ym IS '取込年月';</v>
      </c>
    </row>
    <row r="14" spans="1:45" s="25" customFormat="1">
      <c r="A14" s="4"/>
      <c r="B14" s="21">
        <f t="shared" ref="B14:B154" si="2">ROW()-12</f>
        <v>2</v>
      </c>
      <c r="C14" s="6" t="s">
        <v>201</v>
      </c>
      <c r="D14" s="6" t="s">
        <v>202</v>
      </c>
      <c r="E14" s="8"/>
      <c r="F14" s="7" t="s">
        <v>203</v>
      </c>
      <c r="G14" s="7" t="str">
        <f t="shared" ref="G14:G155" si="3">IF(F14="フラグ","boolean",IF(F14="文字列","text",IF(F14="整数","integer",IF(F14="実数","numeric",""))))</f>
        <v>integer</v>
      </c>
      <c r="H14" s="26"/>
      <c r="I14" s="10"/>
      <c r="J14" s="11" t="s">
        <v>256</v>
      </c>
      <c r="M14" s="4"/>
      <c r="N14" s="76"/>
      <c r="O14" s="76"/>
      <c r="P14" s="76" t="str">
        <f t="shared" ref="P14:P3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milscm_2023_010.azn_202310_base_merge_dpc_ff1.mil_karute_id IS '千年カルテID';</v>
      </c>
    </row>
    <row r="15" spans="1:45" s="25" customFormat="1" ht="37.5">
      <c r="A15" s="4"/>
      <c r="B15" s="21">
        <f t="shared" si="2"/>
        <v>3</v>
      </c>
      <c r="C15" s="13" t="s">
        <v>137</v>
      </c>
      <c r="D15" s="13" t="s">
        <v>128</v>
      </c>
      <c r="E15" s="7" t="s">
        <v>127</v>
      </c>
      <c r="F15" s="7" t="s">
        <v>316</v>
      </c>
      <c r="G15" s="7" t="str">
        <f t="shared" si="3"/>
        <v>text</v>
      </c>
      <c r="H15" s="58"/>
      <c r="I15" s="23" t="s">
        <v>127</v>
      </c>
      <c r="J15" s="24" t="s">
        <v>805</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milscm_2023_010.azn_202310_base_merge_dpc_ff1.facility_id IS '施設ID';</v>
      </c>
    </row>
    <row r="16" spans="1:45" s="25" customFormat="1" ht="93.75">
      <c r="B16" s="21">
        <f t="shared" si="2"/>
        <v>4</v>
      </c>
      <c r="C16" s="6" t="s">
        <v>317</v>
      </c>
      <c r="D16" s="6" t="s">
        <v>205</v>
      </c>
      <c r="E16" s="8" t="s">
        <v>127</v>
      </c>
      <c r="F16" s="7" t="s">
        <v>316</v>
      </c>
      <c r="G16" s="7" t="str">
        <f t="shared" si="3"/>
        <v>text</v>
      </c>
      <c r="H16" s="26"/>
      <c r="I16" s="10" t="s">
        <v>127</v>
      </c>
      <c r="J16" s="53" t="s">
        <v>896</v>
      </c>
      <c r="M16" s="4"/>
      <c r="N16" s="76"/>
      <c r="O16" s="76"/>
      <c r="P16" s="76" t="str">
        <f t="shared" si="4"/>
        <v>,shinryo_ym</v>
      </c>
      <c r="Q16" s="76" t="str">
        <f t="shared" si="0"/>
        <v>TEXT</v>
      </c>
      <c r="R16" s="76" t="str">
        <f t="shared" si="1"/>
        <v/>
      </c>
      <c r="S16" s="76" t="str">
        <f t="shared" ref="S16:S30" si="5">IF(I16="○","NOT NULL","")</f>
        <v>NOT NULL</v>
      </c>
      <c r="T16" s="76" t="str">
        <f t="shared" ref="T16:T30"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milscm_2023_010.azn_202310_base_merge_dpc_ff1.shinryo_ym IS '診療年月';</v>
      </c>
    </row>
    <row r="17" spans="1:45" s="25" customFormat="1">
      <c r="B17" s="21">
        <f t="shared" si="2"/>
        <v>5</v>
      </c>
      <c r="C17" s="6" t="s">
        <v>206</v>
      </c>
      <c r="D17" s="6" t="s">
        <v>207</v>
      </c>
      <c r="E17" s="8"/>
      <c r="F17" s="7" t="s">
        <v>316</v>
      </c>
      <c r="G17" s="7" t="str">
        <f t="shared" si="3"/>
        <v>text</v>
      </c>
      <c r="H17" s="58" t="s">
        <v>258</v>
      </c>
      <c r="I17" s="23" t="s">
        <v>127</v>
      </c>
      <c r="J17" s="24" t="s">
        <v>806</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milscm_2023_010.azn_202310_base_merge_dpc_ff1.data_type IS 'データ種別';</v>
      </c>
    </row>
    <row r="18" spans="1:45" s="25" customFormat="1">
      <c r="B18" s="21">
        <f t="shared" si="2"/>
        <v>6</v>
      </c>
      <c r="C18" s="6" t="s">
        <v>319</v>
      </c>
      <c r="D18" s="6" t="s">
        <v>209</v>
      </c>
      <c r="E18" s="8" t="s">
        <v>127</v>
      </c>
      <c r="F18" s="7" t="s">
        <v>316</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milscm_2023_010.azn_202310_base_merge_dpc_ff1.shikibetsu_no IS 'データ識別番号';</v>
      </c>
    </row>
    <row r="19" spans="1:45" s="25" customFormat="1">
      <c r="B19" s="21">
        <f t="shared" si="2"/>
        <v>7</v>
      </c>
      <c r="C19" s="13" t="s">
        <v>560</v>
      </c>
      <c r="D19" s="13" t="s">
        <v>156</v>
      </c>
      <c r="E19" s="7" t="s">
        <v>127</v>
      </c>
      <c r="F19" s="7" t="s">
        <v>316</v>
      </c>
      <c r="G19" s="7" t="str">
        <f t="shared" si="3"/>
        <v>text</v>
      </c>
      <c r="H19" s="58"/>
      <c r="I19" s="23" t="s">
        <v>127</v>
      </c>
      <c r="J19" s="24" t="s">
        <v>144</v>
      </c>
      <c r="N19" s="76"/>
      <c r="O19" s="76"/>
      <c r="P19" s="76" t="str">
        <f t="shared" si="4"/>
        <v>,nyuin_ymd</v>
      </c>
      <c r="Q19" s="76" t="str">
        <f t="shared" si="0"/>
        <v>TEXT</v>
      </c>
      <c r="R19" s="76" t="str">
        <f t="shared" si="1"/>
        <v/>
      </c>
      <c r="S19" s="76" t="str">
        <f t="shared" si="5"/>
        <v>NOT NULL</v>
      </c>
      <c r="T19" s="76" t="str">
        <f t="shared" si="6"/>
        <v>-- 入院年月日</v>
      </c>
      <c r="U19" s="4"/>
      <c r="AA19" s="4"/>
      <c r="AB19" s="4"/>
      <c r="AC19" s="4"/>
      <c r="AD19" s="4"/>
      <c r="AE19" s="4"/>
      <c r="AF19" s="4"/>
      <c r="AG19" s="4"/>
      <c r="AH19" s="4"/>
      <c r="AI19" s="4"/>
      <c r="AJ19" s="76" t="str">
        <f>IF(E19="○",IF(COUNTA(E$13:E19)=1,"",",")&amp;D19,"")</f>
        <v>,nyuin_ymd</v>
      </c>
      <c r="AK19" s="4"/>
      <c r="AL19" s="4"/>
      <c r="AM19" s="4"/>
      <c r="AN19" s="4"/>
      <c r="AO19" s="4"/>
      <c r="AP19" s="4"/>
      <c r="AQ19" s="4"/>
      <c r="AR19" s="4"/>
      <c r="AS19" s="76" t="str">
        <f>"COMMENT ON COLUMN "&amp;エンティティ一覧!$O$2&amp;"."&amp;D$8&amp;"."&amp;D19&amp;" IS '"&amp;C19&amp;"';"</f>
        <v>COMMENT ON COLUMN milscm_2023_010.azn_202310_base_merge_dpc_ff1.nyuin_ymd IS '入院年月日';</v>
      </c>
    </row>
    <row r="20" spans="1:45" s="25" customFormat="1">
      <c r="B20" s="21">
        <f t="shared" si="2"/>
        <v>8</v>
      </c>
      <c r="C20" s="6" t="s">
        <v>561</v>
      </c>
      <c r="D20" s="6" t="s">
        <v>562</v>
      </c>
      <c r="E20" s="8" t="s">
        <v>127</v>
      </c>
      <c r="F20" s="7" t="s">
        <v>316</v>
      </c>
      <c r="G20" s="7" t="str">
        <f t="shared" si="3"/>
        <v>text</v>
      </c>
      <c r="H20" s="26"/>
      <c r="I20" s="10" t="s">
        <v>127</v>
      </c>
      <c r="J20" s="11"/>
      <c r="N20" s="76"/>
      <c r="O20" s="76"/>
      <c r="P20" s="76" t="str">
        <f t="shared" si="4"/>
        <v>,times_no</v>
      </c>
      <c r="Q20" s="76" t="str">
        <f t="shared" si="0"/>
        <v>TEXT</v>
      </c>
      <c r="R20" s="76" t="str">
        <f t="shared" si="1"/>
        <v/>
      </c>
      <c r="S20" s="76" t="str">
        <f t="shared" si="5"/>
        <v>NOT NULL</v>
      </c>
      <c r="T20" s="76" t="str">
        <f t="shared" si="6"/>
        <v>-- 回数管理番号</v>
      </c>
      <c r="U20" s="4"/>
      <c r="AA20" s="4"/>
      <c r="AB20" s="4"/>
      <c r="AC20" s="4"/>
      <c r="AD20" s="4"/>
      <c r="AE20" s="4"/>
      <c r="AF20" s="4"/>
      <c r="AG20" s="4"/>
      <c r="AH20" s="4"/>
      <c r="AI20" s="4"/>
      <c r="AJ20" s="76" t="str">
        <f>IF(E20="○",IF(COUNTA(E$13:E20)=1,"",",")&amp;D20,"")</f>
        <v>,times_no</v>
      </c>
      <c r="AK20" s="4"/>
      <c r="AL20" s="4"/>
      <c r="AM20" s="4"/>
      <c r="AN20" s="4"/>
      <c r="AO20" s="4"/>
      <c r="AP20" s="4"/>
      <c r="AQ20" s="4"/>
      <c r="AR20" s="4"/>
      <c r="AS20" s="76" t="str">
        <f>"COMMENT ON COLUMN "&amp;エンティティ一覧!$O$2&amp;"."&amp;D$8&amp;"."&amp;D20&amp;" IS '"&amp;C20&amp;"';"</f>
        <v>COMMENT ON COLUMN milscm_2023_010.azn_202310_base_merge_dpc_ff1.times_no IS '回数管理番号';</v>
      </c>
    </row>
    <row r="21" spans="1:45" s="25" customFormat="1">
      <c r="B21" s="21">
        <f t="shared" si="2"/>
        <v>9</v>
      </c>
      <c r="C21" s="13" t="s">
        <v>563</v>
      </c>
      <c r="D21" s="13" t="s">
        <v>564</v>
      </c>
      <c r="E21" s="7" t="s">
        <v>127</v>
      </c>
      <c r="F21" s="7" t="s">
        <v>316</v>
      </c>
      <c r="G21" s="7" t="str">
        <f t="shared" si="3"/>
        <v>text</v>
      </c>
      <c r="H21" s="58"/>
      <c r="I21" s="23" t="s">
        <v>127</v>
      </c>
      <c r="J21" s="24"/>
      <c r="N21" s="76"/>
      <c r="O21" s="76"/>
      <c r="P21" s="76" t="str">
        <f t="shared" si="4"/>
        <v>,sokatsu_shinryo_no</v>
      </c>
      <c r="Q21" s="76" t="str">
        <f t="shared" si="0"/>
        <v>TEXT</v>
      </c>
      <c r="R21" s="76" t="str">
        <f t="shared" si="1"/>
        <v/>
      </c>
      <c r="S21" s="76" t="str">
        <f t="shared" si="5"/>
        <v>NOT NULL</v>
      </c>
      <c r="T21" s="76" t="str">
        <f t="shared" si="6"/>
        <v>-- 統括診療情報番号</v>
      </c>
      <c r="U21" s="4"/>
      <c r="AA21" s="4"/>
      <c r="AB21" s="4"/>
      <c r="AC21" s="4"/>
      <c r="AD21" s="4"/>
      <c r="AE21" s="4"/>
      <c r="AF21" s="4"/>
      <c r="AG21" s="4"/>
      <c r="AH21" s="4"/>
      <c r="AI21" s="4"/>
      <c r="AJ21" s="76" t="str">
        <f>IF(E21="○",IF(COUNTA(E$13:E21)=1,"",",")&amp;D21,"")</f>
        <v>,sokatsu_shinryo_no</v>
      </c>
      <c r="AK21" s="4"/>
      <c r="AL21" s="4"/>
      <c r="AM21" s="4"/>
      <c r="AN21" s="4"/>
      <c r="AO21" s="4"/>
      <c r="AP21" s="4"/>
      <c r="AQ21" s="4"/>
      <c r="AR21" s="4"/>
      <c r="AS21" s="76" t="str">
        <f>"COMMENT ON COLUMN "&amp;エンティティ一覧!$O$2&amp;"."&amp;D$8&amp;"."&amp;D21&amp;" IS '"&amp;C21&amp;"';"</f>
        <v>COMMENT ON COLUMN milscm_2023_010.azn_202310_base_merge_dpc_ff1.sokatsu_shinryo_no IS '統括診療情報番号';</v>
      </c>
    </row>
    <row r="22" spans="1:45" s="25" customFormat="1">
      <c r="B22" s="21">
        <f t="shared" si="2"/>
        <v>10</v>
      </c>
      <c r="C22" s="6" t="s">
        <v>357</v>
      </c>
      <c r="D22" s="6" t="s">
        <v>358</v>
      </c>
      <c r="E22" s="8" t="s">
        <v>127</v>
      </c>
      <c r="F22" s="7" t="s">
        <v>316</v>
      </c>
      <c r="G22" s="7" t="str">
        <f t="shared" si="3"/>
        <v>text</v>
      </c>
      <c r="H22" s="26" t="s">
        <v>807</v>
      </c>
      <c r="I22" s="10" t="s">
        <v>127</v>
      </c>
      <c r="J22" s="11" t="s">
        <v>808</v>
      </c>
      <c r="N22" s="76"/>
      <c r="O22" s="76"/>
      <c r="P22" s="76" t="str">
        <f t="shared" si="4"/>
        <v>,code</v>
      </c>
      <c r="Q22" s="76" t="str">
        <f t="shared" si="0"/>
        <v>TEXT</v>
      </c>
      <c r="R22" s="76" t="str">
        <f t="shared" si="1"/>
        <v>default 'A000010'</v>
      </c>
      <c r="S22" s="76" t="str">
        <f t="shared" si="5"/>
        <v>NOT NULL</v>
      </c>
      <c r="T22" s="76" t="str">
        <f t="shared" si="6"/>
        <v>-- コード</v>
      </c>
      <c r="U22" s="4"/>
      <c r="AA22" s="4"/>
      <c r="AB22" s="4"/>
      <c r="AC22" s="4"/>
      <c r="AD22" s="4"/>
      <c r="AE22" s="4"/>
      <c r="AF22" s="4"/>
      <c r="AG22" s="4"/>
      <c r="AH22" s="4"/>
      <c r="AI22" s="4"/>
      <c r="AJ22" s="76" t="str">
        <f>IF(E22="○",IF(COUNTA(E$13:E22)=1,"",",")&amp;D22,"")</f>
        <v>,code</v>
      </c>
      <c r="AK22" s="4"/>
      <c r="AL22" s="4"/>
      <c r="AM22" s="4"/>
      <c r="AN22" s="4"/>
      <c r="AO22" s="4"/>
      <c r="AP22" s="4"/>
      <c r="AQ22" s="4"/>
      <c r="AR22" s="4"/>
      <c r="AS22" s="76" t="str">
        <f>"COMMENT ON COLUMN "&amp;エンティティ一覧!$O$2&amp;"."&amp;D$8&amp;"."&amp;D22&amp;" IS '"&amp;C22&amp;"';"</f>
        <v>COMMENT ON COLUMN milscm_2023_010.azn_202310_base_merge_dpc_ff1.code IS 'コード';</v>
      </c>
    </row>
    <row r="23" spans="1:45" s="25" customFormat="1">
      <c r="A23" s="4"/>
      <c r="B23" s="21">
        <f t="shared" si="2"/>
        <v>11</v>
      </c>
      <c r="C23" s="13" t="s">
        <v>359</v>
      </c>
      <c r="D23" s="13" t="s">
        <v>360</v>
      </c>
      <c r="E23" s="7" t="s">
        <v>127</v>
      </c>
      <c r="F23" s="7" t="s">
        <v>316</v>
      </c>
      <c r="G23" s="7" t="str">
        <f t="shared" si="3"/>
        <v>text</v>
      </c>
      <c r="H23" s="58">
        <v>20140401</v>
      </c>
      <c r="I23" s="23" t="s">
        <v>127</v>
      </c>
      <c r="J23" s="24" t="s">
        <v>809</v>
      </c>
      <c r="N23" s="76"/>
      <c r="O23" s="76"/>
      <c r="P23" s="76" t="str">
        <f t="shared" si="4"/>
        <v>,version</v>
      </c>
      <c r="Q23" s="76" t="str">
        <f t="shared" si="0"/>
        <v>TEXT</v>
      </c>
      <c r="R23" s="76" t="str">
        <f t="shared" si="1"/>
        <v>default '20140401'</v>
      </c>
      <c r="S23" s="76" t="str">
        <f t="shared" si="5"/>
        <v>NOT NULL</v>
      </c>
      <c r="T23" s="76" t="str">
        <f t="shared" si="6"/>
        <v>-- バージョン</v>
      </c>
      <c r="U23" s="4"/>
      <c r="AA23" s="4"/>
      <c r="AB23" s="4"/>
      <c r="AC23" s="4"/>
      <c r="AD23" s="4"/>
      <c r="AE23" s="4"/>
      <c r="AF23" s="4"/>
      <c r="AG23" s="4"/>
      <c r="AH23" s="4"/>
      <c r="AI23" s="4"/>
      <c r="AJ23" s="76" t="str">
        <f>IF(E23="○",IF(COUNTA(E$13:E23)=1,"",",")&amp;D23,"")</f>
        <v>,version</v>
      </c>
      <c r="AK23" s="4"/>
      <c r="AL23" s="4"/>
      <c r="AM23" s="4"/>
      <c r="AN23" s="4"/>
      <c r="AO23" s="4"/>
      <c r="AP23" s="4"/>
      <c r="AQ23" s="4"/>
      <c r="AR23" s="4"/>
      <c r="AS23" s="76" t="str">
        <f>"COMMENT ON COLUMN "&amp;エンティティ一覧!$O$2&amp;"."&amp;D$8&amp;"."&amp;D23&amp;" IS '"&amp;C23&amp;"';"</f>
        <v>COMMENT ON COLUMN milscm_2023_010.azn_202310_base_merge_dpc_ff1.version IS 'バージョン';</v>
      </c>
    </row>
    <row r="24" spans="1:45" s="25" customFormat="1">
      <c r="A24" s="4"/>
      <c r="B24" s="21">
        <f t="shared" si="2"/>
        <v>12</v>
      </c>
      <c r="C24" s="6" t="s">
        <v>361</v>
      </c>
      <c r="D24" s="6" t="s">
        <v>362</v>
      </c>
      <c r="E24" s="8" t="s">
        <v>127</v>
      </c>
      <c r="F24" s="7" t="s">
        <v>316</v>
      </c>
      <c r="G24" s="7" t="str">
        <f t="shared" si="3"/>
        <v>text</v>
      </c>
      <c r="H24" s="26"/>
      <c r="I24" s="10" t="s">
        <v>127</v>
      </c>
      <c r="J24" s="11"/>
      <c r="N24" s="76"/>
      <c r="O24" s="76"/>
      <c r="P24" s="76" t="str">
        <f t="shared" si="4"/>
        <v>,number</v>
      </c>
      <c r="Q24" s="76" t="str">
        <f t="shared" si="0"/>
        <v>TEXT</v>
      </c>
      <c r="R24" s="76" t="str">
        <f t="shared" si="1"/>
        <v/>
      </c>
      <c r="S24" s="76" t="str">
        <f t="shared" si="5"/>
        <v>NOT NULL</v>
      </c>
      <c r="T24" s="76" t="str">
        <f t="shared" si="6"/>
        <v>-- 連番</v>
      </c>
      <c r="U24" s="4"/>
      <c r="AA24" s="4"/>
      <c r="AB24" s="4"/>
      <c r="AC24" s="4"/>
      <c r="AD24" s="4"/>
      <c r="AE24" s="4"/>
      <c r="AF24" s="4"/>
      <c r="AG24" s="4"/>
      <c r="AH24" s="4"/>
      <c r="AI24" s="4"/>
      <c r="AJ24" s="76" t="str">
        <f>IF(E24="○",IF(COUNTA(E$13:E24)=1,"",",")&amp;D24,"")</f>
        <v>,number</v>
      </c>
      <c r="AK24" s="4"/>
      <c r="AL24" s="4"/>
      <c r="AM24" s="4"/>
      <c r="AN24" s="4"/>
      <c r="AO24" s="4"/>
      <c r="AP24" s="4"/>
      <c r="AQ24" s="4"/>
      <c r="AR24" s="4"/>
      <c r="AS24" s="76" t="str">
        <f>"COMMENT ON COLUMN "&amp;エンティティ一覧!$O$2&amp;"."&amp;D$8&amp;"."&amp;D24&amp;" IS '"&amp;C24&amp;"';"</f>
        <v>COMMENT ON COLUMN milscm_2023_010.azn_202310_base_merge_dpc_ff1.number IS '連番';</v>
      </c>
    </row>
    <row r="25" spans="1:45" s="25" customFormat="1">
      <c r="A25" s="4"/>
      <c r="B25" s="21">
        <f t="shared" si="2"/>
        <v>13</v>
      </c>
      <c r="C25" s="13" t="s">
        <v>565</v>
      </c>
      <c r="D25" s="13" t="s">
        <v>566</v>
      </c>
      <c r="E25" s="7"/>
      <c r="F25" s="7" t="s">
        <v>316</v>
      </c>
      <c r="G25" s="7" t="str">
        <f t="shared" si="3"/>
        <v>text</v>
      </c>
      <c r="H25" s="58"/>
      <c r="I25" s="23"/>
      <c r="J25" s="24" t="s">
        <v>144</v>
      </c>
      <c r="N25" s="76"/>
      <c r="O25" s="76"/>
      <c r="P25" s="76" t="str">
        <f t="shared" si="4"/>
        <v>,a000010_birthday</v>
      </c>
      <c r="Q25" s="76" t="str">
        <f t="shared" si="0"/>
        <v>TEXT</v>
      </c>
      <c r="R25" s="76" t="str">
        <f t="shared" si="1"/>
        <v/>
      </c>
      <c r="S25" s="76" t="str">
        <f t="shared" si="5"/>
        <v/>
      </c>
      <c r="T25" s="76" t="str">
        <f t="shared" si="6"/>
        <v>-- 生年月日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milscm_2023_010.azn_202310_base_merge_dpc_ff1.a000010_birthday IS '生年月日';</v>
      </c>
    </row>
    <row r="26" spans="1:45" s="25" customFormat="1">
      <c r="A26" s="4"/>
      <c r="B26" s="21">
        <f t="shared" si="2"/>
        <v>14</v>
      </c>
      <c r="C26" s="6" t="s">
        <v>567</v>
      </c>
      <c r="D26" s="6" t="s">
        <v>568</v>
      </c>
      <c r="E26" s="8"/>
      <c r="F26" s="7" t="s">
        <v>316</v>
      </c>
      <c r="G26" s="7" t="str">
        <f t="shared" si="3"/>
        <v>text</v>
      </c>
      <c r="H26" s="26"/>
      <c r="I26" s="10"/>
      <c r="J26" s="11" t="s">
        <v>810</v>
      </c>
      <c r="N26" s="76"/>
      <c r="O26" s="76"/>
      <c r="P26" s="76" t="str">
        <f t="shared" si="4"/>
        <v>,a000010_sex</v>
      </c>
      <c r="Q26" s="76" t="str">
        <f t="shared" si="0"/>
        <v>TEXT</v>
      </c>
      <c r="R26" s="76" t="str">
        <f t="shared" si="1"/>
        <v/>
      </c>
      <c r="S26" s="76" t="str">
        <f t="shared" si="5"/>
        <v/>
      </c>
      <c r="T26" s="76" t="str">
        <f t="shared" si="6"/>
        <v>-- 性別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milscm_2023_010.azn_202310_base_merge_dpc_ff1.a000010_sex IS '性別';</v>
      </c>
    </row>
    <row r="27" spans="1:45" s="25" customFormat="1">
      <c r="A27" s="4"/>
      <c r="B27" s="21">
        <f t="shared" si="2"/>
        <v>15</v>
      </c>
      <c r="C27" s="13" t="s">
        <v>569</v>
      </c>
      <c r="D27" s="13" t="s">
        <v>570</v>
      </c>
      <c r="E27" s="7"/>
      <c r="F27" s="7" t="s">
        <v>316</v>
      </c>
      <c r="G27" s="7" t="str">
        <f t="shared" si="3"/>
        <v>text</v>
      </c>
      <c r="H27" s="26"/>
      <c r="I27" s="10"/>
      <c r="J27" s="11"/>
      <c r="N27" s="76"/>
      <c r="O27" s="76"/>
      <c r="P27" s="76" t="str">
        <f t="shared" si="4"/>
        <v>,a000010_postal_code</v>
      </c>
      <c r="Q27" s="76" t="str">
        <f t="shared" si="0"/>
        <v>TEXT</v>
      </c>
      <c r="R27" s="76" t="str">
        <f t="shared" si="1"/>
        <v/>
      </c>
      <c r="S27" s="76" t="str">
        <f t="shared" si="5"/>
        <v/>
      </c>
      <c r="T27" s="76" t="str">
        <f t="shared" si="6"/>
        <v>-- 患者住所地域の郵便番号</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milscm_2023_010.azn_202310_base_merge_dpc_ff1.a000010_postal_code IS '患者住所地域の郵便番号';</v>
      </c>
    </row>
    <row r="28" spans="1:45" s="25" customFormat="1">
      <c r="A28" s="4"/>
      <c r="B28" s="21">
        <f t="shared" si="2"/>
        <v>16</v>
      </c>
      <c r="C28" s="6" t="s">
        <v>143</v>
      </c>
      <c r="D28" s="6" t="s">
        <v>571</v>
      </c>
      <c r="E28" s="8"/>
      <c r="F28" s="7" t="s">
        <v>316</v>
      </c>
      <c r="G28" s="7" t="str">
        <f t="shared" si="3"/>
        <v>text</v>
      </c>
      <c r="H28" s="58"/>
      <c r="I28" s="23"/>
      <c r="J28" s="24" t="s">
        <v>144</v>
      </c>
      <c r="N28" s="76"/>
      <c r="O28" s="76"/>
      <c r="P28" s="76" t="str">
        <f t="shared" si="4"/>
        <v>,a000020_nyuin_ymd</v>
      </c>
      <c r="Q28" s="76" t="str">
        <f t="shared" si="0"/>
        <v>TEXT</v>
      </c>
      <c r="R28" s="76" t="str">
        <f t="shared" si="1"/>
        <v/>
      </c>
      <c r="S28" s="76" t="str">
        <f t="shared" si="5"/>
        <v/>
      </c>
      <c r="T28" s="76" t="str">
        <f t="shared" si="6"/>
        <v>-- 入院年月日</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milscm_2023_010.azn_202310_base_merge_dpc_ff1.a000020_nyuin_ymd IS '入院年月日';</v>
      </c>
    </row>
    <row r="29" spans="1:45" s="25" customFormat="1">
      <c r="A29" s="4"/>
      <c r="B29" s="21">
        <f t="shared" si="2"/>
        <v>17</v>
      </c>
      <c r="C29" s="6" t="s">
        <v>572</v>
      </c>
      <c r="D29" s="6" t="s">
        <v>573</v>
      </c>
      <c r="E29" s="8"/>
      <c r="F29" s="7" t="s">
        <v>316</v>
      </c>
      <c r="G29" s="7" t="str">
        <f t="shared" si="3"/>
        <v>text</v>
      </c>
      <c r="H29" s="26"/>
      <c r="I29" s="10"/>
      <c r="J29" s="11"/>
      <c r="N29" s="76"/>
      <c r="O29" s="76"/>
      <c r="P29" s="76" t="str">
        <f t="shared" si="4"/>
        <v>,a000020_nyuin_route</v>
      </c>
      <c r="Q29" s="76" t="str">
        <f t="shared" si="0"/>
        <v>TEXT</v>
      </c>
      <c r="R29" s="76" t="str">
        <f t="shared" si="1"/>
        <v/>
      </c>
      <c r="S29" s="76" t="str">
        <f t="shared" si="5"/>
        <v/>
      </c>
      <c r="T29" s="76" t="str">
        <f t="shared" si="6"/>
        <v>-- 入院経路</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milscm_2023_010.azn_202310_base_merge_dpc_ff1.a000020_nyuin_route IS '入院経路';</v>
      </c>
    </row>
    <row r="30" spans="1:45" s="25" customFormat="1">
      <c r="A30" s="4"/>
      <c r="B30" s="21">
        <f t="shared" si="2"/>
        <v>18</v>
      </c>
      <c r="C30" s="13" t="s">
        <v>574</v>
      </c>
      <c r="D30" s="13" t="s">
        <v>575</v>
      </c>
      <c r="E30" s="7"/>
      <c r="F30" s="7" t="s">
        <v>316</v>
      </c>
      <c r="G30" s="7" t="str">
        <f t="shared" si="3"/>
        <v>text</v>
      </c>
      <c r="H30" s="58"/>
      <c r="I30" s="23"/>
      <c r="J30" s="24" t="s">
        <v>811</v>
      </c>
      <c r="N30" s="76"/>
      <c r="O30" s="76"/>
      <c r="P30" s="76" t="str">
        <f t="shared" si="4"/>
        <v>,a000020_shokai_flag</v>
      </c>
      <c r="Q30" s="76" t="str">
        <f t="shared" si="0"/>
        <v>TEXT</v>
      </c>
      <c r="R30" s="76" t="str">
        <f t="shared" si="1"/>
        <v/>
      </c>
      <c r="S30" s="76" t="str">
        <f t="shared" si="5"/>
        <v/>
      </c>
      <c r="T30" s="76" t="str">
        <f t="shared" si="6"/>
        <v>-- 他院よりの紹介の有無</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milscm_2023_010.azn_202310_base_merge_dpc_ff1.a000020_shokai_flag IS '他院よりの紹介の有無';</v>
      </c>
    </row>
    <row r="31" spans="1:45" s="25" customFormat="1" ht="31.5">
      <c r="A31" s="4"/>
      <c r="B31" s="21">
        <f t="shared" si="2"/>
        <v>19</v>
      </c>
      <c r="C31" s="6" t="s">
        <v>576</v>
      </c>
      <c r="D31" s="6" t="s">
        <v>577</v>
      </c>
      <c r="E31" s="8"/>
      <c r="F31" s="7" t="s">
        <v>316</v>
      </c>
      <c r="G31" s="7" t="str">
        <f t="shared" si="3"/>
        <v>text</v>
      </c>
      <c r="H31" s="26"/>
      <c r="I31" s="10"/>
      <c r="J31" s="11" t="s">
        <v>811</v>
      </c>
      <c r="N31" s="76"/>
      <c r="O31" s="76"/>
      <c r="P31" s="76" t="str">
        <f t="shared" ref="P31:P94" si="7">IF(B31&lt;&gt;1,","&amp;D31,D31)</f>
        <v>,a000020_gairai_nyuin_flag</v>
      </c>
      <c r="Q31" s="76" t="str">
        <f t="shared" ref="Q31:Q94" si="8">UPPER(G31)</f>
        <v>TEXT</v>
      </c>
      <c r="R31" s="76" t="str">
        <f t="shared" ref="R31:R94" si="9">IF(H31&lt;&gt;"","default "&amp;IF(G31="text","'"&amp;H31&amp;"'",H31),"")</f>
        <v/>
      </c>
      <c r="S31" s="76" t="str">
        <f t="shared" ref="S31:S94" si="10">IF(I31="○","NOT NULL","")</f>
        <v/>
      </c>
      <c r="T31" s="76" t="str">
        <f t="shared" ref="T31:T94" si="11">"-- "&amp;C31</f>
        <v>-- 自院の外来からの入院</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milscm_2023_010.azn_202310_base_merge_dpc_ff1.a000020_gairai_nyuin_flag IS '自院の外来からの入院';</v>
      </c>
    </row>
    <row r="32" spans="1:45" s="25" customFormat="1">
      <c r="A32" s="4"/>
      <c r="B32" s="21">
        <f t="shared" si="2"/>
        <v>20</v>
      </c>
      <c r="C32" s="13" t="s">
        <v>578</v>
      </c>
      <c r="D32" s="13" t="s">
        <v>579</v>
      </c>
      <c r="E32" s="7"/>
      <c r="F32" s="7" t="s">
        <v>316</v>
      </c>
      <c r="G32" s="7" t="str">
        <f t="shared" si="3"/>
        <v>text</v>
      </c>
      <c r="H32" s="58"/>
      <c r="I32" s="23"/>
      <c r="J32" s="24"/>
      <c r="N32" s="76"/>
      <c r="O32" s="76"/>
      <c r="P32" s="76" t="str">
        <f t="shared" si="7"/>
        <v>,a000020_yotei_nyuin</v>
      </c>
      <c r="Q32" s="76" t="str">
        <f t="shared" si="8"/>
        <v>TEXT</v>
      </c>
      <c r="R32" s="76" t="str">
        <f t="shared" si="9"/>
        <v/>
      </c>
      <c r="S32" s="76" t="str">
        <f t="shared" si="10"/>
        <v/>
      </c>
      <c r="T32" s="76" t="str">
        <f t="shared" si="11"/>
        <v>-- 予定・救急医療入院</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milscm_2023_010.azn_202310_base_merge_dpc_ff1.a000020_yotei_nyuin IS '予定・救急医療入院';</v>
      </c>
    </row>
    <row r="33" spans="1:52" s="25" customFormat="1">
      <c r="A33" s="4"/>
      <c r="B33" s="21">
        <f t="shared" si="2"/>
        <v>21</v>
      </c>
      <c r="C33" s="6" t="s">
        <v>580</v>
      </c>
      <c r="D33" s="6" t="s">
        <v>581</v>
      </c>
      <c r="E33" s="8"/>
      <c r="F33" s="7" t="s">
        <v>316</v>
      </c>
      <c r="G33" s="7" t="str">
        <f t="shared" si="3"/>
        <v>text</v>
      </c>
      <c r="H33" s="26"/>
      <c r="I33" s="10"/>
      <c r="J33" s="11" t="s">
        <v>811</v>
      </c>
      <c r="N33" s="76"/>
      <c r="O33" s="76"/>
      <c r="P33" s="76" t="str">
        <f t="shared" si="7"/>
        <v>,a000020_hanso_flag</v>
      </c>
      <c r="Q33" s="76" t="str">
        <f t="shared" si="8"/>
        <v>TEXT</v>
      </c>
      <c r="R33" s="76" t="str">
        <f t="shared" si="9"/>
        <v/>
      </c>
      <c r="S33" s="76" t="str">
        <f t="shared" si="10"/>
        <v/>
      </c>
      <c r="T33" s="76" t="str">
        <f t="shared" si="11"/>
        <v>-- 救急車による搬送の有無</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milscm_2023_010.azn_202310_base_merge_dpc_ff1.a000020_hanso_flag IS '救急車による搬送の有無';</v>
      </c>
    </row>
    <row r="34" spans="1:52" s="25" customFormat="1" ht="31.5">
      <c r="A34" s="4"/>
      <c r="B34" s="21">
        <f t="shared" si="2"/>
        <v>22</v>
      </c>
      <c r="C34" s="13" t="s">
        <v>582</v>
      </c>
      <c r="D34" s="13" t="s">
        <v>583</v>
      </c>
      <c r="E34" s="7"/>
      <c r="F34" s="7" t="s">
        <v>316</v>
      </c>
      <c r="G34" s="7" t="str">
        <f t="shared" si="3"/>
        <v>text</v>
      </c>
      <c r="H34" s="58"/>
      <c r="I34" s="23"/>
      <c r="J34" s="24" t="s">
        <v>811</v>
      </c>
      <c r="N34" s="76"/>
      <c r="O34" s="76"/>
      <c r="P34" s="76" t="str">
        <f t="shared" si="7"/>
        <v>,a000020_nyuin_homecare_flag</v>
      </c>
      <c r="Q34" s="76" t="str">
        <f t="shared" si="8"/>
        <v>TEXT</v>
      </c>
      <c r="R34" s="76" t="str">
        <f t="shared" si="9"/>
        <v/>
      </c>
      <c r="S34" s="76" t="str">
        <f t="shared" si="10"/>
        <v/>
      </c>
      <c r="T34" s="76" t="str">
        <f t="shared" si="11"/>
        <v>-- 入院前の在宅医療の有無</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milscm_2023_010.azn_202310_base_merge_dpc_ff1.a000020_nyuin_homecare_flag IS '入院前の在宅医療の有無';</v>
      </c>
    </row>
    <row r="35" spans="1:52" s="25" customFormat="1" ht="206.25">
      <c r="A35" s="4"/>
      <c r="B35" s="21">
        <f t="shared" si="2"/>
        <v>23</v>
      </c>
      <c r="C35" s="6" t="s">
        <v>584</v>
      </c>
      <c r="D35" s="6" t="s">
        <v>585</v>
      </c>
      <c r="E35" s="8"/>
      <c r="F35" s="7" t="s">
        <v>316</v>
      </c>
      <c r="G35" s="7" t="str">
        <f t="shared" si="3"/>
        <v>text</v>
      </c>
      <c r="H35" s="26"/>
      <c r="I35" s="10"/>
      <c r="J35" s="11" t="s">
        <v>812</v>
      </c>
      <c r="N35" s="76"/>
      <c r="O35" s="76"/>
      <c r="P35" s="76" t="str">
        <f t="shared" si="7"/>
        <v>,a000020_jisho_flag</v>
      </c>
      <c r="Q35" s="76" t="str">
        <f t="shared" si="8"/>
        <v>TEXT</v>
      </c>
      <c r="R35" s="76" t="str">
        <f t="shared" si="9"/>
        <v/>
      </c>
      <c r="S35" s="76" t="str">
        <f t="shared" si="10"/>
        <v/>
      </c>
      <c r="T35" s="76" t="str">
        <f t="shared" si="11"/>
        <v>-- 自傷行為・自殺企図の有無</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milscm_2023_010.azn_202310_base_merge_dpc_ff1.a000020_jisho_flag IS '自傷行為・自殺企図の有無';</v>
      </c>
    </row>
    <row r="36" spans="1:52" s="25" customFormat="1" ht="56.25">
      <c r="A36" s="4"/>
      <c r="B36" s="21">
        <f t="shared" si="2"/>
        <v>24</v>
      </c>
      <c r="C36" s="13" t="s">
        <v>586</v>
      </c>
      <c r="D36" s="13" t="s">
        <v>587</v>
      </c>
      <c r="E36" s="7"/>
      <c r="F36" s="7" t="s">
        <v>316</v>
      </c>
      <c r="G36" s="7" t="str">
        <f t="shared" si="3"/>
        <v>text</v>
      </c>
      <c r="H36" s="26"/>
      <c r="I36" s="10"/>
      <c r="J36" s="11" t="s">
        <v>813</v>
      </c>
      <c r="N36" s="76"/>
      <c r="O36" s="76"/>
      <c r="P36" s="76" t="str">
        <f t="shared" si="7"/>
        <v>,a000020_kako_jisho_flag</v>
      </c>
      <c r="Q36" s="76" t="str">
        <f t="shared" si="8"/>
        <v>TEXT</v>
      </c>
      <c r="R36" s="76" t="str">
        <f t="shared" si="9"/>
        <v/>
      </c>
      <c r="S36" s="76" t="str">
        <f t="shared" si="10"/>
        <v/>
      </c>
      <c r="T36" s="76" t="str">
        <f t="shared" si="11"/>
        <v>-- 過去の自傷行為・自殺企図の有無</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milscm_2023_010.azn_202310_base_merge_dpc_ff1.a000020_kako_jisho_flag IS '過去の自傷行為・自殺企図の有無';</v>
      </c>
    </row>
    <row r="37" spans="1:52" s="25" customFormat="1">
      <c r="A37" s="4"/>
      <c r="B37" s="21">
        <f t="shared" si="2"/>
        <v>25</v>
      </c>
      <c r="C37" s="6" t="s">
        <v>210</v>
      </c>
      <c r="D37" s="6" t="s">
        <v>588</v>
      </c>
      <c r="E37" s="8"/>
      <c r="F37" s="7" t="s">
        <v>316</v>
      </c>
      <c r="G37" s="7" t="str">
        <f t="shared" si="3"/>
        <v>text</v>
      </c>
      <c r="H37" s="58"/>
      <c r="I37" s="23"/>
      <c r="J37" s="24" t="s">
        <v>144</v>
      </c>
      <c r="N37" s="76"/>
      <c r="O37" s="76"/>
      <c r="P37" s="76" t="str">
        <f t="shared" si="7"/>
        <v>,a000030_taiin_ymd</v>
      </c>
      <c r="Q37" s="76" t="str">
        <f t="shared" si="8"/>
        <v>TEXT</v>
      </c>
      <c r="R37" s="76" t="str">
        <f t="shared" si="9"/>
        <v/>
      </c>
      <c r="S37" s="76" t="str">
        <f t="shared" si="10"/>
        <v/>
      </c>
      <c r="T37" s="76" t="str">
        <f t="shared" si="11"/>
        <v>-- 退院年月日</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milscm_2023_010.azn_202310_base_merge_dpc_ff1.a000030_taiin_ymd IS '退院年月日';</v>
      </c>
    </row>
    <row r="38" spans="1:52" s="25" customFormat="1">
      <c r="A38" s="4"/>
      <c r="B38" s="21">
        <f t="shared" si="2"/>
        <v>26</v>
      </c>
      <c r="C38" s="6" t="s">
        <v>589</v>
      </c>
      <c r="D38" s="6" t="s">
        <v>590</v>
      </c>
      <c r="E38" s="8"/>
      <c r="F38" s="7" t="s">
        <v>316</v>
      </c>
      <c r="G38" s="7" t="str">
        <f t="shared" si="3"/>
        <v>text</v>
      </c>
      <c r="H38" s="26"/>
      <c r="I38" s="10"/>
      <c r="J38" s="11"/>
      <c r="N38" s="76"/>
      <c r="O38" s="76"/>
      <c r="P38" s="76" t="str">
        <f t="shared" si="7"/>
        <v>,a000030_taiin_saki</v>
      </c>
      <c r="Q38" s="76" t="str">
        <f t="shared" si="8"/>
        <v>TEXT</v>
      </c>
      <c r="R38" s="76" t="str">
        <f t="shared" si="9"/>
        <v/>
      </c>
      <c r="S38" s="76" t="str">
        <f t="shared" si="10"/>
        <v/>
      </c>
      <c r="T38" s="76" t="str">
        <f t="shared" si="11"/>
        <v>-- 退院先</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milscm_2023_010.azn_202310_base_merge_dpc_ff1.a000030_taiin_saki IS '退院先';</v>
      </c>
    </row>
    <row r="39" spans="1:52" s="25" customFormat="1">
      <c r="A39" s="4"/>
      <c r="B39" s="21">
        <f t="shared" si="2"/>
        <v>27</v>
      </c>
      <c r="C39" s="13" t="s">
        <v>591</v>
      </c>
      <c r="D39" s="13" t="s">
        <v>592</v>
      </c>
      <c r="E39" s="7"/>
      <c r="F39" s="7" t="s">
        <v>316</v>
      </c>
      <c r="G39" s="7" t="str">
        <f t="shared" si="3"/>
        <v>text</v>
      </c>
      <c r="H39" s="58"/>
      <c r="I39" s="23"/>
      <c r="J39" s="24"/>
      <c r="N39" s="76"/>
      <c r="O39" s="76"/>
      <c r="P39" s="76" t="str">
        <f t="shared" si="7"/>
        <v>,a000030_taiin_tenki</v>
      </c>
      <c r="Q39" s="76" t="str">
        <f t="shared" si="8"/>
        <v>TEXT</v>
      </c>
      <c r="R39" s="76" t="str">
        <f t="shared" si="9"/>
        <v/>
      </c>
      <c r="S39" s="76" t="str">
        <f t="shared" si="10"/>
        <v/>
      </c>
      <c r="T39" s="76" t="str">
        <f t="shared" si="11"/>
        <v>-- 退院時転帰</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milscm_2023_010.azn_202310_base_merge_dpc_ff1.a000030_taiin_tenki IS '退院時転帰';</v>
      </c>
    </row>
    <row r="40" spans="1:52" s="25" customFormat="1" ht="75">
      <c r="A40" s="4"/>
      <c r="B40" s="21">
        <f t="shared" si="2"/>
        <v>28</v>
      </c>
      <c r="C40" s="6" t="s">
        <v>593</v>
      </c>
      <c r="D40" s="6" t="s">
        <v>594</v>
      </c>
      <c r="E40" s="8"/>
      <c r="F40" s="7" t="s">
        <v>316</v>
      </c>
      <c r="G40" s="7" t="str">
        <f t="shared" si="3"/>
        <v>text</v>
      </c>
      <c r="H40" s="26"/>
      <c r="I40" s="10"/>
      <c r="J40" s="11" t="s">
        <v>814</v>
      </c>
      <c r="N40" s="76"/>
      <c r="O40" s="76"/>
      <c r="P40" s="76" t="str">
        <f t="shared" si="7"/>
        <v>,a000030_death24_flag</v>
      </c>
      <c r="Q40" s="76" t="str">
        <f t="shared" si="8"/>
        <v>TEXT</v>
      </c>
      <c r="R40" s="76" t="str">
        <f t="shared" si="9"/>
        <v/>
      </c>
      <c r="S40" s="76" t="str">
        <f t="shared" si="10"/>
        <v/>
      </c>
      <c r="T40" s="76" t="str">
        <f t="shared" si="11"/>
        <v>-- 24時間以内の死亡の有無</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milscm_2023_010.azn_202310_base_merge_dpc_ff1.a000030_death24_flag IS '24時間以内の死亡の有無';</v>
      </c>
    </row>
    <row r="41" spans="1:52" s="25" customFormat="1" ht="31.5">
      <c r="A41" s="4"/>
      <c r="B41" s="21">
        <f t="shared" si="2"/>
        <v>29</v>
      </c>
      <c r="C41" s="13" t="s">
        <v>595</v>
      </c>
      <c r="D41" s="13" t="s">
        <v>596</v>
      </c>
      <c r="E41" s="7"/>
      <c r="F41" s="7" t="s">
        <v>316</v>
      </c>
      <c r="G41" s="7" t="str">
        <f t="shared" si="3"/>
        <v>text</v>
      </c>
      <c r="H41" s="58"/>
      <c r="I41" s="23"/>
      <c r="J41" s="24" t="s">
        <v>815</v>
      </c>
      <c r="N41" s="76"/>
      <c r="O41" s="76"/>
      <c r="P41" s="76" t="str">
        <f t="shared" si="7"/>
        <v>,a000030_taiin_homecare_flag</v>
      </c>
      <c r="Q41" s="76" t="str">
        <f t="shared" si="8"/>
        <v>TEXT</v>
      </c>
      <c r="R41" s="76" t="str">
        <f t="shared" si="9"/>
        <v/>
      </c>
      <c r="S41" s="76" t="str">
        <f t="shared" si="10"/>
        <v/>
      </c>
      <c r="T41" s="76" t="str">
        <f t="shared" si="11"/>
        <v>-- 退院後の在宅医療の有無</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milscm_2023_010.azn_202310_base_merge_dpc_ff1.a000030_taiin_homecare_flag IS '退院後の在宅医療の有無';</v>
      </c>
    </row>
    <row r="42" spans="1:52" s="25" customFormat="1">
      <c r="A42" s="4"/>
      <c r="B42" s="21">
        <f t="shared" si="2"/>
        <v>30</v>
      </c>
      <c r="C42" s="6" t="s">
        <v>597</v>
      </c>
      <c r="D42" s="6" t="s">
        <v>598</v>
      </c>
      <c r="E42" s="8"/>
      <c r="F42" s="7" t="s">
        <v>316</v>
      </c>
      <c r="G42" s="7" t="str">
        <f t="shared" si="3"/>
        <v>text</v>
      </c>
      <c r="H42" s="26"/>
      <c r="I42" s="10"/>
      <c r="J42" s="11" t="s">
        <v>144</v>
      </c>
      <c r="N42" s="76"/>
      <c r="O42" s="76"/>
      <c r="P42" s="76" t="str">
        <f t="shared" si="7"/>
        <v>,a000031_ff1_start_ymd</v>
      </c>
      <c r="Q42" s="76" t="str">
        <f t="shared" si="8"/>
        <v>TEXT</v>
      </c>
      <c r="R42" s="76" t="str">
        <f t="shared" si="9"/>
        <v/>
      </c>
      <c r="S42" s="76" t="str">
        <f t="shared" si="10"/>
        <v/>
      </c>
      <c r="T42" s="76" t="str">
        <f t="shared" si="11"/>
        <v>-- 様式1開始日</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milscm_2023_010.azn_202310_base_merge_dpc_ff1.a000031_ff1_start_ymd IS '様式1開始日';</v>
      </c>
    </row>
    <row r="43" spans="1:52" s="25" customFormat="1">
      <c r="A43" s="4"/>
      <c r="B43" s="21">
        <f t="shared" si="2"/>
        <v>31</v>
      </c>
      <c r="C43" s="13" t="s">
        <v>599</v>
      </c>
      <c r="D43" s="13" t="s">
        <v>600</v>
      </c>
      <c r="E43" s="7"/>
      <c r="F43" s="7" t="s">
        <v>316</v>
      </c>
      <c r="G43" s="7" t="str">
        <f t="shared" si="3"/>
        <v>text</v>
      </c>
      <c r="H43" s="58"/>
      <c r="I43" s="23"/>
      <c r="J43" s="24" t="s">
        <v>144</v>
      </c>
      <c r="N43" s="76"/>
      <c r="O43" s="76"/>
      <c r="P43" s="76" t="str">
        <f t="shared" si="7"/>
        <v>,a000031_ff1_end_ymd</v>
      </c>
      <c r="Q43" s="76" t="str">
        <f t="shared" si="8"/>
        <v>TEXT</v>
      </c>
      <c r="R43" s="76" t="str">
        <f t="shared" si="9"/>
        <v/>
      </c>
      <c r="S43" s="76" t="str">
        <f t="shared" si="10"/>
        <v/>
      </c>
      <c r="T43" s="76" t="str">
        <f t="shared" si="11"/>
        <v>-- 様式1終了日</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milscm_2023_010.azn_202310_base_merge_dpc_ff1.a000031_ff1_end_ymd IS '様式1終了日';</v>
      </c>
    </row>
    <row r="44" spans="1:52" s="25" customFormat="1" ht="31.5">
      <c r="A44" s="4"/>
      <c r="B44" s="21">
        <f t="shared" si="2"/>
        <v>32</v>
      </c>
      <c r="C44" s="6" t="s">
        <v>601</v>
      </c>
      <c r="D44" s="6" t="s">
        <v>602</v>
      </c>
      <c r="E44" s="8"/>
      <c r="F44" s="7" t="s">
        <v>316</v>
      </c>
      <c r="G44" s="7" t="str">
        <f t="shared" si="3"/>
        <v>text</v>
      </c>
      <c r="H44" s="26"/>
      <c r="I44" s="10"/>
      <c r="J44" s="11"/>
      <c r="N44" s="76"/>
      <c r="O44" s="76"/>
      <c r="P44" s="76" t="str">
        <f t="shared" si="7"/>
        <v>,a000040_department_code</v>
      </c>
      <c r="Q44" s="76" t="str">
        <f t="shared" si="8"/>
        <v>TEXT</v>
      </c>
      <c r="R44" s="76" t="str">
        <f t="shared" si="9"/>
        <v/>
      </c>
      <c r="S44" s="76" t="str">
        <f t="shared" si="10"/>
        <v/>
      </c>
      <c r="T44" s="76" t="str">
        <f t="shared" si="11"/>
        <v>-- 診療科コード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milscm_2023_010.azn_202310_base_merge_dpc_ff1.a000040_department_code IS '診療科コード';</v>
      </c>
    </row>
    <row r="45" spans="1:52" s="25" customFormat="1">
      <c r="A45" s="4"/>
      <c r="B45" s="21">
        <f t="shared" si="2"/>
        <v>33</v>
      </c>
      <c r="C45" s="13" t="s">
        <v>603</v>
      </c>
      <c r="D45" s="13" t="s">
        <v>604</v>
      </c>
      <c r="E45" s="7"/>
      <c r="F45" s="7" t="s">
        <v>316</v>
      </c>
      <c r="G45" s="7" t="str">
        <f t="shared" si="3"/>
        <v>text</v>
      </c>
      <c r="H45" s="58"/>
      <c r="I45" s="23"/>
      <c r="J45" s="24" t="s">
        <v>811</v>
      </c>
      <c r="N45" s="76"/>
      <c r="O45" s="76"/>
      <c r="P45" s="76" t="str">
        <f t="shared" si="7"/>
        <v>,a000040_tenka_flag</v>
      </c>
      <c r="Q45" s="76" t="str">
        <f t="shared" si="8"/>
        <v>TEXT</v>
      </c>
      <c r="R45" s="76" t="str">
        <f t="shared" si="9"/>
        <v/>
      </c>
      <c r="S45" s="76" t="str">
        <f t="shared" si="10"/>
        <v/>
      </c>
      <c r="T45" s="76" t="str">
        <f t="shared" si="11"/>
        <v>-- 転科の有無</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milscm_2023_010.azn_202310_base_merge_dpc_ff1.a000040_tenka_flag IS '転科の有無';</v>
      </c>
    </row>
    <row r="46" spans="1:52" s="25" customFormat="1" ht="31.5">
      <c r="A46" s="4"/>
      <c r="B46" s="21">
        <f t="shared" si="2"/>
        <v>34</v>
      </c>
      <c r="C46" s="6" t="s">
        <v>605</v>
      </c>
      <c r="D46" s="6" t="s">
        <v>606</v>
      </c>
      <c r="E46" s="8"/>
      <c r="F46" s="7" t="s">
        <v>316</v>
      </c>
      <c r="G46" s="7" t="str">
        <f t="shared" si="3"/>
        <v>text</v>
      </c>
      <c r="H46" s="58"/>
      <c r="I46" s="23"/>
      <c r="J46" s="24"/>
      <c r="N46" s="76"/>
      <c r="O46" s="76"/>
      <c r="P46" s="76" t="str">
        <f t="shared" si="7"/>
        <v>,a000050_ippan_ward_flag</v>
      </c>
      <c r="Q46" s="76" t="str">
        <f t="shared" si="8"/>
        <v>TEXT</v>
      </c>
      <c r="R46" s="76" t="str">
        <f t="shared" si="9"/>
        <v/>
      </c>
      <c r="S46" s="76" t="str">
        <f t="shared" si="10"/>
        <v/>
      </c>
      <c r="T46" s="76" t="str">
        <f t="shared" si="11"/>
        <v>-- 調査対象となる一般病棟への入院の有無</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milscm_2023_010.azn_202310_base_merge_dpc_ff1.a000050_ippan_ward_flag IS '調査対象となる一般病棟への入院の有無';</v>
      </c>
      <c r="AT46" s="4"/>
      <c r="AU46" s="4"/>
    </row>
    <row r="47" spans="1:52" s="25" customFormat="1" ht="31.5">
      <c r="A47" s="4"/>
      <c r="B47" s="21">
        <f t="shared" si="2"/>
        <v>35</v>
      </c>
      <c r="C47" s="13" t="s">
        <v>607</v>
      </c>
      <c r="D47" s="13" t="s">
        <v>608</v>
      </c>
      <c r="E47" s="7"/>
      <c r="F47" s="7" t="s">
        <v>316</v>
      </c>
      <c r="G47" s="7" t="str">
        <f t="shared" si="3"/>
        <v>text</v>
      </c>
      <c r="H47" s="26"/>
      <c r="I47" s="10"/>
      <c r="J47" s="11"/>
      <c r="L47" s="4"/>
      <c r="N47" s="76"/>
      <c r="O47" s="76"/>
      <c r="P47" s="76" t="str">
        <f t="shared" si="7"/>
        <v>,a000050_seishin_ward_flag</v>
      </c>
      <c r="Q47" s="76" t="str">
        <f t="shared" si="8"/>
        <v>TEXT</v>
      </c>
      <c r="R47" s="76" t="str">
        <f t="shared" si="9"/>
        <v/>
      </c>
      <c r="S47" s="76" t="str">
        <f t="shared" si="10"/>
        <v/>
      </c>
      <c r="T47" s="76" t="str">
        <f t="shared" si="11"/>
        <v>-- 調査対象となる精神病棟への入院の有無</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milscm_2023_010.azn_202310_base_merge_dpc_ff1.a000050_seishin_ward_flag IS '調査対象となる精神病棟への入院の有無';</v>
      </c>
      <c r="AT47" s="4"/>
      <c r="AU47" s="4"/>
      <c r="AV47" s="4"/>
      <c r="AW47" s="4"/>
      <c r="AX47" s="4"/>
      <c r="AY47" s="4"/>
      <c r="AZ47" s="4"/>
    </row>
    <row r="48" spans="1:52" s="25" customFormat="1" ht="31.5">
      <c r="A48" s="4"/>
      <c r="B48" s="21">
        <f t="shared" si="2"/>
        <v>36</v>
      </c>
      <c r="C48" s="13" t="s">
        <v>609</v>
      </c>
      <c r="D48" s="13" t="s">
        <v>610</v>
      </c>
      <c r="E48" s="7"/>
      <c r="F48" s="7" t="s">
        <v>316</v>
      </c>
      <c r="G48" s="7" t="str">
        <f t="shared" si="3"/>
        <v>text</v>
      </c>
      <c r="H48" s="26"/>
      <c r="I48" s="10"/>
      <c r="J48" s="11"/>
      <c r="L48" s="4"/>
      <c r="N48" s="76"/>
      <c r="O48" s="76"/>
      <c r="P48" s="76" t="str">
        <f t="shared" si="7"/>
        <v>,a000050_other_ward_flag</v>
      </c>
      <c r="Q48" s="76" t="str">
        <f t="shared" si="8"/>
        <v>TEXT</v>
      </c>
      <c r="R48" s="76" t="str">
        <f t="shared" si="9"/>
        <v/>
      </c>
      <c r="S48" s="76" t="str">
        <f t="shared" si="10"/>
        <v/>
      </c>
      <c r="T48" s="76" t="str">
        <f t="shared" si="11"/>
        <v>-- 調査対象となるその他の病棟への入院の有無</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milscm_2023_010.azn_202310_base_merge_dpc_ff1.a000050_other_ward_flag IS '調査対象となるその他の病棟への入院の有無';</v>
      </c>
      <c r="AT48" s="4"/>
      <c r="AU48" s="4"/>
      <c r="AV48" s="4"/>
      <c r="AW48" s="4"/>
      <c r="AX48" s="4"/>
      <c r="AY48" s="4"/>
      <c r="AZ48" s="4"/>
    </row>
    <row r="49" spans="1:52" s="25" customFormat="1" ht="56.25">
      <c r="A49" s="4"/>
      <c r="B49" s="21">
        <f t="shared" si="2"/>
        <v>37</v>
      </c>
      <c r="C49" s="13" t="s">
        <v>611</v>
      </c>
      <c r="D49" s="13" t="s">
        <v>612</v>
      </c>
      <c r="E49" s="7"/>
      <c r="F49" s="7" t="s">
        <v>316</v>
      </c>
      <c r="G49" s="7" t="str">
        <f t="shared" si="3"/>
        <v>text</v>
      </c>
      <c r="H49" s="58"/>
      <c r="I49" s="23"/>
      <c r="J49" s="24" t="s">
        <v>816</v>
      </c>
      <c r="L49" s="4"/>
      <c r="N49" s="76"/>
      <c r="O49" s="76"/>
      <c r="P49" s="76" t="str">
        <f t="shared" si="7"/>
        <v>,a000060_shinryo_purpose</v>
      </c>
      <c r="Q49" s="76" t="str">
        <f t="shared" si="8"/>
        <v>TEXT</v>
      </c>
      <c r="R49" s="76" t="str">
        <f t="shared" si="9"/>
        <v/>
      </c>
      <c r="S49" s="76" t="str">
        <f t="shared" si="10"/>
        <v/>
      </c>
      <c r="T49" s="76" t="str">
        <f t="shared" si="11"/>
        <v>-- 入院中の主な診療目的</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milscm_2023_010.azn_202310_base_merge_dpc_ff1.a000060_shinryo_purpose IS '入院中の主な診療目的';</v>
      </c>
      <c r="AT49" s="4"/>
      <c r="AU49" s="4"/>
      <c r="AV49" s="4"/>
      <c r="AW49" s="4"/>
      <c r="AX49" s="4"/>
      <c r="AY49" s="4"/>
      <c r="AZ49" s="4"/>
    </row>
    <row r="50" spans="1:52" s="25" customFormat="1">
      <c r="A50" s="4"/>
      <c r="B50" s="21">
        <f t="shared" si="2"/>
        <v>38</v>
      </c>
      <c r="C50" s="6" t="s">
        <v>613</v>
      </c>
      <c r="D50" s="6" t="s">
        <v>614</v>
      </c>
      <c r="E50" s="8"/>
      <c r="F50" s="7" t="s">
        <v>316</v>
      </c>
      <c r="G50" s="7" t="str">
        <f t="shared" si="3"/>
        <v>text</v>
      </c>
      <c r="H50" s="26"/>
      <c r="I50" s="10"/>
      <c r="J50" s="11" t="s">
        <v>811</v>
      </c>
      <c r="L50" s="4"/>
      <c r="N50" s="76"/>
      <c r="O50" s="76"/>
      <c r="P50" s="76" t="str">
        <f t="shared" si="7"/>
        <v>,a000060_trial_flag</v>
      </c>
      <c r="Q50" s="76" t="str">
        <f t="shared" si="8"/>
        <v>TEXT</v>
      </c>
      <c r="R50" s="76" t="str">
        <f t="shared" si="9"/>
        <v/>
      </c>
      <c r="S50" s="76" t="str">
        <f t="shared" si="10"/>
        <v/>
      </c>
      <c r="T50" s="76" t="str">
        <f t="shared" si="11"/>
        <v>-- 治験実施の有無</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milscm_2023_010.azn_202310_base_merge_dpc_ff1.a000060_trial_flag IS '治験実施の有無';</v>
      </c>
      <c r="AT50" s="4"/>
      <c r="AU50" s="4"/>
      <c r="AV50" s="4"/>
      <c r="AW50" s="4"/>
      <c r="AX50" s="4"/>
      <c r="AY50" s="4"/>
      <c r="AZ50" s="4"/>
    </row>
    <row r="51" spans="1:52" s="25" customFormat="1">
      <c r="A51" s="4"/>
      <c r="B51" s="21">
        <f t="shared" si="2"/>
        <v>39</v>
      </c>
      <c r="C51" s="13" t="s">
        <v>615</v>
      </c>
      <c r="D51" s="13" t="s">
        <v>616</v>
      </c>
      <c r="E51" s="7"/>
      <c r="F51" s="7" t="s">
        <v>316</v>
      </c>
      <c r="G51" s="7" t="str">
        <f t="shared" si="3"/>
        <v>text</v>
      </c>
      <c r="H51" s="58"/>
      <c r="I51" s="23"/>
      <c r="J51" s="24" t="s">
        <v>144</v>
      </c>
      <c r="L51" s="4"/>
      <c r="N51" s="76"/>
      <c r="O51" s="76"/>
      <c r="P51" s="76" t="str">
        <f t="shared" si="7"/>
        <v>,a000070_zentaiin_ymd</v>
      </c>
      <c r="Q51" s="76" t="str">
        <f t="shared" si="8"/>
        <v>TEXT</v>
      </c>
      <c r="R51" s="76" t="str">
        <f t="shared" si="9"/>
        <v/>
      </c>
      <c r="S51" s="76" t="str">
        <f t="shared" si="10"/>
        <v/>
      </c>
      <c r="T51" s="76" t="str">
        <f t="shared" si="11"/>
        <v>-- 前回退院年月日</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milscm_2023_010.azn_202310_base_merge_dpc_ff1.a000070_zentaiin_ymd IS '前回退院年月日';</v>
      </c>
      <c r="AT51" s="4"/>
      <c r="AU51" s="4"/>
      <c r="AV51" s="4"/>
      <c r="AW51" s="4"/>
      <c r="AX51" s="4"/>
      <c r="AY51" s="4"/>
      <c r="AZ51" s="4"/>
    </row>
    <row r="52" spans="1:52" s="25" customFormat="1" ht="31.5">
      <c r="A52" s="4"/>
      <c r="B52" s="21">
        <f t="shared" si="2"/>
        <v>40</v>
      </c>
      <c r="C52" s="6" t="s">
        <v>617</v>
      </c>
      <c r="D52" s="6" t="s">
        <v>618</v>
      </c>
      <c r="E52" s="8"/>
      <c r="F52" s="7" t="s">
        <v>316</v>
      </c>
      <c r="G52" s="7" t="str">
        <f t="shared" si="3"/>
        <v>text</v>
      </c>
      <c r="H52" s="26"/>
      <c r="I52" s="10"/>
      <c r="J52" s="11" t="s">
        <v>144</v>
      </c>
      <c r="L52" s="4"/>
      <c r="N52" s="76"/>
      <c r="O52" s="76"/>
      <c r="P52" s="76" t="str">
        <f t="shared" si="7"/>
        <v>,a000070_same_jiin_nyuin_flag</v>
      </c>
      <c r="Q52" s="76" t="str">
        <f t="shared" si="8"/>
        <v>TEXT</v>
      </c>
      <c r="R52" s="76" t="str">
        <f t="shared" si="9"/>
        <v/>
      </c>
      <c r="S52" s="76" t="str">
        <f t="shared" si="10"/>
        <v/>
      </c>
      <c r="T52" s="76" t="str">
        <f t="shared" si="11"/>
        <v>-- 前回同一傷病で自院入院の有無</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milscm_2023_010.azn_202310_base_merge_dpc_ff1.a000070_same_jiin_nyuin_flag IS '前回同一傷病で自院入院の有無';</v>
      </c>
      <c r="AT52" s="4"/>
      <c r="AU52" s="4"/>
      <c r="AV52" s="4"/>
      <c r="AW52" s="4"/>
      <c r="AX52" s="4"/>
      <c r="AY52" s="4"/>
      <c r="AZ52" s="4"/>
    </row>
    <row r="53" spans="1:52" s="25" customFormat="1">
      <c r="A53" s="4"/>
      <c r="B53" s="21">
        <f t="shared" si="2"/>
        <v>41</v>
      </c>
      <c r="C53" s="13" t="s">
        <v>619</v>
      </c>
      <c r="D53" s="13" t="s">
        <v>620</v>
      </c>
      <c r="E53" s="7"/>
      <c r="F53" s="7" t="s">
        <v>316</v>
      </c>
      <c r="G53" s="7" t="str">
        <f t="shared" si="3"/>
        <v>text</v>
      </c>
      <c r="H53" s="58"/>
      <c r="I53" s="23"/>
      <c r="J53" s="24" t="s">
        <v>817</v>
      </c>
      <c r="L53" s="4"/>
      <c r="M53" s="4"/>
      <c r="N53" s="76"/>
      <c r="O53" s="76"/>
      <c r="P53" s="76" t="str">
        <f t="shared" si="7"/>
        <v>,a000080_sai_nyuin_type</v>
      </c>
      <c r="Q53" s="76" t="str">
        <f t="shared" si="8"/>
        <v>TEXT</v>
      </c>
      <c r="R53" s="76" t="str">
        <f t="shared" si="9"/>
        <v/>
      </c>
      <c r="S53" s="76" t="str">
        <f t="shared" si="10"/>
        <v/>
      </c>
      <c r="T53" s="76" t="str">
        <f t="shared" si="11"/>
        <v>-- 再入院種別</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milscm_2023_010.azn_202310_base_merge_dpc_ff1.a000080_sai_nyuin_type IS '再入院種別';</v>
      </c>
      <c r="AT53" s="4"/>
      <c r="AU53" s="4"/>
      <c r="AV53" s="4"/>
      <c r="AW53" s="4"/>
      <c r="AX53" s="4"/>
      <c r="AY53" s="4"/>
      <c r="AZ53" s="4"/>
    </row>
    <row r="54" spans="1:52" s="25" customFormat="1">
      <c r="A54" s="4"/>
      <c r="B54" s="21">
        <f t="shared" si="2"/>
        <v>42</v>
      </c>
      <c r="C54" s="6" t="s">
        <v>621</v>
      </c>
      <c r="D54" s="6" t="s">
        <v>622</v>
      </c>
      <c r="E54" s="8"/>
      <c r="F54" s="7" t="s">
        <v>316</v>
      </c>
      <c r="G54" s="7" t="str">
        <f t="shared" si="3"/>
        <v>text</v>
      </c>
      <c r="H54" s="26"/>
      <c r="I54" s="10"/>
      <c r="J54" s="11"/>
      <c r="L54" s="4"/>
      <c r="M54" s="4"/>
      <c r="N54" s="76"/>
      <c r="O54" s="76"/>
      <c r="P54" s="76" t="str">
        <f t="shared" si="7"/>
        <v>,a000080_riyu_type</v>
      </c>
      <c r="Q54" s="76" t="str">
        <f t="shared" si="8"/>
        <v>TEXT</v>
      </c>
      <c r="R54" s="76" t="str">
        <f t="shared" si="9"/>
        <v/>
      </c>
      <c r="S54" s="76" t="str">
        <f t="shared" si="10"/>
        <v/>
      </c>
      <c r="T54" s="76" t="str">
        <f t="shared" si="11"/>
        <v>-- 理由の種別</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milscm_2023_010.azn_202310_base_merge_dpc_ff1.a000080_riyu_type IS '理由の種別';</v>
      </c>
      <c r="AT54" s="4"/>
      <c r="AU54" s="4"/>
      <c r="AV54" s="4"/>
      <c r="AW54" s="4"/>
      <c r="AX54" s="4"/>
      <c r="AY54" s="4"/>
      <c r="AZ54" s="4"/>
    </row>
    <row r="55" spans="1:52" s="25" customFormat="1">
      <c r="A55" s="4"/>
      <c r="B55" s="21">
        <f t="shared" si="2"/>
        <v>43</v>
      </c>
      <c r="C55" s="6" t="s">
        <v>623</v>
      </c>
      <c r="D55" s="6" t="s">
        <v>624</v>
      </c>
      <c r="E55" s="8"/>
      <c r="F55" s="7" t="s">
        <v>316</v>
      </c>
      <c r="G55" s="7" t="str">
        <f t="shared" si="3"/>
        <v>text</v>
      </c>
      <c r="H55" s="58"/>
      <c r="I55" s="23"/>
      <c r="J55" s="24" t="s">
        <v>818</v>
      </c>
      <c r="L55" s="4"/>
      <c r="M55" s="4"/>
      <c r="N55" s="76"/>
      <c r="O55" s="76"/>
      <c r="P55" s="76" t="str">
        <f t="shared" si="7"/>
        <v>,a000080_free_entry</v>
      </c>
      <c r="Q55" s="76" t="str">
        <f t="shared" si="8"/>
        <v>TEXT</v>
      </c>
      <c r="R55" s="76" t="str">
        <f t="shared" si="9"/>
        <v/>
      </c>
      <c r="S55" s="76" t="str">
        <f t="shared" si="10"/>
        <v/>
      </c>
      <c r="T55" s="76" t="str">
        <f t="shared" si="11"/>
        <v>-- 自由記載欄</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milscm_2023_010.azn_202310_base_merge_dpc_ff1.a000080_free_entry IS '自由記載欄';</v>
      </c>
      <c r="AT55" s="4"/>
      <c r="AU55" s="4"/>
      <c r="AV55" s="4"/>
      <c r="AW55" s="4"/>
      <c r="AX55" s="4"/>
      <c r="AY55" s="4"/>
      <c r="AZ55" s="4"/>
    </row>
    <row r="56" spans="1:52" s="25" customFormat="1">
      <c r="A56" s="4"/>
      <c r="B56" s="21">
        <f t="shared" si="2"/>
        <v>44</v>
      </c>
      <c r="C56" s="13" t="s">
        <v>625</v>
      </c>
      <c r="D56" s="13" t="s">
        <v>626</v>
      </c>
      <c r="E56" s="7"/>
      <c r="F56" s="7" t="s">
        <v>316</v>
      </c>
      <c r="G56" s="7" t="str">
        <f t="shared" si="3"/>
        <v>text</v>
      </c>
      <c r="H56" s="26"/>
      <c r="I56" s="10"/>
      <c r="J56" s="11" t="s">
        <v>819</v>
      </c>
      <c r="L56" s="4"/>
      <c r="M56" s="4"/>
      <c r="N56" s="76"/>
      <c r="O56" s="76"/>
      <c r="P56" s="76" t="str">
        <f t="shared" si="7"/>
        <v>,a000090_sai_tento_type</v>
      </c>
      <c r="Q56" s="76" t="str">
        <f t="shared" si="8"/>
        <v>TEXT</v>
      </c>
      <c r="R56" s="76" t="str">
        <f t="shared" si="9"/>
        <v/>
      </c>
      <c r="S56" s="76" t="str">
        <f t="shared" si="10"/>
        <v/>
      </c>
      <c r="T56" s="76" t="str">
        <f t="shared" si="11"/>
        <v>-- 再転棟種別</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milscm_2023_010.azn_202310_base_merge_dpc_ff1.a000090_sai_tento_type IS '再転棟種別';</v>
      </c>
      <c r="AT56" s="4"/>
      <c r="AU56" s="4"/>
      <c r="AV56" s="4"/>
      <c r="AW56" s="4"/>
      <c r="AX56" s="4"/>
      <c r="AY56" s="4"/>
      <c r="AZ56" s="4"/>
    </row>
    <row r="57" spans="1:52" s="25" customFormat="1">
      <c r="A57" s="4"/>
      <c r="B57" s="21">
        <f t="shared" si="2"/>
        <v>45</v>
      </c>
      <c r="C57" s="6" t="s">
        <v>621</v>
      </c>
      <c r="D57" s="6" t="s">
        <v>627</v>
      </c>
      <c r="E57" s="8"/>
      <c r="F57" s="7" t="s">
        <v>316</v>
      </c>
      <c r="G57" s="7" t="str">
        <f t="shared" si="3"/>
        <v>text</v>
      </c>
      <c r="H57" s="58"/>
      <c r="I57" s="23"/>
      <c r="J57" s="24"/>
      <c r="L57" s="4"/>
      <c r="M57" s="4"/>
      <c r="N57" s="76"/>
      <c r="O57" s="76"/>
      <c r="P57" s="76" t="str">
        <f t="shared" si="7"/>
        <v>,a000090_riyu_type</v>
      </c>
      <c r="Q57" s="76" t="str">
        <f t="shared" si="8"/>
        <v>TEXT</v>
      </c>
      <c r="R57" s="76" t="str">
        <f t="shared" si="9"/>
        <v/>
      </c>
      <c r="S57" s="76" t="str">
        <f t="shared" si="10"/>
        <v/>
      </c>
      <c r="T57" s="76" t="str">
        <f t="shared" si="11"/>
        <v>-- 理由の種別</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milscm_2023_010.azn_202310_base_merge_dpc_ff1.a000090_riyu_type IS '理由の種別';</v>
      </c>
      <c r="AT57" s="4"/>
      <c r="AU57" s="4"/>
      <c r="AV57" s="4"/>
      <c r="AW57" s="4"/>
      <c r="AX57" s="4"/>
      <c r="AY57" s="4"/>
      <c r="AZ57" s="4"/>
    </row>
    <row r="58" spans="1:52" s="25" customFormat="1">
      <c r="A58" s="4"/>
      <c r="B58" s="21">
        <f t="shared" si="2"/>
        <v>46</v>
      </c>
      <c r="C58" s="13" t="s">
        <v>623</v>
      </c>
      <c r="D58" s="13" t="s">
        <v>628</v>
      </c>
      <c r="E58" s="7"/>
      <c r="F58" s="7" t="s">
        <v>316</v>
      </c>
      <c r="G58" s="7" t="str">
        <f t="shared" si="3"/>
        <v>text</v>
      </c>
      <c r="H58" s="58"/>
      <c r="I58" s="23"/>
      <c r="J58" s="24" t="s">
        <v>818</v>
      </c>
      <c r="L58" s="4"/>
      <c r="M58" s="4"/>
      <c r="N58" s="76"/>
      <c r="O58" s="76"/>
      <c r="P58" s="76" t="str">
        <f t="shared" si="7"/>
        <v>,a000090_free_entry</v>
      </c>
      <c r="Q58" s="76" t="str">
        <f t="shared" si="8"/>
        <v>TEXT</v>
      </c>
      <c r="R58" s="76" t="str">
        <f t="shared" si="9"/>
        <v/>
      </c>
      <c r="S58" s="76" t="str">
        <f t="shared" si="10"/>
        <v/>
      </c>
      <c r="T58" s="76" t="str">
        <f t="shared" si="11"/>
        <v>-- 自由記載欄</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milscm_2023_010.azn_202310_base_merge_dpc_ff1.a000090_free_entry IS '自由記載欄';</v>
      </c>
      <c r="AT58" s="4"/>
      <c r="AU58" s="4"/>
      <c r="AV58" s="4"/>
      <c r="AW58" s="4"/>
      <c r="AX58" s="4"/>
      <c r="AY58" s="4"/>
      <c r="AZ58" s="4"/>
    </row>
    <row r="59" spans="1:52" s="25" customFormat="1">
      <c r="A59" s="4"/>
      <c r="B59" s="21">
        <f t="shared" si="2"/>
        <v>47</v>
      </c>
      <c r="C59" s="6" t="s">
        <v>629</v>
      </c>
      <c r="D59" s="6" t="s">
        <v>630</v>
      </c>
      <c r="E59" s="8"/>
      <c r="F59" s="7" t="s">
        <v>316</v>
      </c>
      <c r="G59" s="7" t="str">
        <f t="shared" si="3"/>
        <v>text</v>
      </c>
      <c r="H59" s="26"/>
      <c r="I59" s="10"/>
      <c r="J59" s="11" t="s">
        <v>820</v>
      </c>
      <c r="L59" s="4"/>
      <c r="M59" s="4"/>
      <c r="N59" s="76"/>
      <c r="O59" s="76"/>
      <c r="P59" s="76" t="str">
        <f t="shared" si="7"/>
        <v>,a001010_height</v>
      </c>
      <c r="Q59" s="76" t="str">
        <f t="shared" si="8"/>
        <v>TEXT</v>
      </c>
      <c r="R59" s="76" t="str">
        <f t="shared" si="9"/>
        <v/>
      </c>
      <c r="S59" s="76" t="str">
        <f t="shared" si="10"/>
        <v/>
      </c>
      <c r="T59" s="76" t="str">
        <f t="shared" si="11"/>
        <v>-- 身長</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milscm_2023_010.azn_202310_base_merge_dpc_ff1.a001010_height IS '身長';</v>
      </c>
      <c r="AT59" s="4"/>
      <c r="AU59" s="4"/>
      <c r="AV59" s="4"/>
      <c r="AW59" s="4"/>
      <c r="AX59" s="4"/>
      <c r="AY59" s="4"/>
      <c r="AZ59" s="4"/>
    </row>
    <row r="60" spans="1:52" s="25" customFormat="1" ht="37.5">
      <c r="A60" s="4"/>
      <c r="B60" s="21">
        <f t="shared" si="2"/>
        <v>48</v>
      </c>
      <c r="C60" s="13" t="s">
        <v>631</v>
      </c>
      <c r="D60" s="13" t="s">
        <v>632</v>
      </c>
      <c r="E60" s="7"/>
      <c r="F60" s="7" t="s">
        <v>316</v>
      </c>
      <c r="G60" s="7" t="str">
        <f t="shared" si="3"/>
        <v>text</v>
      </c>
      <c r="H60" s="26"/>
      <c r="I60" s="10"/>
      <c r="J60" s="11" t="s">
        <v>821</v>
      </c>
      <c r="L60" s="4"/>
      <c r="M60" s="4"/>
      <c r="N60" s="76"/>
      <c r="O60" s="76"/>
      <c r="P60" s="76" t="str">
        <f t="shared" si="7"/>
        <v>,a001010_weight</v>
      </c>
      <c r="Q60" s="76" t="str">
        <f t="shared" si="8"/>
        <v>TEXT</v>
      </c>
      <c r="R60" s="76" t="str">
        <f t="shared" si="9"/>
        <v/>
      </c>
      <c r="S60" s="76" t="str">
        <f t="shared" si="10"/>
        <v/>
      </c>
      <c r="T60" s="76" t="str">
        <f t="shared" si="11"/>
        <v>-- 体重</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milscm_2023_010.azn_202310_base_merge_dpc_ff1.a001010_weight IS '体重';</v>
      </c>
      <c r="AT60" s="4"/>
      <c r="AU60" s="4"/>
      <c r="AV60" s="4"/>
      <c r="AW60" s="4"/>
      <c r="AX60" s="4"/>
      <c r="AY60" s="4"/>
      <c r="AZ60" s="4"/>
    </row>
    <row r="61" spans="1:52" s="25" customFormat="1">
      <c r="A61" s="4"/>
      <c r="B61" s="21">
        <f t="shared" si="2"/>
        <v>49</v>
      </c>
      <c r="C61" s="6" t="s">
        <v>633</v>
      </c>
      <c r="D61" s="6" t="s">
        <v>634</v>
      </c>
      <c r="E61" s="8"/>
      <c r="F61" s="7" t="s">
        <v>316</v>
      </c>
      <c r="G61" s="7" t="str">
        <f t="shared" si="3"/>
        <v>text</v>
      </c>
      <c r="H61" s="58"/>
      <c r="I61" s="23"/>
      <c r="J61" s="24" t="s">
        <v>822</v>
      </c>
      <c r="L61" s="4"/>
      <c r="M61" s="4"/>
      <c r="N61" s="76"/>
      <c r="O61" s="76"/>
      <c r="P61" s="76" t="str">
        <f t="shared" si="7"/>
        <v>,a001020_smoking</v>
      </c>
      <c r="Q61" s="76" t="str">
        <f t="shared" si="8"/>
        <v>TEXT</v>
      </c>
      <c r="R61" s="76" t="str">
        <f t="shared" si="9"/>
        <v/>
      </c>
      <c r="S61" s="76" t="str">
        <f t="shared" si="10"/>
        <v/>
      </c>
      <c r="T61" s="76" t="str">
        <f t="shared" si="11"/>
        <v>-- 喫煙指数</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milscm_2023_010.azn_202310_base_merge_dpc_ff1.a001020_smoking IS '喫煙指数';</v>
      </c>
      <c r="AT61" s="4"/>
      <c r="AU61" s="4"/>
      <c r="AV61" s="4"/>
      <c r="AW61" s="4"/>
      <c r="AX61" s="4"/>
      <c r="AY61" s="4"/>
      <c r="AZ61" s="4"/>
    </row>
    <row r="62" spans="1:52" s="25" customFormat="1">
      <c r="A62" s="4"/>
      <c r="B62" s="21">
        <f t="shared" si="2"/>
        <v>50</v>
      </c>
      <c r="C62" s="13" t="s">
        <v>635</v>
      </c>
      <c r="D62" s="13" t="s">
        <v>636</v>
      </c>
      <c r="E62" s="7"/>
      <c r="F62" s="7" t="s">
        <v>316</v>
      </c>
      <c r="G62" s="7" t="str">
        <f t="shared" si="3"/>
        <v>text</v>
      </c>
      <c r="H62" s="26"/>
      <c r="I62" s="10"/>
      <c r="J62" s="11" t="s">
        <v>823</v>
      </c>
      <c r="L62" s="4"/>
      <c r="M62" s="4"/>
      <c r="N62" s="76"/>
      <c r="O62" s="76"/>
      <c r="P62" s="76" t="str">
        <f t="shared" si="7"/>
        <v>,a002010_ninshin_flag</v>
      </c>
      <c r="Q62" s="76" t="str">
        <f t="shared" si="8"/>
        <v>TEXT</v>
      </c>
      <c r="R62" s="76" t="str">
        <f t="shared" si="9"/>
        <v/>
      </c>
      <c r="S62" s="76" t="str">
        <f t="shared" si="10"/>
        <v/>
      </c>
      <c r="T62" s="76" t="str">
        <f t="shared" si="11"/>
        <v>-- 現在の妊娠の有無</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milscm_2023_010.azn_202310_base_merge_dpc_ff1.a002010_ninshin_flag IS '現在の妊娠の有無';</v>
      </c>
      <c r="AT62" s="4"/>
      <c r="AU62" s="4"/>
      <c r="AV62" s="4"/>
      <c r="AW62" s="4"/>
      <c r="AX62" s="4"/>
      <c r="AY62" s="4"/>
      <c r="AZ62" s="4"/>
    </row>
    <row r="63" spans="1:52" s="25" customFormat="1">
      <c r="A63" s="4"/>
      <c r="B63" s="21">
        <f t="shared" si="2"/>
        <v>51</v>
      </c>
      <c r="C63" s="6" t="s">
        <v>637</v>
      </c>
      <c r="D63" s="6" t="s">
        <v>638</v>
      </c>
      <c r="E63" s="8"/>
      <c r="F63" s="7" t="s">
        <v>316</v>
      </c>
      <c r="G63" s="7" t="str">
        <f t="shared" si="3"/>
        <v>text</v>
      </c>
      <c r="H63" s="58"/>
      <c r="I63" s="23"/>
      <c r="J63" s="24" t="s">
        <v>824</v>
      </c>
      <c r="L63" s="4"/>
      <c r="M63" s="4"/>
      <c r="N63" s="76"/>
      <c r="O63" s="76"/>
      <c r="P63" s="76" t="str">
        <f t="shared" si="7"/>
        <v>,a002010_nyuin_ninshin</v>
      </c>
      <c r="Q63" s="76" t="str">
        <f t="shared" si="8"/>
        <v>TEXT</v>
      </c>
      <c r="R63" s="76" t="str">
        <f t="shared" si="9"/>
        <v/>
      </c>
      <c r="S63" s="76" t="str">
        <f t="shared" si="10"/>
        <v/>
      </c>
      <c r="T63" s="76" t="str">
        <f t="shared" si="11"/>
        <v>-- 入院時の妊娠週数</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milscm_2023_010.azn_202310_base_merge_dpc_ff1.a002010_nyuin_ninshin IS '入院時の妊娠週数';</v>
      </c>
      <c r="AT63" s="4"/>
      <c r="AU63" s="4"/>
      <c r="AV63" s="4"/>
      <c r="AW63" s="4"/>
      <c r="AX63" s="4"/>
      <c r="AY63" s="4"/>
      <c r="AZ63" s="4"/>
    </row>
    <row r="64" spans="1:52" s="25" customFormat="1">
      <c r="A64" s="4"/>
      <c r="B64" s="21">
        <f t="shared" si="2"/>
        <v>52</v>
      </c>
      <c r="C64" s="13" t="s">
        <v>639</v>
      </c>
      <c r="D64" s="13" t="s">
        <v>640</v>
      </c>
      <c r="E64" s="7"/>
      <c r="F64" s="7" t="s">
        <v>316</v>
      </c>
      <c r="G64" s="7" t="str">
        <f t="shared" si="3"/>
        <v>text</v>
      </c>
      <c r="H64" s="26"/>
      <c r="I64" s="10"/>
      <c r="J64" s="11" t="s">
        <v>825</v>
      </c>
      <c r="L64" s="4"/>
      <c r="M64" s="4"/>
      <c r="N64" s="76"/>
      <c r="O64" s="76"/>
      <c r="P64" s="76" t="str">
        <f t="shared" si="7"/>
        <v>,a003010_birth_weight</v>
      </c>
      <c r="Q64" s="76" t="str">
        <f t="shared" si="8"/>
        <v>TEXT</v>
      </c>
      <c r="R64" s="76" t="str">
        <f t="shared" si="9"/>
        <v/>
      </c>
      <c r="S64" s="76" t="str">
        <f t="shared" si="10"/>
        <v/>
      </c>
      <c r="T64" s="76" t="str">
        <f t="shared" si="11"/>
        <v>-- 出生時体重</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milscm_2023_010.azn_202310_base_merge_dpc_ff1.a003010_birth_weight IS '出生時体重';</v>
      </c>
      <c r="AT64" s="4"/>
      <c r="AU64" s="4"/>
      <c r="AV64" s="4"/>
      <c r="AW64" s="4"/>
      <c r="AX64" s="4"/>
      <c r="AY64" s="4"/>
      <c r="AZ64" s="4"/>
    </row>
    <row r="65" spans="1:52" s="25" customFormat="1">
      <c r="A65" s="4"/>
      <c r="B65" s="21">
        <f t="shared" si="2"/>
        <v>53</v>
      </c>
      <c r="C65" s="13" t="s">
        <v>641</v>
      </c>
      <c r="D65" s="13" t="s">
        <v>642</v>
      </c>
      <c r="E65" s="7"/>
      <c r="F65" s="7" t="s">
        <v>316</v>
      </c>
      <c r="G65" s="7" t="str">
        <f t="shared" si="3"/>
        <v>text</v>
      </c>
      <c r="H65" s="58"/>
      <c r="I65" s="23"/>
      <c r="J65" s="24" t="s">
        <v>824</v>
      </c>
      <c r="L65" s="4"/>
      <c r="M65" s="4"/>
      <c r="N65" s="76"/>
      <c r="O65" s="76"/>
      <c r="P65" s="76" t="str">
        <f t="shared" si="7"/>
        <v>,a003010_birth_ninshin</v>
      </c>
      <c r="Q65" s="76" t="str">
        <f t="shared" si="8"/>
        <v>TEXT</v>
      </c>
      <c r="R65" s="76" t="str">
        <f t="shared" si="9"/>
        <v/>
      </c>
      <c r="S65" s="76" t="str">
        <f t="shared" si="10"/>
        <v/>
      </c>
      <c r="T65" s="76" t="str">
        <f t="shared" si="11"/>
        <v>-- 出生時妊娠週数</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milscm_2023_010.azn_202310_base_merge_dpc_ff1.a003010_birth_ninshin IS '出生時妊娠週数';</v>
      </c>
      <c r="AT65" s="4"/>
      <c r="AU65" s="4"/>
      <c r="AV65" s="4"/>
      <c r="AW65" s="4"/>
      <c r="AX65" s="4"/>
      <c r="AY65" s="4"/>
      <c r="AZ65" s="4"/>
    </row>
    <row r="66" spans="1:52" s="25" customFormat="1" ht="31.5">
      <c r="A66" s="4"/>
      <c r="B66" s="21">
        <f t="shared" si="2"/>
        <v>54</v>
      </c>
      <c r="C66" s="13" t="s">
        <v>643</v>
      </c>
      <c r="D66" s="13" t="s">
        <v>644</v>
      </c>
      <c r="E66" s="7"/>
      <c r="F66" s="7" t="s">
        <v>316</v>
      </c>
      <c r="G66" s="7" t="str">
        <f t="shared" si="3"/>
        <v>text</v>
      </c>
      <c r="H66" s="26"/>
      <c r="I66" s="10"/>
      <c r="J66" s="11" t="s">
        <v>826</v>
      </c>
      <c r="L66" s="4"/>
      <c r="M66" s="4"/>
      <c r="N66" s="76"/>
      <c r="O66" s="76"/>
      <c r="P66" s="76" t="str">
        <f t="shared" si="7"/>
        <v>,a004010_aged_jiritsu_kijun</v>
      </c>
      <c r="Q66" s="76" t="str">
        <f t="shared" si="8"/>
        <v>TEXT</v>
      </c>
      <c r="R66" s="76" t="str">
        <f t="shared" si="9"/>
        <v/>
      </c>
      <c r="S66" s="76" t="str">
        <f t="shared" si="10"/>
        <v/>
      </c>
      <c r="T66" s="76" t="str">
        <f t="shared" si="11"/>
        <v>-- 認知症高齢者の日常生活自立度判定基準</v>
      </c>
      <c r="U66" s="4"/>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milscm_2023_010.azn_202310_base_merge_dpc_ff1.a004010_aged_jiritsu_kijun IS '認知症高齢者の日常生活自立度判定基準';</v>
      </c>
      <c r="AT66" s="4"/>
      <c r="AU66" s="4"/>
      <c r="AV66" s="4"/>
      <c r="AW66" s="4"/>
      <c r="AX66" s="4"/>
      <c r="AY66" s="4"/>
      <c r="AZ66" s="4"/>
    </row>
    <row r="67" spans="1:52" s="25" customFormat="1" ht="56.25">
      <c r="A67" s="4"/>
      <c r="B67" s="21">
        <f t="shared" si="2"/>
        <v>55</v>
      </c>
      <c r="C67" s="6" t="s">
        <v>645</v>
      </c>
      <c r="D67" s="6" t="s">
        <v>646</v>
      </c>
      <c r="E67" s="8"/>
      <c r="F67" s="7" t="s">
        <v>316</v>
      </c>
      <c r="G67" s="7" t="str">
        <f t="shared" si="3"/>
        <v>text</v>
      </c>
      <c r="H67" s="58"/>
      <c r="I67" s="23"/>
      <c r="J67" s="24" t="s">
        <v>827</v>
      </c>
      <c r="L67" s="4"/>
      <c r="M67" s="4"/>
      <c r="N67" s="76"/>
      <c r="O67" s="76"/>
      <c r="P67" s="76" t="str">
        <f t="shared" si="7"/>
        <v>,a004020_care</v>
      </c>
      <c r="Q67" s="76" t="str">
        <f t="shared" si="8"/>
        <v>TEXT</v>
      </c>
      <c r="R67" s="76" t="str">
        <f t="shared" si="9"/>
        <v/>
      </c>
      <c r="S67" s="76" t="str">
        <f t="shared" si="10"/>
        <v/>
      </c>
      <c r="T67" s="76" t="str">
        <f t="shared" si="11"/>
        <v>-- 要介護度</v>
      </c>
      <c r="U67" s="4"/>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milscm_2023_010.azn_202310_base_merge_dpc_ff1.a004020_care IS '要介護度';</v>
      </c>
      <c r="AT67" s="4"/>
      <c r="AU67" s="4"/>
      <c r="AV67" s="4"/>
      <c r="AW67" s="4"/>
      <c r="AX67" s="4"/>
      <c r="AY67" s="4"/>
      <c r="AZ67" s="4"/>
    </row>
    <row r="68" spans="1:52" s="25" customFormat="1" ht="31.5">
      <c r="A68" s="4"/>
      <c r="B68" s="21">
        <f t="shared" si="2"/>
        <v>56</v>
      </c>
      <c r="C68" s="13" t="s">
        <v>245</v>
      </c>
      <c r="D68" s="13" t="s">
        <v>647</v>
      </c>
      <c r="E68" s="7"/>
      <c r="F68" s="7" t="s">
        <v>316</v>
      </c>
      <c r="G68" s="7" t="str">
        <f t="shared" si="3"/>
        <v>text</v>
      </c>
      <c r="H68" s="26"/>
      <c r="I68" s="10"/>
      <c r="J68" s="11" t="s">
        <v>144</v>
      </c>
      <c r="L68" s="4"/>
      <c r="M68" s="4"/>
      <c r="N68" s="76"/>
      <c r="O68" s="76"/>
      <c r="P68" s="76" t="str">
        <f t="shared" si="7"/>
        <v>,a004030_santei_start_ymd</v>
      </c>
      <c r="Q68" s="76" t="str">
        <f t="shared" si="8"/>
        <v>TEXT</v>
      </c>
      <c r="R68" s="76" t="str">
        <f t="shared" si="9"/>
        <v/>
      </c>
      <c r="S68" s="76" t="str">
        <f t="shared" si="10"/>
        <v/>
      </c>
      <c r="T68" s="76" t="str">
        <f t="shared" si="11"/>
        <v>-- 算定開始日</v>
      </c>
      <c r="U68" s="4"/>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milscm_2023_010.azn_202310_base_merge_dpc_ff1.a004030_santei_start_ymd IS '算定開始日';</v>
      </c>
      <c r="AT68" s="4"/>
      <c r="AU68" s="4"/>
      <c r="AV68" s="4"/>
      <c r="AW68" s="4"/>
      <c r="AX68" s="4"/>
      <c r="AY68" s="4"/>
      <c r="AZ68" s="4"/>
    </row>
    <row r="69" spans="1:52" s="25" customFormat="1">
      <c r="A69" s="4"/>
      <c r="B69" s="21">
        <f t="shared" si="2"/>
        <v>57</v>
      </c>
      <c r="C69" s="6" t="s">
        <v>247</v>
      </c>
      <c r="D69" s="6" t="s">
        <v>648</v>
      </c>
      <c r="E69" s="8"/>
      <c r="F69" s="7" t="s">
        <v>316</v>
      </c>
      <c r="G69" s="7" t="str">
        <f t="shared" si="3"/>
        <v>text</v>
      </c>
      <c r="H69" s="58"/>
      <c r="I69" s="23"/>
      <c r="J69" s="24" t="s">
        <v>144</v>
      </c>
      <c r="L69" s="4"/>
      <c r="M69" s="4"/>
      <c r="N69" s="76"/>
      <c r="O69" s="76"/>
      <c r="P69" s="76" t="str">
        <f t="shared" si="7"/>
        <v>,a004030_santei_end_ymd</v>
      </c>
      <c r="Q69" s="76" t="str">
        <f t="shared" si="8"/>
        <v>TEXT</v>
      </c>
      <c r="R69" s="76" t="str">
        <f t="shared" si="9"/>
        <v/>
      </c>
      <c r="S69" s="76" t="str">
        <f t="shared" si="10"/>
        <v/>
      </c>
      <c r="T69" s="76" t="str">
        <f t="shared" si="11"/>
        <v>-- 算定終了日</v>
      </c>
      <c r="U69" s="4"/>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milscm_2023_010.azn_202310_base_merge_dpc_ff1.a004030_santei_end_ymd IS '算定終了日';</v>
      </c>
      <c r="AT69" s="4"/>
      <c r="AU69" s="4"/>
      <c r="AV69" s="4"/>
      <c r="AW69" s="4"/>
      <c r="AX69" s="4"/>
      <c r="AY69" s="4"/>
      <c r="AZ69" s="4"/>
    </row>
    <row r="70" spans="1:52" s="25" customFormat="1" ht="31.5">
      <c r="A70" s="4"/>
      <c r="B70" s="21">
        <f t="shared" si="2"/>
        <v>58</v>
      </c>
      <c r="C70" s="13" t="s">
        <v>649</v>
      </c>
      <c r="D70" s="13" t="s">
        <v>650</v>
      </c>
      <c r="E70" s="7"/>
      <c r="F70" s="7" t="s">
        <v>316</v>
      </c>
      <c r="G70" s="7" t="str">
        <f t="shared" si="3"/>
        <v>text</v>
      </c>
      <c r="H70" s="58"/>
      <c r="I70" s="23"/>
      <c r="J70" s="24" t="s">
        <v>828</v>
      </c>
      <c r="L70" s="4"/>
      <c r="M70" s="4"/>
      <c r="N70" s="76"/>
      <c r="O70" s="76"/>
      <c r="P70" s="76" t="str">
        <f t="shared" si="7"/>
        <v>,a004030_teieiyo_start_flag</v>
      </c>
      <c r="Q70" s="76" t="str">
        <f t="shared" si="8"/>
        <v>TEXT</v>
      </c>
      <c r="R70" s="76" t="str">
        <f t="shared" si="9"/>
        <v/>
      </c>
      <c r="S70" s="76" t="str">
        <f t="shared" si="10"/>
        <v/>
      </c>
      <c r="T70" s="76" t="str">
        <f t="shared" si="11"/>
        <v>-- 低栄養の有無（算定開始時）</v>
      </c>
      <c r="U70" s="4"/>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milscm_2023_010.azn_202310_base_merge_dpc_ff1.a004030_teieiyo_start_flag IS '低栄養の有無（算定開始時）';</v>
      </c>
      <c r="AT70" s="4"/>
      <c r="AU70" s="4"/>
      <c r="AV70" s="4"/>
      <c r="AW70" s="4"/>
      <c r="AX70" s="4"/>
      <c r="AY70" s="4"/>
      <c r="AZ70" s="4"/>
    </row>
    <row r="71" spans="1:52" s="25" customFormat="1" ht="31.5">
      <c r="A71" s="4"/>
      <c r="B71" s="21">
        <f t="shared" si="2"/>
        <v>59</v>
      </c>
      <c r="C71" s="6" t="s">
        <v>651</v>
      </c>
      <c r="D71" s="6" t="s">
        <v>652</v>
      </c>
      <c r="E71" s="8"/>
      <c r="F71" s="7" t="s">
        <v>316</v>
      </c>
      <c r="G71" s="7" t="str">
        <f t="shared" si="3"/>
        <v>text</v>
      </c>
      <c r="H71" s="26"/>
      <c r="I71" s="10"/>
      <c r="J71" s="11" t="s">
        <v>828</v>
      </c>
      <c r="L71" s="4"/>
      <c r="M71" s="4"/>
      <c r="N71" s="76"/>
      <c r="O71" s="76"/>
      <c r="P71" s="76" t="str">
        <f t="shared" si="7"/>
        <v>,a004030_sesshoku_shogai_start_flag</v>
      </c>
      <c r="Q71" s="76" t="str">
        <f t="shared" si="8"/>
        <v>TEXT</v>
      </c>
      <c r="R71" s="76" t="str">
        <f t="shared" si="9"/>
        <v/>
      </c>
      <c r="S71" s="76" t="str">
        <f t="shared" si="10"/>
        <v/>
      </c>
      <c r="T71" s="76" t="str">
        <f t="shared" si="11"/>
        <v>-- 摂食・嚥下機能障害の有無（算定開始時）</v>
      </c>
      <c r="U71" s="4"/>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milscm_2023_010.azn_202310_base_merge_dpc_ff1.a004030_sesshoku_shogai_start_flag IS '摂食・嚥下機能障害の有無（算定開始時）';</v>
      </c>
      <c r="AT71" s="4"/>
      <c r="AU71" s="4"/>
      <c r="AV71" s="4"/>
      <c r="AW71" s="4"/>
      <c r="AX71" s="4"/>
      <c r="AY71" s="4"/>
      <c r="AZ71" s="4"/>
    </row>
    <row r="72" spans="1:52" s="25" customFormat="1">
      <c r="A72" s="4"/>
      <c r="B72" s="21">
        <f t="shared" si="2"/>
        <v>60</v>
      </c>
      <c r="C72" s="6" t="s">
        <v>653</v>
      </c>
      <c r="D72" s="6" t="s">
        <v>654</v>
      </c>
      <c r="E72" s="8"/>
      <c r="F72" s="7" t="s">
        <v>316</v>
      </c>
      <c r="G72" s="7" t="str">
        <f t="shared" si="3"/>
        <v>text</v>
      </c>
      <c r="H72" s="26"/>
      <c r="I72" s="10"/>
      <c r="J72" s="11" t="s">
        <v>828</v>
      </c>
      <c r="L72" s="4"/>
      <c r="M72" s="4"/>
      <c r="N72" s="76"/>
      <c r="O72" s="76"/>
      <c r="P72" s="76" t="str">
        <f t="shared" si="7"/>
        <v>,a004030_teieiyo_end_flag</v>
      </c>
      <c r="Q72" s="76" t="str">
        <f t="shared" si="8"/>
        <v>TEXT</v>
      </c>
      <c r="R72" s="76" t="str">
        <f t="shared" si="9"/>
        <v/>
      </c>
      <c r="S72" s="76" t="str">
        <f t="shared" si="10"/>
        <v/>
      </c>
      <c r="T72" s="76" t="str">
        <f t="shared" si="11"/>
        <v>-- 低栄養の有無（算定終了時）</v>
      </c>
      <c r="U72" s="4"/>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milscm_2023_010.azn_202310_base_merge_dpc_ff1.a004030_teieiyo_end_flag IS '低栄養の有無（算定終了時）';</v>
      </c>
      <c r="AT72" s="4"/>
      <c r="AU72" s="4"/>
      <c r="AV72" s="4"/>
      <c r="AW72" s="4"/>
      <c r="AX72" s="4"/>
      <c r="AY72" s="4"/>
      <c r="AZ72" s="4"/>
    </row>
    <row r="73" spans="1:52" s="25" customFormat="1" ht="31.5">
      <c r="A73" s="4"/>
      <c r="B73" s="21">
        <f t="shared" si="2"/>
        <v>61</v>
      </c>
      <c r="C73" s="13" t="s">
        <v>655</v>
      </c>
      <c r="D73" s="13" t="s">
        <v>656</v>
      </c>
      <c r="E73" s="7"/>
      <c r="F73" s="7" t="s">
        <v>316</v>
      </c>
      <c r="G73" s="7" t="str">
        <f t="shared" si="3"/>
        <v>text</v>
      </c>
      <c r="H73" s="58"/>
      <c r="I73" s="23"/>
      <c r="J73" s="24" t="s">
        <v>828</v>
      </c>
      <c r="L73" s="4"/>
      <c r="M73" s="4"/>
      <c r="N73" s="76"/>
      <c r="O73" s="76"/>
      <c r="P73" s="76" t="str">
        <f t="shared" si="7"/>
        <v>,a004030_sesshoku_shogai_end_flag</v>
      </c>
      <c r="Q73" s="76" t="str">
        <f t="shared" si="8"/>
        <v>TEXT</v>
      </c>
      <c r="R73" s="76" t="str">
        <f t="shared" si="9"/>
        <v/>
      </c>
      <c r="S73" s="76" t="str">
        <f t="shared" si="10"/>
        <v/>
      </c>
      <c r="T73" s="76" t="str">
        <f t="shared" si="11"/>
        <v>-- 摂食・嚥下機能障害の有無（算定終了時）</v>
      </c>
      <c r="U73" s="4"/>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milscm_2023_010.azn_202310_base_merge_dpc_ff1.a004030_sesshoku_shogai_end_flag IS '摂食・嚥下機能障害の有無（算定終了時）';</v>
      </c>
      <c r="AT73" s="4"/>
      <c r="AU73" s="4"/>
      <c r="AV73" s="4"/>
      <c r="AW73" s="4"/>
      <c r="AX73" s="4"/>
      <c r="AY73" s="4"/>
      <c r="AZ73" s="4"/>
    </row>
    <row r="74" spans="1:52" s="25" customFormat="1" ht="56.25">
      <c r="A74" s="4"/>
      <c r="B74" s="21">
        <f t="shared" si="2"/>
        <v>62</v>
      </c>
      <c r="C74" s="6" t="s">
        <v>657</v>
      </c>
      <c r="D74" s="6" t="s">
        <v>658</v>
      </c>
      <c r="E74" s="8"/>
      <c r="F74" s="7" t="s">
        <v>316</v>
      </c>
      <c r="G74" s="7" t="str">
        <f t="shared" si="3"/>
        <v>text</v>
      </c>
      <c r="H74" s="26"/>
      <c r="I74" s="10"/>
      <c r="J74" s="11" t="s">
        <v>829</v>
      </c>
      <c r="L74" s="4"/>
      <c r="M74" s="4"/>
      <c r="N74" s="76"/>
      <c r="O74" s="76"/>
      <c r="P74" s="76" t="str">
        <f t="shared" si="7"/>
        <v>,a004030_keikan_eiyou_start</v>
      </c>
      <c r="Q74" s="76" t="str">
        <f t="shared" si="8"/>
        <v>TEXT</v>
      </c>
      <c r="R74" s="76" t="str">
        <f t="shared" si="9"/>
        <v/>
      </c>
      <c r="S74" s="76" t="str">
        <f t="shared" si="10"/>
        <v/>
      </c>
      <c r="T74" s="76" t="str">
        <f t="shared" si="11"/>
        <v>-- 経管・経静脈栄養の状況（様式1 開始日時点）</v>
      </c>
      <c r="U74" s="4"/>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milscm_2023_010.azn_202310_base_merge_dpc_ff1.a004030_keikan_eiyou_start IS '経管・経静脈栄養の状況（様式1 開始日時点）';</v>
      </c>
      <c r="AT74" s="4"/>
      <c r="AU74" s="4"/>
      <c r="AV74" s="4"/>
      <c r="AW74" s="4"/>
      <c r="AX74" s="4"/>
      <c r="AY74" s="4"/>
      <c r="AZ74" s="4"/>
    </row>
    <row r="75" spans="1:52" s="25" customFormat="1" ht="56.25">
      <c r="A75" s="4"/>
      <c r="B75" s="21">
        <f t="shared" si="2"/>
        <v>63</v>
      </c>
      <c r="C75" s="13" t="s">
        <v>659</v>
      </c>
      <c r="D75" s="13" t="s">
        <v>660</v>
      </c>
      <c r="E75" s="7"/>
      <c r="F75" s="7" t="s">
        <v>316</v>
      </c>
      <c r="G75" s="7" t="str">
        <f t="shared" si="3"/>
        <v>text</v>
      </c>
      <c r="H75" s="58"/>
      <c r="I75" s="23"/>
      <c r="J75" s="24" t="s">
        <v>829</v>
      </c>
      <c r="L75" s="4"/>
      <c r="M75" s="4"/>
      <c r="N75" s="76"/>
      <c r="O75" s="76"/>
      <c r="P75" s="76" t="str">
        <f t="shared" si="7"/>
        <v>,a004030_keikan_eiyou_end</v>
      </c>
      <c r="Q75" s="76" t="str">
        <f t="shared" si="8"/>
        <v>TEXT</v>
      </c>
      <c r="R75" s="76" t="str">
        <f t="shared" si="9"/>
        <v/>
      </c>
      <c r="S75" s="76" t="str">
        <f t="shared" si="10"/>
        <v/>
      </c>
      <c r="T75" s="76" t="str">
        <f t="shared" si="11"/>
        <v>-- 経管・経静脈栄養の状況（様式1 終了日時点）</v>
      </c>
      <c r="U75" s="4"/>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milscm_2023_010.azn_202310_base_merge_dpc_ff1.a004030_keikan_eiyou_end IS '経管・経静脈栄養の状況（様式1 終了日時点）';</v>
      </c>
      <c r="AT75" s="4"/>
      <c r="AU75" s="4"/>
      <c r="AV75" s="4"/>
      <c r="AW75" s="4"/>
      <c r="AX75" s="4"/>
      <c r="AY75" s="4"/>
      <c r="AZ75" s="4"/>
    </row>
    <row r="76" spans="1:52" s="25" customFormat="1">
      <c r="A76" s="4"/>
      <c r="B76" s="21">
        <f t="shared" si="2"/>
        <v>64</v>
      </c>
      <c r="C76" s="6" t="s">
        <v>661</v>
      </c>
      <c r="D76" s="6" t="s">
        <v>662</v>
      </c>
      <c r="E76" s="8"/>
      <c r="F76" s="7" t="s">
        <v>316</v>
      </c>
      <c r="G76" s="7" t="str">
        <f t="shared" si="3"/>
        <v>text</v>
      </c>
      <c r="H76" s="26"/>
      <c r="I76" s="10"/>
      <c r="J76" s="11" t="s">
        <v>830</v>
      </c>
      <c r="L76" s="4"/>
      <c r="M76" s="4"/>
      <c r="N76" s="76"/>
      <c r="O76" s="76"/>
      <c r="P76" s="76" t="str">
        <f t="shared" si="7"/>
        <v>,a006010_icd10_code</v>
      </c>
      <c r="Q76" s="76" t="str">
        <f t="shared" si="8"/>
        <v>TEXT</v>
      </c>
      <c r="R76" s="76" t="str">
        <f t="shared" si="9"/>
        <v/>
      </c>
      <c r="S76" s="76" t="str">
        <f t="shared" si="10"/>
        <v/>
      </c>
      <c r="T76" s="76" t="str">
        <f t="shared" si="11"/>
        <v>-- ICD10コード</v>
      </c>
      <c r="U76" s="4"/>
      <c r="AA76" s="4"/>
      <c r="AB76" s="4"/>
      <c r="AC76" s="4"/>
      <c r="AD76" s="4"/>
      <c r="AE76" s="4"/>
      <c r="AF76" s="4"/>
      <c r="AG76" s="4"/>
      <c r="AH76" s="4"/>
      <c r="AI76" s="4"/>
      <c r="AJ76" s="76" t="str">
        <f>IF(E76="○",IF(COUNTA(E$13:E76)=1,"",",")&amp;D76,"")</f>
        <v/>
      </c>
      <c r="AK76" s="4"/>
      <c r="AL76" s="4"/>
      <c r="AM76" s="4"/>
      <c r="AN76" s="4"/>
      <c r="AO76" s="4"/>
      <c r="AP76" s="4"/>
      <c r="AQ76" s="4"/>
      <c r="AR76" s="4"/>
      <c r="AS76" s="76" t="str">
        <f>"COMMENT ON COLUMN "&amp;エンティティ一覧!$O$2&amp;"."&amp;D$8&amp;"."&amp;D76&amp;" IS '"&amp;C76&amp;"';"</f>
        <v>COMMENT ON COLUMN milscm_2023_010.azn_202310_base_merge_dpc_ff1.a006010_icd10_code IS 'ICD10コード';</v>
      </c>
      <c r="AT76" s="4"/>
      <c r="AU76" s="4"/>
      <c r="AV76" s="4"/>
      <c r="AW76" s="4"/>
      <c r="AX76" s="4"/>
      <c r="AY76" s="4"/>
      <c r="AZ76" s="4"/>
    </row>
    <row r="77" spans="1:52" s="25" customFormat="1">
      <c r="A77" s="4"/>
      <c r="B77" s="21">
        <f t="shared" si="2"/>
        <v>65</v>
      </c>
      <c r="C77" s="13" t="s">
        <v>663</v>
      </c>
      <c r="D77" s="13" t="s">
        <v>664</v>
      </c>
      <c r="E77" s="7"/>
      <c r="F77" s="7" t="s">
        <v>316</v>
      </c>
      <c r="G77" s="7" t="str">
        <f t="shared" si="3"/>
        <v>text</v>
      </c>
      <c r="H77" s="58"/>
      <c r="I77" s="23"/>
      <c r="J77" s="24"/>
      <c r="L77" s="4"/>
      <c r="M77" s="4"/>
      <c r="N77" s="76"/>
      <c r="O77" s="76"/>
      <c r="P77" s="76" t="str">
        <f t="shared" si="7"/>
        <v>,a006010_shobyo_code</v>
      </c>
      <c r="Q77" s="76" t="str">
        <f t="shared" si="8"/>
        <v>TEXT</v>
      </c>
      <c r="R77" s="76" t="str">
        <f t="shared" si="9"/>
        <v/>
      </c>
      <c r="S77" s="76" t="str">
        <f t="shared" si="10"/>
        <v/>
      </c>
      <c r="T77" s="76" t="str">
        <f t="shared" si="11"/>
        <v>-- 傷病名コード</v>
      </c>
      <c r="U77" s="4"/>
      <c r="AA77" s="4"/>
      <c r="AB77" s="4"/>
      <c r="AC77" s="4"/>
      <c r="AD77" s="4"/>
      <c r="AE77" s="4"/>
      <c r="AF77" s="4"/>
      <c r="AG77" s="4"/>
      <c r="AH77" s="4"/>
      <c r="AI77" s="4"/>
      <c r="AJ77" s="76" t="str">
        <f>IF(E77="○",IF(COUNTA(E$13:E77)=1,"",",")&amp;D77,"")</f>
        <v/>
      </c>
      <c r="AK77" s="4"/>
      <c r="AL77" s="4"/>
      <c r="AM77" s="4"/>
      <c r="AN77" s="4"/>
      <c r="AO77" s="4"/>
      <c r="AP77" s="4"/>
      <c r="AQ77" s="4"/>
      <c r="AR77" s="4"/>
      <c r="AS77" s="76" t="str">
        <f>"COMMENT ON COLUMN "&amp;エンティティ一覧!$O$2&amp;"."&amp;D$8&amp;"."&amp;D77&amp;" IS '"&amp;C77&amp;"';"</f>
        <v>COMMENT ON COLUMN milscm_2023_010.azn_202310_base_merge_dpc_ff1.a006010_shobyo_code IS '傷病名コード';</v>
      </c>
      <c r="AT77" s="4"/>
      <c r="AU77" s="4"/>
      <c r="AV77" s="4"/>
      <c r="AW77" s="4"/>
      <c r="AX77" s="4"/>
      <c r="AY77" s="4"/>
      <c r="AZ77" s="4"/>
    </row>
    <row r="78" spans="1:52" s="25" customFormat="1">
      <c r="A78" s="4"/>
      <c r="B78" s="21">
        <f t="shared" si="2"/>
        <v>66</v>
      </c>
      <c r="C78" s="6" t="s">
        <v>665</v>
      </c>
      <c r="D78" s="6" t="s">
        <v>666</v>
      </c>
      <c r="E78" s="8"/>
      <c r="F78" s="7" t="s">
        <v>316</v>
      </c>
      <c r="G78" s="7" t="str">
        <f t="shared" si="3"/>
        <v>text</v>
      </c>
      <c r="H78" s="26"/>
      <c r="I78" s="10"/>
      <c r="J78" s="11"/>
      <c r="L78" s="4"/>
      <c r="M78" s="4"/>
      <c r="N78" s="76"/>
      <c r="O78" s="76"/>
      <c r="P78" s="76" t="str">
        <f t="shared" si="7"/>
        <v>,a006010_shushoku_code1</v>
      </c>
      <c r="Q78" s="76" t="str">
        <f t="shared" si="8"/>
        <v>TEXT</v>
      </c>
      <c r="R78" s="76" t="str">
        <f t="shared" si="9"/>
        <v/>
      </c>
      <c r="S78" s="76" t="str">
        <f t="shared" si="10"/>
        <v/>
      </c>
      <c r="T78" s="76" t="str">
        <f t="shared" si="11"/>
        <v>-- 修飾語コード1</v>
      </c>
      <c r="U78" s="4"/>
      <c r="AA78" s="4"/>
      <c r="AB78" s="4"/>
      <c r="AC78" s="4"/>
      <c r="AD78" s="4"/>
      <c r="AE78" s="4"/>
      <c r="AF78" s="4"/>
      <c r="AG78" s="4"/>
      <c r="AH78" s="4"/>
      <c r="AI78" s="4"/>
      <c r="AJ78" s="76" t="str">
        <f>IF(E78="○",IF(COUNTA(E$13:E78)=1,"",",")&amp;D78,"")</f>
        <v/>
      </c>
      <c r="AK78" s="4"/>
      <c r="AL78" s="4"/>
      <c r="AM78" s="4"/>
      <c r="AN78" s="4"/>
      <c r="AO78" s="4"/>
      <c r="AP78" s="4"/>
      <c r="AQ78" s="4"/>
      <c r="AR78" s="4"/>
      <c r="AS78" s="76" t="str">
        <f>"COMMENT ON COLUMN "&amp;エンティティ一覧!$O$2&amp;"."&amp;D$8&amp;"."&amp;D78&amp;" IS '"&amp;C78&amp;"';"</f>
        <v>COMMENT ON COLUMN milscm_2023_010.azn_202310_base_merge_dpc_ff1.a006010_shushoku_code1 IS '修飾語コード1';</v>
      </c>
      <c r="AT78" s="4"/>
      <c r="AU78" s="4"/>
      <c r="AV78" s="4"/>
      <c r="AW78" s="4"/>
      <c r="AX78" s="4"/>
      <c r="AY78" s="4"/>
      <c r="AZ78" s="4"/>
    </row>
    <row r="79" spans="1:52" s="25" customFormat="1">
      <c r="A79" s="4"/>
      <c r="B79" s="21">
        <f t="shared" si="2"/>
        <v>67</v>
      </c>
      <c r="C79" s="13" t="s">
        <v>667</v>
      </c>
      <c r="D79" s="13" t="s">
        <v>668</v>
      </c>
      <c r="E79" s="7"/>
      <c r="F79" s="7" t="s">
        <v>316</v>
      </c>
      <c r="G79" s="7" t="str">
        <f t="shared" si="3"/>
        <v>text</v>
      </c>
      <c r="H79" s="58"/>
      <c r="I79" s="23"/>
      <c r="J79" s="24"/>
      <c r="L79" s="4"/>
      <c r="M79" s="4"/>
      <c r="N79" s="76"/>
      <c r="O79" s="76"/>
      <c r="P79" s="76" t="str">
        <f t="shared" si="7"/>
        <v>,a006010_shushoku_code2</v>
      </c>
      <c r="Q79" s="76" t="str">
        <f t="shared" si="8"/>
        <v>TEXT</v>
      </c>
      <c r="R79" s="76" t="str">
        <f t="shared" si="9"/>
        <v/>
      </c>
      <c r="S79" s="76" t="str">
        <f t="shared" si="10"/>
        <v/>
      </c>
      <c r="T79" s="76" t="str">
        <f t="shared" si="11"/>
        <v>-- 修飾語コード2</v>
      </c>
      <c r="U79" s="4"/>
      <c r="AA79" s="4"/>
      <c r="AB79" s="4"/>
      <c r="AC79" s="4"/>
      <c r="AD79" s="4"/>
      <c r="AE79" s="4"/>
      <c r="AF79" s="4"/>
      <c r="AG79" s="4"/>
      <c r="AH79" s="4"/>
      <c r="AI79" s="4"/>
      <c r="AJ79" s="76" t="str">
        <f>IF(E79="○",IF(COUNTA(E$13:E79)=1,"",",")&amp;D79,"")</f>
        <v/>
      </c>
      <c r="AK79" s="4"/>
      <c r="AL79" s="4"/>
      <c r="AM79" s="4"/>
      <c r="AN79" s="4"/>
      <c r="AO79" s="4"/>
      <c r="AP79" s="4"/>
      <c r="AQ79" s="4"/>
      <c r="AR79" s="4"/>
      <c r="AS79" s="76" t="str">
        <f>"COMMENT ON COLUMN "&amp;エンティティ一覧!$O$2&amp;"."&amp;D$8&amp;"."&amp;D79&amp;" IS '"&amp;C79&amp;"';"</f>
        <v>COMMENT ON COLUMN milscm_2023_010.azn_202310_base_merge_dpc_ff1.a006010_shushoku_code2 IS '修飾語コード2';</v>
      </c>
      <c r="AT79" s="4"/>
      <c r="AU79" s="4"/>
      <c r="AV79" s="4"/>
      <c r="AW79" s="4"/>
      <c r="AX79" s="4"/>
      <c r="AY79" s="4"/>
      <c r="AZ79" s="4"/>
    </row>
    <row r="80" spans="1:52" s="25" customFormat="1">
      <c r="A80" s="4"/>
      <c r="B80" s="21">
        <f t="shared" si="2"/>
        <v>68</v>
      </c>
      <c r="C80" s="6" t="s">
        <v>669</v>
      </c>
      <c r="D80" s="6" t="s">
        <v>670</v>
      </c>
      <c r="E80" s="8"/>
      <c r="F80" s="7" t="s">
        <v>316</v>
      </c>
      <c r="G80" s="7" t="str">
        <f t="shared" si="3"/>
        <v>text</v>
      </c>
      <c r="H80" s="26"/>
      <c r="I80" s="10"/>
      <c r="J80" s="11"/>
      <c r="L80" s="4"/>
      <c r="M80" s="4"/>
      <c r="N80" s="76"/>
      <c r="O80" s="76"/>
      <c r="P80" s="76" t="str">
        <f t="shared" si="7"/>
        <v>,a006010_shushoku_code3</v>
      </c>
      <c r="Q80" s="76" t="str">
        <f t="shared" si="8"/>
        <v>TEXT</v>
      </c>
      <c r="R80" s="76" t="str">
        <f t="shared" si="9"/>
        <v/>
      </c>
      <c r="S80" s="76" t="str">
        <f t="shared" si="10"/>
        <v/>
      </c>
      <c r="T80" s="76" t="str">
        <f t="shared" si="11"/>
        <v>-- 修飾語コード3</v>
      </c>
      <c r="U80" s="4"/>
      <c r="AA80" s="4"/>
      <c r="AB80" s="4"/>
      <c r="AC80" s="4"/>
      <c r="AD80" s="4"/>
      <c r="AE80" s="4"/>
      <c r="AF80" s="4"/>
      <c r="AG80" s="4"/>
      <c r="AH80" s="4"/>
      <c r="AI80" s="4"/>
      <c r="AJ80" s="76" t="str">
        <f>IF(E80="○",IF(COUNTA(E$13:E80)=1,"",",")&amp;D80,"")</f>
        <v/>
      </c>
      <c r="AK80" s="4"/>
      <c r="AL80" s="4"/>
      <c r="AM80" s="4"/>
      <c r="AN80" s="4"/>
      <c r="AO80" s="4"/>
      <c r="AP80" s="4"/>
      <c r="AQ80" s="4"/>
      <c r="AR80" s="4"/>
      <c r="AS80" s="76" t="str">
        <f>"COMMENT ON COLUMN "&amp;エンティティ一覧!$O$2&amp;"."&amp;D$8&amp;"."&amp;D80&amp;" IS '"&amp;C80&amp;"';"</f>
        <v>COMMENT ON COLUMN milscm_2023_010.azn_202310_base_merge_dpc_ff1.a006010_shushoku_code3 IS '修飾語コード3';</v>
      </c>
      <c r="AT80" s="4"/>
      <c r="AU80" s="4"/>
      <c r="AV80" s="4"/>
      <c r="AW80" s="4"/>
      <c r="AX80" s="4"/>
      <c r="AY80" s="4"/>
      <c r="AZ80" s="4"/>
    </row>
    <row r="81" spans="1:52" s="25" customFormat="1">
      <c r="A81" s="4"/>
      <c r="B81" s="21">
        <f t="shared" si="2"/>
        <v>69</v>
      </c>
      <c r="C81" s="13" t="s">
        <v>671</v>
      </c>
      <c r="D81" s="13" t="s">
        <v>672</v>
      </c>
      <c r="E81" s="7"/>
      <c r="F81" s="7" t="s">
        <v>316</v>
      </c>
      <c r="G81" s="7" t="str">
        <f t="shared" si="3"/>
        <v>text</v>
      </c>
      <c r="H81" s="58"/>
      <c r="I81" s="23"/>
      <c r="J81" s="24"/>
      <c r="L81" s="4"/>
      <c r="M81" s="4"/>
      <c r="N81" s="76"/>
      <c r="O81" s="76"/>
      <c r="P81" s="76" t="str">
        <f t="shared" si="7"/>
        <v>,a006010_shushoku_code4</v>
      </c>
      <c r="Q81" s="76" t="str">
        <f t="shared" si="8"/>
        <v>TEXT</v>
      </c>
      <c r="R81" s="76" t="str">
        <f t="shared" si="9"/>
        <v/>
      </c>
      <c r="S81" s="76" t="str">
        <f t="shared" si="10"/>
        <v/>
      </c>
      <c r="T81" s="76" t="str">
        <f t="shared" si="11"/>
        <v>-- 修飾語コード4</v>
      </c>
      <c r="U81" s="4"/>
      <c r="AA81" s="4"/>
      <c r="AB81" s="4"/>
      <c r="AC81" s="4"/>
      <c r="AD81" s="4"/>
      <c r="AE81" s="4"/>
      <c r="AF81" s="4"/>
      <c r="AG81" s="4"/>
      <c r="AH81" s="4"/>
      <c r="AI81" s="4"/>
      <c r="AJ81" s="76" t="str">
        <f>IF(E81="○",IF(COUNTA(E$13:E81)=1,"",",")&amp;D81,"")</f>
        <v/>
      </c>
      <c r="AK81" s="4"/>
      <c r="AL81" s="4"/>
      <c r="AM81" s="4"/>
      <c r="AN81" s="4"/>
      <c r="AO81" s="4"/>
      <c r="AP81" s="4"/>
      <c r="AQ81" s="4"/>
      <c r="AR81" s="4"/>
      <c r="AS81" s="76" t="str">
        <f>"COMMENT ON COLUMN "&amp;エンティティ一覧!$O$2&amp;"."&amp;D$8&amp;"."&amp;D81&amp;" IS '"&amp;C81&amp;"';"</f>
        <v>COMMENT ON COLUMN milscm_2023_010.azn_202310_base_merge_dpc_ff1.a006010_shushoku_code4 IS '修飾語コード4';</v>
      </c>
      <c r="AT81" s="4"/>
      <c r="AU81" s="4"/>
      <c r="AV81" s="4"/>
      <c r="AW81" s="4"/>
      <c r="AX81" s="4"/>
      <c r="AY81" s="4"/>
      <c r="AZ81" s="4"/>
    </row>
    <row r="82" spans="1:52" s="25" customFormat="1" ht="31.5">
      <c r="A82" s="4"/>
      <c r="B82" s="21">
        <f t="shared" si="2"/>
        <v>70</v>
      </c>
      <c r="C82" s="13" t="s">
        <v>673</v>
      </c>
      <c r="D82" s="13" t="s">
        <v>674</v>
      </c>
      <c r="E82" s="7"/>
      <c r="F82" s="7" t="s">
        <v>316</v>
      </c>
      <c r="G82" s="7" t="str">
        <f t="shared" si="3"/>
        <v>text</v>
      </c>
      <c r="H82" s="58"/>
      <c r="I82" s="23"/>
      <c r="J82" s="24" t="s">
        <v>831</v>
      </c>
      <c r="L82" s="4"/>
      <c r="M82" s="4"/>
      <c r="N82" s="76"/>
      <c r="O82" s="76"/>
      <c r="P82" s="76" t="str">
        <f t="shared" si="7"/>
        <v>,a006010_main_shobyo_name</v>
      </c>
      <c r="Q82" s="76" t="str">
        <f t="shared" si="8"/>
        <v>TEXT</v>
      </c>
      <c r="R82" s="76" t="str">
        <f t="shared" si="9"/>
        <v/>
      </c>
      <c r="S82" s="76" t="str">
        <f t="shared" si="10"/>
        <v/>
      </c>
      <c r="T82" s="76" t="str">
        <f t="shared" si="11"/>
        <v>-- 主傷病名</v>
      </c>
      <c r="U82" s="4"/>
      <c r="AA82" s="4"/>
      <c r="AB82" s="4"/>
      <c r="AC82" s="4"/>
      <c r="AD82" s="4"/>
      <c r="AE82" s="4"/>
      <c r="AF82" s="4"/>
      <c r="AG82" s="4"/>
      <c r="AH82" s="4"/>
      <c r="AI82" s="4"/>
      <c r="AJ82" s="76" t="str">
        <f>IF(E82="○",IF(COUNTA(E$13:E82)=1,"",",")&amp;D82,"")</f>
        <v/>
      </c>
      <c r="AK82" s="4"/>
      <c r="AL82" s="4"/>
      <c r="AM82" s="4"/>
      <c r="AN82" s="4"/>
      <c r="AO82" s="4"/>
      <c r="AP82" s="4"/>
      <c r="AQ82" s="4"/>
      <c r="AR82" s="4"/>
      <c r="AS82" s="76" t="str">
        <f>"COMMENT ON COLUMN "&amp;エンティティ一覧!$O$2&amp;"."&amp;D$8&amp;"."&amp;D82&amp;" IS '"&amp;C82&amp;"';"</f>
        <v>COMMENT ON COLUMN milscm_2023_010.azn_202310_base_merge_dpc_ff1.a006010_main_shobyo_name IS '主傷病名';</v>
      </c>
      <c r="AT82" s="4"/>
      <c r="AU82" s="4"/>
      <c r="AV82" s="4"/>
      <c r="AW82" s="4"/>
      <c r="AX82" s="4"/>
      <c r="AY82" s="4"/>
      <c r="AZ82" s="4"/>
    </row>
    <row r="83" spans="1:52" s="25" customFormat="1">
      <c r="A83" s="4"/>
      <c r="B83" s="21">
        <f t="shared" si="2"/>
        <v>71</v>
      </c>
      <c r="C83" s="13" t="s">
        <v>661</v>
      </c>
      <c r="D83" s="13" t="s">
        <v>675</v>
      </c>
      <c r="E83" s="7"/>
      <c r="F83" s="7" t="s">
        <v>316</v>
      </c>
      <c r="G83" s="7" t="str">
        <f t="shared" si="3"/>
        <v>text</v>
      </c>
      <c r="H83" s="26"/>
      <c r="I83" s="10"/>
      <c r="J83" s="11" t="s">
        <v>832</v>
      </c>
      <c r="L83" s="4"/>
      <c r="M83" s="4"/>
      <c r="N83" s="76"/>
      <c r="O83" s="76"/>
      <c r="P83" s="76" t="str">
        <f t="shared" si="7"/>
        <v>,a006020_icd10_code</v>
      </c>
      <c r="Q83" s="76" t="str">
        <f t="shared" si="8"/>
        <v>TEXT</v>
      </c>
      <c r="R83" s="76" t="str">
        <f t="shared" si="9"/>
        <v/>
      </c>
      <c r="S83" s="76" t="str">
        <f t="shared" si="10"/>
        <v/>
      </c>
      <c r="T83" s="76" t="str">
        <f t="shared" si="11"/>
        <v>-- ICD10コード</v>
      </c>
      <c r="U83" s="4"/>
      <c r="AA83" s="4"/>
      <c r="AB83" s="4"/>
      <c r="AC83" s="4"/>
      <c r="AD83" s="4"/>
      <c r="AE83" s="4"/>
      <c r="AF83" s="4"/>
      <c r="AG83" s="4"/>
      <c r="AH83" s="4"/>
      <c r="AI83" s="4"/>
      <c r="AJ83" s="76" t="str">
        <f>IF(E83="○",IF(COUNTA(E$13:E83)=1,"",",")&amp;D83,"")</f>
        <v/>
      </c>
      <c r="AK83" s="4"/>
      <c r="AL83" s="4"/>
      <c r="AM83" s="4"/>
      <c r="AN83" s="4"/>
      <c r="AO83" s="4"/>
      <c r="AP83" s="4"/>
      <c r="AQ83" s="4"/>
      <c r="AR83" s="4"/>
      <c r="AS83" s="76" t="str">
        <f>"COMMENT ON COLUMN "&amp;エンティティ一覧!$O$2&amp;"."&amp;D$8&amp;"."&amp;D83&amp;" IS '"&amp;C83&amp;"';"</f>
        <v>COMMENT ON COLUMN milscm_2023_010.azn_202310_base_merge_dpc_ff1.a006020_icd10_code IS 'ICD10コード';</v>
      </c>
      <c r="AT83" s="4"/>
      <c r="AU83" s="4"/>
      <c r="AV83" s="4"/>
      <c r="AW83" s="4"/>
      <c r="AX83" s="4"/>
      <c r="AY83" s="4"/>
      <c r="AZ83" s="4"/>
    </row>
    <row r="84" spans="1:52" s="25" customFormat="1">
      <c r="A84" s="4"/>
      <c r="B84" s="21">
        <f t="shared" si="2"/>
        <v>72</v>
      </c>
      <c r="C84" s="6" t="s">
        <v>663</v>
      </c>
      <c r="D84" s="6" t="s">
        <v>676</v>
      </c>
      <c r="E84" s="8"/>
      <c r="F84" s="7" t="s">
        <v>316</v>
      </c>
      <c r="G84" s="7" t="str">
        <f t="shared" si="3"/>
        <v>text</v>
      </c>
      <c r="H84" s="26"/>
      <c r="I84" s="10"/>
      <c r="J84" s="11"/>
      <c r="L84" s="4"/>
      <c r="M84" s="4"/>
      <c r="N84" s="76"/>
      <c r="O84" s="76"/>
      <c r="P84" s="76" t="str">
        <f t="shared" si="7"/>
        <v>,a006020_shobyo_code</v>
      </c>
      <c r="Q84" s="76" t="str">
        <f t="shared" si="8"/>
        <v>TEXT</v>
      </c>
      <c r="R84" s="76" t="str">
        <f t="shared" si="9"/>
        <v/>
      </c>
      <c r="S84" s="76" t="str">
        <f t="shared" si="10"/>
        <v/>
      </c>
      <c r="T84" s="76" t="str">
        <f t="shared" si="11"/>
        <v>-- 傷病名コード</v>
      </c>
      <c r="U84" s="4"/>
      <c r="AA84" s="4"/>
      <c r="AB84" s="4"/>
      <c r="AC84" s="4"/>
      <c r="AD84" s="4"/>
      <c r="AE84" s="4"/>
      <c r="AF84" s="4"/>
      <c r="AG84" s="4"/>
      <c r="AH84" s="4"/>
      <c r="AI84" s="4"/>
      <c r="AJ84" s="76" t="str">
        <f>IF(E84="○",IF(COUNTA(E$13:E84)=1,"",",")&amp;D84,"")</f>
        <v/>
      </c>
      <c r="AK84" s="4"/>
      <c r="AL84" s="4"/>
      <c r="AM84" s="4"/>
      <c r="AN84" s="4"/>
      <c r="AO84" s="4"/>
      <c r="AP84" s="4"/>
      <c r="AQ84" s="4"/>
      <c r="AR84" s="4"/>
      <c r="AS84" s="76" t="str">
        <f>"COMMENT ON COLUMN "&amp;エンティティ一覧!$O$2&amp;"."&amp;D$8&amp;"."&amp;D84&amp;" IS '"&amp;C84&amp;"';"</f>
        <v>COMMENT ON COLUMN milscm_2023_010.azn_202310_base_merge_dpc_ff1.a006020_shobyo_code IS '傷病名コード';</v>
      </c>
      <c r="AT84" s="4"/>
      <c r="AU84" s="4"/>
      <c r="AV84" s="4"/>
      <c r="AW84" s="4"/>
      <c r="AX84" s="4"/>
      <c r="AY84" s="4"/>
      <c r="AZ84" s="4"/>
    </row>
    <row r="85" spans="1:52" s="25" customFormat="1">
      <c r="A85" s="4"/>
      <c r="B85" s="21">
        <f t="shared" si="2"/>
        <v>73</v>
      </c>
      <c r="C85" s="13" t="s">
        <v>665</v>
      </c>
      <c r="D85" s="13" t="s">
        <v>677</v>
      </c>
      <c r="E85" s="7"/>
      <c r="F85" s="7" t="s">
        <v>316</v>
      </c>
      <c r="G85" s="7" t="str">
        <f t="shared" si="3"/>
        <v>text</v>
      </c>
      <c r="H85" s="58"/>
      <c r="I85" s="23"/>
      <c r="J85" s="24"/>
      <c r="L85" s="4"/>
      <c r="M85" s="4"/>
      <c r="N85" s="76"/>
      <c r="O85" s="76"/>
      <c r="P85" s="76" t="str">
        <f t="shared" si="7"/>
        <v>,a006020_shushoku_code1</v>
      </c>
      <c r="Q85" s="76" t="str">
        <f t="shared" si="8"/>
        <v>TEXT</v>
      </c>
      <c r="R85" s="76" t="str">
        <f t="shared" si="9"/>
        <v/>
      </c>
      <c r="S85" s="76" t="str">
        <f t="shared" si="10"/>
        <v/>
      </c>
      <c r="T85" s="76" t="str">
        <f t="shared" si="11"/>
        <v>-- 修飾語コード1</v>
      </c>
      <c r="U85" s="4"/>
      <c r="AA85" s="4"/>
      <c r="AB85" s="4"/>
      <c r="AC85" s="4"/>
      <c r="AD85" s="4"/>
      <c r="AE85" s="4"/>
      <c r="AF85" s="4"/>
      <c r="AG85" s="4"/>
      <c r="AH85" s="4"/>
      <c r="AI85" s="4"/>
      <c r="AJ85" s="76" t="str">
        <f>IF(E85="○",IF(COUNTA(E$13:E85)=1,"",",")&amp;D85,"")</f>
        <v/>
      </c>
      <c r="AK85" s="4"/>
      <c r="AL85" s="4"/>
      <c r="AM85" s="4"/>
      <c r="AN85" s="4"/>
      <c r="AO85" s="4"/>
      <c r="AP85" s="4"/>
      <c r="AQ85" s="4"/>
      <c r="AR85" s="4"/>
      <c r="AS85" s="76" t="str">
        <f>"COMMENT ON COLUMN "&amp;エンティティ一覧!$O$2&amp;"."&amp;D$8&amp;"."&amp;D85&amp;" IS '"&amp;C85&amp;"';"</f>
        <v>COMMENT ON COLUMN milscm_2023_010.azn_202310_base_merge_dpc_ff1.a006020_shushoku_code1 IS '修飾語コード1';</v>
      </c>
      <c r="AT85" s="4"/>
      <c r="AU85" s="4"/>
      <c r="AV85" s="4"/>
      <c r="AW85" s="4"/>
      <c r="AX85" s="4"/>
      <c r="AY85" s="4"/>
      <c r="AZ85" s="4"/>
    </row>
    <row r="86" spans="1:52" s="25" customFormat="1">
      <c r="A86" s="4"/>
      <c r="B86" s="21">
        <f t="shared" si="2"/>
        <v>74</v>
      </c>
      <c r="C86" s="6" t="s">
        <v>667</v>
      </c>
      <c r="D86" s="6" t="s">
        <v>678</v>
      </c>
      <c r="E86" s="8"/>
      <c r="F86" s="7" t="s">
        <v>316</v>
      </c>
      <c r="G86" s="7" t="str">
        <f t="shared" si="3"/>
        <v>text</v>
      </c>
      <c r="H86" s="26"/>
      <c r="I86" s="10"/>
      <c r="J86" s="11"/>
      <c r="L86" s="4"/>
      <c r="M86" s="4"/>
      <c r="N86" s="76"/>
      <c r="O86" s="76"/>
      <c r="P86" s="76" t="str">
        <f t="shared" si="7"/>
        <v>,a006020_shushoku_code2</v>
      </c>
      <c r="Q86" s="76" t="str">
        <f t="shared" si="8"/>
        <v>TEXT</v>
      </c>
      <c r="R86" s="76" t="str">
        <f t="shared" si="9"/>
        <v/>
      </c>
      <c r="S86" s="76" t="str">
        <f t="shared" si="10"/>
        <v/>
      </c>
      <c r="T86" s="76" t="str">
        <f t="shared" si="11"/>
        <v>-- 修飾語コード2</v>
      </c>
      <c r="U86" s="4"/>
      <c r="AA86" s="4"/>
      <c r="AB86" s="4"/>
      <c r="AC86" s="4"/>
      <c r="AD86" s="4"/>
      <c r="AE86" s="4"/>
      <c r="AF86" s="4"/>
      <c r="AG86" s="4"/>
      <c r="AH86" s="4"/>
      <c r="AI86" s="4"/>
      <c r="AJ86" s="76" t="str">
        <f>IF(E86="○",IF(COUNTA(E$13:E86)=1,"",",")&amp;D86,"")</f>
        <v/>
      </c>
      <c r="AK86" s="4"/>
      <c r="AL86" s="4"/>
      <c r="AM86" s="4"/>
      <c r="AN86" s="4"/>
      <c r="AO86" s="4"/>
      <c r="AP86" s="4"/>
      <c r="AQ86" s="4"/>
      <c r="AR86" s="4"/>
      <c r="AS86" s="76" t="str">
        <f>"COMMENT ON COLUMN "&amp;エンティティ一覧!$O$2&amp;"."&amp;D$8&amp;"."&amp;D86&amp;" IS '"&amp;C86&amp;"';"</f>
        <v>COMMENT ON COLUMN milscm_2023_010.azn_202310_base_merge_dpc_ff1.a006020_shushoku_code2 IS '修飾語コード2';</v>
      </c>
      <c r="AT86" s="4"/>
      <c r="AU86" s="4"/>
      <c r="AV86" s="4"/>
      <c r="AW86" s="4"/>
      <c r="AX86" s="4"/>
      <c r="AY86" s="4"/>
      <c r="AZ86" s="4"/>
    </row>
    <row r="87" spans="1:52" s="25" customFormat="1">
      <c r="A87" s="4"/>
      <c r="B87" s="21">
        <f t="shared" si="2"/>
        <v>75</v>
      </c>
      <c r="C87" s="13" t="s">
        <v>669</v>
      </c>
      <c r="D87" s="13" t="s">
        <v>679</v>
      </c>
      <c r="E87" s="7"/>
      <c r="F87" s="7" t="s">
        <v>316</v>
      </c>
      <c r="G87" s="7" t="str">
        <f t="shared" si="3"/>
        <v>text</v>
      </c>
      <c r="H87" s="58"/>
      <c r="I87" s="23"/>
      <c r="J87" s="24"/>
      <c r="L87" s="4"/>
      <c r="M87" s="4"/>
      <c r="N87" s="76"/>
      <c r="O87" s="76"/>
      <c r="P87" s="76" t="str">
        <f t="shared" si="7"/>
        <v>,a006020_shushoku_code3</v>
      </c>
      <c r="Q87" s="76" t="str">
        <f t="shared" si="8"/>
        <v>TEXT</v>
      </c>
      <c r="R87" s="76" t="str">
        <f t="shared" si="9"/>
        <v/>
      </c>
      <c r="S87" s="76" t="str">
        <f t="shared" si="10"/>
        <v/>
      </c>
      <c r="T87" s="76" t="str">
        <f t="shared" si="11"/>
        <v>-- 修飾語コード3</v>
      </c>
      <c r="U87" s="4"/>
      <c r="AA87" s="4"/>
      <c r="AB87" s="4"/>
      <c r="AC87" s="4"/>
      <c r="AD87" s="4"/>
      <c r="AE87" s="4"/>
      <c r="AF87" s="4"/>
      <c r="AG87" s="4"/>
      <c r="AH87" s="4"/>
      <c r="AI87" s="4"/>
      <c r="AJ87" s="76" t="str">
        <f>IF(E87="○",IF(COUNTA(E$13:E87)=1,"",",")&amp;D87,"")</f>
        <v/>
      </c>
      <c r="AK87" s="4"/>
      <c r="AL87" s="4"/>
      <c r="AM87" s="4"/>
      <c r="AN87" s="4"/>
      <c r="AO87" s="4"/>
      <c r="AP87" s="4"/>
      <c r="AQ87" s="4"/>
      <c r="AR87" s="4"/>
      <c r="AS87" s="76" t="str">
        <f>"COMMENT ON COLUMN "&amp;エンティティ一覧!$O$2&amp;"."&amp;D$8&amp;"."&amp;D87&amp;" IS '"&amp;C87&amp;"';"</f>
        <v>COMMENT ON COLUMN milscm_2023_010.azn_202310_base_merge_dpc_ff1.a006020_shushoku_code3 IS '修飾語コード3';</v>
      </c>
      <c r="AT87" s="4"/>
      <c r="AU87" s="4"/>
      <c r="AV87" s="4"/>
      <c r="AW87" s="4"/>
      <c r="AX87" s="4"/>
      <c r="AY87" s="4"/>
      <c r="AZ87" s="4"/>
    </row>
    <row r="88" spans="1:52" s="25" customFormat="1">
      <c r="A88" s="4"/>
      <c r="B88" s="21">
        <f t="shared" si="2"/>
        <v>76</v>
      </c>
      <c r="C88" s="6" t="s">
        <v>671</v>
      </c>
      <c r="D88" s="6" t="s">
        <v>680</v>
      </c>
      <c r="E88" s="8"/>
      <c r="F88" s="7" t="s">
        <v>316</v>
      </c>
      <c r="G88" s="7" t="str">
        <f t="shared" si="3"/>
        <v>text</v>
      </c>
      <c r="H88" s="26"/>
      <c r="I88" s="10"/>
      <c r="J88" s="11"/>
      <c r="L88" s="4"/>
      <c r="M88" s="4"/>
      <c r="N88" s="76"/>
      <c r="O88" s="76"/>
      <c r="P88" s="76" t="str">
        <f t="shared" si="7"/>
        <v>,a006020_shushoku_code4</v>
      </c>
      <c r="Q88" s="76" t="str">
        <f t="shared" si="8"/>
        <v>TEXT</v>
      </c>
      <c r="R88" s="76" t="str">
        <f t="shared" si="9"/>
        <v/>
      </c>
      <c r="S88" s="76" t="str">
        <f t="shared" si="10"/>
        <v/>
      </c>
      <c r="T88" s="76" t="str">
        <f t="shared" si="11"/>
        <v>-- 修飾語コード4</v>
      </c>
      <c r="U88" s="4"/>
      <c r="AA88" s="4"/>
      <c r="AB88" s="4"/>
      <c r="AC88" s="4"/>
      <c r="AD88" s="4"/>
      <c r="AE88" s="4"/>
      <c r="AF88" s="4"/>
      <c r="AG88" s="4"/>
      <c r="AH88" s="4"/>
      <c r="AI88" s="4"/>
      <c r="AJ88" s="76" t="str">
        <f>IF(E88="○",IF(COUNTA(E$13:E88)=1,"",",")&amp;D88,"")</f>
        <v/>
      </c>
      <c r="AK88" s="4"/>
      <c r="AL88" s="4"/>
      <c r="AM88" s="4"/>
      <c r="AN88" s="4"/>
      <c r="AO88" s="4"/>
      <c r="AP88" s="4"/>
      <c r="AQ88" s="4"/>
      <c r="AR88" s="4"/>
      <c r="AS88" s="76" t="str">
        <f>"COMMENT ON COLUMN "&amp;エンティティ一覧!$O$2&amp;"."&amp;D$8&amp;"."&amp;D88&amp;" IS '"&amp;C88&amp;"';"</f>
        <v>COMMENT ON COLUMN milscm_2023_010.azn_202310_base_merge_dpc_ff1.a006020_shushoku_code4 IS '修飾語コード4';</v>
      </c>
      <c r="AT88" s="4"/>
      <c r="AU88" s="4"/>
      <c r="AV88" s="4"/>
      <c r="AW88" s="4"/>
      <c r="AX88" s="4"/>
      <c r="AY88" s="4"/>
      <c r="AZ88" s="4"/>
    </row>
    <row r="89" spans="1:52" s="25" customFormat="1" ht="31.5">
      <c r="A89" s="4"/>
      <c r="B89" s="21">
        <f t="shared" si="2"/>
        <v>77</v>
      </c>
      <c r="C89" s="6" t="s">
        <v>681</v>
      </c>
      <c r="D89" s="6" t="s">
        <v>682</v>
      </c>
      <c r="E89" s="8"/>
      <c r="F89" s="7" t="s">
        <v>316</v>
      </c>
      <c r="G89" s="7" t="str">
        <f t="shared" si="3"/>
        <v>text</v>
      </c>
      <c r="H89" s="58"/>
      <c r="I89" s="23"/>
      <c r="J89" s="24" t="s">
        <v>681</v>
      </c>
      <c r="L89" s="4"/>
      <c r="M89" s="4"/>
      <c r="N89" s="76"/>
      <c r="O89" s="76"/>
      <c r="P89" s="76" t="str">
        <f t="shared" si="7"/>
        <v>,a006020_nyuin_shobyo_name</v>
      </c>
      <c r="Q89" s="76" t="str">
        <f t="shared" si="8"/>
        <v>TEXT</v>
      </c>
      <c r="R89" s="76" t="str">
        <f t="shared" si="9"/>
        <v/>
      </c>
      <c r="S89" s="76" t="str">
        <f t="shared" si="10"/>
        <v/>
      </c>
      <c r="T89" s="76" t="str">
        <f t="shared" si="11"/>
        <v>-- 入院の契機となった傷病名</v>
      </c>
      <c r="U89" s="4"/>
      <c r="AA89" s="4"/>
      <c r="AB89" s="4"/>
      <c r="AC89" s="4"/>
      <c r="AD89" s="4"/>
      <c r="AE89" s="4"/>
      <c r="AF89" s="4"/>
      <c r="AG89" s="4"/>
      <c r="AH89" s="4"/>
      <c r="AI89" s="4"/>
      <c r="AJ89" s="76" t="str">
        <f>IF(E89="○",IF(COUNTA(E$13:E89)=1,"",",")&amp;D89,"")</f>
        <v/>
      </c>
      <c r="AK89" s="4"/>
      <c r="AL89" s="4"/>
      <c r="AM89" s="4"/>
      <c r="AN89" s="4"/>
      <c r="AO89" s="4"/>
      <c r="AP89" s="4"/>
      <c r="AQ89" s="4"/>
      <c r="AR89" s="4"/>
      <c r="AS89" s="76" t="str">
        <f>"COMMENT ON COLUMN "&amp;エンティティ一覧!$O$2&amp;"."&amp;D$8&amp;"."&amp;D89&amp;" IS '"&amp;C89&amp;"';"</f>
        <v>COMMENT ON COLUMN milscm_2023_010.azn_202310_base_merge_dpc_ff1.a006020_nyuin_shobyo_name IS '入院の契機となった傷病名';</v>
      </c>
      <c r="AT89" s="4"/>
      <c r="AU89" s="4"/>
      <c r="AV89" s="4"/>
      <c r="AW89" s="4"/>
      <c r="AX89" s="4"/>
      <c r="AY89" s="4"/>
      <c r="AZ89" s="4"/>
    </row>
    <row r="90" spans="1:52" s="25" customFormat="1" ht="37.5">
      <c r="A90" s="4"/>
      <c r="B90" s="21">
        <f t="shared" si="2"/>
        <v>78</v>
      </c>
      <c r="C90" s="13" t="s">
        <v>661</v>
      </c>
      <c r="D90" s="13" t="s">
        <v>683</v>
      </c>
      <c r="E90" s="7"/>
      <c r="F90" s="7" t="s">
        <v>316</v>
      </c>
      <c r="G90" s="7" t="str">
        <f t="shared" si="3"/>
        <v>text</v>
      </c>
      <c r="H90" s="26"/>
      <c r="I90" s="10"/>
      <c r="J90" s="11" t="s">
        <v>833</v>
      </c>
      <c r="L90" s="4"/>
      <c r="M90" s="4"/>
      <c r="N90" s="76"/>
      <c r="O90" s="76"/>
      <c r="P90" s="76" t="str">
        <f t="shared" si="7"/>
        <v>,a006030_icd10_code</v>
      </c>
      <c r="Q90" s="76" t="str">
        <f t="shared" si="8"/>
        <v>TEXT</v>
      </c>
      <c r="R90" s="76" t="str">
        <f t="shared" si="9"/>
        <v/>
      </c>
      <c r="S90" s="76" t="str">
        <f t="shared" si="10"/>
        <v/>
      </c>
      <c r="T90" s="76" t="str">
        <f t="shared" si="11"/>
        <v>-- ICD10コード</v>
      </c>
      <c r="U90" s="4"/>
      <c r="AA90" s="4"/>
      <c r="AB90" s="4"/>
      <c r="AC90" s="4"/>
      <c r="AD90" s="4"/>
      <c r="AE90" s="4"/>
      <c r="AF90" s="4"/>
      <c r="AG90" s="4"/>
      <c r="AH90" s="4"/>
      <c r="AI90" s="4"/>
      <c r="AJ90" s="76" t="str">
        <f>IF(E90="○",IF(COUNTA(E$13:E90)=1,"",",")&amp;D90,"")</f>
        <v/>
      </c>
      <c r="AK90" s="4"/>
      <c r="AL90" s="4"/>
      <c r="AM90" s="4"/>
      <c r="AN90" s="4"/>
      <c r="AO90" s="4"/>
      <c r="AP90" s="4"/>
      <c r="AQ90" s="4"/>
      <c r="AR90" s="4"/>
      <c r="AS90" s="76" t="str">
        <f>"COMMENT ON COLUMN "&amp;エンティティ一覧!$O$2&amp;"."&amp;D$8&amp;"."&amp;D90&amp;" IS '"&amp;C90&amp;"';"</f>
        <v>COMMENT ON COLUMN milscm_2023_010.azn_202310_base_merge_dpc_ff1.a006030_icd10_code IS 'ICD10コード';</v>
      </c>
      <c r="AT90" s="4"/>
      <c r="AU90" s="4"/>
      <c r="AV90" s="4"/>
      <c r="AW90" s="4"/>
      <c r="AX90" s="4"/>
      <c r="AY90" s="4"/>
      <c r="AZ90" s="4"/>
    </row>
    <row r="91" spans="1:52" s="25" customFormat="1" ht="31.5">
      <c r="A91" s="4"/>
      <c r="B91" s="21">
        <f t="shared" si="2"/>
        <v>79</v>
      </c>
      <c r="C91" s="6" t="s">
        <v>684</v>
      </c>
      <c r="D91" s="6" t="s">
        <v>685</v>
      </c>
      <c r="E91" s="8"/>
      <c r="F91" s="7" t="s">
        <v>316</v>
      </c>
      <c r="G91" s="7" t="str">
        <f t="shared" si="3"/>
        <v>text</v>
      </c>
      <c r="H91" s="58"/>
      <c r="I91" s="23"/>
      <c r="J91" s="24"/>
      <c r="L91" s="4"/>
      <c r="M91" s="4"/>
      <c r="N91" s="76"/>
      <c r="O91" s="76"/>
      <c r="P91" s="76" t="str">
        <f t="shared" si="7"/>
        <v>,a006030_byomei_fuka_code</v>
      </c>
      <c r="Q91" s="76" t="str">
        <f t="shared" si="8"/>
        <v>TEXT</v>
      </c>
      <c r="R91" s="76" t="str">
        <f t="shared" si="9"/>
        <v/>
      </c>
      <c r="S91" s="76" t="str">
        <f t="shared" si="10"/>
        <v/>
      </c>
      <c r="T91" s="76" t="str">
        <f t="shared" si="11"/>
        <v>-- 病名付加コード</v>
      </c>
      <c r="U91" s="4"/>
      <c r="AA91" s="4"/>
      <c r="AB91" s="4"/>
      <c r="AC91" s="4"/>
      <c r="AD91" s="4"/>
      <c r="AE91" s="4"/>
      <c r="AF91" s="4"/>
      <c r="AG91" s="4"/>
      <c r="AH91" s="4"/>
      <c r="AI91" s="4"/>
      <c r="AJ91" s="76" t="str">
        <f>IF(E91="○",IF(COUNTA(E$13:E91)=1,"",",")&amp;D91,"")</f>
        <v/>
      </c>
      <c r="AK91" s="4"/>
      <c r="AL91" s="4"/>
      <c r="AM91" s="4"/>
      <c r="AN91" s="4"/>
      <c r="AO91" s="4"/>
      <c r="AP91" s="4"/>
      <c r="AQ91" s="4"/>
      <c r="AR91" s="4"/>
      <c r="AS91" s="76" t="str">
        <f>"COMMENT ON COLUMN "&amp;エンティティ一覧!$O$2&amp;"."&amp;D$8&amp;"."&amp;D91&amp;" IS '"&amp;C91&amp;"';"</f>
        <v>COMMENT ON COLUMN milscm_2023_010.azn_202310_base_merge_dpc_ff1.a006030_byomei_fuka_code IS '病名付加コード';</v>
      </c>
      <c r="AT91" s="4"/>
      <c r="AU91" s="4"/>
      <c r="AV91" s="4"/>
      <c r="AW91" s="4"/>
      <c r="AX91" s="4"/>
      <c r="AY91" s="4"/>
      <c r="AZ91" s="4"/>
    </row>
    <row r="92" spans="1:52" s="25" customFormat="1">
      <c r="A92" s="4"/>
      <c r="B92" s="21">
        <f t="shared" si="2"/>
        <v>80</v>
      </c>
      <c r="C92" s="13" t="s">
        <v>663</v>
      </c>
      <c r="D92" s="13" t="s">
        <v>686</v>
      </c>
      <c r="E92" s="7"/>
      <c r="F92" s="7" t="s">
        <v>316</v>
      </c>
      <c r="G92" s="7" t="str">
        <f t="shared" si="3"/>
        <v>text</v>
      </c>
      <c r="H92" s="26"/>
      <c r="I92" s="10"/>
      <c r="J92" s="11"/>
      <c r="L92" s="4"/>
      <c r="M92" s="4"/>
      <c r="N92" s="76"/>
      <c r="O92" s="76"/>
      <c r="P92" s="76" t="str">
        <f t="shared" si="7"/>
        <v>,a006030_shobyo_code</v>
      </c>
      <c r="Q92" s="76" t="str">
        <f t="shared" si="8"/>
        <v>TEXT</v>
      </c>
      <c r="R92" s="76" t="str">
        <f t="shared" si="9"/>
        <v/>
      </c>
      <c r="S92" s="76" t="str">
        <f t="shared" si="10"/>
        <v/>
      </c>
      <c r="T92" s="76" t="str">
        <f t="shared" si="11"/>
        <v>-- 傷病名コード</v>
      </c>
      <c r="U92" s="4"/>
      <c r="AA92" s="4"/>
      <c r="AB92" s="4"/>
      <c r="AC92" s="4"/>
      <c r="AD92" s="4"/>
      <c r="AE92" s="4"/>
      <c r="AF92" s="4"/>
      <c r="AG92" s="4"/>
      <c r="AH92" s="4"/>
      <c r="AI92" s="4"/>
      <c r="AJ92" s="76" t="str">
        <f>IF(E92="○",IF(COUNTA(E$13:E92)=1,"",",")&amp;D92,"")</f>
        <v/>
      </c>
      <c r="AK92" s="4"/>
      <c r="AL92" s="4"/>
      <c r="AM92" s="4"/>
      <c r="AN92" s="4"/>
      <c r="AO92" s="4"/>
      <c r="AP92" s="4"/>
      <c r="AQ92" s="4"/>
      <c r="AR92" s="4"/>
      <c r="AS92" s="76" t="str">
        <f>"COMMENT ON COLUMN "&amp;エンティティ一覧!$O$2&amp;"."&amp;D$8&amp;"."&amp;D92&amp;" IS '"&amp;C92&amp;"';"</f>
        <v>COMMENT ON COLUMN milscm_2023_010.azn_202310_base_merge_dpc_ff1.a006030_shobyo_code IS '傷病名コード';</v>
      </c>
      <c r="AT92" s="4"/>
      <c r="AU92" s="4"/>
      <c r="AV92" s="4"/>
      <c r="AW92" s="4"/>
      <c r="AX92" s="4"/>
      <c r="AY92" s="4"/>
      <c r="AZ92" s="4"/>
    </row>
    <row r="93" spans="1:52" s="25" customFormat="1">
      <c r="A93" s="4"/>
      <c r="B93" s="21">
        <f t="shared" si="2"/>
        <v>81</v>
      </c>
      <c r="C93" s="6" t="s">
        <v>665</v>
      </c>
      <c r="D93" s="6" t="s">
        <v>687</v>
      </c>
      <c r="E93" s="8"/>
      <c r="F93" s="7" t="s">
        <v>316</v>
      </c>
      <c r="G93" s="7" t="str">
        <f t="shared" si="3"/>
        <v>text</v>
      </c>
      <c r="H93" s="58"/>
      <c r="I93" s="23"/>
      <c r="J93" s="24"/>
      <c r="L93" s="4"/>
      <c r="M93" s="4"/>
      <c r="N93" s="76"/>
      <c r="O93" s="76"/>
      <c r="P93" s="76" t="str">
        <f t="shared" si="7"/>
        <v>,a006030_shushoku_code1</v>
      </c>
      <c r="Q93" s="76" t="str">
        <f t="shared" si="8"/>
        <v>TEXT</v>
      </c>
      <c r="R93" s="76" t="str">
        <f t="shared" si="9"/>
        <v/>
      </c>
      <c r="S93" s="76" t="str">
        <f t="shared" si="10"/>
        <v/>
      </c>
      <c r="T93" s="76" t="str">
        <f t="shared" si="11"/>
        <v>-- 修飾語コード1</v>
      </c>
      <c r="U93" s="4"/>
      <c r="AA93" s="4"/>
      <c r="AB93" s="4"/>
      <c r="AC93" s="4"/>
      <c r="AD93" s="4"/>
      <c r="AE93" s="4"/>
      <c r="AF93" s="4"/>
      <c r="AG93" s="4"/>
      <c r="AH93" s="4"/>
      <c r="AI93" s="4"/>
      <c r="AJ93" s="76" t="str">
        <f>IF(E93="○",IF(COUNTA(E$13:E93)=1,"",",")&amp;D93,"")</f>
        <v/>
      </c>
      <c r="AK93" s="4"/>
      <c r="AL93" s="4"/>
      <c r="AM93" s="4"/>
      <c r="AN93" s="4"/>
      <c r="AO93" s="4"/>
      <c r="AP93" s="4"/>
      <c r="AQ93" s="4"/>
      <c r="AR93" s="4"/>
      <c r="AS93" s="76" t="str">
        <f>"COMMENT ON COLUMN "&amp;エンティティ一覧!$O$2&amp;"."&amp;D$8&amp;"."&amp;D93&amp;" IS '"&amp;C93&amp;"';"</f>
        <v>COMMENT ON COLUMN milscm_2023_010.azn_202310_base_merge_dpc_ff1.a006030_shushoku_code1 IS '修飾語コード1';</v>
      </c>
      <c r="AT93" s="4"/>
      <c r="AU93" s="4"/>
      <c r="AV93" s="4"/>
      <c r="AW93" s="4"/>
      <c r="AX93" s="4"/>
      <c r="AY93" s="4"/>
      <c r="AZ93" s="4"/>
    </row>
    <row r="94" spans="1:52" s="25" customFormat="1">
      <c r="A94" s="4"/>
      <c r="B94" s="21">
        <f t="shared" si="2"/>
        <v>82</v>
      </c>
      <c r="C94" s="13" t="s">
        <v>667</v>
      </c>
      <c r="D94" s="13" t="s">
        <v>688</v>
      </c>
      <c r="E94" s="7"/>
      <c r="F94" s="7" t="s">
        <v>316</v>
      </c>
      <c r="G94" s="7" t="str">
        <f t="shared" si="3"/>
        <v>text</v>
      </c>
      <c r="H94" s="58"/>
      <c r="I94" s="23"/>
      <c r="J94" s="24"/>
      <c r="L94" s="4"/>
      <c r="M94" s="4"/>
      <c r="N94" s="76"/>
      <c r="O94" s="76"/>
      <c r="P94" s="76" t="str">
        <f t="shared" si="7"/>
        <v>,a006030_shushoku_code2</v>
      </c>
      <c r="Q94" s="76" t="str">
        <f t="shared" si="8"/>
        <v>TEXT</v>
      </c>
      <c r="R94" s="76" t="str">
        <f t="shared" si="9"/>
        <v/>
      </c>
      <c r="S94" s="76" t="str">
        <f t="shared" si="10"/>
        <v/>
      </c>
      <c r="T94" s="76" t="str">
        <f t="shared" si="11"/>
        <v>-- 修飾語コード2</v>
      </c>
      <c r="U94" s="4"/>
      <c r="AA94" s="4"/>
      <c r="AB94" s="4"/>
      <c r="AC94" s="4"/>
      <c r="AD94" s="4"/>
      <c r="AE94" s="4"/>
      <c r="AF94" s="4"/>
      <c r="AG94" s="4"/>
      <c r="AH94" s="4"/>
      <c r="AI94" s="4"/>
      <c r="AJ94" s="76" t="str">
        <f>IF(E94="○",IF(COUNTA(E$13:E94)=1,"",",")&amp;D94,"")</f>
        <v/>
      </c>
      <c r="AK94" s="4"/>
      <c r="AL94" s="4"/>
      <c r="AM94" s="4"/>
      <c r="AN94" s="4"/>
      <c r="AO94" s="4"/>
      <c r="AP94" s="4"/>
      <c r="AQ94" s="4"/>
      <c r="AR94" s="4"/>
      <c r="AS94" s="76" t="str">
        <f>"COMMENT ON COLUMN "&amp;エンティティ一覧!$O$2&amp;"."&amp;D$8&amp;"."&amp;D94&amp;" IS '"&amp;C94&amp;"';"</f>
        <v>COMMENT ON COLUMN milscm_2023_010.azn_202310_base_merge_dpc_ff1.a006030_shushoku_code2 IS '修飾語コード2';</v>
      </c>
      <c r="AT94" s="4"/>
      <c r="AU94" s="4"/>
      <c r="AV94" s="4"/>
      <c r="AW94" s="4"/>
      <c r="AX94" s="4"/>
      <c r="AY94" s="4"/>
      <c r="AZ94" s="4"/>
    </row>
    <row r="95" spans="1:52" s="25" customFormat="1">
      <c r="A95" s="4"/>
      <c r="B95" s="21">
        <f t="shared" si="2"/>
        <v>83</v>
      </c>
      <c r="C95" s="6" t="s">
        <v>669</v>
      </c>
      <c r="D95" s="6" t="s">
        <v>689</v>
      </c>
      <c r="E95" s="8"/>
      <c r="F95" s="7" t="s">
        <v>316</v>
      </c>
      <c r="G95" s="7" t="str">
        <f t="shared" si="3"/>
        <v>text</v>
      </c>
      <c r="H95" s="26"/>
      <c r="I95" s="10"/>
      <c r="J95" s="11"/>
      <c r="L95" s="4"/>
      <c r="M95" s="4"/>
      <c r="N95" s="76"/>
      <c r="O95" s="76"/>
      <c r="P95" s="76" t="str">
        <f t="shared" ref="P95:P155" si="12">IF(B95&lt;&gt;1,","&amp;D95,D95)</f>
        <v>,a006030_shushoku_code3</v>
      </c>
      <c r="Q95" s="76" t="str">
        <f t="shared" ref="Q95:Q155" si="13">UPPER(G95)</f>
        <v>TEXT</v>
      </c>
      <c r="R95" s="76" t="str">
        <f t="shared" ref="R95:R155" si="14">IF(H95&lt;&gt;"","default "&amp;IF(G95="text","'"&amp;H95&amp;"'",H95),"")</f>
        <v/>
      </c>
      <c r="S95" s="76" t="str">
        <f t="shared" ref="S95:S155" si="15">IF(I95="○","NOT NULL","")</f>
        <v/>
      </c>
      <c r="T95" s="76" t="str">
        <f t="shared" ref="T95:T155" si="16">"-- "&amp;C95</f>
        <v>-- 修飾語コード3</v>
      </c>
      <c r="U95" s="4"/>
      <c r="AA95" s="4"/>
      <c r="AB95" s="4"/>
      <c r="AC95" s="4"/>
      <c r="AD95" s="4"/>
      <c r="AE95" s="4"/>
      <c r="AF95" s="4"/>
      <c r="AG95" s="4"/>
      <c r="AH95" s="4"/>
      <c r="AI95" s="4"/>
      <c r="AJ95" s="76" t="str">
        <f>IF(E95="○",IF(COUNTA(E$13:E95)=1,"",",")&amp;D95,"")</f>
        <v/>
      </c>
      <c r="AK95" s="4"/>
      <c r="AL95" s="4"/>
      <c r="AM95" s="4"/>
      <c r="AN95" s="4"/>
      <c r="AO95" s="4"/>
      <c r="AP95" s="4"/>
      <c r="AQ95" s="4"/>
      <c r="AR95" s="4"/>
      <c r="AS95" s="76" t="str">
        <f>"COMMENT ON COLUMN "&amp;エンティティ一覧!$O$2&amp;"."&amp;D$8&amp;"."&amp;D95&amp;" IS '"&amp;C95&amp;"';"</f>
        <v>COMMENT ON COLUMN milscm_2023_010.azn_202310_base_merge_dpc_ff1.a006030_shushoku_code3 IS '修飾語コード3';</v>
      </c>
      <c r="AT95" s="4"/>
      <c r="AU95" s="4"/>
      <c r="AV95" s="4"/>
      <c r="AW95" s="4"/>
      <c r="AX95" s="4"/>
      <c r="AY95" s="4"/>
      <c r="AZ95" s="4"/>
    </row>
    <row r="96" spans="1:52" s="25" customFormat="1">
      <c r="A96" s="4"/>
      <c r="B96" s="21">
        <f t="shared" si="2"/>
        <v>84</v>
      </c>
      <c r="C96" s="13" t="s">
        <v>671</v>
      </c>
      <c r="D96" s="13" t="s">
        <v>690</v>
      </c>
      <c r="E96" s="7"/>
      <c r="F96" s="7" t="s">
        <v>316</v>
      </c>
      <c r="G96" s="7" t="str">
        <f t="shared" si="3"/>
        <v>text</v>
      </c>
      <c r="H96" s="26"/>
      <c r="I96" s="10"/>
      <c r="J96" s="11"/>
      <c r="L96" s="4"/>
      <c r="M96" s="4"/>
      <c r="N96" s="76"/>
      <c r="O96" s="76"/>
      <c r="P96" s="76" t="str">
        <f t="shared" si="12"/>
        <v>,a006030_shushoku_code4</v>
      </c>
      <c r="Q96" s="76" t="str">
        <f t="shared" si="13"/>
        <v>TEXT</v>
      </c>
      <c r="R96" s="76" t="str">
        <f t="shared" si="14"/>
        <v/>
      </c>
      <c r="S96" s="76" t="str">
        <f t="shared" si="15"/>
        <v/>
      </c>
      <c r="T96" s="76" t="str">
        <f t="shared" si="16"/>
        <v>-- 修飾語コード4</v>
      </c>
      <c r="U96" s="4"/>
      <c r="AA96" s="4"/>
      <c r="AB96" s="4"/>
      <c r="AC96" s="4"/>
      <c r="AD96" s="4"/>
      <c r="AE96" s="4"/>
      <c r="AF96" s="4"/>
      <c r="AG96" s="4"/>
      <c r="AH96" s="4"/>
      <c r="AI96" s="4"/>
      <c r="AJ96" s="76" t="str">
        <f>IF(E96="○",IF(COUNTA(E$13:E96)=1,"",",")&amp;D96,"")</f>
        <v/>
      </c>
      <c r="AK96" s="4"/>
      <c r="AL96" s="4"/>
      <c r="AM96" s="4"/>
      <c r="AN96" s="4"/>
      <c r="AO96" s="4"/>
      <c r="AP96" s="4"/>
      <c r="AQ96" s="4"/>
      <c r="AR96" s="4"/>
      <c r="AS96" s="76" t="str">
        <f>"COMMENT ON COLUMN "&amp;エンティティ一覧!$O$2&amp;"."&amp;D$8&amp;"."&amp;D96&amp;" IS '"&amp;C96&amp;"';"</f>
        <v>COMMENT ON COLUMN milscm_2023_010.azn_202310_base_merge_dpc_ff1.a006030_shushoku_code4 IS '修飾語コード4';</v>
      </c>
      <c r="AT96" s="4"/>
      <c r="AU96" s="4"/>
      <c r="AV96" s="4"/>
      <c r="AW96" s="4"/>
      <c r="AX96" s="4"/>
      <c r="AY96" s="4"/>
      <c r="AZ96" s="4"/>
    </row>
    <row r="97" spans="1:52" s="25" customFormat="1" ht="37.5">
      <c r="A97" s="4"/>
      <c r="B97" s="21">
        <f t="shared" si="2"/>
        <v>85</v>
      </c>
      <c r="C97" s="6" t="s">
        <v>691</v>
      </c>
      <c r="D97" s="6" t="s">
        <v>692</v>
      </c>
      <c r="E97" s="8"/>
      <c r="F97" s="7" t="s">
        <v>316</v>
      </c>
      <c r="G97" s="7" t="str">
        <f t="shared" si="3"/>
        <v>text</v>
      </c>
      <c r="H97" s="58"/>
      <c r="I97" s="23"/>
      <c r="J97" s="24" t="s">
        <v>834</v>
      </c>
      <c r="L97" s="4"/>
      <c r="M97" s="4"/>
      <c r="N97" s="76"/>
      <c r="O97" s="76"/>
      <c r="P97" s="76" t="str">
        <f t="shared" si="12"/>
        <v>,a006030_iryo1_shobyo_name</v>
      </c>
      <c r="Q97" s="76" t="str">
        <f t="shared" si="13"/>
        <v>TEXT</v>
      </c>
      <c r="R97" s="76" t="str">
        <f t="shared" si="14"/>
        <v/>
      </c>
      <c r="S97" s="76" t="str">
        <f t="shared" si="15"/>
        <v/>
      </c>
      <c r="T97" s="76" t="str">
        <f t="shared" si="16"/>
        <v>-- 医療資源を最も投入した傷病名</v>
      </c>
      <c r="U97" s="4"/>
      <c r="AA97" s="4"/>
      <c r="AB97" s="4"/>
      <c r="AC97" s="4"/>
      <c r="AD97" s="4"/>
      <c r="AE97" s="4"/>
      <c r="AF97" s="4"/>
      <c r="AG97" s="4"/>
      <c r="AH97" s="4"/>
      <c r="AI97" s="4"/>
      <c r="AJ97" s="76" t="str">
        <f>IF(E97="○",IF(COUNTA(E$13:E97)=1,"",",")&amp;D97,"")</f>
        <v/>
      </c>
      <c r="AK97" s="4"/>
      <c r="AL97" s="4"/>
      <c r="AM97" s="4"/>
      <c r="AN97" s="4"/>
      <c r="AO97" s="4"/>
      <c r="AP97" s="4"/>
      <c r="AQ97" s="4"/>
      <c r="AR97" s="4"/>
      <c r="AS97" s="76" t="str">
        <f>"COMMENT ON COLUMN "&amp;エンティティ一覧!$O$2&amp;"."&amp;D$8&amp;"."&amp;D97&amp;" IS '"&amp;C97&amp;"';"</f>
        <v>COMMENT ON COLUMN milscm_2023_010.azn_202310_base_merge_dpc_ff1.a006030_iryo1_shobyo_name IS '医療資源を最も投入した傷病名';</v>
      </c>
      <c r="AT97" s="4"/>
      <c r="AU97" s="4"/>
      <c r="AV97" s="4"/>
      <c r="AW97" s="4"/>
      <c r="AX97" s="4"/>
      <c r="AY97" s="4"/>
      <c r="AZ97" s="4"/>
    </row>
    <row r="98" spans="1:52" s="25" customFormat="1" ht="37.5">
      <c r="A98" s="4"/>
      <c r="B98" s="21">
        <f t="shared" si="2"/>
        <v>86</v>
      </c>
      <c r="C98" s="13" t="s">
        <v>661</v>
      </c>
      <c r="D98" s="13" t="s">
        <v>693</v>
      </c>
      <c r="E98" s="7"/>
      <c r="F98" s="7" t="s">
        <v>316</v>
      </c>
      <c r="G98" s="7" t="str">
        <f t="shared" si="3"/>
        <v>text</v>
      </c>
      <c r="H98" s="26"/>
      <c r="I98" s="10"/>
      <c r="J98" s="11" t="s">
        <v>835</v>
      </c>
      <c r="L98" s="4"/>
      <c r="M98" s="4"/>
      <c r="N98" s="76"/>
      <c r="O98" s="76"/>
      <c r="P98" s="76" t="str">
        <f t="shared" si="12"/>
        <v>,a006031_icd10_code</v>
      </c>
      <c r="Q98" s="76" t="str">
        <f t="shared" si="13"/>
        <v>TEXT</v>
      </c>
      <c r="R98" s="76" t="str">
        <f t="shared" si="14"/>
        <v/>
      </c>
      <c r="S98" s="76" t="str">
        <f t="shared" si="15"/>
        <v/>
      </c>
      <c r="T98" s="76" t="str">
        <f t="shared" si="16"/>
        <v>-- ICD10コード</v>
      </c>
      <c r="U98" s="4"/>
      <c r="AA98" s="4"/>
      <c r="AB98" s="4"/>
      <c r="AC98" s="4"/>
      <c r="AD98" s="4"/>
      <c r="AE98" s="4"/>
      <c r="AF98" s="4"/>
      <c r="AG98" s="4"/>
      <c r="AH98" s="4"/>
      <c r="AI98" s="4"/>
      <c r="AJ98" s="76" t="str">
        <f>IF(E98="○",IF(COUNTA(E$13:E98)=1,"",",")&amp;D98,"")</f>
        <v/>
      </c>
      <c r="AK98" s="4"/>
      <c r="AL98" s="4"/>
      <c r="AM98" s="4"/>
      <c r="AN98" s="4"/>
      <c r="AO98" s="4"/>
      <c r="AP98" s="4"/>
      <c r="AQ98" s="4"/>
      <c r="AR98" s="4"/>
      <c r="AS98" s="76" t="str">
        <f>"COMMENT ON COLUMN "&amp;エンティティ一覧!$O$2&amp;"."&amp;D$8&amp;"."&amp;D98&amp;" IS '"&amp;C98&amp;"';"</f>
        <v>COMMENT ON COLUMN milscm_2023_010.azn_202310_base_merge_dpc_ff1.a006031_icd10_code IS 'ICD10コード';</v>
      </c>
      <c r="AT98" s="4"/>
      <c r="AU98" s="4"/>
      <c r="AV98" s="4"/>
      <c r="AW98" s="4"/>
      <c r="AX98" s="4"/>
      <c r="AY98" s="4"/>
      <c r="AZ98" s="4"/>
    </row>
    <row r="99" spans="1:52" s="25" customFormat="1">
      <c r="A99" s="4"/>
      <c r="B99" s="21">
        <f t="shared" si="2"/>
        <v>87</v>
      </c>
      <c r="C99" s="13" t="s">
        <v>663</v>
      </c>
      <c r="D99" s="13" t="s">
        <v>694</v>
      </c>
      <c r="E99" s="7"/>
      <c r="F99" s="7" t="s">
        <v>316</v>
      </c>
      <c r="G99" s="7" t="str">
        <f t="shared" si="3"/>
        <v>text</v>
      </c>
      <c r="H99" s="58"/>
      <c r="I99" s="23"/>
      <c r="J99" s="24"/>
      <c r="L99" s="4"/>
      <c r="M99" s="4"/>
      <c r="N99" s="76"/>
      <c r="O99" s="76"/>
      <c r="P99" s="76" t="str">
        <f t="shared" si="12"/>
        <v>,a006031_shobyo_code</v>
      </c>
      <c r="Q99" s="76" t="str">
        <f t="shared" si="13"/>
        <v>TEXT</v>
      </c>
      <c r="R99" s="76" t="str">
        <f t="shared" si="14"/>
        <v/>
      </c>
      <c r="S99" s="76" t="str">
        <f t="shared" si="15"/>
        <v/>
      </c>
      <c r="T99" s="76" t="str">
        <f t="shared" si="16"/>
        <v>-- 傷病名コード</v>
      </c>
      <c r="U99" s="4"/>
      <c r="AA99" s="4"/>
      <c r="AB99" s="4"/>
      <c r="AC99" s="4"/>
      <c r="AD99" s="4"/>
      <c r="AE99" s="4"/>
      <c r="AF99" s="4"/>
      <c r="AG99" s="4"/>
      <c r="AH99" s="4"/>
      <c r="AI99" s="4"/>
      <c r="AJ99" s="76" t="str">
        <f>IF(E99="○",IF(COUNTA(E$13:E99)=1,"",",")&amp;D99,"")</f>
        <v/>
      </c>
      <c r="AK99" s="4"/>
      <c r="AL99" s="4"/>
      <c r="AM99" s="4"/>
      <c r="AN99" s="4"/>
      <c r="AO99" s="4"/>
      <c r="AP99" s="4"/>
      <c r="AQ99" s="4"/>
      <c r="AR99" s="4"/>
      <c r="AS99" s="76" t="str">
        <f>"COMMENT ON COLUMN "&amp;エンティティ一覧!$O$2&amp;"."&amp;D$8&amp;"."&amp;D99&amp;" IS '"&amp;C99&amp;"';"</f>
        <v>COMMENT ON COLUMN milscm_2023_010.azn_202310_base_merge_dpc_ff1.a006031_shobyo_code IS '傷病名コード';</v>
      </c>
      <c r="AT99" s="4"/>
      <c r="AU99" s="4"/>
      <c r="AV99" s="4"/>
      <c r="AW99" s="4"/>
      <c r="AX99" s="4"/>
      <c r="AY99" s="4"/>
      <c r="AZ99" s="4"/>
    </row>
    <row r="100" spans="1:52" s="25" customFormat="1">
      <c r="A100" s="4"/>
      <c r="B100" s="21">
        <f t="shared" si="2"/>
        <v>88</v>
      </c>
      <c r="C100" s="13" t="s">
        <v>665</v>
      </c>
      <c r="D100" s="13" t="s">
        <v>695</v>
      </c>
      <c r="E100" s="7"/>
      <c r="F100" s="7" t="s">
        <v>316</v>
      </c>
      <c r="G100" s="7" t="str">
        <f t="shared" si="3"/>
        <v>text</v>
      </c>
      <c r="H100" s="26"/>
      <c r="I100" s="10"/>
      <c r="J100" s="11"/>
      <c r="L100" s="4"/>
      <c r="M100" s="4"/>
      <c r="N100" s="76"/>
      <c r="O100" s="76"/>
      <c r="P100" s="76" t="str">
        <f t="shared" si="12"/>
        <v>,a006031_shushoku_code1</v>
      </c>
      <c r="Q100" s="76" t="str">
        <f t="shared" si="13"/>
        <v>TEXT</v>
      </c>
      <c r="R100" s="76" t="str">
        <f t="shared" si="14"/>
        <v/>
      </c>
      <c r="S100" s="76" t="str">
        <f t="shared" si="15"/>
        <v/>
      </c>
      <c r="T100" s="76" t="str">
        <f t="shared" si="16"/>
        <v>-- 修飾語コード1</v>
      </c>
      <c r="U100" s="4"/>
      <c r="AA100" s="4"/>
      <c r="AB100" s="4"/>
      <c r="AC100" s="4"/>
      <c r="AD100" s="4"/>
      <c r="AE100" s="4"/>
      <c r="AF100" s="4"/>
      <c r="AG100" s="4"/>
      <c r="AH100" s="4"/>
      <c r="AI100" s="4"/>
      <c r="AJ100" s="76" t="str">
        <f>IF(E100="○",IF(COUNTA(E$13:E100)=1,"",",")&amp;D100,"")</f>
        <v/>
      </c>
      <c r="AK100" s="4"/>
      <c r="AL100" s="4"/>
      <c r="AM100" s="4"/>
      <c r="AN100" s="4"/>
      <c r="AO100" s="4"/>
      <c r="AP100" s="4"/>
      <c r="AQ100" s="4"/>
      <c r="AR100" s="4"/>
      <c r="AS100" s="76" t="str">
        <f>"COMMENT ON COLUMN "&amp;エンティティ一覧!$O$2&amp;"."&amp;D$8&amp;"."&amp;D100&amp;" IS '"&amp;C100&amp;"';"</f>
        <v>COMMENT ON COLUMN milscm_2023_010.azn_202310_base_merge_dpc_ff1.a006031_shushoku_code1 IS '修飾語コード1';</v>
      </c>
      <c r="AT100" s="4"/>
      <c r="AU100" s="4"/>
      <c r="AV100" s="4"/>
      <c r="AW100" s="4"/>
      <c r="AX100" s="4"/>
      <c r="AY100" s="4"/>
      <c r="AZ100" s="4"/>
    </row>
    <row r="101" spans="1:52" s="25" customFormat="1">
      <c r="A101" s="4"/>
      <c r="B101" s="21">
        <f t="shared" si="2"/>
        <v>89</v>
      </c>
      <c r="C101" s="6" t="s">
        <v>667</v>
      </c>
      <c r="D101" s="6" t="s">
        <v>696</v>
      </c>
      <c r="E101" s="8"/>
      <c r="F101" s="7" t="s">
        <v>316</v>
      </c>
      <c r="G101" s="7" t="str">
        <f t="shared" si="3"/>
        <v>text</v>
      </c>
      <c r="H101" s="58"/>
      <c r="I101" s="23"/>
      <c r="J101" s="24"/>
      <c r="L101" s="4"/>
      <c r="M101" s="4"/>
      <c r="N101" s="76"/>
      <c r="O101" s="76"/>
      <c r="P101" s="76" t="str">
        <f t="shared" si="12"/>
        <v>,a006031_shushoku_code2</v>
      </c>
      <c r="Q101" s="76" t="str">
        <f t="shared" si="13"/>
        <v>TEXT</v>
      </c>
      <c r="R101" s="76" t="str">
        <f t="shared" si="14"/>
        <v/>
      </c>
      <c r="S101" s="76" t="str">
        <f t="shared" si="15"/>
        <v/>
      </c>
      <c r="T101" s="76" t="str">
        <f t="shared" si="16"/>
        <v>-- 修飾語コード2</v>
      </c>
      <c r="U101" s="4"/>
      <c r="AA101" s="4"/>
      <c r="AB101" s="4"/>
      <c r="AC101" s="4"/>
      <c r="AD101" s="4"/>
      <c r="AE101" s="4"/>
      <c r="AF101" s="4"/>
      <c r="AG101" s="4"/>
      <c r="AH101" s="4"/>
      <c r="AI101" s="4"/>
      <c r="AJ101" s="76" t="str">
        <f>IF(E101="○",IF(COUNTA(E$13:E101)=1,"",",")&amp;D101,"")</f>
        <v/>
      </c>
      <c r="AK101" s="4"/>
      <c r="AL101" s="4"/>
      <c r="AM101" s="4"/>
      <c r="AN101" s="4"/>
      <c r="AO101" s="4"/>
      <c r="AP101" s="4"/>
      <c r="AQ101" s="4"/>
      <c r="AR101" s="4"/>
      <c r="AS101" s="76" t="str">
        <f>"COMMENT ON COLUMN "&amp;エンティティ一覧!$O$2&amp;"."&amp;D$8&amp;"."&amp;D101&amp;" IS '"&amp;C101&amp;"';"</f>
        <v>COMMENT ON COLUMN milscm_2023_010.azn_202310_base_merge_dpc_ff1.a006031_shushoku_code2 IS '修飾語コード2';</v>
      </c>
      <c r="AT101" s="4"/>
      <c r="AU101" s="4"/>
      <c r="AV101" s="4"/>
      <c r="AW101" s="4"/>
      <c r="AX101" s="4"/>
      <c r="AY101" s="4"/>
      <c r="AZ101" s="4"/>
    </row>
    <row r="102" spans="1:52" s="25" customFormat="1">
      <c r="A102" s="4"/>
      <c r="B102" s="21">
        <f t="shared" si="2"/>
        <v>90</v>
      </c>
      <c r="C102" s="13" t="s">
        <v>669</v>
      </c>
      <c r="D102" s="13" t="s">
        <v>697</v>
      </c>
      <c r="E102" s="7"/>
      <c r="F102" s="7" t="s">
        <v>316</v>
      </c>
      <c r="G102" s="7" t="str">
        <f t="shared" si="3"/>
        <v>text</v>
      </c>
      <c r="H102" s="26"/>
      <c r="I102" s="10"/>
      <c r="J102" s="11"/>
      <c r="L102" s="4"/>
      <c r="M102" s="4"/>
      <c r="N102" s="76"/>
      <c r="O102" s="76"/>
      <c r="P102" s="76" t="str">
        <f t="shared" si="12"/>
        <v>,a006031_shushoku_code3</v>
      </c>
      <c r="Q102" s="76" t="str">
        <f t="shared" si="13"/>
        <v>TEXT</v>
      </c>
      <c r="R102" s="76" t="str">
        <f t="shared" si="14"/>
        <v/>
      </c>
      <c r="S102" s="76" t="str">
        <f t="shared" si="15"/>
        <v/>
      </c>
      <c r="T102" s="76" t="str">
        <f t="shared" si="16"/>
        <v>-- 修飾語コード3</v>
      </c>
      <c r="U102" s="4"/>
      <c r="AA102" s="4"/>
      <c r="AB102" s="4"/>
      <c r="AC102" s="4"/>
      <c r="AD102" s="4"/>
      <c r="AE102" s="4"/>
      <c r="AF102" s="4"/>
      <c r="AG102" s="4"/>
      <c r="AH102" s="4"/>
      <c r="AI102" s="4"/>
      <c r="AJ102" s="76" t="str">
        <f>IF(E102="○",IF(COUNTA(E$13:E102)=1,"",",")&amp;D102,"")</f>
        <v/>
      </c>
      <c r="AK102" s="4"/>
      <c r="AL102" s="4"/>
      <c r="AM102" s="4"/>
      <c r="AN102" s="4"/>
      <c r="AO102" s="4"/>
      <c r="AP102" s="4"/>
      <c r="AQ102" s="4"/>
      <c r="AR102" s="4"/>
      <c r="AS102" s="76" t="str">
        <f>"COMMENT ON COLUMN "&amp;エンティティ一覧!$O$2&amp;"."&amp;D$8&amp;"."&amp;D102&amp;" IS '"&amp;C102&amp;"';"</f>
        <v>COMMENT ON COLUMN milscm_2023_010.azn_202310_base_merge_dpc_ff1.a006031_shushoku_code3 IS '修飾語コード3';</v>
      </c>
      <c r="AT102" s="4"/>
      <c r="AU102" s="4"/>
      <c r="AV102" s="4"/>
      <c r="AW102" s="4"/>
      <c r="AX102" s="4"/>
      <c r="AY102" s="4"/>
      <c r="AZ102" s="4"/>
    </row>
    <row r="103" spans="1:52" s="25" customFormat="1">
      <c r="A103" s="4"/>
      <c r="B103" s="21">
        <f t="shared" si="2"/>
        <v>91</v>
      </c>
      <c r="C103" s="6" t="s">
        <v>671</v>
      </c>
      <c r="D103" s="6" t="s">
        <v>698</v>
      </c>
      <c r="E103" s="8"/>
      <c r="F103" s="7" t="s">
        <v>316</v>
      </c>
      <c r="G103" s="7" t="str">
        <f t="shared" si="3"/>
        <v>text</v>
      </c>
      <c r="H103" s="58"/>
      <c r="I103" s="23"/>
      <c r="J103" s="24"/>
      <c r="L103" s="4"/>
      <c r="M103" s="4"/>
      <c r="N103" s="76"/>
      <c r="O103" s="76"/>
      <c r="P103" s="76" t="str">
        <f t="shared" si="12"/>
        <v>,a006031_shushoku_code4</v>
      </c>
      <c r="Q103" s="76" t="str">
        <f t="shared" si="13"/>
        <v>TEXT</v>
      </c>
      <c r="R103" s="76" t="str">
        <f t="shared" si="14"/>
        <v/>
      </c>
      <c r="S103" s="76" t="str">
        <f t="shared" si="15"/>
        <v/>
      </c>
      <c r="T103" s="76" t="str">
        <f t="shared" si="16"/>
        <v>-- 修飾語コード4</v>
      </c>
      <c r="U103" s="4"/>
      <c r="AA103" s="4"/>
      <c r="AB103" s="4"/>
      <c r="AC103" s="4"/>
      <c r="AD103" s="4"/>
      <c r="AE103" s="4"/>
      <c r="AF103" s="4"/>
      <c r="AG103" s="4"/>
      <c r="AH103" s="4"/>
      <c r="AI103" s="4"/>
      <c r="AJ103" s="76" t="str">
        <f>IF(E103="○",IF(COUNTA(E$13:E103)=1,"",",")&amp;D103,"")</f>
        <v/>
      </c>
      <c r="AK103" s="4"/>
      <c r="AL103" s="4"/>
      <c r="AM103" s="4"/>
      <c r="AN103" s="4"/>
      <c r="AO103" s="4"/>
      <c r="AP103" s="4"/>
      <c r="AQ103" s="4"/>
      <c r="AR103" s="4"/>
      <c r="AS103" s="76" t="str">
        <f>"COMMENT ON COLUMN "&amp;エンティティ一覧!$O$2&amp;"."&amp;D$8&amp;"."&amp;D103&amp;" IS '"&amp;C103&amp;"';"</f>
        <v>COMMENT ON COLUMN milscm_2023_010.azn_202310_base_merge_dpc_ff1.a006031_shushoku_code4 IS '修飾語コード4';</v>
      </c>
      <c r="AT103" s="4"/>
      <c r="AU103" s="4"/>
      <c r="AV103" s="4"/>
      <c r="AW103" s="4"/>
      <c r="AX103" s="4"/>
      <c r="AY103" s="4"/>
      <c r="AZ103" s="4"/>
    </row>
    <row r="104" spans="1:52" s="25" customFormat="1" ht="31.5">
      <c r="A104" s="4"/>
      <c r="B104" s="21">
        <f t="shared" si="2"/>
        <v>92</v>
      </c>
      <c r="C104" s="13" t="s">
        <v>699</v>
      </c>
      <c r="D104" s="13" t="s">
        <v>700</v>
      </c>
      <c r="E104" s="7"/>
      <c r="F104" s="7" t="s">
        <v>316</v>
      </c>
      <c r="G104" s="7" t="str">
        <f t="shared" si="3"/>
        <v>text</v>
      </c>
      <c r="H104" s="26"/>
      <c r="I104" s="10"/>
      <c r="J104" s="11" t="s">
        <v>836</v>
      </c>
      <c r="L104" s="4"/>
      <c r="M104" s="4"/>
      <c r="N104" s="76"/>
      <c r="O104" s="76"/>
      <c r="P104" s="76" t="str">
        <f t="shared" si="12"/>
        <v>,a006031_iryo2_shobyo_name</v>
      </c>
      <c r="Q104" s="76" t="str">
        <f t="shared" si="13"/>
        <v>TEXT</v>
      </c>
      <c r="R104" s="76" t="str">
        <f t="shared" si="14"/>
        <v/>
      </c>
      <c r="S104" s="76" t="str">
        <f t="shared" si="15"/>
        <v/>
      </c>
      <c r="T104" s="76" t="str">
        <f t="shared" si="16"/>
        <v>-- 医療資源を2番目に投入した傷病名</v>
      </c>
      <c r="U104" s="4"/>
      <c r="AA104" s="4"/>
      <c r="AB104" s="4"/>
      <c r="AC104" s="4"/>
      <c r="AD104" s="4"/>
      <c r="AE104" s="4"/>
      <c r="AF104" s="4"/>
      <c r="AG104" s="4"/>
      <c r="AH104" s="4"/>
      <c r="AI104" s="4"/>
      <c r="AJ104" s="76" t="str">
        <f>IF(E104="○",IF(COUNTA(E$13:E104)=1,"",",")&amp;D104,"")</f>
        <v/>
      </c>
      <c r="AK104" s="4"/>
      <c r="AL104" s="4"/>
      <c r="AM104" s="4"/>
      <c r="AN104" s="4"/>
      <c r="AO104" s="4"/>
      <c r="AP104" s="4"/>
      <c r="AQ104" s="4"/>
      <c r="AR104" s="4"/>
      <c r="AS104" s="76" t="str">
        <f>"COMMENT ON COLUMN "&amp;エンティティ一覧!$O$2&amp;"."&amp;D$8&amp;"."&amp;D104&amp;" IS '"&amp;C104&amp;"';"</f>
        <v>COMMENT ON COLUMN milscm_2023_010.azn_202310_base_merge_dpc_ff1.a006031_iryo2_shobyo_name IS '医療資源を2番目に投入した傷病名';</v>
      </c>
      <c r="AT104" s="4"/>
      <c r="AU104" s="4"/>
      <c r="AV104" s="4"/>
      <c r="AW104" s="4"/>
      <c r="AX104" s="4"/>
      <c r="AY104" s="4"/>
      <c r="AZ104" s="4"/>
    </row>
    <row r="105" spans="1:52" s="25" customFormat="1" ht="31.5">
      <c r="A105" s="4"/>
      <c r="B105" s="21">
        <f t="shared" si="2"/>
        <v>93</v>
      </c>
      <c r="C105" s="6" t="s">
        <v>701</v>
      </c>
      <c r="D105" s="6" t="s">
        <v>702</v>
      </c>
      <c r="E105" s="8"/>
      <c r="F105" s="7" t="s">
        <v>316</v>
      </c>
      <c r="G105" s="7" t="str">
        <f t="shared" si="3"/>
        <v>text</v>
      </c>
      <c r="H105" s="58"/>
      <c r="I105" s="23"/>
      <c r="J105" s="24"/>
      <c r="L105" s="4"/>
      <c r="M105" s="4"/>
      <c r="N105" s="76"/>
      <c r="O105" s="76"/>
      <c r="P105" s="76" t="str">
        <f t="shared" si="12"/>
        <v>,a006060_nanbyo_kokuji_no1</v>
      </c>
      <c r="Q105" s="76" t="str">
        <f t="shared" si="13"/>
        <v>TEXT</v>
      </c>
      <c r="R105" s="76" t="str">
        <f t="shared" si="14"/>
        <v/>
      </c>
      <c r="S105" s="76" t="str">
        <f t="shared" si="15"/>
        <v/>
      </c>
      <c r="T105" s="76" t="str">
        <f t="shared" si="16"/>
        <v>-- 難病の告示番号1</v>
      </c>
      <c r="U105" s="4"/>
      <c r="AA105" s="4"/>
      <c r="AB105" s="4"/>
      <c r="AC105" s="4"/>
      <c r="AD105" s="4"/>
      <c r="AE105" s="4"/>
      <c r="AF105" s="4"/>
      <c r="AG105" s="4"/>
      <c r="AH105" s="4"/>
      <c r="AI105" s="4"/>
      <c r="AJ105" s="76" t="str">
        <f>IF(E105="○",IF(COUNTA(E$13:E105)=1,"",",")&amp;D105,"")</f>
        <v/>
      </c>
      <c r="AK105" s="4"/>
      <c r="AL105" s="4"/>
      <c r="AM105" s="4"/>
      <c r="AN105" s="4"/>
      <c r="AO105" s="4"/>
      <c r="AP105" s="4"/>
      <c r="AQ105" s="4"/>
      <c r="AR105" s="4"/>
      <c r="AS105" s="76" t="str">
        <f>"COMMENT ON COLUMN "&amp;エンティティ一覧!$O$2&amp;"."&amp;D$8&amp;"."&amp;D105&amp;" IS '"&amp;C105&amp;"';"</f>
        <v>COMMENT ON COLUMN milscm_2023_010.azn_202310_base_merge_dpc_ff1.a006060_nanbyo_kokuji_no1 IS '難病の告示番号1';</v>
      </c>
      <c r="AT105" s="4"/>
      <c r="AU105" s="4"/>
      <c r="AV105" s="4"/>
      <c r="AW105" s="4"/>
      <c r="AX105" s="4"/>
      <c r="AY105" s="4"/>
      <c r="AZ105" s="4"/>
    </row>
    <row r="106" spans="1:52" s="25" customFormat="1" ht="31.5">
      <c r="A106" s="4"/>
      <c r="B106" s="21">
        <f t="shared" si="2"/>
        <v>94</v>
      </c>
      <c r="C106" s="6" t="s">
        <v>703</v>
      </c>
      <c r="D106" s="6" t="s">
        <v>704</v>
      </c>
      <c r="E106" s="8"/>
      <c r="F106" s="7" t="s">
        <v>316</v>
      </c>
      <c r="G106" s="7" t="str">
        <f t="shared" si="3"/>
        <v>text</v>
      </c>
      <c r="H106" s="58"/>
      <c r="I106" s="23"/>
      <c r="J106" s="24" t="s">
        <v>837</v>
      </c>
      <c r="L106" s="4"/>
      <c r="M106" s="4"/>
      <c r="N106" s="76"/>
      <c r="O106" s="76"/>
      <c r="P106" s="76" t="str">
        <f t="shared" si="12"/>
        <v>,a006060_iryohi_josei_flag1</v>
      </c>
      <c r="Q106" s="76" t="str">
        <f t="shared" si="13"/>
        <v>TEXT</v>
      </c>
      <c r="R106" s="76" t="str">
        <f t="shared" si="14"/>
        <v/>
      </c>
      <c r="S106" s="76" t="str">
        <f t="shared" si="15"/>
        <v/>
      </c>
      <c r="T106" s="76" t="str">
        <f t="shared" si="16"/>
        <v>-- 医療費助成の有無1</v>
      </c>
      <c r="U106" s="4"/>
      <c r="AA106" s="4"/>
      <c r="AB106" s="4"/>
      <c r="AC106" s="4"/>
      <c r="AD106" s="4"/>
      <c r="AE106" s="4"/>
      <c r="AF106" s="4"/>
      <c r="AG106" s="4"/>
      <c r="AH106" s="4"/>
      <c r="AI106" s="4"/>
      <c r="AJ106" s="76" t="str">
        <f>IF(E106="○",IF(COUNTA(E$13:E106)=1,"",",")&amp;D106,"")</f>
        <v/>
      </c>
      <c r="AK106" s="4"/>
      <c r="AL106" s="4"/>
      <c r="AM106" s="4"/>
      <c r="AN106" s="4"/>
      <c r="AO106" s="4"/>
      <c r="AP106" s="4"/>
      <c r="AQ106" s="4"/>
      <c r="AR106" s="4"/>
      <c r="AS106" s="76" t="str">
        <f>"COMMENT ON COLUMN "&amp;エンティティ一覧!$O$2&amp;"."&amp;D$8&amp;"."&amp;D106&amp;" IS '"&amp;C106&amp;"';"</f>
        <v>COMMENT ON COLUMN milscm_2023_010.azn_202310_base_merge_dpc_ff1.a006060_iryohi_josei_flag1 IS '医療費助成の有無1';</v>
      </c>
      <c r="AT106" s="4"/>
      <c r="AU106" s="4"/>
      <c r="AV106" s="4"/>
      <c r="AW106" s="4"/>
      <c r="AX106" s="4"/>
      <c r="AY106" s="4"/>
      <c r="AZ106" s="4"/>
    </row>
    <row r="107" spans="1:52" s="25" customFormat="1" ht="31.5">
      <c r="A107" s="4"/>
      <c r="B107" s="21">
        <f t="shared" si="2"/>
        <v>95</v>
      </c>
      <c r="C107" s="13" t="s">
        <v>705</v>
      </c>
      <c r="D107" s="13" t="s">
        <v>706</v>
      </c>
      <c r="E107" s="7"/>
      <c r="F107" s="7" t="s">
        <v>316</v>
      </c>
      <c r="G107" s="7" t="str">
        <f t="shared" si="3"/>
        <v>text</v>
      </c>
      <c r="H107" s="26"/>
      <c r="I107" s="10"/>
      <c r="J107" s="11"/>
      <c r="L107" s="4"/>
      <c r="M107" s="4"/>
      <c r="N107" s="76"/>
      <c r="O107" s="76"/>
      <c r="P107" s="76" t="str">
        <f t="shared" si="12"/>
        <v>,a006060_nanbyo_kokuji_no2</v>
      </c>
      <c r="Q107" s="76" t="str">
        <f t="shared" si="13"/>
        <v>TEXT</v>
      </c>
      <c r="R107" s="76" t="str">
        <f t="shared" si="14"/>
        <v/>
      </c>
      <c r="S107" s="76" t="str">
        <f t="shared" si="15"/>
        <v/>
      </c>
      <c r="T107" s="76" t="str">
        <f t="shared" si="16"/>
        <v>-- 難病の告示番号2</v>
      </c>
      <c r="U107" s="4"/>
      <c r="AA107" s="4"/>
      <c r="AB107" s="4"/>
      <c r="AC107" s="4"/>
      <c r="AD107" s="4"/>
      <c r="AE107" s="4"/>
      <c r="AF107" s="4"/>
      <c r="AG107" s="4"/>
      <c r="AH107" s="4"/>
      <c r="AI107" s="4"/>
      <c r="AJ107" s="76" t="str">
        <f>IF(E107="○",IF(COUNTA(E$13:E107)=1,"",",")&amp;D107,"")</f>
        <v/>
      </c>
      <c r="AK107" s="4"/>
      <c r="AL107" s="4"/>
      <c r="AM107" s="4"/>
      <c r="AN107" s="4"/>
      <c r="AO107" s="4"/>
      <c r="AP107" s="4"/>
      <c r="AQ107" s="4"/>
      <c r="AR107" s="4"/>
      <c r="AS107" s="76" t="str">
        <f>"COMMENT ON COLUMN "&amp;エンティティ一覧!$O$2&amp;"."&amp;D$8&amp;"."&amp;D107&amp;" IS '"&amp;C107&amp;"';"</f>
        <v>COMMENT ON COLUMN milscm_2023_010.azn_202310_base_merge_dpc_ff1.a006060_nanbyo_kokuji_no2 IS '難病の告示番号2';</v>
      </c>
      <c r="AT107" s="4"/>
      <c r="AU107" s="4"/>
      <c r="AV107" s="4"/>
      <c r="AW107" s="4"/>
      <c r="AX107" s="4"/>
      <c r="AY107" s="4"/>
      <c r="AZ107" s="4"/>
    </row>
    <row r="108" spans="1:52" s="25" customFormat="1" ht="31.5">
      <c r="A108" s="4"/>
      <c r="B108" s="21">
        <f t="shared" si="2"/>
        <v>96</v>
      </c>
      <c r="C108" s="6" t="s">
        <v>707</v>
      </c>
      <c r="D108" s="6" t="s">
        <v>708</v>
      </c>
      <c r="E108" s="8"/>
      <c r="F108" s="7" t="s">
        <v>316</v>
      </c>
      <c r="G108" s="7" t="str">
        <f t="shared" si="3"/>
        <v>text</v>
      </c>
      <c r="H108" s="26"/>
      <c r="I108" s="10"/>
      <c r="J108" s="11" t="s">
        <v>837</v>
      </c>
      <c r="L108" s="4"/>
      <c r="M108" s="4"/>
      <c r="N108" s="76"/>
      <c r="O108" s="76"/>
      <c r="P108" s="76" t="str">
        <f t="shared" si="12"/>
        <v>,a006060_iryohi_josei_flag2</v>
      </c>
      <c r="Q108" s="76" t="str">
        <f t="shared" si="13"/>
        <v>TEXT</v>
      </c>
      <c r="R108" s="76" t="str">
        <f t="shared" si="14"/>
        <v/>
      </c>
      <c r="S108" s="76" t="str">
        <f t="shared" si="15"/>
        <v/>
      </c>
      <c r="T108" s="76" t="str">
        <f t="shared" si="16"/>
        <v>-- 医療費助成の有無2</v>
      </c>
      <c r="U108" s="4"/>
      <c r="AA108" s="4"/>
      <c r="AB108" s="4"/>
      <c r="AC108" s="4"/>
      <c r="AD108" s="4"/>
      <c r="AE108" s="4"/>
      <c r="AF108" s="4"/>
      <c r="AG108" s="4"/>
      <c r="AH108" s="4"/>
      <c r="AI108" s="4"/>
      <c r="AJ108" s="76" t="str">
        <f>IF(E108="○",IF(COUNTA(E$13:E108)=1,"",",")&amp;D108,"")</f>
        <v/>
      </c>
      <c r="AK108" s="4"/>
      <c r="AL108" s="4"/>
      <c r="AM108" s="4"/>
      <c r="AN108" s="4"/>
      <c r="AO108" s="4"/>
      <c r="AP108" s="4"/>
      <c r="AQ108" s="4"/>
      <c r="AR108" s="4"/>
      <c r="AS108" s="76" t="str">
        <f>"COMMENT ON COLUMN "&amp;エンティティ一覧!$O$2&amp;"."&amp;D$8&amp;"."&amp;D108&amp;" IS '"&amp;C108&amp;"';"</f>
        <v>COMMENT ON COLUMN milscm_2023_010.azn_202310_base_merge_dpc_ff1.a006060_iryohi_josei_flag2 IS '医療費助成の有無2';</v>
      </c>
      <c r="AT108" s="4"/>
      <c r="AU108" s="4"/>
      <c r="AV108" s="4"/>
      <c r="AW108" s="4"/>
      <c r="AX108" s="4"/>
      <c r="AY108" s="4"/>
      <c r="AZ108" s="4"/>
    </row>
    <row r="109" spans="1:52" s="25" customFormat="1">
      <c r="A109" s="4"/>
      <c r="B109" s="21">
        <f t="shared" si="2"/>
        <v>97</v>
      </c>
      <c r="C109" s="13" t="s">
        <v>709</v>
      </c>
      <c r="D109" s="13" t="s">
        <v>710</v>
      </c>
      <c r="E109" s="7"/>
      <c r="F109" s="7" t="s">
        <v>316</v>
      </c>
      <c r="G109" s="7" t="str">
        <f t="shared" si="3"/>
        <v>text</v>
      </c>
      <c r="H109" s="58"/>
      <c r="I109" s="23"/>
      <c r="J109" s="24" t="s">
        <v>838</v>
      </c>
      <c r="L109" s="4"/>
      <c r="M109" s="4"/>
      <c r="N109" s="76"/>
      <c r="O109" s="76"/>
      <c r="P109" s="76" t="str">
        <f t="shared" si="12"/>
        <v>,adl0010_nyuin_adl</v>
      </c>
      <c r="Q109" s="76" t="str">
        <f t="shared" si="13"/>
        <v>TEXT</v>
      </c>
      <c r="R109" s="76" t="str">
        <f t="shared" si="14"/>
        <v/>
      </c>
      <c r="S109" s="76" t="str">
        <f t="shared" si="15"/>
        <v/>
      </c>
      <c r="T109" s="76" t="str">
        <f t="shared" si="16"/>
        <v>-- 入院時のADLスコア</v>
      </c>
      <c r="U109" s="4"/>
      <c r="AA109" s="4"/>
      <c r="AB109" s="4"/>
      <c r="AC109" s="4"/>
      <c r="AD109" s="4"/>
      <c r="AE109" s="4"/>
      <c r="AF109" s="4"/>
      <c r="AG109" s="4"/>
      <c r="AH109" s="4"/>
      <c r="AI109" s="4"/>
      <c r="AJ109" s="76" t="str">
        <f>IF(E109="○",IF(COUNTA(E$13:E109)=1,"",",")&amp;D109,"")</f>
        <v/>
      </c>
      <c r="AK109" s="4"/>
      <c r="AL109" s="4"/>
      <c r="AM109" s="4"/>
      <c r="AN109" s="4"/>
      <c r="AO109" s="4"/>
      <c r="AP109" s="4"/>
      <c r="AQ109" s="4"/>
      <c r="AR109" s="4"/>
      <c r="AS109" s="76" t="str">
        <f>"COMMENT ON COLUMN "&amp;エンティティ一覧!$O$2&amp;"."&amp;D$8&amp;"."&amp;D109&amp;" IS '"&amp;C109&amp;"';"</f>
        <v>COMMENT ON COLUMN milscm_2023_010.azn_202310_base_merge_dpc_ff1.adl0010_nyuin_adl IS '入院時のADLスコア';</v>
      </c>
      <c r="AT109" s="4"/>
      <c r="AU109" s="4"/>
      <c r="AV109" s="4"/>
      <c r="AW109" s="4"/>
      <c r="AX109" s="4"/>
      <c r="AY109" s="4"/>
      <c r="AZ109" s="4"/>
    </row>
    <row r="110" spans="1:52" s="25" customFormat="1">
      <c r="A110" s="4"/>
      <c r="B110" s="21">
        <f t="shared" si="2"/>
        <v>98</v>
      </c>
      <c r="C110" s="6" t="s">
        <v>711</v>
      </c>
      <c r="D110" s="6" t="s">
        <v>712</v>
      </c>
      <c r="E110" s="8"/>
      <c r="F110" s="7" t="s">
        <v>316</v>
      </c>
      <c r="G110" s="7" t="str">
        <f t="shared" si="3"/>
        <v>text</v>
      </c>
      <c r="H110" s="26"/>
      <c r="I110" s="10"/>
      <c r="J110" s="11" t="s">
        <v>838</v>
      </c>
      <c r="L110" s="4"/>
      <c r="M110" s="4"/>
      <c r="N110" s="76"/>
      <c r="O110" s="76"/>
      <c r="P110" s="76" t="str">
        <f t="shared" si="12"/>
        <v>,adl0020_taiin_adl</v>
      </c>
      <c r="Q110" s="76" t="str">
        <f t="shared" si="13"/>
        <v>TEXT</v>
      </c>
      <c r="R110" s="76" t="str">
        <f t="shared" si="14"/>
        <v/>
      </c>
      <c r="S110" s="76" t="str">
        <f t="shared" si="15"/>
        <v/>
      </c>
      <c r="T110" s="76" t="str">
        <f t="shared" si="16"/>
        <v>-- 退院時のADLスコア</v>
      </c>
      <c r="U110" s="4"/>
      <c r="AA110" s="4"/>
      <c r="AB110" s="4"/>
      <c r="AC110" s="4"/>
      <c r="AD110" s="4"/>
      <c r="AE110" s="4"/>
      <c r="AF110" s="4"/>
      <c r="AG110" s="4"/>
      <c r="AH110" s="4"/>
      <c r="AI110" s="4"/>
      <c r="AJ110" s="76" t="str">
        <f>IF(E110="○",IF(COUNTA(E$13:E110)=1,"",",")&amp;D110,"")</f>
        <v/>
      </c>
      <c r="AK110" s="4"/>
      <c r="AL110" s="4"/>
      <c r="AM110" s="4"/>
      <c r="AN110" s="4"/>
      <c r="AO110" s="4"/>
      <c r="AP110" s="4"/>
      <c r="AQ110" s="4"/>
      <c r="AR110" s="4"/>
      <c r="AS110" s="76" t="str">
        <f>"COMMENT ON COLUMN "&amp;エンティティ一覧!$O$2&amp;"."&amp;D$8&amp;"."&amp;D110&amp;" IS '"&amp;C110&amp;"';"</f>
        <v>COMMENT ON COLUMN milscm_2023_010.azn_202310_base_merge_dpc_ff1.adl0020_taiin_adl IS '退院時のADLスコア';</v>
      </c>
      <c r="AT110" s="4"/>
      <c r="AU110" s="4"/>
      <c r="AV110" s="4"/>
      <c r="AW110" s="4"/>
      <c r="AX110" s="4"/>
      <c r="AY110" s="4"/>
      <c r="AZ110" s="4"/>
    </row>
    <row r="111" spans="1:52" s="25" customFormat="1">
      <c r="A111" s="4"/>
      <c r="B111" s="21">
        <f t="shared" si="2"/>
        <v>99</v>
      </c>
      <c r="C111" s="13" t="s">
        <v>713</v>
      </c>
      <c r="D111" s="13" t="s">
        <v>714</v>
      </c>
      <c r="E111" s="7"/>
      <c r="F111" s="7" t="s">
        <v>316</v>
      </c>
      <c r="G111" s="7" t="str">
        <f t="shared" si="3"/>
        <v>text</v>
      </c>
      <c r="H111" s="58"/>
      <c r="I111" s="23"/>
      <c r="J111" s="24" t="s">
        <v>838</v>
      </c>
      <c r="L111" s="4"/>
      <c r="M111" s="4"/>
      <c r="N111" s="76"/>
      <c r="O111" s="76"/>
      <c r="P111" s="76" t="str">
        <f t="shared" si="12"/>
        <v>,adl0030_nyutou_adl</v>
      </c>
      <c r="Q111" s="76" t="str">
        <f t="shared" si="13"/>
        <v>TEXT</v>
      </c>
      <c r="R111" s="76" t="str">
        <f t="shared" si="14"/>
        <v/>
      </c>
      <c r="S111" s="76" t="str">
        <f t="shared" si="15"/>
        <v/>
      </c>
      <c r="T111" s="76" t="str">
        <f t="shared" si="16"/>
        <v>-- 入棟・入室時のADLスコア</v>
      </c>
      <c r="U111" s="4"/>
      <c r="AA111" s="4"/>
      <c r="AB111" s="4"/>
      <c r="AC111" s="4"/>
      <c r="AD111" s="4"/>
      <c r="AE111" s="4"/>
      <c r="AF111" s="4"/>
      <c r="AG111" s="4"/>
      <c r="AH111" s="4"/>
      <c r="AI111" s="4"/>
      <c r="AJ111" s="76" t="str">
        <f>IF(E111="○",IF(COUNTA(E$13:E111)=1,"",",")&amp;D111,"")</f>
        <v/>
      </c>
      <c r="AK111" s="4"/>
      <c r="AL111" s="4"/>
      <c r="AM111" s="4"/>
      <c r="AN111" s="4"/>
      <c r="AO111" s="4"/>
      <c r="AP111" s="4"/>
      <c r="AQ111" s="4"/>
      <c r="AR111" s="4"/>
      <c r="AS111" s="76" t="str">
        <f>"COMMENT ON COLUMN "&amp;エンティティ一覧!$O$2&amp;"."&amp;D$8&amp;"."&amp;D111&amp;" IS '"&amp;C111&amp;"';"</f>
        <v>COMMENT ON COLUMN milscm_2023_010.azn_202310_base_merge_dpc_ff1.adl0030_nyutou_adl IS '入棟・入室時のADLスコア';</v>
      </c>
      <c r="AT111" s="4"/>
      <c r="AU111" s="4"/>
      <c r="AV111" s="4"/>
      <c r="AW111" s="4"/>
      <c r="AX111" s="4"/>
      <c r="AY111" s="4"/>
      <c r="AZ111" s="4"/>
    </row>
    <row r="112" spans="1:52" s="25" customFormat="1">
      <c r="A112" s="4"/>
      <c r="B112" s="21">
        <f t="shared" si="2"/>
        <v>100</v>
      </c>
      <c r="C112" s="6" t="s">
        <v>715</v>
      </c>
      <c r="D112" s="6" t="s">
        <v>716</v>
      </c>
      <c r="E112" s="8"/>
      <c r="F112" s="7" t="s">
        <v>316</v>
      </c>
      <c r="G112" s="7" t="str">
        <f t="shared" si="3"/>
        <v>text</v>
      </c>
      <c r="H112" s="26"/>
      <c r="I112" s="10"/>
      <c r="J112" s="11" t="s">
        <v>838</v>
      </c>
      <c r="L112" s="4"/>
      <c r="M112" s="4"/>
      <c r="N112" s="76"/>
      <c r="O112" s="76"/>
      <c r="P112" s="76" t="str">
        <f t="shared" si="12"/>
        <v>,adl0040_taitou_adl</v>
      </c>
      <c r="Q112" s="76" t="str">
        <f t="shared" si="13"/>
        <v>TEXT</v>
      </c>
      <c r="R112" s="76" t="str">
        <f t="shared" si="14"/>
        <v/>
      </c>
      <c r="S112" s="76" t="str">
        <f t="shared" si="15"/>
        <v/>
      </c>
      <c r="T112" s="76" t="str">
        <f t="shared" si="16"/>
        <v>-- 退棟・退室時のADLスコア</v>
      </c>
      <c r="U112" s="4"/>
      <c r="AA112" s="4"/>
      <c r="AB112" s="4"/>
      <c r="AC112" s="4"/>
      <c r="AD112" s="4"/>
      <c r="AE112" s="4"/>
      <c r="AF112" s="4"/>
      <c r="AG112" s="4"/>
      <c r="AH112" s="4"/>
      <c r="AI112" s="4"/>
      <c r="AJ112" s="76" t="str">
        <f>IF(E112="○",IF(COUNTA(E$13:E112)=1,"",",")&amp;D112,"")</f>
        <v/>
      </c>
      <c r="AK112" s="4"/>
      <c r="AL112" s="4"/>
      <c r="AM112" s="4"/>
      <c r="AN112" s="4"/>
      <c r="AO112" s="4"/>
      <c r="AP112" s="4"/>
      <c r="AQ112" s="4"/>
      <c r="AR112" s="4"/>
      <c r="AS112" s="76" t="str">
        <f>"COMMENT ON COLUMN "&amp;エンティティ一覧!$O$2&amp;"."&amp;D$8&amp;"."&amp;D112&amp;" IS '"&amp;C112&amp;"';"</f>
        <v>COMMENT ON COLUMN milscm_2023_010.azn_202310_base_merge_dpc_ff1.adl0040_taitou_adl IS '退棟・退室時のADLスコア';</v>
      </c>
      <c r="AT112" s="4"/>
      <c r="AU112" s="4"/>
      <c r="AV112" s="4"/>
      <c r="AW112" s="4"/>
      <c r="AX112" s="4"/>
      <c r="AY112" s="4"/>
      <c r="AZ112" s="4"/>
    </row>
    <row r="113" spans="1:52" s="25" customFormat="1">
      <c r="A113" s="4"/>
      <c r="B113" s="21">
        <f t="shared" si="2"/>
        <v>101</v>
      </c>
      <c r="C113" s="13" t="s">
        <v>717</v>
      </c>
      <c r="D113" s="13" t="s">
        <v>718</v>
      </c>
      <c r="E113" s="7"/>
      <c r="F113" s="7" t="s">
        <v>316</v>
      </c>
      <c r="G113" s="7" t="str">
        <f t="shared" si="3"/>
        <v>text</v>
      </c>
      <c r="H113" s="58"/>
      <c r="I113" s="23"/>
      <c r="J113" s="24" t="s">
        <v>839</v>
      </c>
      <c r="L113" s="4"/>
      <c r="M113" s="4"/>
      <c r="N113" s="76"/>
      <c r="O113" s="76"/>
      <c r="P113" s="76" t="str">
        <f t="shared" si="12"/>
        <v>,can0010_gan_shohatsu</v>
      </c>
      <c r="Q113" s="76" t="str">
        <f t="shared" si="13"/>
        <v>TEXT</v>
      </c>
      <c r="R113" s="76" t="str">
        <f t="shared" si="14"/>
        <v/>
      </c>
      <c r="S113" s="76" t="str">
        <f t="shared" si="15"/>
        <v/>
      </c>
      <c r="T113" s="76" t="str">
        <f t="shared" si="16"/>
        <v>-- がんの初発、再発</v>
      </c>
      <c r="U113" s="4"/>
      <c r="AA113" s="4"/>
      <c r="AB113" s="4"/>
      <c r="AC113" s="4"/>
      <c r="AD113" s="4"/>
      <c r="AE113" s="4"/>
      <c r="AF113" s="4"/>
      <c r="AG113" s="4"/>
      <c r="AH113" s="4"/>
      <c r="AI113" s="4"/>
      <c r="AJ113" s="76" t="str">
        <f>IF(E113="○",IF(COUNTA(E$13:E113)=1,"",",")&amp;D113,"")</f>
        <v/>
      </c>
      <c r="AK113" s="4"/>
      <c r="AL113" s="4"/>
      <c r="AM113" s="4"/>
      <c r="AN113" s="4"/>
      <c r="AO113" s="4"/>
      <c r="AP113" s="4"/>
      <c r="AQ113" s="4"/>
      <c r="AR113" s="4"/>
      <c r="AS113" s="76" t="str">
        <f>"COMMENT ON COLUMN "&amp;エンティティ一覧!$O$2&amp;"."&amp;D$8&amp;"."&amp;D113&amp;" IS '"&amp;C113&amp;"';"</f>
        <v>COMMENT ON COLUMN milscm_2023_010.azn_202310_base_merge_dpc_ff1.can0010_gan_shohatsu IS 'がんの初発、再発';</v>
      </c>
      <c r="AT113" s="4"/>
      <c r="AU113" s="4"/>
      <c r="AV113" s="4"/>
      <c r="AW113" s="4"/>
      <c r="AX113" s="4"/>
      <c r="AY113" s="4"/>
      <c r="AZ113" s="4"/>
    </row>
    <row r="114" spans="1:52" s="25" customFormat="1">
      <c r="A114" s="4"/>
      <c r="B114" s="21">
        <f t="shared" si="2"/>
        <v>102</v>
      </c>
      <c r="C114" s="6" t="s">
        <v>719</v>
      </c>
      <c r="D114" s="6" t="s">
        <v>720</v>
      </c>
      <c r="E114" s="8"/>
      <c r="F114" s="7" t="s">
        <v>316</v>
      </c>
      <c r="G114" s="7" t="str">
        <f t="shared" si="3"/>
        <v>text</v>
      </c>
      <c r="H114" s="26"/>
      <c r="I114" s="10"/>
      <c r="J114" s="11"/>
      <c r="L114" s="4"/>
      <c r="M114" s="4"/>
      <c r="N114" s="76"/>
      <c r="O114" s="76"/>
      <c r="P114" s="76" t="str">
        <f t="shared" si="12"/>
        <v>,can0020_uicc_t</v>
      </c>
      <c r="Q114" s="76" t="str">
        <f t="shared" si="13"/>
        <v>TEXT</v>
      </c>
      <c r="R114" s="76" t="str">
        <f t="shared" si="14"/>
        <v/>
      </c>
      <c r="S114" s="76" t="str">
        <f t="shared" si="15"/>
        <v/>
      </c>
      <c r="T114" s="76" t="str">
        <f t="shared" si="16"/>
        <v>-- UICC病期分類（T）</v>
      </c>
      <c r="U114" s="4"/>
      <c r="AA114" s="4"/>
      <c r="AB114" s="4"/>
      <c r="AC114" s="4"/>
      <c r="AD114" s="4"/>
      <c r="AE114" s="4"/>
      <c r="AF114" s="4"/>
      <c r="AG114" s="4"/>
      <c r="AH114" s="4"/>
      <c r="AI114" s="4"/>
      <c r="AJ114" s="76" t="str">
        <f>IF(E114="○",IF(COUNTA(E$13:E114)=1,"",",")&amp;D114,"")</f>
        <v/>
      </c>
      <c r="AK114" s="4"/>
      <c r="AL114" s="4"/>
      <c r="AM114" s="4"/>
      <c r="AN114" s="4"/>
      <c r="AO114" s="4"/>
      <c r="AP114" s="4"/>
      <c r="AQ114" s="4"/>
      <c r="AR114" s="4"/>
      <c r="AS114" s="76" t="str">
        <f>"COMMENT ON COLUMN "&amp;エンティティ一覧!$O$2&amp;"."&amp;D$8&amp;"."&amp;D114&amp;" IS '"&amp;C114&amp;"';"</f>
        <v>COMMENT ON COLUMN milscm_2023_010.azn_202310_base_merge_dpc_ff1.can0020_uicc_t IS 'UICC病期分類（T）';</v>
      </c>
      <c r="AT114" s="4"/>
      <c r="AU114" s="4"/>
      <c r="AV114" s="4"/>
      <c r="AW114" s="4"/>
      <c r="AX114" s="4"/>
      <c r="AY114" s="4"/>
      <c r="AZ114" s="4"/>
    </row>
    <row r="115" spans="1:52" s="25" customFormat="1">
      <c r="A115" s="4"/>
      <c r="B115" s="21">
        <f t="shared" si="2"/>
        <v>103</v>
      </c>
      <c r="C115" s="13" t="s">
        <v>721</v>
      </c>
      <c r="D115" s="13" t="s">
        <v>722</v>
      </c>
      <c r="E115" s="7"/>
      <c r="F115" s="7" t="s">
        <v>316</v>
      </c>
      <c r="G115" s="7" t="str">
        <f t="shared" si="3"/>
        <v>text</v>
      </c>
      <c r="H115" s="58"/>
      <c r="I115" s="23"/>
      <c r="J115" s="24"/>
      <c r="L115" s="4"/>
      <c r="M115" s="4"/>
      <c r="N115" s="76"/>
      <c r="O115" s="76"/>
      <c r="P115" s="76" t="str">
        <f t="shared" si="12"/>
        <v>,can0020_uicc_n</v>
      </c>
      <c r="Q115" s="76" t="str">
        <f t="shared" si="13"/>
        <v>TEXT</v>
      </c>
      <c r="R115" s="76" t="str">
        <f t="shared" si="14"/>
        <v/>
      </c>
      <c r="S115" s="76" t="str">
        <f t="shared" si="15"/>
        <v/>
      </c>
      <c r="T115" s="76" t="str">
        <f t="shared" si="16"/>
        <v>-- UICC病期分類（N）</v>
      </c>
      <c r="U115" s="4"/>
      <c r="AA115" s="4"/>
      <c r="AB115" s="4"/>
      <c r="AC115" s="4"/>
      <c r="AD115" s="4"/>
      <c r="AE115" s="4"/>
      <c r="AF115" s="4"/>
      <c r="AG115" s="4"/>
      <c r="AH115" s="4"/>
      <c r="AI115" s="4"/>
      <c r="AJ115" s="76" t="str">
        <f>IF(E115="○",IF(COUNTA(E$13:E115)=1,"",",")&amp;D115,"")</f>
        <v/>
      </c>
      <c r="AK115" s="4"/>
      <c r="AL115" s="4"/>
      <c r="AM115" s="4"/>
      <c r="AN115" s="4"/>
      <c r="AO115" s="4"/>
      <c r="AP115" s="4"/>
      <c r="AQ115" s="4"/>
      <c r="AR115" s="4"/>
      <c r="AS115" s="76" t="str">
        <f>"COMMENT ON COLUMN "&amp;エンティティ一覧!$O$2&amp;"."&amp;D$8&amp;"."&amp;D115&amp;" IS '"&amp;C115&amp;"';"</f>
        <v>COMMENT ON COLUMN milscm_2023_010.azn_202310_base_merge_dpc_ff1.can0020_uicc_n IS 'UICC病期分類（N）';</v>
      </c>
      <c r="AT115" s="4"/>
      <c r="AU115" s="4"/>
      <c r="AV115" s="4"/>
      <c r="AW115" s="4"/>
      <c r="AX115" s="4"/>
      <c r="AY115" s="4"/>
      <c r="AZ115" s="4"/>
    </row>
    <row r="116" spans="1:52" s="25" customFormat="1">
      <c r="A116" s="4"/>
      <c r="B116" s="21">
        <f t="shared" si="2"/>
        <v>104</v>
      </c>
      <c r="C116" s="13" t="s">
        <v>723</v>
      </c>
      <c r="D116" s="13" t="s">
        <v>724</v>
      </c>
      <c r="E116" s="7"/>
      <c r="F116" s="7" t="s">
        <v>316</v>
      </c>
      <c r="G116" s="7" t="str">
        <f t="shared" si="3"/>
        <v>text</v>
      </c>
      <c r="H116" s="26"/>
      <c r="I116" s="10"/>
      <c r="J116" s="11"/>
      <c r="L116" s="4"/>
      <c r="M116" s="4"/>
      <c r="N116" s="76"/>
      <c r="O116" s="76"/>
      <c r="P116" s="76" t="str">
        <f t="shared" si="12"/>
        <v>,can0020_uicc_m</v>
      </c>
      <c r="Q116" s="76" t="str">
        <f t="shared" si="13"/>
        <v>TEXT</v>
      </c>
      <c r="R116" s="76" t="str">
        <f t="shared" si="14"/>
        <v/>
      </c>
      <c r="S116" s="76" t="str">
        <f t="shared" si="15"/>
        <v/>
      </c>
      <c r="T116" s="76" t="str">
        <f t="shared" si="16"/>
        <v>-- UICC病期分類（M）</v>
      </c>
      <c r="U116" s="4"/>
      <c r="AA116" s="4"/>
      <c r="AB116" s="4"/>
      <c r="AC116" s="4"/>
      <c r="AD116" s="4"/>
      <c r="AE116" s="4"/>
      <c r="AF116" s="4"/>
      <c r="AG116" s="4"/>
      <c r="AH116" s="4"/>
      <c r="AI116" s="4"/>
      <c r="AJ116" s="76" t="str">
        <f>IF(E116="○",IF(COUNTA(E$13:E116)=1,"",",")&amp;D116,"")</f>
        <v/>
      </c>
      <c r="AK116" s="4"/>
      <c r="AL116" s="4"/>
      <c r="AM116" s="4"/>
      <c r="AN116" s="4"/>
      <c r="AO116" s="4"/>
      <c r="AP116" s="4"/>
      <c r="AQ116" s="4"/>
      <c r="AR116" s="4"/>
      <c r="AS116" s="76" t="str">
        <f>"COMMENT ON COLUMN "&amp;エンティティ一覧!$O$2&amp;"."&amp;D$8&amp;"."&amp;D116&amp;" IS '"&amp;C116&amp;"';"</f>
        <v>COMMENT ON COLUMN milscm_2023_010.azn_202310_base_merge_dpc_ff1.can0020_uicc_m IS 'UICC病期分類（M）';</v>
      </c>
      <c r="AT116" s="4"/>
      <c r="AU116" s="4"/>
      <c r="AV116" s="4"/>
      <c r="AW116" s="4"/>
      <c r="AX116" s="4"/>
      <c r="AY116" s="4"/>
      <c r="AZ116" s="4"/>
    </row>
    <row r="117" spans="1:52" s="25" customFormat="1">
      <c r="A117" s="4"/>
      <c r="B117" s="21">
        <f t="shared" si="2"/>
        <v>105</v>
      </c>
      <c r="C117" s="13" t="s">
        <v>725</v>
      </c>
      <c r="D117" s="13" t="s">
        <v>726</v>
      </c>
      <c r="E117" s="7"/>
      <c r="F117" s="7" t="s">
        <v>316</v>
      </c>
      <c r="G117" s="7" t="str">
        <f t="shared" si="3"/>
        <v>text</v>
      </c>
      <c r="H117" s="58"/>
      <c r="I117" s="23"/>
      <c r="J117" s="24" t="s">
        <v>840</v>
      </c>
      <c r="L117" s="4"/>
      <c r="M117" s="4"/>
      <c r="N117" s="76"/>
      <c r="O117" s="76"/>
      <c r="P117" s="76" t="str">
        <f t="shared" si="12"/>
        <v>,can0020_uicc_han</v>
      </c>
      <c r="Q117" s="76" t="str">
        <f t="shared" si="13"/>
        <v>TEXT</v>
      </c>
      <c r="R117" s="76" t="str">
        <f t="shared" si="14"/>
        <v/>
      </c>
      <c r="S117" s="76" t="str">
        <f t="shared" si="15"/>
        <v/>
      </c>
      <c r="T117" s="76" t="str">
        <f t="shared" si="16"/>
        <v>-- UICC病期分類（版）</v>
      </c>
      <c r="U117" s="4"/>
      <c r="AA117" s="4"/>
      <c r="AB117" s="4"/>
      <c r="AC117" s="4"/>
      <c r="AD117" s="4"/>
      <c r="AE117" s="4"/>
      <c r="AF117" s="4"/>
      <c r="AG117" s="4"/>
      <c r="AH117" s="4"/>
      <c r="AI117" s="4"/>
      <c r="AJ117" s="76" t="str">
        <f>IF(E117="○",IF(COUNTA(E$13:E117)=1,"",",")&amp;D117,"")</f>
        <v/>
      </c>
      <c r="AK117" s="4"/>
      <c r="AL117" s="4"/>
      <c r="AM117" s="4"/>
      <c r="AN117" s="4"/>
      <c r="AO117" s="4"/>
      <c r="AP117" s="4"/>
      <c r="AQ117" s="4"/>
      <c r="AR117" s="4"/>
      <c r="AS117" s="76" t="str">
        <f>"COMMENT ON COLUMN "&amp;エンティティ一覧!$O$2&amp;"."&amp;D$8&amp;"."&amp;D117&amp;" IS '"&amp;C117&amp;"';"</f>
        <v>COMMENT ON COLUMN milscm_2023_010.azn_202310_base_merge_dpc_ff1.can0020_uicc_han IS 'UICC病期分類（版）';</v>
      </c>
      <c r="AT117" s="4"/>
      <c r="AU117" s="4"/>
      <c r="AV117" s="4"/>
      <c r="AW117" s="4"/>
      <c r="AX117" s="4"/>
      <c r="AY117" s="4"/>
      <c r="AZ117" s="4"/>
    </row>
    <row r="118" spans="1:52" s="25" customFormat="1" ht="31.5">
      <c r="A118" s="4"/>
      <c r="B118" s="21">
        <f t="shared" si="2"/>
        <v>106</v>
      </c>
      <c r="C118" s="6" t="s">
        <v>727</v>
      </c>
      <c r="D118" s="6" t="s">
        <v>728</v>
      </c>
      <c r="E118" s="8"/>
      <c r="F118" s="7" t="s">
        <v>316</v>
      </c>
      <c r="G118" s="7" t="str">
        <f t="shared" si="3"/>
        <v>text</v>
      </c>
      <c r="H118" s="58"/>
      <c r="I118" s="23"/>
      <c r="J118" s="24"/>
      <c r="L118" s="4"/>
      <c r="M118" s="4"/>
      <c r="N118" s="76"/>
      <c r="O118" s="76"/>
      <c r="P118" s="76" t="str">
        <f t="shared" si="12"/>
        <v>,can0030_gan_stage</v>
      </c>
      <c r="Q118" s="76" t="str">
        <f t="shared" si="13"/>
        <v>TEXT</v>
      </c>
      <c r="R118" s="76" t="str">
        <f t="shared" si="14"/>
        <v/>
      </c>
      <c r="S118" s="76" t="str">
        <f t="shared" si="15"/>
        <v/>
      </c>
      <c r="T118" s="76" t="str">
        <f t="shared" si="16"/>
        <v>-- 癌取扱い規約に基づくがんのStage分類</v>
      </c>
      <c r="U118" s="4"/>
      <c r="AA118" s="4"/>
      <c r="AB118" s="4"/>
      <c r="AC118" s="4"/>
      <c r="AD118" s="4"/>
      <c r="AE118" s="4"/>
      <c r="AF118" s="4"/>
      <c r="AG118" s="4"/>
      <c r="AH118" s="4"/>
      <c r="AI118" s="4"/>
      <c r="AJ118" s="76" t="str">
        <f>IF(E118="○",IF(COUNTA(E$13:E118)=1,"",",")&amp;D118,"")</f>
        <v/>
      </c>
      <c r="AK118" s="4"/>
      <c r="AL118" s="4"/>
      <c r="AM118" s="4"/>
      <c r="AN118" s="4"/>
      <c r="AO118" s="4"/>
      <c r="AP118" s="4"/>
      <c r="AQ118" s="4"/>
      <c r="AR118" s="4"/>
      <c r="AS118" s="76" t="str">
        <f>"COMMENT ON COLUMN "&amp;エンティティ一覧!$O$2&amp;"."&amp;D$8&amp;"."&amp;D118&amp;" IS '"&amp;C118&amp;"';"</f>
        <v>COMMENT ON COLUMN milscm_2023_010.azn_202310_base_merge_dpc_ff1.can0030_gan_stage IS '癌取扱い規約に基づくがんのStage分類';</v>
      </c>
      <c r="AT118" s="4"/>
      <c r="AU118" s="4"/>
      <c r="AV118" s="4"/>
      <c r="AW118" s="4"/>
      <c r="AX118" s="4"/>
      <c r="AY118" s="4"/>
      <c r="AZ118" s="4"/>
    </row>
    <row r="119" spans="1:52" s="25" customFormat="1" ht="37.5">
      <c r="A119" s="4"/>
      <c r="B119" s="21">
        <f t="shared" si="2"/>
        <v>107</v>
      </c>
      <c r="C119" s="13" t="s">
        <v>729</v>
      </c>
      <c r="D119" s="13" t="s">
        <v>730</v>
      </c>
      <c r="E119" s="7"/>
      <c r="F119" s="7" t="s">
        <v>316</v>
      </c>
      <c r="G119" s="7" t="str">
        <f t="shared" si="3"/>
        <v>text</v>
      </c>
      <c r="H119" s="26"/>
      <c r="I119" s="10"/>
      <c r="J119" s="11" t="s">
        <v>841</v>
      </c>
      <c r="L119" s="4"/>
      <c r="M119" s="4"/>
      <c r="N119" s="76"/>
      <c r="O119" s="76"/>
      <c r="P119" s="76" t="str">
        <f t="shared" si="12"/>
        <v>,can0040_kagaku_ryoho_flag</v>
      </c>
      <c r="Q119" s="76" t="str">
        <f t="shared" si="13"/>
        <v>TEXT</v>
      </c>
      <c r="R119" s="76" t="str">
        <f t="shared" si="14"/>
        <v/>
      </c>
      <c r="S119" s="76" t="str">
        <f t="shared" si="15"/>
        <v/>
      </c>
      <c r="T119" s="76" t="str">
        <f t="shared" si="16"/>
        <v>-- 化学療法の有無</v>
      </c>
      <c r="U119" s="4"/>
      <c r="AA119" s="4"/>
      <c r="AB119" s="4"/>
      <c r="AC119" s="4"/>
      <c r="AD119" s="4"/>
      <c r="AE119" s="4"/>
      <c r="AF119" s="4"/>
      <c r="AG119" s="4"/>
      <c r="AH119" s="4"/>
      <c r="AI119" s="4"/>
      <c r="AJ119" s="76" t="str">
        <f>IF(E119="○",IF(COUNTA(E$13:E119)=1,"",",")&amp;D119,"")</f>
        <v/>
      </c>
      <c r="AK119" s="4"/>
      <c r="AL119" s="4"/>
      <c r="AM119" s="4"/>
      <c r="AN119" s="4"/>
      <c r="AO119" s="4"/>
      <c r="AP119" s="4"/>
      <c r="AQ119" s="4"/>
      <c r="AR119" s="4"/>
      <c r="AS119" s="76" t="str">
        <f>"COMMENT ON COLUMN "&amp;エンティティ一覧!$O$2&amp;"."&amp;D$8&amp;"."&amp;D119&amp;" IS '"&amp;C119&amp;"';"</f>
        <v>COMMENT ON COLUMN milscm_2023_010.azn_202310_base_merge_dpc_ff1.can0040_kagaku_ryoho_flag IS '化学療法の有無';</v>
      </c>
      <c r="AT119" s="4"/>
      <c r="AU119" s="4"/>
      <c r="AV119" s="4"/>
      <c r="AW119" s="4"/>
      <c r="AX119" s="4"/>
      <c r="AY119" s="4"/>
      <c r="AZ119" s="4"/>
    </row>
    <row r="120" spans="1:52" s="25" customFormat="1" ht="75">
      <c r="A120" s="4"/>
      <c r="B120" s="21">
        <f t="shared" si="2"/>
        <v>108</v>
      </c>
      <c r="C120" s="6" t="s">
        <v>731</v>
      </c>
      <c r="D120" s="6" t="s">
        <v>732</v>
      </c>
      <c r="E120" s="8"/>
      <c r="F120" s="7" t="s">
        <v>316</v>
      </c>
      <c r="G120" s="7" t="str">
        <f t="shared" si="3"/>
        <v>text</v>
      </c>
      <c r="H120" s="26"/>
      <c r="I120" s="10"/>
      <c r="J120" s="11" t="s">
        <v>842</v>
      </c>
      <c r="L120" s="4"/>
      <c r="M120" s="4"/>
      <c r="N120" s="76"/>
      <c r="O120" s="76"/>
      <c r="P120" s="76" t="str">
        <f t="shared" si="12"/>
        <v>,jcs0010_nyuin_jcs</v>
      </c>
      <c r="Q120" s="76" t="str">
        <f t="shared" si="13"/>
        <v>TEXT</v>
      </c>
      <c r="R120" s="76" t="str">
        <f t="shared" si="14"/>
        <v/>
      </c>
      <c r="S120" s="76" t="str">
        <f t="shared" si="15"/>
        <v/>
      </c>
      <c r="T120" s="76" t="str">
        <f t="shared" si="16"/>
        <v>-- 入院時意識障害がある場合のJCS</v>
      </c>
      <c r="U120" s="4"/>
      <c r="AA120" s="4"/>
      <c r="AB120" s="4"/>
      <c r="AC120" s="4"/>
      <c r="AD120" s="4"/>
      <c r="AE120" s="4"/>
      <c r="AF120" s="4"/>
      <c r="AG120" s="4"/>
      <c r="AH120" s="4"/>
      <c r="AI120" s="4"/>
      <c r="AJ120" s="76" t="str">
        <f>IF(E120="○",IF(COUNTA(E$13:E120)=1,"",",")&amp;D120,"")</f>
        <v/>
      </c>
      <c r="AK120" s="4"/>
      <c r="AL120" s="4"/>
      <c r="AM120" s="4"/>
      <c r="AN120" s="4"/>
      <c r="AO120" s="4"/>
      <c r="AP120" s="4"/>
      <c r="AQ120" s="4"/>
      <c r="AR120" s="4"/>
      <c r="AS120" s="76" t="str">
        <f>"COMMENT ON COLUMN "&amp;エンティティ一覧!$O$2&amp;"."&amp;D$8&amp;"."&amp;D120&amp;" IS '"&amp;C120&amp;"';"</f>
        <v>COMMENT ON COLUMN milscm_2023_010.azn_202310_base_merge_dpc_ff1.jcs0010_nyuin_jcs IS '入院時意識障害がある場合のJCS';</v>
      </c>
      <c r="AT120" s="4"/>
      <c r="AU120" s="4"/>
      <c r="AV120" s="4"/>
      <c r="AW120" s="4"/>
      <c r="AX120" s="4"/>
      <c r="AY120" s="4"/>
      <c r="AZ120" s="4"/>
    </row>
    <row r="121" spans="1:52" s="25" customFormat="1" ht="37.5">
      <c r="A121" s="4"/>
      <c r="B121" s="21">
        <f t="shared" si="2"/>
        <v>109</v>
      </c>
      <c r="C121" s="13" t="s">
        <v>733</v>
      </c>
      <c r="D121" s="13" t="s">
        <v>734</v>
      </c>
      <c r="E121" s="7"/>
      <c r="F121" s="7" t="s">
        <v>735</v>
      </c>
      <c r="G121" s="7" t="str">
        <f t="shared" si="3"/>
        <v>text</v>
      </c>
      <c r="H121" s="58"/>
      <c r="I121" s="23"/>
      <c r="J121" s="24" t="s">
        <v>843</v>
      </c>
      <c r="L121" s="4"/>
      <c r="M121" s="4"/>
      <c r="N121" s="76"/>
      <c r="O121" s="76"/>
      <c r="P121" s="76" t="str">
        <f t="shared" si="12"/>
        <v>,jcs0010_emergency_jcs</v>
      </c>
      <c r="Q121" s="76" t="str">
        <f t="shared" si="13"/>
        <v>TEXT</v>
      </c>
      <c r="R121" s="76" t="str">
        <f t="shared" si="14"/>
        <v/>
      </c>
      <c r="S121" s="76" t="str">
        <f t="shared" si="15"/>
        <v/>
      </c>
      <c r="T121" s="76" t="str">
        <f t="shared" si="16"/>
        <v>-- 救急受診時意識障害がある場合のJCS</v>
      </c>
      <c r="U121" s="4"/>
      <c r="AA121" s="4"/>
      <c r="AB121" s="4"/>
      <c r="AC121" s="4"/>
      <c r="AD121" s="4"/>
      <c r="AE121" s="4"/>
      <c r="AF121" s="4"/>
      <c r="AG121" s="4"/>
      <c r="AH121" s="4"/>
      <c r="AI121" s="4"/>
      <c r="AJ121" s="76" t="str">
        <f>IF(E121="○",IF(COUNTA(E$13:E121)=1,"",",")&amp;D121,"")</f>
        <v/>
      </c>
      <c r="AK121" s="4"/>
      <c r="AL121" s="4"/>
      <c r="AM121" s="4"/>
      <c r="AN121" s="4"/>
      <c r="AO121" s="4"/>
      <c r="AP121" s="4"/>
      <c r="AQ121" s="4"/>
      <c r="AR121" s="4"/>
      <c r="AS121" s="76" t="str">
        <f>"COMMENT ON COLUMN "&amp;エンティティ一覧!$O$2&amp;"."&amp;D$8&amp;"."&amp;D121&amp;" IS '"&amp;C121&amp;"';"</f>
        <v>COMMENT ON COLUMN milscm_2023_010.azn_202310_base_merge_dpc_ff1.jcs0010_emergency_jcs IS '救急受診時意識障害がある場合のJCS';</v>
      </c>
      <c r="AT121" s="4"/>
      <c r="AU121" s="4"/>
      <c r="AV121" s="4"/>
      <c r="AW121" s="4"/>
      <c r="AX121" s="4"/>
      <c r="AY121" s="4"/>
      <c r="AZ121" s="4"/>
    </row>
    <row r="122" spans="1:52" s="25" customFormat="1" ht="37.5">
      <c r="A122" s="4"/>
      <c r="B122" s="21">
        <f t="shared" si="2"/>
        <v>110</v>
      </c>
      <c r="C122" s="6" t="s">
        <v>736</v>
      </c>
      <c r="D122" s="6" t="s">
        <v>737</v>
      </c>
      <c r="E122" s="8"/>
      <c r="F122" s="7" t="s">
        <v>735</v>
      </c>
      <c r="G122" s="7" t="str">
        <f t="shared" si="3"/>
        <v>text</v>
      </c>
      <c r="H122" s="26"/>
      <c r="I122" s="10"/>
      <c r="J122" s="11" t="s">
        <v>844</v>
      </c>
      <c r="L122" s="4"/>
      <c r="M122" s="4"/>
      <c r="N122" s="76"/>
      <c r="O122" s="76"/>
      <c r="P122" s="76" t="str">
        <f t="shared" si="12"/>
        <v>,jcs0010_nyusitsu_jcs</v>
      </c>
      <c r="Q122" s="76" t="str">
        <f t="shared" si="13"/>
        <v>TEXT</v>
      </c>
      <c r="R122" s="76" t="str">
        <f t="shared" si="14"/>
        <v/>
      </c>
      <c r="S122" s="76" t="str">
        <f t="shared" si="15"/>
        <v/>
      </c>
      <c r="T122" s="76" t="str">
        <f t="shared" si="16"/>
        <v>-- 治療室又は病棟入室時意識障害がある場合のJCS</v>
      </c>
      <c r="U122" s="4"/>
      <c r="AA122" s="4"/>
      <c r="AB122" s="4"/>
      <c r="AC122" s="4"/>
      <c r="AD122" s="4"/>
      <c r="AE122" s="4"/>
      <c r="AF122" s="4"/>
      <c r="AG122" s="4"/>
      <c r="AH122" s="4"/>
      <c r="AI122" s="4"/>
      <c r="AJ122" s="76" t="str">
        <f>IF(E122="○",IF(COUNTA(E$13:E122)=1,"",",")&amp;D122,"")</f>
        <v/>
      </c>
      <c r="AK122" s="4"/>
      <c r="AL122" s="4"/>
      <c r="AM122" s="4"/>
      <c r="AN122" s="4"/>
      <c r="AO122" s="4"/>
      <c r="AP122" s="4"/>
      <c r="AQ122" s="4"/>
      <c r="AR122" s="4"/>
      <c r="AS122" s="76" t="str">
        <f>"COMMENT ON COLUMN "&amp;エンティティ一覧!$O$2&amp;"."&amp;D$8&amp;"."&amp;D122&amp;" IS '"&amp;C122&amp;"';"</f>
        <v>COMMENT ON COLUMN milscm_2023_010.azn_202310_base_merge_dpc_ff1.jcs0010_nyusitsu_jcs IS '治療室又は病棟入室時意識障害がある場合のJCS';</v>
      </c>
      <c r="AT122" s="4"/>
      <c r="AU122" s="4"/>
      <c r="AV122" s="4"/>
      <c r="AW122" s="4"/>
      <c r="AX122" s="4"/>
      <c r="AY122" s="4"/>
      <c r="AZ122" s="4"/>
    </row>
    <row r="123" spans="1:52" s="25" customFormat="1" ht="75">
      <c r="A123" s="4"/>
      <c r="B123" s="21">
        <f t="shared" si="2"/>
        <v>111</v>
      </c>
      <c r="C123" s="13" t="s">
        <v>738</v>
      </c>
      <c r="D123" s="13" t="s">
        <v>739</v>
      </c>
      <c r="E123" s="7"/>
      <c r="F123" s="7" t="s">
        <v>316</v>
      </c>
      <c r="G123" s="7" t="str">
        <f t="shared" si="3"/>
        <v>text</v>
      </c>
      <c r="H123" s="58"/>
      <c r="I123" s="23"/>
      <c r="J123" s="24" t="s">
        <v>842</v>
      </c>
      <c r="L123" s="4"/>
      <c r="M123" s="4"/>
      <c r="N123" s="76"/>
      <c r="O123" s="76"/>
      <c r="P123" s="76" t="str">
        <f t="shared" si="12"/>
        <v>,jcs0020_taiin_jcs</v>
      </c>
      <c r="Q123" s="76" t="str">
        <f t="shared" si="13"/>
        <v>TEXT</v>
      </c>
      <c r="R123" s="76" t="str">
        <f t="shared" si="14"/>
        <v/>
      </c>
      <c r="S123" s="76" t="str">
        <f t="shared" si="15"/>
        <v/>
      </c>
      <c r="T123" s="76" t="str">
        <f t="shared" si="16"/>
        <v>-- 退院時意識障害がある場合のJCS</v>
      </c>
      <c r="U123" s="4"/>
      <c r="AA123" s="4"/>
      <c r="AB123" s="4"/>
      <c r="AC123" s="4"/>
      <c r="AD123" s="4"/>
      <c r="AE123" s="4"/>
      <c r="AF123" s="4"/>
      <c r="AG123" s="4"/>
      <c r="AH123" s="4"/>
      <c r="AI123" s="4"/>
      <c r="AJ123" s="76" t="str">
        <f>IF(E123="○",IF(COUNTA(E$13:E123)=1,"",",")&amp;D123,"")</f>
        <v/>
      </c>
      <c r="AK123" s="4"/>
      <c r="AL123" s="4"/>
      <c r="AM123" s="4"/>
      <c r="AN123" s="4"/>
      <c r="AO123" s="4"/>
      <c r="AP123" s="4"/>
      <c r="AQ123" s="4"/>
      <c r="AR123" s="4"/>
      <c r="AS123" s="76" t="str">
        <f>"COMMENT ON COLUMN "&amp;エンティティ一覧!$O$2&amp;"."&amp;D$8&amp;"."&amp;D123&amp;" IS '"&amp;C123&amp;"';"</f>
        <v>COMMENT ON COLUMN milscm_2023_010.azn_202310_base_merge_dpc_ff1.jcs0020_taiin_jcs IS '退院時意識障害がある場合のJCS';</v>
      </c>
      <c r="AT123" s="4"/>
      <c r="AU123" s="4"/>
      <c r="AV123" s="4"/>
      <c r="AW123" s="4"/>
      <c r="AX123" s="4"/>
      <c r="AY123" s="4"/>
      <c r="AZ123" s="4"/>
    </row>
    <row r="124" spans="1:52" s="25" customFormat="1" ht="31.5">
      <c r="A124" s="4"/>
      <c r="B124" s="21">
        <f t="shared" si="2"/>
        <v>112</v>
      </c>
      <c r="C124" s="6" t="s">
        <v>740</v>
      </c>
      <c r="D124" s="6" t="s">
        <v>741</v>
      </c>
      <c r="E124" s="8"/>
      <c r="F124" s="7" t="s">
        <v>316</v>
      </c>
      <c r="G124" s="7" t="str">
        <f t="shared" si="3"/>
        <v>text</v>
      </c>
      <c r="H124" s="26"/>
      <c r="I124" s="10"/>
      <c r="J124" s="11"/>
      <c r="L124" s="4"/>
      <c r="M124" s="4"/>
      <c r="N124" s="76"/>
      <c r="O124" s="76"/>
      <c r="P124" s="76" t="str">
        <f t="shared" si="12"/>
        <v>,m010010_before_rankin_scale</v>
      </c>
      <c r="Q124" s="76" t="str">
        <f t="shared" si="13"/>
        <v>TEXT</v>
      </c>
      <c r="R124" s="76" t="str">
        <f t="shared" si="14"/>
        <v/>
      </c>
      <c r="S124" s="76" t="str">
        <f t="shared" si="15"/>
        <v/>
      </c>
      <c r="T124" s="76" t="str">
        <f t="shared" si="16"/>
        <v>-- 発症前RankinScale</v>
      </c>
      <c r="U124" s="4"/>
      <c r="AA124" s="4"/>
      <c r="AB124" s="4"/>
      <c r="AC124" s="4"/>
      <c r="AD124" s="4"/>
      <c r="AE124" s="4"/>
      <c r="AF124" s="4"/>
      <c r="AG124" s="4"/>
      <c r="AH124" s="4"/>
      <c r="AI124" s="4"/>
      <c r="AJ124" s="76" t="str">
        <f>IF(E124="○",IF(COUNTA(E$13:E124)=1,"",",")&amp;D124,"")</f>
        <v/>
      </c>
      <c r="AK124" s="4"/>
      <c r="AL124" s="4"/>
      <c r="AM124" s="4"/>
      <c r="AN124" s="4"/>
      <c r="AO124" s="4"/>
      <c r="AP124" s="4"/>
      <c r="AQ124" s="4"/>
      <c r="AR124" s="4"/>
      <c r="AS124" s="76" t="str">
        <f>"COMMENT ON COLUMN "&amp;エンティティ一覧!$O$2&amp;"."&amp;D$8&amp;"."&amp;D124&amp;" IS '"&amp;C124&amp;"';"</f>
        <v>COMMENT ON COLUMN milscm_2023_010.azn_202310_base_merge_dpc_ff1.m010010_before_rankin_scale IS '発症前RankinScale';</v>
      </c>
      <c r="AT124" s="4"/>
      <c r="AU124" s="4"/>
      <c r="AV124" s="4"/>
      <c r="AW124" s="4"/>
      <c r="AX124" s="4"/>
      <c r="AY124" s="4"/>
      <c r="AZ124" s="4"/>
    </row>
    <row r="125" spans="1:52" s="25" customFormat="1">
      <c r="A125" s="4"/>
      <c r="B125" s="21">
        <f t="shared" si="2"/>
        <v>113</v>
      </c>
      <c r="C125" s="13" t="s">
        <v>742</v>
      </c>
      <c r="D125" s="13" t="s">
        <v>743</v>
      </c>
      <c r="E125" s="7"/>
      <c r="F125" s="7" t="s">
        <v>316</v>
      </c>
      <c r="G125" s="7" t="str">
        <f t="shared" si="3"/>
        <v>text</v>
      </c>
      <c r="H125" s="58"/>
      <c r="I125" s="23"/>
      <c r="J125" s="24"/>
      <c r="L125" s="4"/>
      <c r="M125" s="4"/>
      <c r="N125" s="76"/>
      <c r="O125" s="76"/>
      <c r="P125" s="76" t="str">
        <f t="shared" si="12"/>
        <v>,m010010_stroke</v>
      </c>
      <c r="Q125" s="76" t="str">
        <f t="shared" si="13"/>
        <v>TEXT</v>
      </c>
      <c r="R125" s="76" t="str">
        <f t="shared" si="14"/>
        <v/>
      </c>
      <c r="S125" s="76" t="str">
        <f t="shared" si="15"/>
        <v/>
      </c>
      <c r="T125" s="76" t="str">
        <f t="shared" si="16"/>
        <v>-- 脳卒中の発症時期</v>
      </c>
      <c r="U125" s="4"/>
      <c r="AA125" s="4"/>
      <c r="AB125" s="4"/>
      <c r="AC125" s="4"/>
      <c r="AD125" s="4"/>
      <c r="AE125" s="4"/>
      <c r="AF125" s="4"/>
      <c r="AG125" s="4"/>
      <c r="AH125" s="4"/>
      <c r="AI125" s="4"/>
      <c r="AJ125" s="76" t="str">
        <f>IF(E125="○",IF(COUNTA(E$13:E125)=1,"",",")&amp;D125,"")</f>
        <v/>
      </c>
      <c r="AK125" s="4"/>
      <c r="AL125" s="4"/>
      <c r="AM125" s="4"/>
      <c r="AN125" s="4"/>
      <c r="AO125" s="4"/>
      <c r="AP125" s="4"/>
      <c r="AQ125" s="4"/>
      <c r="AR125" s="4"/>
      <c r="AS125" s="76" t="str">
        <f>"COMMENT ON COLUMN "&amp;エンティティ一覧!$O$2&amp;"."&amp;D$8&amp;"."&amp;D125&amp;" IS '"&amp;C125&amp;"';"</f>
        <v>COMMENT ON COLUMN milscm_2023_010.azn_202310_base_merge_dpc_ff1.m010010_stroke IS '脳卒中の発症時期';</v>
      </c>
      <c r="AT125" s="4"/>
      <c r="AU125" s="4"/>
      <c r="AV125" s="4"/>
      <c r="AW125" s="4"/>
      <c r="AX125" s="4"/>
      <c r="AY125" s="4"/>
      <c r="AZ125" s="4"/>
    </row>
    <row r="126" spans="1:52" s="25" customFormat="1" ht="31.5">
      <c r="A126" s="4"/>
      <c r="B126" s="21">
        <f t="shared" si="2"/>
        <v>114</v>
      </c>
      <c r="C126" s="13" t="s">
        <v>744</v>
      </c>
      <c r="D126" s="13" t="s">
        <v>745</v>
      </c>
      <c r="E126" s="7"/>
      <c r="F126" s="7" t="s">
        <v>316</v>
      </c>
      <c r="G126" s="7" t="str">
        <f t="shared" si="3"/>
        <v>text</v>
      </c>
      <c r="H126" s="26"/>
      <c r="I126" s="10"/>
      <c r="J126" s="11"/>
      <c r="L126" s="4"/>
      <c r="M126" s="4"/>
      <c r="N126" s="76"/>
      <c r="O126" s="76"/>
      <c r="P126" s="76" t="str">
        <f t="shared" si="12"/>
        <v>,m010020_taiin_modified_rankin</v>
      </c>
      <c r="Q126" s="76" t="str">
        <f t="shared" si="13"/>
        <v>TEXT</v>
      </c>
      <c r="R126" s="76" t="str">
        <f t="shared" si="14"/>
        <v/>
      </c>
      <c r="S126" s="76" t="str">
        <f t="shared" si="15"/>
        <v/>
      </c>
      <c r="T126" s="76" t="str">
        <f t="shared" si="16"/>
        <v>-- 退院時modifiedRankin</v>
      </c>
      <c r="U126" s="4"/>
      <c r="AA126" s="4"/>
      <c r="AB126" s="4"/>
      <c r="AC126" s="4"/>
      <c r="AD126" s="4"/>
      <c r="AE126" s="4"/>
      <c r="AF126" s="4"/>
      <c r="AG126" s="4"/>
      <c r="AH126" s="4"/>
      <c r="AI126" s="4"/>
      <c r="AJ126" s="76" t="str">
        <f>IF(E126="○",IF(COUNTA(E$13:E126)=1,"",",")&amp;D126,"")</f>
        <v/>
      </c>
      <c r="AK126" s="4"/>
      <c r="AL126" s="4"/>
      <c r="AM126" s="4"/>
      <c r="AN126" s="4"/>
      <c r="AO126" s="4"/>
      <c r="AP126" s="4"/>
      <c r="AQ126" s="4"/>
      <c r="AR126" s="4"/>
      <c r="AS126" s="76" t="str">
        <f>"COMMENT ON COLUMN "&amp;エンティティ一覧!$O$2&amp;"."&amp;D$8&amp;"."&amp;D126&amp;" IS '"&amp;C126&amp;"';"</f>
        <v>COMMENT ON COLUMN milscm_2023_010.azn_202310_base_merge_dpc_ff1.m010020_taiin_modified_rankin IS '退院時modifiedRankin';</v>
      </c>
      <c r="AT126" s="4"/>
      <c r="AU126" s="4"/>
      <c r="AV126" s="4"/>
      <c r="AW126" s="4"/>
      <c r="AX126" s="4"/>
      <c r="AY126" s="4"/>
      <c r="AZ126" s="4"/>
    </row>
    <row r="127" spans="1:52" s="25" customFormat="1" ht="31.5">
      <c r="A127" s="4"/>
      <c r="B127" s="21">
        <f t="shared" si="2"/>
        <v>115</v>
      </c>
      <c r="C127" s="6" t="s">
        <v>746</v>
      </c>
      <c r="D127" s="6" t="s">
        <v>747</v>
      </c>
      <c r="E127" s="8"/>
      <c r="F127" s="7" t="s">
        <v>316</v>
      </c>
      <c r="G127" s="7" t="str">
        <f t="shared" si="3"/>
        <v>text</v>
      </c>
      <c r="H127" s="58"/>
      <c r="I127" s="23"/>
      <c r="J127" s="24" t="s">
        <v>845</v>
      </c>
      <c r="L127" s="4"/>
      <c r="M127" s="4"/>
      <c r="N127" s="76"/>
      <c r="O127" s="76"/>
      <c r="P127" s="76" t="str">
        <f t="shared" si="12"/>
        <v>,m010030_temozolomide_flag</v>
      </c>
      <c r="Q127" s="76" t="str">
        <f t="shared" si="13"/>
        <v>TEXT</v>
      </c>
      <c r="R127" s="76" t="str">
        <f t="shared" si="14"/>
        <v/>
      </c>
      <c r="S127" s="76" t="str">
        <f t="shared" si="15"/>
        <v/>
      </c>
      <c r="T127" s="76" t="str">
        <f t="shared" si="16"/>
        <v>-- テモゾロミド（初回治療）の有無</v>
      </c>
      <c r="U127" s="4"/>
      <c r="AA127" s="4"/>
      <c r="AB127" s="4"/>
      <c r="AC127" s="4"/>
      <c r="AD127" s="4"/>
      <c r="AE127" s="4"/>
      <c r="AF127" s="4"/>
      <c r="AG127" s="4"/>
      <c r="AH127" s="4"/>
      <c r="AI127" s="4"/>
      <c r="AJ127" s="76" t="str">
        <f>IF(E127="○",IF(COUNTA(E$13:E127)=1,"",",")&amp;D127,"")</f>
        <v/>
      </c>
      <c r="AK127" s="4"/>
      <c r="AL127" s="4"/>
      <c r="AM127" s="4"/>
      <c r="AN127" s="4"/>
      <c r="AO127" s="4"/>
      <c r="AP127" s="4"/>
      <c r="AQ127" s="4"/>
      <c r="AR127" s="4"/>
      <c r="AS127" s="76" t="str">
        <f>"COMMENT ON COLUMN "&amp;エンティティ一覧!$O$2&amp;"."&amp;D$8&amp;"."&amp;D127&amp;" IS '"&amp;C127&amp;"';"</f>
        <v>COMMENT ON COLUMN milscm_2023_010.azn_202310_base_merge_dpc_ff1.m010030_temozolomide_flag IS 'テモゾロミド（初回治療）の有無';</v>
      </c>
      <c r="AT127" s="4"/>
      <c r="AU127" s="4"/>
      <c r="AV127" s="4"/>
      <c r="AW127" s="4"/>
      <c r="AX127" s="4"/>
      <c r="AY127" s="4"/>
      <c r="AZ127" s="4"/>
    </row>
    <row r="128" spans="1:52" s="25" customFormat="1">
      <c r="A128" s="4"/>
      <c r="B128" s="21">
        <f t="shared" si="2"/>
        <v>116</v>
      </c>
      <c r="C128" s="13" t="s">
        <v>748</v>
      </c>
      <c r="D128" s="13" t="s">
        <v>749</v>
      </c>
      <c r="E128" s="7"/>
      <c r="F128" s="7" t="s">
        <v>316</v>
      </c>
      <c r="G128" s="7" t="str">
        <f t="shared" si="3"/>
        <v>text</v>
      </c>
      <c r="H128" s="26"/>
      <c r="I128" s="10"/>
      <c r="J128" s="11"/>
      <c r="L128" s="4"/>
      <c r="M128" s="4"/>
      <c r="N128" s="76"/>
      <c r="O128" s="76"/>
      <c r="P128" s="76" t="str">
        <f t="shared" si="12"/>
        <v>,m040010_hugh_jones</v>
      </c>
      <c r="Q128" s="76" t="str">
        <f t="shared" si="13"/>
        <v>TEXT</v>
      </c>
      <c r="R128" s="76" t="str">
        <f t="shared" si="14"/>
        <v/>
      </c>
      <c r="S128" s="76" t="str">
        <f t="shared" si="15"/>
        <v/>
      </c>
      <c r="T128" s="76" t="str">
        <f t="shared" si="16"/>
        <v>-- Hugh-Jones分類</v>
      </c>
      <c r="U128" s="4"/>
      <c r="AA128" s="4"/>
      <c r="AB128" s="4"/>
      <c r="AC128" s="4"/>
      <c r="AD128" s="4"/>
      <c r="AE128" s="4"/>
      <c r="AF128" s="4"/>
      <c r="AG128" s="4"/>
      <c r="AH128" s="4"/>
      <c r="AI128" s="4"/>
      <c r="AJ128" s="76" t="str">
        <f>IF(E128="○",IF(COUNTA(E$13:E128)=1,"",",")&amp;D128,"")</f>
        <v/>
      </c>
      <c r="AK128" s="4"/>
      <c r="AL128" s="4"/>
      <c r="AM128" s="4"/>
      <c r="AN128" s="4"/>
      <c r="AO128" s="4"/>
      <c r="AP128" s="4"/>
      <c r="AQ128" s="4"/>
      <c r="AR128" s="4"/>
      <c r="AS128" s="76" t="str">
        <f>"COMMENT ON COLUMN "&amp;エンティティ一覧!$O$2&amp;"."&amp;D$8&amp;"."&amp;D128&amp;" IS '"&amp;C128&amp;"';"</f>
        <v>COMMENT ON COLUMN milscm_2023_010.azn_202310_base_merge_dpc_ff1.m040010_hugh_jones IS 'Hugh-Jones分類';</v>
      </c>
      <c r="AT128" s="4"/>
      <c r="AU128" s="4"/>
      <c r="AV128" s="4"/>
      <c r="AW128" s="4"/>
      <c r="AX128" s="4"/>
      <c r="AY128" s="4"/>
      <c r="AZ128" s="4"/>
    </row>
    <row r="129" spans="1:52" s="25" customFormat="1">
      <c r="A129" s="4"/>
      <c r="B129" s="21">
        <f t="shared" si="2"/>
        <v>117</v>
      </c>
      <c r="C129" s="13" t="s">
        <v>750</v>
      </c>
      <c r="D129" s="13" t="s">
        <v>751</v>
      </c>
      <c r="E129" s="7"/>
      <c r="F129" s="7" t="s">
        <v>316</v>
      </c>
      <c r="G129" s="7" t="str">
        <f t="shared" si="3"/>
        <v>text</v>
      </c>
      <c r="H129" s="58"/>
      <c r="I129" s="23"/>
      <c r="J129" s="24"/>
      <c r="L129" s="4"/>
      <c r="M129" s="4"/>
      <c r="N129" s="76"/>
      <c r="O129" s="76"/>
      <c r="P129" s="76" t="str">
        <f t="shared" si="12"/>
        <v>,m040020_haien_jushodo</v>
      </c>
      <c r="Q129" s="76" t="str">
        <f t="shared" si="13"/>
        <v>TEXT</v>
      </c>
      <c r="R129" s="76" t="str">
        <f t="shared" si="14"/>
        <v/>
      </c>
      <c r="S129" s="76" t="str">
        <f t="shared" si="15"/>
        <v/>
      </c>
      <c r="T129" s="76" t="str">
        <f t="shared" si="16"/>
        <v>-- 肺炎の重症度分類</v>
      </c>
      <c r="U129" s="4"/>
      <c r="AA129" s="4"/>
      <c r="AB129" s="4"/>
      <c r="AC129" s="4"/>
      <c r="AD129" s="4"/>
      <c r="AE129" s="4"/>
      <c r="AF129" s="4"/>
      <c r="AG129" s="4"/>
      <c r="AH129" s="4"/>
      <c r="AI129" s="4"/>
      <c r="AJ129" s="76" t="str">
        <f>IF(E129="○",IF(COUNTA(E$13:E129)=1,"",",")&amp;D129,"")</f>
        <v/>
      </c>
      <c r="AK129" s="4"/>
      <c r="AL129" s="4"/>
      <c r="AM129" s="4"/>
      <c r="AN129" s="4"/>
      <c r="AO129" s="4"/>
      <c r="AP129" s="4"/>
      <c r="AQ129" s="4"/>
      <c r="AR129" s="4"/>
      <c r="AS129" s="76" t="str">
        <f>"COMMENT ON COLUMN "&amp;エンティティ一覧!$O$2&amp;"."&amp;D$8&amp;"."&amp;D129&amp;" IS '"&amp;C129&amp;"';"</f>
        <v>COMMENT ON COLUMN milscm_2023_010.azn_202310_base_merge_dpc_ff1.m040020_haien_jushodo IS '肺炎の重症度分類';</v>
      </c>
      <c r="AT129" s="4"/>
      <c r="AU129" s="4"/>
      <c r="AV129" s="4"/>
      <c r="AW129" s="4"/>
      <c r="AX129" s="4"/>
      <c r="AY129" s="4"/>
      <c r="AZ129" s="4"/>
    </row>
    <row r="130" spans="1:52" s="25" customFormat="1" ht="31.5">
      <c r="A130" s="4"/>
      <c r="B130" s="21">
        <f t="shared" si="2"/>
        <v>118</v>
      </c>
      <c r="C130" s="13" t="s">
        <v>752</v>
      </c>
      <c r="D130" s="13" t="s">
        <v>753</v>
      </c>
      <c r="E130" s="7"/>
      <c r="F130" s="7" t="s">
        <v>316</v>
      </c>
      <c r="G130" s="7" t="str">
        <f t="shared" si="3"/>
        <v>text</v>
      </c>
      <c r="H130" s="58"/>
      <c r="I130" s="23"/>
      <c r="J130" s="24" t="s">
        <v>845</v>
      </c>
      <c r="L130" s="4"/>
      <c r="M130" s="4"/>
      <c r="N130" s="76"/>
      <c r="O130" s="76"/>
      <c r="P130" s="76" t="str">
        <f t="shared" si="12"/>
        <v>,m040020_kanren_haien_flag</v>
      </c>
      <c r="Q130" s="76" t="str">
        <f t="shared" si="13"/>
        <v>TEXT</v>
      </c>
      <c r="R130" s="76" t="str">
        <f t="shared" si="14"/>
        <v/>
      </c>
      <c r="S130" s="76" t="str">
        <f t="shared" si="15"/>
        <v/>
      </c>
      <c r="T130" s="76" t="str">
        <f t="shared" si="16"/>
        <v>-- 医療介護関連肺炎に該当の有無</v>
      </c>
      <c r="U130" s="4"/>
      <c r="AA130" s="4"/>
      <c r="AB130" s="4"/>
      <c r="AC130" s="4"/>
      <c r="AD130" s="4"/>
      <c r="AE130" s="4"/>
      <c r="AF130" s="4"/>
      <c r="AG130" s="4"/>
      <c r="AH130" s="4"/>
      <c r="AI130" s="4"/>
      <c r="AJ130" s="76" t="str">
        <f>IF(E130="○",IF(COUNTA(E$13:E130)=1,"",",")&amp;D130,"")</f>
        <v/>
      </c>
      <c r="AK130" s="4"/>
      <c r="AL130" s="4"/>
      <c r="AM130" s="4"/>
      <c r="AN130" s="4"/>
      <c r="AO130" s="4"/>
      <c r="AP130" s="4"/>
      <c r="AQ130" s="4"/>
      <c r="AR130" s="4"/>
      <c r="AS130" s="76" t="str">
        <f>"COMMENT ON COLUMN "&amp;エンティティ一覧!$O$2&amp;"."&amp;D$8&amp;"."&amp;D130&amp;" IS '"&amp;C130&amp;"';"</f>
        <v>COMMENT ON COLUMN milscm_2023_010.azn_202310_base_merge_dpc_ff1.m040020_kanren_haien_flag IS '医療介護関連肺炎に該当の有無';</v>
      </c>
      <c r="AT130" s="4"/>
      <c r="AU130" s="4"/>
      <c r="AV130" s="4"/>
      <c r="AW130" s="4"/>
      <c r="AX130" s="4"/>
      <c r="AY130" s="4"/>
      <c r="AZ130" s="4"/>
    </row>
    <row r="131" spans="1:52" s="25" customFormat="1">
      <c r="A131" s="4"/>
      <c r="B131" s="21">
        <f t="shared" si="2"/>
        <v>119</v>
      </c>
      <c r="C131" s="6" t="s">
        <v>754</v>
      </c>
      <c r="D131" s="6" t="s">
        <v>755</v>
      </c>
      <c r="E131" s="8"/>
      <c r="F131" s="7" t="s">
        <v>316</v>
      </c>
      <c r="G131" s="7" t="str">
        <f t="shared" si="3"/>
        <v>text</v>
      </c>
      <c r="H131" s="26"/>
      <c r="I131" s="10"/>
      <c r="J131" s="11" t="s">
        <v>846</v>
      </c>
      <c r="L131" s="4"/>
      <c r="M131" s="4"/>
      <c r="N131" s="76"/>
      <c r="O131" s="76"/>
      <c r="P131" s="76" t="str">
        <f t="shared" si="12"/>
        <v>,m040030_emergency_pf</v>
      </c>
      <c r="Q131" s="76" t="str">
        <f t="shared" si="13"/>
        <v>TEXT</v>
      </c>
      <c r="R131" s="76" t="str">
        <f t="shared" si="14"/>
        <v/>
      </c>
      <c r="S131" s="76" t="str">
        <f t="shared" si="15"/>
        <v/>
      </c>
      <c r="T131" s="76" t="str">
        <f t="shared" si="16"/>
        <v>-- 救急受診時のP/F比</v>
      </c>
      <c r="U131" s="4"/>
      <c r="AA131" s="4"/>
      <c r="AB131" s="4"/>
      <c r="AC131" s="4"/>
      <c r="AD131" s="4"/>
      <c r="AE131" s="4"/>
      <c r="AF131" s="4"/>
      <c r="AG131" s="4"/>
      <c r="AH131" s="4"/>
      <c r="AI131" s="4"/>
      <c r="AJ131" s="76" t="str">
        <f>IF(E131="○",IF(COUNTA(E$13:E131)=1,"",",")&amp;D131,"")</f>
        <v/>
      </c>
      <c r="AK131" s="4"/>
      <c r="AL131" s="4"/>
      <c r="AM131" s="4"/>
      <c r="AN131" s="4"/>
      <c r="AO131" s="4"/>
      <c r="AP131" s="4"/>
      <c r="AQ131" s="4"/>
      <c r="AR131" s="4"/>
      <c r="AS131" s="76" t="str">
        <f>"COMMENT ON COLUMN "&amp;エンティティ一覧!$O$2&amp;"."&amp;D$8&amp;"."&amp;D131&amp;" IS '"&amp;C131&amp;"';"</f>
        <v>COMMENT ON COLUMN milscm_2023_010.azn_202310_base_merge_dpc_ff1.m040030_emergency_pf IS '救急受診時のP/F比';</v>
      </c>
      <c r="AT131" s="4"/>
      <c r="AU131" s="4"/>
      <c r="AV131" s="4"/>
      <c r="AW131" s="4"/>
      <c r="AX131" s="4"/>
      <c r="AY131" s="4"/>
      <c r="AZ131" s="4"/>
    </row>
    <row r="132" spans="1:52" s="25" customFormat="1" ht="31.5">
      <c r="A132" s="4"/>
      <c r="B132" s="21">
        <f t="shared" si="2"/>
        <v>120</v>
      </c>
      <c r="C132" s="13" t="s">
        <v>756</v>
      </c>
      <c r="D132" s="13" t="s">
        <v>757</v>
      </c>
      <c r="E132" s="7"/>
      <c r="F132" s="7" t="s">
        <v>316</v>
      </c>
      <c r="G132" s="7" t="str">
        <f t="shared" si="3"/>
        <v>text</v>
      </c>
      <c r="H132" s="26"/>
      <c r="I132" s="10"/>
      <c r="J132" s="11" t="s">
        <v>847</v>
      </c>
      <c r="L132" s="4"/>
      <c r="M132" s="4"/>
      <c r="N132" s="76"/>
      <c r="O132" s="76"/>
      <c r="P132" s="76" t="str">
        <f t="shared" si="12"/>
        <v>,m040030_emergency_kokyu</v>
      </c>
      <c r="Q132" s="76" t="str">
        <f t="shared" si="13"/>
        <v>TEXT</v>
      </c>
      <c r="R132" s="76" t="str">
        <f t="shared" si="14"/>
        <v/>
      </c>
      <c r="S132" s="76" t="str">
        <f t="shared" si="15"/>
        <v/>
      </c>
      <c r="T132" s="76" t="str">
        <f t="shared" si="16"/>
        <v>-- 救急受診時の呼吸補助</v>
      </c>
      <c r="U132" s="4"/>
      <c r="AA132" s="4"/>
      <c r="AB132" s="4"/>
      <c r="AC132" s="4"/>
      <c r="AD132" s="4"/>
      <c r="AE132" s="4"/>
      <c r="AF132" s="4"/>
      <c r="AG132" s="4"/>
      <c r="AH132" s="4"/>
      <c r="AI132" s="4"/>
      <c r="AJ132" s="76" t="str">
        <f>IF(E132="○",IF(COUNTA(E$13:E132)=1,"",",")&amp;D132,"")</f>
        <v/>
      </c>
      <c r="AK132" s="4"/>
      <c r="AL132" s="4"/>
      <c r="AM132" s="4"/>
      <c r="AN132" s="4"/>
      <c r="AO132" s="4"/>
      <c r="AP132" s="4"/>
      <c r="AQ132" s="4"/>
      <c r="AR132" s="4"/>
      <c r="AS132" s="76" t="str">
        <f>"COMMENT ON COLUMN "&amp;エンティティ一覧!$O$2&amp;"."&amp;D$8&amp;"."&amp;D132&amp;" IS '"&amp;C132&amp;"';"</f>
        <v>COMMENT ON COLUMN milscm_2023_010.azn_202310_base_merge_dpc_ff1.m040030_emergency_kokyu IS '救急受診時の呼吸補助';</v>
      </c>
      <c r="AT132" s="4"/>
      <c r="AU132" s="4"/>
      <c r="AV132" s="4"/>
      <c r="AW132" s="4"/>
      <c r="AX132" s="4"/>
      <c r="AY132" s="4"/>
      <c r="AZ132" s="4"/>
    </row>
    <row r="133" spans="1:52" s="25" customFormat="1">
      <c r="A133" s="4"/>
      <c r="B133" s="21">
        <f t="shared" si="2"/>
        <v>121</v>
      </c>
      <c r="C133" s="6" t="s">
        <v>758</v>
      </c>
      <c r="D133" s="6" t="s">
        <v>759</v>
      </c>
      <c r="E133" s="8"/>
      <c r="F133" s="7" t="s">
        <v>316</v>
      </c>
      <c r="G133" s="7" t="str">
        <f t="shared" si="3"/>
        <v>text</v>
      </c>
      <c r="H133" s="58"/>
      <c r="I133" s="23"/>
      <c r="J133" s="24" t="s">
        <v>846</v>
      </c>
      <c r="L133" s="4"/>
      <c r="M133" s="4"/>
      <c r="N133" s="76"/>
      <c r="O133" s="76"/>
      <c r="P133" s="76" t="str">
        <f t="shared" si="12"/>
        <v>,m040030_nyusitsu_pf</v>
      </c>
      <c r="Q133" s="76" t="str">
        <f t="shared" si="13"/>
        <v>TEXT</v>
      </c>
      <c r="R133" s="76" t="str">
        <f t="shared" si="14"/>
        <v/>
      </c>
      <c r="S133" s="76" t="str">
        <f t="shared" si="15"/>
        <v/>
      </c>
      <c r="T133" s="76" t="str">
        <f t="shared" si="16"/>
        <v>-- 治療室又は病棟入室時のP/F比</v>
      </c>
      <c r="U133" s="4"/>
      <c r="AA133" s="4"/>
      <c r="AB133" s="4"/>
      <c r="AC133" s="4"/>
      <c r="AD133" s="4"/>
      <c r="AE133" s="4"/>
      <c r="AF133" s="4"/>
      <c r="AG133" s="4"/>
      <c r="AH133" s="4"/>
      <c r="AI133" s="4"/>
      <c r="AJ133" s="76" t="str">
        <f>IF(E133="○",IF(COUNTA(E$13:E133)=1,"",",")&amp;D133,"")</f>
        <v/>
      </c>
      <c r="AK133" s="4"/>
      <c r="AL133" s="4"/>
      <c r="AM133" s="4"/>
      <c r="AN133" s="4"/>
      <c r="AO133" s="4"/>
      <c r="AP133" s="4"/>
      <c r="AQ133" s="4"/>
      <c r="AR133" s="4"/>
      <c r="AS133" s="76" t="str">
        <f>"COMMENT ON COLUMN "&amp;エンティティ一覧!$O$2&amp;"."&amp;D$8&amp;"."&amp;D133&amp;" IS '"&amp;C133&amp;"';"</f>
        <v>COMMENT ON COLUMN milscm_2023_010.azn_202310_base_merge_dpc_ff1.m040030_nyusitsu_pf IS '治療室又は病棟入室時のP/F比';</v>
      </c>
      <c r="AT133" s="4"/>
      <c r="AU133" s="4"/>
      <c r="AV133" s="4"/>
      <c r="AW133" s="4"/>
      <c r="AX133" s="4"/>
      <c r="AY133" s="4"/>
      <c r="AZ133" s="4"/>
    </row>
    <row r="134" spans="1:52" s="25" customFormat="1">
      <c r="A134" s="4"/>
      <c r="B134" s="21">
        <f t="shared" si="2"/>
        <v>122</v>
      </c>
      <c r="C134" s="13" t="s">
        <v>760</v>
      </c>
      <c r="D134" s="13" t="s">
        <v>761</v>
      </c>
      <c r="E134" s="7"/>
      <c r="F134" s="7" t="s">
        <v>316</v>
      </c>
      <c r="G134" s="7" t="str">
        <f t="shared" si="3"/>
        <v>text</v>
      </c>
      <c r="H134" s="26"/>
      <c r="I134" s="10"/>
      <c r="J134" s="11" t="s">
        <v>847</v>
      </c>
      <c r="L134" s="4"/>
      <c r="M134" s="4"/>
      <c r="N134" s="76"/>
      <c r="O134" s="76"/>
      <c r="P134" s="76" t="str">
        <f t="shared" si="12"/>
        <v>,m040030_nyusitsu_kokyu</v>
      </c>
      <c r="Q134" s="76" t="str">
        <f t="shared" si="13"/>
        <v>TEXT</v>
      </c>
      <c r="R134" s="76" t="str">
        <f t="shared" si="14"/>
        <v/>
      </c>
      <c r="S134" s="76" t="str">
        <f t="shared" si="15"/>
        <v/>
      </c>
      <c r="T134" s="76" t="str">
        <f t="shared" si="16"/>
        <v>-- 治療室又は病棟入室時の呼吸補助</v>
      </c>
      <c r="U134" s="4"/>
      <c r="AA134" s="4"/>
      <c r="AB134" s="4"/>
      <c r="AC134" s="4"/>
      <c r="AD134" s="4"/>
      <c r="AE134" s="4"/>
      <c r="AF134" s="4"/>
      <c r="AG134" s="4"/>
      <c r="AH134" s="4"/>
      <c r="AI134" s="4"/>
      <c r="AJ134" s="76" t="str">
        <f>IF(E134="○",IF(COUNTA(E$13:E134)=1,"",",")&amp;D134,"")</f>
        <v/>
      </c>
      <c r="AK134" s="4"/>
      <c r="AL134" s="4"/>
      <c r="AM134" s="4"/>
      <c r="AN134" s="4"/>
      <c r="AO134" s="4"/>
      <c r="AP134" s="4"/>
      <c r="AQ134" s="4"/>
      <c r="AR134" s="4"/>
      <c r="AS134" s="76" t="str">
        <f>"COMMENT ON COLUMN "&amp;エンティティ一覧!$O$2&amp;"."&amp;D$8&amp;"."&amp;D134&amp;" IS '"&amp;C134&amp;"';"</f>
        <v>COMMENT ON COLUMN milscm_2023_010.azn_202310_base_merge_dpc_ff1.m040030_nyusitsu_kokyu IS '治療室又は病棟入室時の呼吸補助';</v>
      </c>
      <c r="AT134" s="4"/>
      <c r="AU134" s="4"/>
      <c r="AV134" s="4"/>
      <c r="AW134" s="4"/>
      <c r="AX134" s="4"/>
      <c r="AY134" s="4"/>
      <c r="AZ134" s="4"/>
    </row>
    <row r="135" spans="1:52" s="25" customFormat="1" ht="93.75">
      <c r="A135" s="4"/>
      <c r="B135" s="21">
        <f t="shared" si="2"/>
        <v>123</v>
      </c>
      <c r="C135" s="6" t="s">
        <v>762</v>
      </c>
      <c r="D135" s="6" t="s">
        <v>763</v>
      </c>
      <c r="E135" s="8"/>
      <c r="F135" s="7" t="s">
        <v>316</v>
      </c>
      <c r="G135" s="7" t="str">
        <f t="shared" si="3"/>
        <v>text</v>
      </c>
      <c r="H135" s="58"/>
      <c r="I135" s="23"/>
      <c r="J135" s="24" t="s">
        <v>848</v>
      </c>
      <c r="L135" s="4"/>
      <c r="M135" s="4"/>
      <c r="N135" s="76"/>
      <c r="O135" s="76"/>
      <c r="P135" s="76" t="str">
        <f t="shared" si="12"/>
        <v>,m050010_nyha</v>
      </c>
      <c r="Q135" s="76" t="str">
        <f t="shared" si="13"/>
        <v>TEXT</v>
      </c>
      <c r="R135" s="76" t="str">
        <f t="shared" si="14"/>
        <v/>
      </c>
      <c r="S135" s="76" t="str">
        <f t="shared" si="15"/>
        <v/>
      </c>
      <c r="T135" s="76" t="str">
        <f t="shared" si="16"/>
        <v>-- NYHA心機能分類</v>
      </c>
      <c r="U135" s="4"/>
      <c r="AA135" s="4"/>
      <c r="AB135" s="4"/>
      <c r="AC135" s="4"/>
      <c r="AD135" s="4"/>
      <c r="AE135" s="4"/>
      <c r="AF135" s="4"/>
      <c r="AG135" s="4"/>
      <c r="AH135" s="4"/>
      <c r="AI135" s="4"/>
      <c r="AJ135" s="76" t="str">
        <f>IF(E135="○",IF(COUNTA(E$13:E135)=1,"",",")&amp;D135,"")</f>
        <v/>
      </c>
      <c r="AK135" s="4"/>
      <c r="AL135" s="4"/>
      <c r="AM135" s="4"/>
      <c r="AN135" s="4"/>
      <c r="AO135" s="4"/>
      <c r="AP135" s="4"/>
      <c r="AQ135" s="4"/>
      <c r="AR135" s="4"/>
      <c r="AS135" s="76" t="str">
        <f>"COMMENT ON COLUMN "&amp;エンティティ一覧!$O$2&amp;"."&amp;D$8&amp;"."&amp;D135&amp;" IS '"&amp;C135&amp;"';"</f>
        <v>COMMENT ON COLUMN milscm_2023_010.azn_202310_base_merge_dpc_ff1.m050010_nyha IS 'NYHA心機能分類';</v>
      </c>
      <c r="AT135" s="4"/>
      <c r="AU135" s="4"/>
      <c r="AV135" s="4"/>
      <c r="AW135" s="4"/>
      <c r="AX135" s="4"/>
      <c r="AY135" s="4"/>
      <c r="AZ135" s="4"/>
    </row>
    <row r="136" spans="1:52" s="25" customFormat="1" ht="93.75">
      <c r="A136" s="4"/>
      <c r="B136" s="21">
        <f t="shared" si="2"/>
        <v>124</v>
      </c>
      <c r="C136" s="13" t="s">
        <v>764</v>
      </c>
      <c r="D136" s="13" t="s">
        <v>765</v>
      </c>
      <c r="E136" s="7"/>
      <c r="F136" s="7" t="s">
        <v>316</v>
      </c>
      <c r="G136" s="7" t="str">
        <f t="shared" si="3"/>
        <v>text</v>
      </c>
      <c r="H136" s="26"/>
      <c r="I136" s="10"/>
      <c r="J136" s="11" t="s">
        <v>849</v>
      </c>
      <c r="L136" s="4"/>
      <c r="M136" s="4"/>
      <c r="N136" s="76"/>
      <c r="O136" s="76"/>
      <c r="P136" s="76" t="str">
        <f t="shared" si="12"/>
        <v>,m050010_emergency_nyha</v>
      </c>
      <c r="Q136" s="76" t="str">
        <f t="shared" si="13"/>
        <v>TEXT</v>
      </c>
      <c r="R136" s="76" t="str">
        <f t="shared" si="14"/>
        <v/>
      </c>
      <c r="S136" s="76" t="str">
        <f t="shared" si="15"/>
        <v/>
      </c>
      <c r="T136" s="76" t="str">
        <f t="shared" si="16"/>
        <v>-- 救急受診時のNYHA心機能分類</v>
      </c>
      <c r="U136" s="4"/>
      <c r="AA136" s="4"/>
      <c r="AB136" s="4"/>
      <c r="AC136" s="4"/>
      <c r="AD136" s="4"/>
      <c r="AE136" s="4"/>
      <c r="AF136" s="4"/>
      <c r="AG136" s="4"/>
      <c r="AH136" s="4"/>
      <c r="AI136" s="4"/>
      <c r="AJ136" s="76" t="str">
        <f>IF(E136="○",IF(COUNTA(E$13:E136)=1,"",",")&amp;D136,"")</f>
        <v/>
      </c>
      <c r="AK136" s="4"/>
      <c r="AL136" s="4"/>
      <c r="AM136" s="4"/>
      <c r="AN136" s="4"/>
      <c r="AO136" s="4"/>
      <c r="AP136" s="4"/>
      <c r="AQ136" s="4"/>
      <c r="AR136" s="4"/>
      <c r="AS136" s="76" t="str">
        <f>"COMMENT ON COLUMN "&amp;エンティティ一覧!$O$2&amp;"."&amp;D$8&amp;"."&amp;D136&amp;" IS '"&amp;C136&amp;"';"</f>
        <v>COMMENT ON COLUMN milscm_2023_010.azn_202310_base_merge_dpc_ff1.m050010_emergency_nyha IS '救急受診時のNYHA心機能分類';</v>
      </c>
      <c r="AT136" s="4"/>
      <c r="AU136" s="4"/>
      <c r="AV136" s="4"/>
      <c r="AW136" s="4"/>
      <c r="AX136" s="4"/>
      <c r="AY136" s="4"/>
      <c r="AZ136" s="4"/>
    </row>
    <row r="137" spans="1:52" s="25" customFormat="1" ht="93.75">
      <c r="A137" s="4"/>
      <c r="B137" s="21">
        <f t="shared" si="2"/>
        <v>125</v>
      </c>
      <c r="C137" s="6" t="s">
        <v>766</v>
      </c>
      <c r="D137" s="6" t="s">
        <v>767</v>
      </c>
      <c r="E137" s="8"/>
      <c r="F137" s="7" t="s">
        <v>316</v>
      </c>
      <c r="G137" s="7" t="str">
        <f t="shared" si="3"/>
        <v>text</v>
      </c>
      <c r="H137" s="58"/>
      <c r="I137" s="23"/>
      <c r="J137" s="24" t="s">
        <v>850</v>
      </c>
      <c r="L137" s="4"/>
      <c r="M137" s="4"/>
      <c r="N137" s="76"/>
      <c r="O137" s="76"/>
      <c r="P137" s="76" t="str">
        <f t="shared" si="12"/>
        <v>,m050010_nyusitsu_nyha</v>
      </c>
      <c r="Q137" s="76" t="str">
        <f t="shared" si="13"/>
        <v>TEXT</v>
      </c>
      <c r="R137" s="76" t="str">
        <f t="shared" si="14"/>
        <v/>
      </c>
      <c r="S137" s="76" t="str">
        <f t="shared" si="15"/>
        <v/>
      </c>
      <c r="T137" s="76" t="str">
        <f t="shared" si="16"/>
        <v>-- 治療室又は病棟入室時のNYHA 心機能分類</v>
      </c>
      <c r="U137" s="4"/>
      <c r="AA137" s="4"/>
      <c r="AB137" s="4"/>
      <c r="AC137" s="4"/>
      <c r="AD137" s="4"/>
      <c r="AE137" s="4"/>
      <c r="AF137" s="4"/>
      <c r="AG137" s="4"/>
      <c r="AH137" s="4"/>
      <c r="AI137" s="4"/>
      <c r="AJ137" s="76" t="str">
        <f>IF(E137="○",IF(COUNTA(E$13:E137)=1,"",",")&amp;D137,"")</f>
        <v/>
      </c>
      <c r="AK137" s="4"/>
      <c r="AL137" s="4"/>
      <c r="AM137" s="4"/>
      <c r="AN137" s="4"/>
      <c r="AO137" s="4"/>
      <c r="AP137" s="4"/>
      <c r="AQ137" s="4"/>
      <c r="AR137" s="4"/>
      <c r="AS137" s="76" t="str">
        <f>"COMMENT ON COLUMN "&amp;エンティティ一覧!$O$2&amp;"."&amp;D$8&amp;"."&amp;D137&amp;" IS '"&amp;C137&amp;"';"</f>
        <v>COMMENT ON COLUMN milscm_2023_010.azn_202310_base_merge_dpc_ff1.m050010_nyusitsu_nyha IS '治療室又は病棟入室時のNYHA 心機能分類';</v>
      </c>
      <c r="AT137" s="4"/>
      <c r="AU137" s="4"/>
      <c r="AV137" s="4"/>
      <c r="AW137" s="4"/>
      <c r="AX137" s="4"/>
      <c r="AY137" s="4"/>
      <c r="AZ137" s="4"/>
    </row>
    <row r="138" spans="1:52" s="25" customFormat="1">
      <c r="A138" s="4"/>
      <c r="B138" s="21">
        <f t="shared" si="2"/>
        <v>126</v>
      </c>
      <c r="C138" s="13" t="s">
        <v>768</v>
      </c>
      <c r="D138" s="13" t="s">
        <v>769</v>
      </c>
      <c r="E138" s="7"/>
      <c r="F138" s="7" t="s">
        <v>316</v>
      </c>
      <c r="G138" s="7" t="str">
        <f t="shared" si="3"/>
        <v>text</v>
      </c>
      <c r="H138" s="26"/>
      <c r="I138" s="10"/>
      <c r="J138" s="11"/>
      <c r="L138" s="4"/>
      <c r="M138" s="4"/>
      <c r="N138" s="76"/>
      <c r="O138" s="76"/>
      <c r="P138" s="76" t="str">
        <f t="shared" si="12"/>
        <v>,m050020_ccs</v>
      </c>
      <c r="Q138" s="76" t="str">
        <f t="shared" si="13"/>
        <v>TEXT</v>
      </c>
      <c r="R138" s="76" t="str">
        <f t="shared" si="14"/>
        <v/>
      </c>
      <c r="S138" s="76" t="str">
        <f t="shared" si="15"/>
        <v/>
      </c>
      <c r="T138" s="76" t="str">
        <f t="shared" si="16"/>
        <v>-- CCS分類</v>
      </c>
      <c r="U138" s="4"/>
      <c r="AA138" s="4"/>
      <c r="AB138" s="4"/>
      <c r="AC138" s="4"/>
      <c r="AD138" s="4"/>
      <c r="AE138" s="4"/>
      <c r="AF138" s="4"/>
      <c r="AG138" s="4"/>
      <c r="AH138" s="4"/>
      <c r="AI138" s="4"/>
      <c r="AJ138" s="76" t="str">
        <f>IF(E138="○",IF(COUNTA(E$13:E138)=1,"",",")&amp;D138,"")</f>
        <v/>
      </c>
      <c r="AK138" s="4"/>
      <c r="AL138" s="4"/>
      <c r="AM138" s="4"/>
      <c r="AN138" s="4"/>
      <c r="AO138" s="4"/>
      <c r="AP138" s="4"/>
      <c r="AQ138" s="4"/>
      <c r="AR138" s="4"/>
      <c r="AS138" s="76" t="str">
        <f>"COMMENT ON COLUMN "&amp;エンティティ一覧!$O$2&amp;"."&amp;D$8&amp;"."&amp;D138&amp;" IS '"&amp;C138&amp;"';"</f>
        <v>COMMENT ON COLUMN milscm_2023_010.azn_202310_base_merge_dpc_ff1.m050020_ccs IS 'CCS分類';</v>
      </c>
      <c r="AT138" s="4"/>
      <c r="AU138" s="4"/>
      <c r="AV138" s="4"/>
      <c r="AW138" s="4"/>
      <c r="AX138" s="4"/>
      <c r="AY138" s="4"/>
      <c r="AZ138" s="4"/>
    </row>
    <row r="139" spans="1:52" s="25" customFormat="1">
      <c r="A139" s="4"/>
      <c r="B139" s="21">
        <f t="shared" si="2"/>
        <v>127</v>
      </c>
      <c r="C139" s="13" t="s">
        <v>770</v>
      </c>
      <c r="D139" s="13" t="s">
        <v>771</v>
      </c>
      <c r="E139" s="7"/>
      <c r="F139" s="7" t="s">
        <v>316</v>
      </c>
      <c r="G139" s="7" t="str">
        <f t="shared" si="3"/>
        <v>text</v>
      </c>
      <c r="H139" s="58"/>
      <c r="I139" s="23"/>
      <c r="J139" s="24"/>
      <c r="L139" s="4"/>
      <c r="M139" s="4"/>
      <c r="N139" s="76"/>
      <c r="O139" s="76"/>
      <c r="P139" s="76" t="str">
        <f t="shared" si="12"/>
        <v>,m050030_killip</v>
      </c>
      <c r="Q139" s="76" t="str">
        <f t="shared" si="13"/>
        <v>TEXT</v>
      </c>
      <c r="R139" s="76" t="str">
        <f t="shared" si="14"/>
        <v/>
      </c>
      <c r="S139" s="76" t="str">
        <f t="shared" si="15"/>
        <v/>
      </c>
      <c r="T139" s="76" t="str">
        <f t="shared" si="16"/>
        <v>-- Killip分類</v>
      </c>
      <c r="U139" s="4"/>
      <c r="AA139" s="4"/>
      <c r="AB139" s="4"/>
      <c r="AC139" s="4"/>
      <c r="AD139" s="4"/>
      <c r="AE139" s="4"/>
      <c r="AF139" s="4"/>
      <c r="AG139" s="4"/>
      <c r="AH139" s="4"/>
      <c r="AI139" s="4"/>
      <c r="AJ139" s="76" t="str">
        <f>IF(E139="○",IF(COUNTA(E$13:E139)=1,"",",")&amp;D139,"")</f>
        <v/>
      </c>
      <c r="AK139" s="4"/>
      <c r="AL139" s="4"/>
      <c r="AM139" s="4"/>
      <c r="AN139" s="4"/>
      <c r="AO139" s="4"/>
      <c r="AP139" s="4"/>
      <c r="AQ139" s="4"/>
      <c r="AR139" s="4"/>
      <c r="AS139" s="76" t="str">
        <f>"COMMENT ON COLUMN "&amp;エンティティ一覧!$O$2&amp;"."&amp;D$8&amp;"."&amp;D139&amp;" IS '"&amp;C139&amp;"';"</f>
        <v>COMMENT ON COLUMN milscm_2023_010.azn_202310_base_merge_dpc_ff1.m050030_killip IS 'Killip分類';</v>
      </c>
      <c r="AT139" s="4"/>
      <c r="AU139" s="4"/>
      <c r="AV139" s="4"/>
      <c r="AW139" s="4"/>
      <c r="AX139" s="4"/>
      <c r="AY139" s="4"/>
      <c r="AZ139" s="4"/>
    </row>
    <row r="140" spans="1:52" s="25" customFormat="1" ht="37.5">
      <c r="A140" s="4"/>
      <c r="B140" s="21">
        <f t="shared" si="2"/>
        <v>128</v>
      </c>
      <c r="C140" s="6" t="s">
        <v>772</v>
      </c>
      <c r="D140" s="6" t="s">
        <v>773</v>
      </c>
      <c r="E140" s="8"/>
      <c r="F140" s="7" t="s">
        <v>316</v>
      </c>
      <c r="G140" s="7" t="str">
        <f t="shared" si="3"/>
        <v>text</v>
      </c>
      <c r="H140" s="26"/>
      <c r="I140" s="10"/>
      <c r="J140" s="11" t="s">
        <v>851</v>
      </c>
      <c r="L140" s="4"/>
      <c r="M140" s="4"/>
      <c r="N140" s="76"/>
      <c r="O140" s="76"/>
      <c r="P140" s="76" t="str">
        <f t="shared" si="12"/>
        <v>,m050040_ketsuatsu</v>
      </c>
      <c r="Q140" s="76" t="str">
        <f t="shared" si="13"/>
        <v>TEXT</v>
      </c>
      <c r="R140" s="76" t="str">
        <f t="shared" si="14"/>
        <v/>
      </c>
      <c r="S140" s="76" t="str">
        <f t="shared" si="15"/>
        <v/>
      </c>
      <c r="T140" s="76" t="str">
        <f t="shared" si="16"/>
        <v>-- 収縮期血圧</v>
      </c>
      <c r="U140" s="4"/>
      <c r="AA140" s="4"/>
      <c r="AB140" s="4"/>
      <c r="AC140" s="4"/>
      <c r="AD140" s="4"/>
      <c r="AE140" s="4"/>
      <c r="AF140" s="4"/>
      <c r="AG140" s="4"/>
      <c r="AH140" s="4"/>
      <c r="AI140" s="4"/>
      <c r="AJ140" s="76" t="str">
        <f>IF(E140="○",IF(COUNTA(E$13:E140)=1,"",",")&amp;D140,"")</f>
        <v/>
      </c>
      <c r="AK140" s="4"/>
      <c r="AL140" s="4"/>
      <c r="AM140" s="4"/>
      <c r="AN140" s="4"/>
      <c r="AO140" s="4"/>
      <c r="AP140" s="4"/>
      <c r="AQ140" s="4"/>
      <c r="AR140" s="4"/>
      <c r="AS140" s="76" t="str">
        <f>"COMMENT ON COLUMN "&amp;エンティティ一覧!$O$2&amp;"."&amp;D$8&amp;"."&amp;D140&amp;" IS '"&amp;C140&amp;"';"</f>
        <v>COMMENT ON COLUMN milscm_2023_010.azn_202310_base_merge_dpc_ff1.m050040_ketsuatsu IS '収縮期血圧';</v>
      </c>
      <c r="AT140" s="4"/>
      <c r="AU140" s="4"/>
      <c r="AV140" s="4"/>
      <c r="AW140" s="4"/>
      <c r="AX140" s="4"/>
      <c r="AY140" s="4"/>
      <c r="AZ140" s="4"/>
    </row>
    <row r="141" spans="1:52" s="25" customFormat="1" ht="75">
      <c r="A141" s="4"/>
      <c r="B141" s="21">
        <f t="shared" si="2"/>
        <v>129</v>
      </c>
      <c r="C141" s="13" t="s">
        <v>774</v>
      </c>
      <c r="D141" s="13" t="s">
        <v>775</v>
      </c>
      <c r="E141" s="7"/>
      <c r="F141" s="7" t="s">
        <v>316</v>
      </c>
      <c r="G141" s="7" t="str">
        <f t="shared" si="3"/>
        <v>text</v>
      </c>
      <c r="H141" s="58"/>
      <c r="I141" s="23"/>
      <c r="J141" s="24" t="s">
        <v>852</v>
      </c>
      <c r="L141" s="4"/>
      <c r="M141" s="4"/>
      <c r="N141" s="76"/>
      <c r="O141" s="76"/>
      <c r="P141" s="76" t="str">
        <f t="shared" si="12"/>
        <v>,m050050_acuteMI</v>
      </c>
      <c r="Q141" s="76" t="str">
        <f t="shared" si="13"/>
        <v>TEXT</v>
      </c>
      <c r="R141" s="76" t="str">
        <f t="shared" si="14"/>
        <v/>
      </c>
      <c r="S141" s="76" t="str">
        <f t="shared" si="15"/>
        <v/>
      </c>
      <c r="T141" s="76" t="str">
        <f t="shared" si="16"/>
        <v>-- 急性心筋梗塞の発症時期</v>
      </c>
      <c r="U141" s="4"/>
      <c r="AA141" s="4"/>
      <c r="AB141" s="4"/>
      <c r="AC141" s="4"/>
      <c r="AD141" s="4"/>
      <c r="AE141" s="4"/>
      <c r="AF141" s="4"/>
      <c r="AG141" s="4"/>
      <c r="AH141" s="4"/>
      <c r="AI141" s="4"/>
      <c r="AJ141" s="76" t="str">
        <f>IF(E141="○",IF(COUNTA(E$13:E141)=1,"",",")&amp;D141,"")</f>
        <v/>
      </c>
      <c r="AK141" s="4"/>
      <c r="AL141" s="4"/>
      <c r="AM141" s="4"/>
      <c r="AN141" s="4"/>
      <c r="AO141" s="4"/>
      <c r="AP141" s="4"/>
      <c r="AQ141" s="4"/>
      <c r="AR141" s="4"/>
      <c r="AS141" s="76" t="str">
        <f>"COMMENT ON COLUMN "&amp;エンティティ一覧!$O$2&amp;"."&amp;D$8&amp;"."&amp;D141&amp;" IS '"&amp;C141&amp;"';"</f>
        <v>COMMENT ON COLUMN milscm_2023_010.azn_202310_base_merge_dpc_ff1.m050050_acuteMI IS '急性心筋梗塞の発症時期';</v>
      </c>
      <c r="AT141" s="4"/>
      <c r="AU141" s="4"/>
      <c r="AV141" s="4"/>
      <c r="AW141" s="4"/>
      <c r="AX141" s="4"/>
      <c r="AY141" s="4"/>
      <c r="AZ141" s="4"/>
    </row>
    <row r="142" spans="1:52" s="25" customFormat="1" ht="75">
      <c r="A142" s="4"/>
      <c r="B142" s="21">
        <f t="shared" si="2"/>
        <v>130</v>
      </c>
      <c r="C142" s="13" t="s">
        <v>776</v>
      </c>
      <c r="D142" s="13" t="s">
        <v>777</v>
      </c>
      <c r="E142" s="7"/>
      <c r="F142" s="7" t="s">
        <v>316</v>
      </c>
      <c r="G142" s="7" t="str">
        <f t="shared" si="3"/>
        <v>text</v>
      </c>
      <c r="H142" s="58"/>
      <c r="I142" s="23"/>
      <c r="J142" s="24" t="s">
        <v>853</v>
      </c>
      <c r="L142" s="4"/>
      <c r="M142" s="4"/>
      <c r="N142" s="76"/>
      <c r="O142" s="76"/>
      <c r="P142" s="76" t="str">
        <f t="shared" si="12"/>
        <v>,m050060_nyuin_kusyutsuritsu</v>
      </c>
      <c r="Q142" s="76" t="str">
        <f t="shared" si="13"/>
        <v>TEXT</v>
      </c>
      <c r="R142" s="76" t="str">
        <f t="shared" si="14"/>
        <v/>
      </c>
      <c r="S142" s="76" t="str">
        <f t="shared" si="15"/>
        <v/>
      </c>
      <c r="T142" s="76" t="str">
        <f t="shared" si="16"/>
        <v>-- 入院時左室駆出率</v>
      </c>
      <c r="U142" s="4"/>
      <c r="AA142" s="4"/>
      <c r="AB142" s="4"/>
      <c r="AC142" s="4"/>
      <c r="AD142" s="4"/>
      <c r="AE142" s="4"/>
      <c r="AF142" s="4"/>
      <c r="AG142" s="4"/>
      <c r="AH142" s="4"/>
      <c r="AI142" s="4"/>
      <c r="AJ142" s="76" t="str">
        <f>IF(E142="○",IF(COUNTA(E$13:E142)=1,"",",")&amp;D142,"")</f>
        <v/>
      </c>
      <c r="AK142" s="4"/>
      <c r="AL142" s="4"/>
      <c r="AM142" s="4"/>
      <c r="AN142" s="4"/>
      <c r="AO142" s="4"/>
      <c r="AP142" s="4"/>
      <c r="AQ142" s="4"/>
      <c r="AR142" s="4"/>
      <c r="AS142" s="76" t="str">
        <f>"COMMENT ON COLUMN "&amp;エンティティ一覧!$O$2&amp;"."&amp;D$8&amp;"."&amp;D142&amp;" IS '"&amp;C142&amp;"';"</f>
        <v>COMMENT ON COLUMN milscm_2023_010.azn_202310_base_merge_dpc_ff1.m050060_nyuin_kusyutsuritsu IS '入院時左室駆出率';</v>
      </c>
      <c r="AT142" s="4"/>
      <c r="AU142" s="4"/>
      <c r="AV142" s="4"/>
      <c r="AW142" s="4"/>
      <c r="AX142" s="4"/>
      <c r="AY142" s="4"/>
      <c r="AZ142" s="4"/>
    </row>
    <row r="143" spans="1:52" s="25" customFormat="1" ht="56.25">
      <c r="A143" s="4"/>
      <c r="B143" s="21">
        <f t="shared" si="2"/>
        <v>131</v>
      </c>
      <c r="C143" s="13" t="s">
        <v>778</v>
      </c>
      <c r="D143" s="13" t="s">
        <v>779</v>
      </c>
      <c r="E143" s="7"/>
      <c r="F143" s="7" t="s">
        <v>316</v>
      </c>
      <c r="G143" s="7" t="str">
        <f t="shared" si="3"/>
        <v>text</v>
      </c>
      <c r="H143" s="58"/>
      <c r="I143" s="23"/>
      <c r="J143" s="24" t="s">
        <v>854</v>
      </c>
      <c r="L143" s="4"/>
      <c r="M143" s="4"/>
      <c r="N143" s="76"/>
      <c r="O143" s="76"/>
      <c r="P143" s="76" t="str">
        <f t="shared" si="12"/>
        <v>,m050070_stanford_ab</v>
      </c>
      <c r="Q143" s="76" t="str">
        <f t="shared" si="13"/>
        <v>TEXT</v>
      </c>
      <c r="R143" s="76" t="str">
        <f t="shared" si="14"/>
        <v/>
      </c>
      <c r="S143" s="76" t="str">
        <f t="shared" si="15"/>
        <v/>
      </c>
      <c r="T143" s="76" t="str">
        <f t="shared" si="16"/>
        <v>-- Stanford A/B型</v>
      </c>
      <c r="U143" s="4"/>
      <c r="AA143" s="4"/>
      <c r="AB143" s="4"/>
      <c r="AC143" s="4"/>
      <c r="AD143" s="4"/>
      <c r="AE143" s="4"/>
      <c r="AF143" s="4"/>
      <c r="AG143" s="4"/>
      <c r="AH143" s="4"/>
      <c r="AI143" s="4"/>
      <c r="AJ143" s="76" t="str">
        <f>IF(E143="○",IF(COUNTA(E$13:E143)=1,"",",")&amp;D143,"")</f>
        <v/>
      </c>
      <c r="AK143" s="4"/>
      <c r="AL143" s="4"/>
      <c r="AM143" s="4"/>
      <c r="AN143" s="4"/>
      <c r="AO143" s="4"/>
      <c r="AP143" s="4"/>
      <c r="AQ143" s="4"/>
      <c r="AR143" s="4"/>
      <c r="AS143" s="76" t="str">
        <f>"COMMENT ON COLUMN "&amp;エンティティ一覧!$O$2&amp;"."&amp;D$8&amp;"."&amp;D143&amp;" IS '"&amp;C143&amp;"';"</f>
        <v>COMMENT ON COLUMN milscm_2023_010.azn_202310_base_merge_dpc_ff1.m050070_stanford_ab IS 'Stanford A/B型';</v>
      </c>
      <c r="AT143" s="4"/>
      <c r="AU143" s="4"/>
      <c r="AV143" s="4"/>
      <c r="AW143" s="4"/>
      <c r="AX143" s="4"/>
      <c r="AY143" s="4"/>
      <c r="AZ143" s="4"/>
    </row>
    <row r="144" spans="1:52" s="25" customFormat="1" ht="37.5">
      <c r="A144" s="4"/>
      <c r="B144" s="21">
        <f t="shared" si="2"/>
        <v>132</v>
      </c>
      <c r="C144" s="6" t="s">
        <v>780</v>
      </c>
      <c r="D144" s="6" t="s">
        <v>781</v>
      </c>
      <c r="E144" s="8"/>
      <c r="F144" s="7" t="s">
        <v>316</v>
      </c>
      <c r="G144" s="7" t="str">
        <f t="shared" si="3"/>
        <v>text</v>
      </c>
      <c r="H144" s="26"/>
      <c r="I144" s="10"/>
      <c r="J144" s="11" t="s">
        <v>855</v>
      </c>
      <c r="L144" s="4"/>
      <c r="M144" s="4"/>
      <c r="N144" s="76"/>
      <c r="O144" s="76"/>
      <c r="P144" s="76" t="str">
        <f t="shared" si="12"/>
        <v>,m060010_kankohen_child_pugh</v>
      </c>
      <c r="Q144" s="76" t="str">
        <f t="shared" si="13"/>
        <v>TEXT</v>
      </c>
      <c r="R144" s="76" t="str">
        <f t="shared" si="14"/>
        <v/>
      </c>
      <c r="S144" s="76" t="str">
        <f t="shared" si="15"/>
        <v/>
      </c>
      <c r="T144" s="76" t="str">
        <f t="shared" si="16"/>
        <v>-- 肝硬変のChild-Pugh分類</v>
      </c>
      <c r="U144" s="4"/>
      <c r="AA144" s="4"/>
      <c r="AB144" s="4"/>
      <c r="AC144" s="4"/>
      <c r="AD144" s="4"/>
      <c r="AE144" s="4"/>
      <c r="AF144" s="4"/>
      <c r="AG144" s="4"/>
      <c r="AH144" s="4"/>
      <c r="AI144" s="4"/>
      <c r="AJ144" s="76" t="str">
        <f>IF(E144="○",IF(COUNTA(E$13:E144)=1,"",",")&amp;D144,"")</f>
        <v/>
      </c>
      <c r="AK144" s="4"/>
      <c r="AL144" s="4"/>
      <c r="AM144" s="4"/>
      <c r="AN144" s="4"/>
      <c r="AO144" s="4"/>
      <c r="AP144" s="4"/>
      <c r="AQ144" s="4"/>
      <c r="AR144" s="4"/>
      <c r="AS144" s="76" t="str">
        <f>"COMMENT ON COLUMN "&amp;エンティティ一覧!$O$2&amp;"."&amp;D$8&amp;"."&amp;D144&amp;" IS '"&amp;C144&amp;"';"</f>
        <v>COMMENT ON COLUMN milscm_2023_010.azn_202310_base_merge_dpc_ff1.m060010_kankohen_child_pugh IS '肝硬変のChild-Pugh分類';</v>
      </c>
      <c r="AT144" s="4"/>
      <c r="AU144" s="4"/>
      <c r="AV144" s="4"/>
      <c r="AW144" s="4"/>
      <c r="AX144" s="4"/>
      <c r="AY144" s="4"/>
      <c r="AZ144" s="4"/>
    </row>
    <row r="145" spans="1:52" s="25" customFormat="1" ht="31.5">
      <c r="A145" s="4"/>
      <c r="B145" s="21">
        <f t="shared" si="2"/>
        <v>133</v>
      </c>
      <c r="C145" s="13" t="s">
        <v>782</v>
      </c>
      <c r="D145" s="13" t="s">
        <v>783</v>
      </c>
      <c r="E145" s="7"/>
      <c r="F145" s="7" t="s">
        <v>316</v>
      </c>
      <c r="G145" s="7" t="str">
        <f t="shared" si="3"/>
        <v>text</v>
      </c>
      <c r="H145" s="26"/>
      <c r="I145" s="10"/>
      <c r="J145" s="11"/>
      <c r="L145" s="4"/>
      <c r="M145" s="4"/>
      <c r="N145" s="76"/>
      <c r="O145" s="76"/>
      <c r="P145" s="76" t="str">
        <f t="shared" si="12"/>
        <v>,m060020_kyuseisuien_jushodo</v>
      </c>
      <c r="Q145" s="76" t="str">
        <f t="shared" si="13"/>
        <v>TEXT</v>
      </c>
      <c r="R145" s="76" t="str">
        <f t="shared" si="14"/>
        <v/>
      </c>
      <c r="S145" s="76" t="str">
        <f t="shared" si="15"/>
        <v/>
      </c>
      <c r="T145" s="76" t="str">
        <f t="shared" si="16"/>
        <v>-- 急性膵炎の重症度分類</v>
      </c>
      <c r="U145" s="4"/>
      <c r="AA145" s="4"/>
      <c r="AB145" s="4"/>
      <c r="AC145" s="4"/>
      <c r="AD145" s="4"/>
      <c r="AE145" s="4"/>
      <c r="AF145" s="4"/>
      <c r="AG145" s="4"/>
      <c r="AH145" s="4"/>
      <c r="AI145" s="4"/>
      <c r="AJ145" s="76" t="str">
        <f>IF(E145="○",IF(COUNTA(E$13:E145)=1,"",",")&amp;D145,"")</f>
        <v/>
      </c>
      <c r="AK145" s="4"/>
      <c r="AL145" s="4"/>
      <c r="AM145" s="4"/>
      <c r="AN145" s="4"/>
      <c r="AO145" s="4"/>
      <c r="AP145" s="4"/>
      <c r="AQ145" s="4"/>
      <c r="AR145" s="4"/>
      <c r="AS145" s="76" t="str">
        <f>"COMMENT ON COLUMN "&amp;エンティティ一覧!$O$2&amp;"."&amp;D$8&amp;"."&amp;D145&amp;" IS '"&amp;C145&amp;"';"</f>
        <v>COMMENT ON COLUMN milscm_2023_010.azn_202310_base_merge_dpc_ff1.m060020_kyuseisuien_jushodo IS '急性膵炎の重症度分類';</v>
      </c>
      <c r="AT145" s="4"/>
      <c r="AU145" s="4"/>
      <c r="AV145" s="4"/>
      <c r="AW145" s="4"/>
      <c r="AX145" s="4"/>
      <c r="AY145" s="4"/>
      <c r="AZ145" s="4"/>
    </row>
    <row r="146" spans="1:52" s="25" customFormat="1" ht="31.5">
      <c r="A146" s="4"/>
      <c r="B146" s="21">
        <f t="shared" si="2"/>
        <v>134</v>
      </c>
      <c r="C146" s="6" t="s">
        <v>784</v>
      </c>
      <c r="D146" s="6" t="s">
        <v>785</v>
      </c>
      <c r="E146" s="8"/>
      <c r="F146" s="7" t="s">
        <v>316</v>
      </c>
      <c r="G146" s="7" t="str">
        <f t="shared" si="3"/>
        <v>text</v>
      </c>
      <c r="H146" s="58"/>
      <c r="I146" s="23"/>
      <c r="J146" s="24" t="s">
        <v>845</v>
      </c>
      <c r="L146" s="4"/>
      <c r="M146" s="4"/>
      <c r="N146" s="76"/>
      <c r="O146" s="76"/>
      <c r="P146" s="76" t="str">
        <f t="shared" si="12"/>
        <v>,m070010_riumachi_flag</v>
      </c>
      <c r="Q146" s="76" t="str">
        <f t="shared" si="13"/>
        <v>TEXT</v>
      </c>
      <c r="R146" s="76" t="str">
        <f t="shared" si="14"/>
        <v/>
      </c>
      <c r="S146" s="76" t="str">
        <f t="shared" si="15"/>
        <v/>
      </c>
      <c r="T146" s="76" t="str">
        <f t="shared" si="16"/>
        <v>-- 抗リウマチ分子標的薬の初回導入治療の有無</v>
      </c>
      <c r="U146" s="4"/>
      <c r="AA146" s="4"/>
      <c r="AB146" s="4"/>
      <c r="AC146" s="4"/>
      <c r="AD146" s="4"/>
      <c r="AE146" s="4"/>
      <c r="AF146" s="4"/>
      <c r="AG146" s="4"/>
      <c r="AH146" s="4"/>
      <c r="AI146" s="4"/>
      <c r="AJ146" s="76" t="str">
        <f>IF(E146="○",IF(COUNTA(E$13:E146)=1,"",",")&amp;D146,"")</f>
        <v/>
      </c>
      <c r="AK146" s="4"/>
      <c r="AL146" s="4"/>
      <c r="AM146" s="4"/>
      <c r="AN146" s="4"/>
      <c r="AO146" s="4"/>
      <c r="AP146" s="4"/>
      <c r="AQ146" s="4"/>
      <c r="AR146" s="4"/>
      <c r="AS146" s="76" t="str">
        <f>"COMMENT ON COLUMN "&amp;エンティティ一覧!$O$2&amp;"."&amp;D$8&amp;"."&amp;D146&amp;" IS '"&amp;C146&amp;"';"</f>
        <v>COMMENT ON COLUMN milscm_2023_010.azn_202310_base_merge_dpc_ff1.m070010_riumachi_flag IS '抗リウマチ分子標的薬の初回導入治療の有無';</v>
      </c>
      <c r="AT146" s="4"/>
      <c r="AU146" s="4"/>
      <c r="AV146" s="4"/>
      <c r="AW146" s="4"/>
      <c r="AX146" s="4"/>
      <c r="AY146" s="4"/>
      <c r="AZ146" s="4"/>
    </row>
    <row r="147" spans="1:52" s="25" customFormat="1" ht="37.5">
      <c r="A147" s="4"/>
      <c r="B147" s="21">
        <f t="shared" si="2"/>
        <v>135</v>
      </c>
      <c r="C147" s="13" t="s">
        <v>786</v>
      </c>
      <c r="D147" s="13" t="s">
        <v>787</v>
      </c>
      <c r="E147" s="7"/>
      <c r="F147" s="7" t="s">
        <v>316</v>
      </c>
      <c r="G147" s="7" t="str">
        <f t="shared" si="3"/>
        <v>text</v>
      </c>
      <c r="H147" s="26"/>
      <c r="I147" s="10"/>
      <c r="J147" s="11" t="s">
        <v>856</v>
      </c>
      <c r="L147" s="4"/>
      <c r="M147" s="4"/>
      <c r="N147" s="76"/>
      <c r="O147" s="76"/>
      <c r="P147" s="76" t="str">
        <f t="shared" si="12"/>
        <v>,m120010_nyuin_bunben_flag</v>
      </c>
      <c r="Q147" s="76" t="str">
        <f t="shared" si="13"/>
        <v>TEXT</v>
      </c>
      <c r="R147" s="76" t="str">
        <f t="shared" si="14"/>
        <v/>
      </c>
      <c r="S147" s="76" t="str">
        <f t="shared" si="15"/>
        <v/>
      </c>
      <c r="T147" s="76" t="str">
        <f t="shared" si="16"/>
        <v>-- 入院周辺の分娩の有無</v>
      </c>
      <c r="U147" s="4"/>
      <c r="AA147" s="4"/>
      <c r="AB147" s="4"/>
      <c r="AC147" s="4"/>
      <c r="AD147" s="4"/>
      <c r="AE147" s="4"/>
      <c r="AF147" s="4"/>
      <c r="AG147" s="4"/>
      <c r="AH147" s="4"/>
      <c r="AI147" s="4"/>
      <c r="AJ147" s="76" t="str">
        <f>IF(E147="○",IF(COUNTA(E$13:E147)=1,"",",")&amp;D147,"")</f>
        <v/>
      </c>
      <c r="AK147" s="4"/>
      <c r="AL147" s="4"/>
      <c r="AM147" s="4"/>
      <c r="AN147" s="4"/>
      <c r="AO147" s="4"/>
      <c r="AP147" s="4"/>
      <c r="AQ147" s="4"/>
      <c r="AR147" s="4"/>
      <c r="AS147" s="76" t="str">
        <f>"COMMENT ON COLUMN "&amp;エンティティ一覧!$O$2&amp;"."&amp;D$8&amp;"."&amp;D147&amp;" IS '"&amp;C147&amp;"';"</f>
        <v>COMMENT ON COLUMN milscm_2023_010.azn_202310_base_merge_dpc_ff1.m120010_nyuin_bunben_flag IS '入院周辺の分娩の有無';</v>
      </c>
      <c r="AT147" s="4"/>
      <c r="AU147" s="4"/>
      <c r="AV147" s="4"/>
      <c r="AW147" s="4"/>
      <c r="AX147" s="4"/>
      <c r="AY147" s="4"/>
      <c r="AZ147" s="4"/>
    </row>
    <row r="148" spans="1:52" s="25" customFormat="1" ht="31.5">
      <c r="A148" s="4"/>
      <c r="B148" s="21">
        <f t="shared" si="2"/>
        <v>136</v>
      </c>
      <c r="C148" s="6" t="s">
        <v>788</v>
      </c>
      <c r="D148" s="6" t="s">
        <v>789</v>
      </c>
      <c r="E148" s="8"/>
      <c r="F148" s="7" t="s">
        <v>316</v>
      </c>
      <c r="G148" s="7" t="str">
        <f t="shared" si="3"/>
        <v>text</v>
      </c>
      <c r="H148" s="58"/>
      <c r="I148" s="23"/>
      <c r="J148" s="24" t="s">
        <v>857</v>
      </c>
      <c r="L148" s="4"/>
      <c r="M148" s="4"/>
      <c r="N148" s="76"/>
      <c r="O148" s="76"/>
      <c r="P148" s="76" t="str">
        <f t="shared" si="12"/>
        <v>,m120010_bunben_shukketsuryo</v>
      </c>
      <c r="Q148" s="76" t="str">
        <f t="shared" si="13"/>
        <v>TEXT</v>
      </c>
      <c r="R148" s="76" t="str">
        <f t="shared" si="14"/>
        <v/>
      </c>
      <c r="S148" s="76" t="str">
        <f t="shared" si="15"/>
        <v/>
      </c>
      <c r="T148" s="76" t="str">
        <f t="shared" si="16"/>
        <v>-- 分娩時出血量</v>
      </c>
      <c r="U148" s="4"/>
      <c r="AA148" s="4"/>
      <c r="AB148" s="4"/>
      <c r="AC148" s="4"/>
      <c r="AD148" s="4"/>
      <c r="AE148" s="4"/>
      <c r="AF148" s="4"/>
      <c r="AG148" s="4"/>
      <c r="AH148" s="4"/>
      <c r="AI148" s="4"/>
      <c r="AJ148" s="76" t="str">
        <f>IF(E148="○",IF(COUNTA(E$13:E148)=1,"",",")&amp;D148,"")</f>
        <v/>
      </c>
      <c r="AK148" s="4"/>
      <c r="AL148" s="4"/>
      <c r="AM148" s="4"/>
      <c r="AN148" s="4"/>
      <c r="AO148" s="4"/>
      <c r="AP148" s="4"/>
      <c r="AQ148" s="4"/>
      <c r="AR148" s="4"/>
      <c r="AS148" s="76" t="str">
        <f>"COMMENT ON COLUMN "&amp;エンティティ一覧!$O$2&amp;"."&amp;D$8&amp;"."&amp;D148&amp;" IS '"&amp;C148&amp;"';"</f>
        <v>COMMENT ON COLUMN milscm_2023_010.azn_202310_base_merge_dpc_ff1.m120010_bunben_shukketsuryo IS '分娩時出血量';</v>
      </c>
      <c r="AT148" s="4"/>
      <c r="AU148" s="4"/>
      <c r="AV148" s="4"/>
      <c r="AW148" s="4"/>
      <c r="AX148" s="4"/>
      <c r="AY148" s="4"/>
      <c r="AZ148" s="4"/>
    </row>
    <row r="149" spans="1:52" s="25" customFormat="1">
      <c r="A149" s="4"/>
      <c r="B149" s="21">
        <f t="shared" si="2"/>
        <v>137</v>
      </c>
      <c r="C149" s="13" t="s">
        <v>790</v>
      </c>
      <c r="D149" s="13" t="s">
        <v>791</v>
      </c>
      <c r="E149" s="7"/>
      <c r="F149" s="7" t="s">
        <v>316</v>
      </c>
      <c r="G149" s="7" t="str">
        <f t="shared" si="3"/>
        <v>text</v>
      </c>
      <c r="H149" s="26"/>
      <c r="I149" s="10"/>
      <c r="J149" s="11" t="s">
        <v>858</v>
      </c>
      <c r="L149" s="4"/>
      <c r="M149" s="4"/>
      <c r="N149" s="76"/>
      <c r="O149" s="76"/>
      <c r="P149" s="76" t="str">
        <f t="shared" si="12"/>
        <v>,m160010_burnindex</v>
      </c>
      <c r="Q149" s="76" t="str">
        <f t="shared" si="13"/>
        <v>TEXT</v>
      </c>
      <c r="R149" s="76" t="str">
        <f t="shared" si="14"/>
        <v/>
      </c>
      <c r="S149" s="76" t="str">
        <f t="shared" si="15"/>
        <v/>
      </c>
      <c r="T149" s="76" t="str">
        <f t="shared" si="16"/>
        <v>-- BurnIndex</v>
      </c>
      <c r="U149" s="4"/>
      <c r="AA149" s="4"/>
      <c r="AB149" s="4"/>
      <c r="AC149" s="4"/>
      <c r="AD149" s="4"/>
      <c r="AE149" s="4"/>
      <c r="AF149" s="4"/>
      <c r="AG149" s="4"/>
      <c r="AH149" s="4"/>
      <c r="AI149" s="4"/>
      <c r="AJ149" s="76" t="str">
        <f>IF(E149="○",IF(COUNTA(E$13:E149)=1,"",",")&amp;D149,"")</f>
        <v/>
      </c>
      <c r="AK149" s="4"/>
      <c r="AL149" s="4"/>
      <c r="AM149" s="4"/>
      <c r="AN149" s="4"/>
      <c r="AO149" s="4"/>
      <c r="AP149" s="4"/>
      <c r="AQ149" s="4"/>
      <c r="AR149" s="4"/>
      <c r="AS149" s="76" t="str">
        <f>"COMMENT ON COLUMN "&amp;エンティティ一覧!$O$2&amp;"."&amp;D$8&amp;"."&amp;D149&amp;" IS '"&amp;C149&amp;"';"</f>
        <v>COMMENT ON COLUMN milscm_2023_010.azn_202310_base_merge_dpc_ff1.m160010_burnindex IS 'BurnIndex';</v>
      </c>
      <c r="AT149" s="4"/>
      <c r="AU149" s="4"/>
      <c r="AV149" s="4"/>
      <c r="AW149" s="4"/>
      <c r="AX149" s="4"/>
      <c r="AY149" s="4"/>
      <c r="AZ149" s="4"/>
    </row>
    <row r="150" spans="1:52" s="25" customFormat="1">
      <c r="A150" s="4"/>
      <c r="B150" s="21">
        <f t="shared" si="2"/>
        <v>138</v>
      </c>
      <c r="C150" s="6" t="s">
        <v>792</v>
      </c>
      <c r="D150" s="6" t="s">
        <v>793</v>
      </c>
      <c r="E150" s="8"/>
      <c r="F150" s="7" t="s">
        <v>316</v>
      </c>
      <c r="G150" s="7" t="str">
        <f t="shared" si="3"/>
        <v>text</v>
      </c>
      <c r="H150" s="58"/>
      <c r="I150" s="23"/>
      <c r="J150" s="24"/>
      <c r="L150" s="4"/>
      <c r="M150" s="4"/>
      <c r="N150" s="76"/>
      <c r="O150" s="76"/>
      <c r="P150" s="76" t="str">
        <f t="shared" si="12"/>
        <v>,m170010_nyuin_gaf</v>
      </c>
      <c r="Q150" s="76" t="str">
        <f t="shared" si="13"/>
        <v>TEXT</v>
      </c>
      <c r="R150" s="76" t="str">
        <f t="shared" si="14"/>
        <v/>
      </c>
      <c r="S150" s="76" t="str">
        <f t="shared" si="15"/>
        <v/>
      </c>
      <c r="T150" s="76" t="str">
        <f t="shared" si="16"/>
        <v>-- 入院時GAF尺度</v>
      </c>
      <c r="U150" s="4"/>
      <c r="AA150" s="4"/>
      <c r="AB150" s="4"/>
      <c r="AC150" s="4"/>
      <c r="AD150" s="4"/>
      <c r="AE150" s="4"/>
      <c r="AF150" s="4"/>
      <c r="AG150" s="4"/>
      <c r="AH150" s="4"/>
      <c r="AI150" s="4"/>
      <c r="AJ150" s="76" t="str">
        <f>IF(E150="○",IF(COUNTA(E$13:E150)=1,"",",")&amp;D150,"")</f>
        <v/>
      </c>
      <c r="AK150" s="4"/>
      <c r="AL150" s="4"/>
      <c r="AM150" s="4"/>
      <c r="AN150" s="4"/>
      <c r="AO150" s="4"/>
      <c r="AP150" s="4"/>
      <c r="AQ150" s="4"/>
      <c r="AR150" s="4"/>
      <c r="AS150" s="76" t="str">
        <f>"COMMENT ON COLUMN "&amp;エンティティ一覧!$O$2&amp;"."&amp;D$8&amp;"."&amp;D150&amp;" IS '"&amp;C150&amp;"';"</f>
        <v>COMMENT ON COLUMN milscm_2023_010.azn_202310_base_merge_dpc_ff1.m170010_nyuin_gaf IS '入院時GAF尺度';</v>
      </c>
      <c r="AT150" s="4"/>
      <c r="AU150" s="4"/>
      <c r="AV150" s="4"/>
      <c r="AW150" s="4"/>
      <c r="AX150" s="4"/>
      <c r="AY150" s="4"/>
      <c r="AZ150" s="4"/>
    </row>
    <row r="151" spans="1:52" s="25" customFormat="1" ht="37.5">
      <c r="A151" s="4"/>
      <c r="B151" s="21">
        <f t="shared" si="2"/>
        <v>139</v>
      </c>
      <c r="C151" s="13" t="s">
        <v>794</v>
      </c>
      <c r="D151" s="13" t="s">
        <v>795</v>
      </c>
      <c r="E151" s="7"/>
      <c r="F151" s="7" t="s">
        <v>316</v>
      </c>
      <c r="G151" s="7" t="str">
        <f t="shared" si="3"/>
        <v>text</v>
      </c>
      <c r="H151" s="26"/>
      <c r="I151" s="10"/>
      <c r="J151" s="11" t="s">
        <v>859</v>
      </c>
      <c r="L151" s="4"/>
      <c r="M151" s="4"/>
      <c r="N151" s="76"/>
      <c r="O151" s="76"/>
      <c r="P151" s="76" t="str">
        <f t="shared" si="12"/>
        <v>,m170020_mental_nyuin_keitai</v>
      </c>
      <c r="Q151" s="76" t="str">
        <f t="shared" si="13"/>
        <v>TEXT</v>
      </c>
      <c r="R151" s="76" t="str">
        <f t="shared" si="14"/>
        <v/>
      </c>
      <c r="S151" s="76" t="str">
        <f t="shared" si="15"/>
        <v/>
      </c>
      <c r="T151" s="76" t="str">
        <f t="shared" si="16"/>
        <v>-- 精神保健福祉法における入院形態</v>
      </c>
      <c r="U151" s="4"/>
      <c r="AA151" s="4"/>
      <c r="AB151" s="4"/>
      <c r="AC151" s="4"/>
      <c r="AD151" s="4"/>
      <c r="AE151" s="4"/>
      <c r="AF151" s="4"/>
      <c r="AG151" s="4"/>
      <c r="AH151" s="4"/>
      <c r="AI151" s="4"/>
      <c r="AJ151" s="76" t="str">
        <f>IF(E151="○",IF(COUNTA(E$13:E151)=1,"",",")&amp;D151,"")</f>
        <v/>
      </c>
      <c r="AK151" s="4"/>
      <c r="AL151" s="4"/>
      <c r="AM151" s="4"/>
      <c r="AN151" s="4"/>
      <c r="AO151" s="4"/>
      <c r="AP151" s="4"/>
      <c r="AQ151" s="4"/>
      <c r="AR151" s="4"/>
      <c r="AS151" s="76" t="str">
        <f>"COMMENT ON COLUMN "&amp;エンティティ一覧!$O$2&amp;"."&amp;D$8&amp;"."&amp;D151&amp;" IS '"&amp;C151&amp;"';"</f>
        <v>COMMENT ON COLUMN milscm_2023_010.azn_202310_base_merge_dpc_ff1.m170020_mental_nyuin_keitai IS '精神保健福祉法における入院形態';</v>
      </c>
      <c r="AT151" s="4"/>
      <c r="AU151" s="4"/>
      <c r="AV151" s="4"/>
      <c r="AW151" s="4"/>
      <c r="AX151" s="4"/>
      <c r="AY151" s="4"/>
      <c r="AZ151" s="4"/>
    </row>
    <row r="152" spans="1:52" s="25" customFormat="1" ht="31.5">
      <c r="A152" s="4"/>
      <c r="B152" s="21">
        <f t="shared" si="2"/>
        <v>140</v>
      </c>
      <c r="C152" s="13" t="s">
        <v>796</v>
      </c>
      <c r="D152" s="13" t="s">
        <v>797</v>
      </c>
      <c r="E152" s="7"/>
      <c r="F152" s="7" t="s">
        <v>316</v>
      </c>
      <c r="G152" s="7" t="str">
        <f t="shared" si="3"/>
        <v>text</v>
      </c>
      <c r="H152" s="58"/>
      <c r="I152" s="23"/>
      <c r="J152" s="24" t="s">
        <v>860</v>
      </c>
      <c r="L152" s="4"/>
      <c r="M152" s="4"/>
      <c r="N152" s="76"/>
      <c r="O152" s="76"/>
      <c r="P152" s="76" t="str">
        <f t="shared" si="12"/>
        <v>,m170020_mental_kakuri_days</v>
      </c>
      <c r="Q152" s="76" t="str">
        <f t="shared" si="13"/>
        <v>TEXT</v>
      </c>
      <c r="R152" s="76" t="str">
        <f t="shared" si="14"/>
        <v/>
      </c>
      <c r="S152" s="76" t="str">
        <f t="shared" si="15"/>
        <v/>
      </c>
      <c r="T152" s="76" t="str">
        <f t="shared" si="16"/>
        <v>-- 精神保健福祉法に基づく隔離日数</v>
      </c>
      <c r="U152" s="4"/>
      <c r="AA152" s="4"/>
      <c r="AB152" s="4"/>
      <c r="AC152" s="4"/>
      <c r="AD152" s="4"/>
      <c r="AE152" s="4"/>
      <c r="AF152" s="4"/>
      <c r="AG152" s="4"/>
      <c r="AH152" s="4"/>
      <c r="AI152" s="4"/>
      <c r="AJ152" s="76" t="str">
        <f>IF(E152="○",IF(COUNTA(E$13:E152)=1,"",",")&amp;D152,"")</f>
        <v/>
      </c>
      <c r="AK152" s="4"/>
      <c r="AL152" s="4"/>
      <c r="AM152" s="4"/>
      <c r="AN152" s="4"/>
      <c r="AO152" s="4"/>
      <c r="AP152" s="4"/>
      <c r="AQ152" s="4"/>
      <c r="AR152" s="4"/>
      <c r="AS152" s="76" t="str">
        <f>"COMMENT ON COLUMN "&amp;エンティティ一覧!$O$2&amp;"."&amp;D$8&amp;"."&amp;D152&amp;" IS '"&amp;C152&amp;"';"</f>
        <v>COMMENT ON COLUMN milscm_2023_010.azn_202310_base_merge_dpc_ff1.m170020_mental_kakuri_days IS '精神保健福祉法に基づく隔離日数';</v>
      </c>
      <c r="AT152" s="4"/>
      <c r="AU152" s="4"/>
      <c r="AV152" s="4"/>
      <c r="AW152" s="4"/>
      <c r="AX152" s="4"/>
      <c r="AY152" s="4"/>
      <c r="AZ152" s="4"/>
    </row>
    <row r="153" spans="1:52" s="25" customFormat="1" ht="31.5">
      <c r="A153" s="4"/>
      <c r="B153" s="21">
        <f t="shared" si="2"/>
        <v>141</v>
      </c>
      <c r="C153" s="13" t="s">
        <v>798</v>
      </c>
      <c r="D153" s="13" t="s">
        <v>799</v>
      </c>
      <c r="E153" s="7"/>
      <c r="F153" s="7" t="s">
        <v>316</v>
      </c>
      <c r="G153" s="7" t="str">
        <f t="shared" si="3"/>
        <v>text</v>
      </c>
      <c r="H153" s="26"/>
      <c r="I153" s="10"/>
      <c r="J153" s="11" t="s">
        <v>860</v>
      </c>
      <c r="L153" s="4"/>
      <c r="M153" s="4"/>
      <c r="N153" s="76"/>
      <c r="O153" s="76"/>
      <c r="P153" s="76" t="str">
        <f t="shared" si="12"/>
        <v>,m170020_mental_kosoku_days</v>
      </c>
      <c r="Q153" s="76" t="str">
        <f t="shared" si="13"/>
        <v>TEXT</v>
      </c>
      <c r="R153" s="76" t="str">
        <f t="shared" si="14"/>
        <v/>
      </c>
      <c r="S153" s="76" t="str">
        <f t="shared" si="15"/>
        <v/>
      </c>
      <c r="T153" s="76" t="str">
        <f t="shared" si="16"/>
        <v>-- 精神保健福祉法に基づく身体拘束日数</v>
      </c>
      <c r="U153" s="4"/>
      <c r="AA153" s="4"/>
      <c r="AB153" s="4"/>
      <c r="AC153" s="4"/>
      <c r="AD153" s="4"/>
      <c r="AE153" s="4"/>
      <c r="AF153" s="4"/>
      <c r="AG153" s="4"/>
      <c r="AH153" s="4"/>
      <c r="AI153" s="4"/>
      <c r="AJ153" s="76" t="str">
        <f>IF(E153="○",IF(COUNTA(E$13:E153)=1,"",",")&amp;D153,"")</f>
        <v/>
      </c>
      <c r="AK153" s="4"/>
      <c r="AL153" s="4"/>
      <c r="AM153" s="4"/>
      <c r="AN153" s="4"/>
      <c r="AO153" s="4"/>
      <c r="AP153" s="4"/>
      <c r="AQ153" s="4"/>
      <c r="AR153" s="4"/>
      <c r="AS153" s="76" t="str">
        <f>"COMMENT ON COLUMN "&amp;エンティティ一覧!$O$2&amp;"."&amp;D$8&amp;"."&amp;D153&amp;" IS '"&amp;C153&amp;"';"</f>
        <v>COMMENT ON COLUMN milscm_2023_010.azn_202310_base_merge_dpc_ff1.m170020_mental_kosoku_days IS '精神保健福祉法に基づく身体拘束日数';</v>
      </c>
      <c r="AT153" s="4"/>
      <c r="AU153" s="4"/>
      <c r="AV153" s="4"/>
      <c r="AW153" s="4"/>
      <c r="AX153" s="4"/>
      <c r="AY153" s="4"/>
      <c r="AZ153" s="4"/>
    </row>
    <row r="154" spans="1:52" s="25" customFormat="1" ht="31.5">
      <c r="A154" s="4"/>
      <c r="B154" s="21">
        <f t="shared" si="2"/>
        <v>142</v>
      </c>
      <c r="C154" s="13" t="s">
        <v>800</v>
      </c>
      <c r="D154" s="13" t="s">
        <v>801</v>
      </c>
      <c r="E154" s="7"/>
      <c r="F154" s="7" t="s">
        <v>316</v>
      </c>
      <c r="G154" s="7" t="str">
        <f t="shared" si="3"/>
        <v>text</v>
      </c>
      <c r="H154" s="58"/>
      <c r="I154" s="23"/>
      <c r="J154" s="24" t="s">
        <v>861</v>
      </c>
      <c r="L154" s="4"/>
      <c r="M154" s="4"/>
      <c r="N154" s="76"/>
      <c r="O154" s="76"/>
      <c r="P154" s="76" t="str">
        <f t="shared" si="12"/>
        <v>,mzz0010_other_jusho_no</v>
      </c>
      <c r="Q154" s="76" t="str">
        <f t="shared" si="13"/>
        <v>TEXT</v>
      </c>
      <c r="R154" s="76" t="str">
        <f t="shared" si="14"/>
        <v/>
      </c>
      <c r="S154" s="76" t="str">
        <f t="shared" si="15"/>
        <v/>
      </c>
      <c r="T154" s="76" t="str">
        <f t="shared" si="16"/>
        <v>-- その他の重症度分類・分類番号または記号</v>
      </c>
      <c r="U154" s="4"/>
      <c r="AA154" s="4"/>
      <c r="AB154" s="4"/>
      <c r="AC154" s="4"/>
      <c r="AD154" s="4"/>
      <c r="AE154" s="4"/>
      <c r="AF154" s="4"/>
      <c r="AG154" s="4"/>
      <c r="AH154" s="4"/>
      <c r="AI154" s="4"/>
      <c r="AJ154" s="76" t="str">
        <f>IF(E154="○",IF(COUNTA(E$13:E154)=1,"",",")&amp;D154,"")</f>
        <v/>
      </c>
      <c r="AK154" s="4"/>
      <c r="AL154" s="4"/>
      <c r="AM154" s="4"/>
      <c r="AN154" s="4"/>
      <c r="AO154" s="4"/>
      <c r="AP154" s="4"/>
      <c r="AQ154" s="4"/>
      <c r="AR154" s="4"/>
      <c r="AS154" s="76" t="str">
        <f>"COMMENT ON COLUMN "&amp;エンティティ一覧!$O$2&amp;"."&amp;D$8&amp;"."&amp;D154&amp;" IS '"&amp;C154&amp;"';"</f>
        <v>COMMENT ON COLUMN milscm_2023_010.azn_202310_base_merge_dpc_ff1.mzz0010_other_jusho_no IS 'その他の重症度分類・分類番号または記号';</v>
      </c>
      <c r="AT154" s="4"/>
      <c r="AU154" s="4"/>
      <c r="AV154" s="4"/>
      <c r="AW154" s="4"/>
      <c r="AX154" s="4"/>
      <c r="AY154" s="4"/>
      <c r="AZ154" s="4"/>
    </row>
    <row r="155" spans="1:52" s="25" customFormat="1" ht="32.25" thickBot="1">
      <c r="A155" s="4"/>
      <c r="B155" s="27">
        <f>ROW()-12</f>
        <v>143</v>
      </c>
      <c r="C155" s="57" t="s">
        <v>802</v>
      </c>
      <c r="D155" s="57" t="s">
        <v>803</v>
      </c>
      <c r="E155" s="56"/>
      <c r="F155" s="56" t="s">
        <v>316</v>
      </c>
      <c r="G155" s="56" t="str">
        <f t="shared" si="3"/>
        <v>text</v>
      </c>
      <c r="H155" s="59"/>
      <c r="I155" s="60"/>
      <c r="J155" s="61" t="s">
        <v>861</v>
      </c>
      <c r="L155" s="4"/>
      <c r="M155" s="4"/>
      <c r="N155" s="76"/>
      <c r="O155" s="76"/>
      <c r="P155" s="76" t="str">
        <f t="shared" si="12"/>
        <v>,mzz0010_other_jusho_name</v>
      </c>
      <c r="Q155" s="76" t="str">
        <f t="shared" si="13"/>
        <v>TEXT</v>
      </c>
      <c r="R155" s="76" t="str">
        <f t="shared" si="14"/>
        <v/>
      </c>
      <c r="S155" s="76" t="str">
        <f t="shared" si="15"/>
        <v/>
      </c>
      <c r="T155" s="76" t="str">
        <f t="shared" si="16"/>
        <v>-- その他の重症度分類・名称</v>
      </c>
      <c r="U155" s="4"/>
      <c r="AA155" s="4"/>
      <c r="AB155" s="4"/>
      <c r="AC155" s="4"/>
      <c r="AD155" s="4"/>
      <c r="AE155" s="4"/>
      <c r="AF155" s="4"/>
      <c r="AG155" s="4"/>
      <c r="AH155" s="4"/>
      <c r="AI155" s="4"/>
      <c r="AJ155" s="76" t="str">
        <f>IF(E155="○",IF(COUNTA(E$13:E155)=1,"",",")&amp;D155,"")</f>
        <v/>
      </c>
      <c r="AK155" s="4"/>
      <c r="AL155" s="4"/>
      <c r="AM155" s="4"/>
      <c r="AN155" s="4"/>
      <c r="AO155" s="4"/>
      <c r="AP155" s="4"/>
      <c r="AQ155" s="4"/>
      <c r="AR155" s="4"/>
      <c r="AS155" s="76" t="str">
        <f>"COMMENT ON COLUMN "&amp;エンティティ一覧!$O$2&amp;"."&amp;D$8&amp;"."&amp;D155&amp;" IS '"&amp;C155&amp;"';"</f>
        <v>COMMENT ON COLUMN milscm_2023_010.azn_202310_base_merge_dpc_ff1.mzz0010_other_jusho_name IS 'その他の重症度分類・名称';</v>
      </c>
      <c r="AT155" s="4"/>
      <c r="AU155" s="4"/>
      <c r="AV155" s="4"/>
      <c r="AW155" s="4"/>
      <c r="AX155" s="4"/>
      <c r="AY155" s="4"/>
      <c r="AZ155" s="4"/>
    </row>
    <row r="156" spans="1:52">
      <c r="N156" s="76" t="s">
        <v>142</v>
      </c>
      <c r="O156" s="76"/>
      <c r="P156" s="76"/>
      <c r="Q156" s="76"/>
      <c r="R156" s="76"/>
      <c r="S156" s="76"/>
      <c r="T156" s="76"/>
      <c r="V156" s="25"/>
      <c r="W156" s="25"/>
      <c r="X156" s="25"/>
      <c r="Y156" s="25"/>
      <c r="Z156" s="25"/>
      <c r="AJ156" s="76" t="s">
        <v>142</v>
      </c>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31</v>
      </c>
      <c r="E4" s="248"/>
      <c r="F4" s="248"/>
      <c r="G4" s="248"/>
      <c r="H4" s="248"/>
      <c r="I4" s="248"/>
      <c r="J4" s="249"/>
    </row>
    <row r="5" spans="1:45">
      <c r="B5" s="261" t="s">
        <v>3704</v>
      </c>
      <c r="C5" s="262"/>
      <c r="D5" s="271" t="str">
        <f>VLOOKUP(D7,エンティティ一覧!A1:'エンティティ一覧'!AM10203,7,FALSE)</f>
        <v>base</v>
      </c>
      <c r="E5" s="272"/>
      <c r="F5" s="272"/>
      <c r="G5" s="272"/>
      <c r="H5" s="272"/>
      <c r="I5" s="272"/>
      <c r="J5" s="273"/>
    </row>
    <row r="6" spans="1:45">
      <c r="B6" s="261" t="s">
        <v>3705</v>
      </c>
      <c r="C6" s="262"/>
      <c r="D6" s="271" t="str">
        <f>VLOOKUP(D7,エンティティ一覧!A1:'エンティティ一覧'!AM10203,15,FALSE)</f>
        <v>ENT_31_C1-07</v>
      </c>
      <c r="E6" s="272"/>
      <c r="F6" s="272"/>
      <c r="G6" s="272"/>
      <c r="H6" s="272"/>
      <c r="I6" s="272"/>
      <c r="J6" s="273"/>
    </row>
    <row r="7" spans="1:45">
      <c r="B7" s="261" t="s">
        <v>115</v>
      </c>
      <c r="C7" s="262"/>
      <c r="D7" s="263" t="s">
        <v>311</v>
      </c>
      <c r="E7" s="264"/>
      <c r="F7" s="264"/>
      <c r="G7" s="264"/>
      <c r="H7" s="264"/>
      <c r="I7" s="264"/>
      <c r="J7" s="265"/>
    </row>
    <row r="8" spans="1:45">
      <c r="B8" s="261" t="s">
        <v>116</v>
      </c>
      <c r="C8" s="262"/>
      <c r="D8" s="263" t="str">
        <f>エンティティ一覧!AE2&amp;"_"&amp;D5&amp;"_merge_dpc_ff1_a006040"</f>
        <v>azn_202310_base_merge_dpc_ff1_a006040</v>
      </c>
      <c r="E8" s="264"/>
      <c r="F8" s="264"/>
      <c r="G8" s="264"/>
      <c r="H8" s="264"/>
      <c r="I8" s="264"/>
      <c r="J8" s="265"/>
    </row>
    <row r="9" spans="1:45" ht="19.5" customHeight="1" thickBot="1">
      <c r="B9" s="266" t="s">
        <v>117</v>
      </c>
      <c r="C9" s="267"/>
      <c r="D9" s="268" t="str">
        <f>"バックアップ_"&amp;SUBSTITUTE(D7,"ベース_","")&amp;"テーブルから対象患者で絞り込んだ結果を格納するテーブル"</f>
        <v>バックアップ_DPC調査データ_様式1_診断情報_併存症テーブルから対象患者で絞り込んだ結果を格納するテーブル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milscm_2023_010.azn_202310_base_merge_dpc_ff1_a006040;</v>
      </c>
      <c r="O10" s="76"/>
      <c r="P10" s="76"/>
      <c r="Q10" s="76"/>
      <c r="R10" s="76"/>
      <c r="S10" s="76"/>
      <c r="T10" s="76"/>
      <c r="AJ10" s="76" t="str">
        <f>"ALTER TABLE ONLY "&amp;エンティティ一覧!$O$2&amp;"."&amp;D$8</f>
        <v>ALTER TABLE ONLY milscm_2023_010.azn_202310_base_merge_dpc_ff1_a006040</v>
      </c>
      <c r="AS10" s="76" t="str">
        <f>"ALTER TABLE "&amp;エンティティ一覧!$O$2&amp;"."&amp;D$8&amp;" OWNER TO pgmisgrp1;"</f>
        <v>ALTER TABLE milscm_2023_010.azn_202310_base_merge_dpc_ff1_a006040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milscm_2023_010.azn_202310_base_merge_dpc_ff1_a006040</v>
      </c>
      <c r="O11" s="76"/>
      <c r="P11" s="76"/>
      <c r="Q11" s="76"/>
      <c r="R11" s="76"/>
      <c r="S11" s="76"/>
      <c r="T11" s="76"/>
      <c r="AJ11" s="76" t="str">
        <f>"ADD CONSTRAINT "&amp;D$8&amp;"_pkey PRIMARY KEY"</f>
        <v>ADD CONSTRAINT azn_202310_base_merge_dpc_ff1_a006040_pkey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milscm_2023_010.azn_202310_base_merge_dpc_ff1_a006040 IS 'ベース_DPC調査データ_様式1_診断情報_併存症';</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0" si="0">UPPER(G13)</f>
        <v>TEXT</v>
      </c>
      <c r="R13" s="76" t="str">
        <f t="shared" ref="R13:R3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milscm_2023_010.azn_202310_base_merge_dpc_ff1_a006040.torikomi_ym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6"/>
      <c r="O14" s="76"/>
      <c r="P14" s="76" t="str">
        <f t="shared" ref="P14:P3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milscm_2023_010.azn_202310_base_merge_dpc_ff1_a006040.mil_karute_id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805</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milscm_2023_010.azn_202310_base_merge_dpc_ff1_a006040.facility_id IS '施設ID';</v>
      </c>
    </row>
    <row r="16" spans="1:45" s="25" customFormat="1" ht="93.75">
      <c r="B16" s="21">
        <f t="shared" si="2"/>
        <v>4</v>
      </c>
      <c r="C16" s="6" t="s">
        <v>864</v>
      </c>
      <c r="D16" s="6" t="s">
        <v>205</v>
      </c>
      <c r="E16" s="8" t="s">
        <v>127</v>
      </c>
      <c r="F16" s="7" t="s">
        <v>863</v>
      </c>
      <c r="G16" s="7" t="str">
        <f t="shared" si="3"/>
        <v>text</v>
      </c>
      <c r="H16" s="26"/>
      <c r="I16" s="10" t="s">
        <v>127</v>
      </c>
      <c r="J16" s="53" t="s">
        <v>896</v>
      </c>
      <c r="M16" s="4"/>
      <c r="N16" s="76"/>
      <c r="O16" s="76"/>
      <c r="P16" s="76" t="str">
        <f t="shared" si="4"/>
        <v>,shinryo_ym</v>
      </c>
      <c r="Q16" s="76" t="str">
        <f t="shared" si="0"/>
        <v>TEXT</v>
      </c>
      <c r="R16" s="76" t="str">
        <f t="shared" si="1"/>
        <v/>
      </c>
      <c r="S16" s="76" t="str">
        <f t="shared" ref="S16:S30" si="5">IF(I16="○","NOT NULL","")</f>
        <v>NOT NULL</v>
      </c>
      <c r="T16" s="76" t="str">
        <f t="shared" ref="T16:T30"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milscm_2023_010.azn_202310_base_merge_dpc_ff1_a006040.shinryo_ym IS '診療年月';</v>
      </c>
    </row>
    <row r="17" spans="1:52" s="25" customFormat="1">
      <c r="B17" s="21">
        <f t="shared" si="2"/>
        <v>5</v>
      </c>
      <c r="C17" s="13" t="s">
        <v>318</v>
      </c>
      <c r="D17" s="13" t="s">
        <v>207</v>
      </c>
      <c r="E17" s="7"/>
      <c r="F17" s="7" t="s">
        <v>863</v>
      </c>
      <c r="G17" s="7" t="str">
        <f t="shared" si="3"/>
        <v>text</v>
      </c>
      <c r="H17" s="58" t="s">
        <v>258</v>
      </c>
      <c r="I17" s="23" t="s">
        <v>127</v>
      </c>
      <c r="J17" s="24" t="s">
        <v>806</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milscm_2023_010.azn_202310_base_merge_dpc_ff1_a006040.data_type IS 'データ種別';</v>
      </c>
    </row>
    <row r="18" spans="1:52" s="25" customFormat="1">
      <c r="B18" s="21">
        <f t="shared" si="2"/>
        <v>6</v>
      </c>
      <c r="C18" s="6" t="s">
        <v>865</v>
      </c>
      <c r="D18" s="6" t="s">
        <v>209</v>
      </c>
      <c r="E18" s="8" t="s">
        <v>127</v>
      </c>
      <c r="F18" s="7" t="s">
        <v>863</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milscm_2023_010.azn_202310_base_merge_dpc_ff1_a006040.shikibetsu_no IS 'データ識別番号';</v>
      </c>
    </row>
    <row r="19" spans="1:52" s="25" customFormat="1">
      <c r="B19" s="21">
        <f t="shared" si="2"/>
        <v>7</v>
      </c>
      <c r="C19" s="13" t="s">
        <v>866</v>
      </c>
      <c r="D19" s="13" t="s">
        <v>156</v>
      </c>
      <c r="E19" s="7" t="s">
        <v>127</v>
      </c>
      <c r="F19" s="7" t="s">
        <v>863</v>
      </c>
      <c r="G19" s="7" t="str">
        <f t="shared" si="3"/>
        <v>text</v>
      </c>
      <c r="H19" s="58"/>
      <c r="I19" s="23" t="s">
        <v>127</v>
      </c>
      <c r="J19" s="24" t="s">
        <v>144</v>
      </c>
      <c r="N19" s="76"/>
      <c r="O19" s="76"/>
      <c r="P19" s="76" t="str">
        <f t="shared" si="4"/>
        <v>,nyuin_ymd</v>
      </c>
      <c r="Q19" s="76" t="str">
        <f t="shared" si="0"/>
        <v>TEXT</v>
      </c>
      <c r="R19" s="76" t="str">
        <f t="shared" si="1"/>
        <v/>
      </c>
      <c r="S19" s="76" t="str">
        <f t="shared" si="5"/>
        <v>NOT NULL</v>
      </c>
      <c r="T19" s="76" t="str">
        <f t="shared" si="6"/>
        <v>-- 入院年月日</v>
      </c>
      <c r="U19" s="4"/>
      <c r="AA19" s="4"/>
      <c r="AB19" s="4"/>
      <c r="AC19" s="4"/>
      <c r="AD19" s="4"/>
      <c r="AE19" s="4"/>
      <c r="AF19" s="4"/>
      <c r="AG19" s="4"/>
      <c r="AH19" s="4"/>
      <c r="AI19" s="4"/>
      <c r="AJ19" s="76" t="str">
        <f>IF(E19="○",IF(COUNTA(E$13:E19)=1,"",",")&amp;D19,"")</f>
        <v>,nyuin_ymd</v>
      </c>
      <c r="AK19" s="4"/>
      <c r="AL19" s="4"/>
      <c r="AM19" s="4"/>
      <c r="AN19" s="4"/>
      <c r="AO19" s="4"/>
      <c r="AP19" s="4"/>
      <c r="AQ19" s="4"/>
      <c r="AR19" s="4"/>
      <c r="AS19" s="76" t="str">
        <f>"COMMENT ON COLUMN "&amp;エンティティ一覧!$O$2&amp;"."&amp;D$8&amp;"."&amp;D19&amp;" IS '"&amp;C19&amp;"';"</f>
        <v>COMMENT ON COLUMN milscm_2023_010.azn_202310_base_merge_dpc_ff1_a006040.nyuin_ymd IS '入院年月日';</v>
      </c>
    </row>
    <row r="20" spans="1:52" s="25" customFormat="1">
      <c r="B20" s="21">
        <f t="shared" si="2"/>
        <v>8</v>
      </c>
      <c r="C20" s="6" t="s">
        <v>867</v>
      </c>
      <c r="D20" s="6" t="s">
        <v>562</v>
      </c>
      <c r="E20" s="8" t="s">
        <v>127</v>
      </c>
      <c r="F20" s="7" t="s">
        <v>863</v>
      </c>
      <c r="G20" s="7" t="str">
        <f t="shared" si="3"/>
        <v>text</v>
      </c>
      <c r="H20" s="26"/>
      <c r="I20" s="10" t="s">
        <v>127</v>
      </c>
      <c r="J20" s="11"/>
      <c r="N20" s="76"/>
      <c r="O20" s="76"/>
      <c r="P20" s="76" t="str">
        <f t="shared" si="4"/>
        <v>,times_no</v>
      </c>
      <c r="Q20" s="76" t="str">
        <f t="shared" si="0"/>
        <v>TEXT</v>
      </c>
      <c r="R20" s="76" t="str">
        <f t="shared" si="1"/>
        <v/>
      </c>
      <c r="S20" s="76" t="str">
        <f t="shared" si="5"/>
        <v>NOT NULL</v>
      </c>
      <c r="T20" s="76" t="str">
        <f t="shared" si="6"/>
        <v>-- 回数管理番号</v>
      </c>
      <c r="U20" s="4"/>
      <c r="AA20" s="4"/>
      <c r="AB20" s="4"/>
      <c r="AC20" s="4"/>
      <c r="AD20" s="4"/>
      <c r="AE20" s="4"/>
      <c r="AF20" s="4"/>
      <c r="AG20" s="4"/>
      <c r="AH20" s="4"/>
      <c r="AI20" s="4"/>
      <c r="AJ20" s="76" t="str">
        <f>IF(E20="○",IF(COUNTA(E$13:E20)=1,"",",")&amp;D20,"")</f>
        <v>,times_no</v>
      </c>
      <c r="AK20" s="4"/>
      <c r="AL20" s="4"/>
      <c r="AM20" s="4"/>
      <c r="AN20" s="4"/>
      <c r="AO20" s="4"/>
      <c r="AP20" s="4"/>
      <c r="AQ20" s="4"/>
      <c r="AR20" s="4"/>
      <c r="AS20" s="76" t="str">
        <f>"COMMENT ON COLUMN "&amp;エンティティ一覧!$O$2&amp;"."&amp;D$8&amp;"."&amp;D20&amp;" IS '"&amp;C20&amp;"';"</f>
        <v>COMMENT ON COLUMN milscm_2023_010.azn_202310_base_merge_dpc_ff1_a006040.times_no IS '回数管理番号';</v>
      </c>
    </row>
    <row r="21" spans="1:52" s="25" customFormat="1">
      <c r="A21" s="4"/>
      <c r="B21" s="21">
        <f t="shared" si="2"/>
        <v>9</v>
      </c>
      <c r="C21" s="13" t="s">
        <v>563</v>
      </c>
      <c r="D21" s="13" t="s">
        <v>564</v>
      </c>
      <c r="E21" s="7" t="s">
        <v>127</v>
      </c>
      <c r="F21" s="7" t="s">
        <v>863</v>
      </c>
      <c r="G21" s="7" t="str">
        <f t="shared" si="3"/>
        <v>text</v>
      </c>
      <c r="H21" s="58"/>
      <c r="I21" s="23" t="s">
        <v>127</v>
      </c>
      <c r="J21" s="24"/>
      <c r="N21" s="76"/>
      <c r="O21" s="76"/>
      <c r="P21" s="76" t="str">
        <f t="shared" si="4"/>
        <v>,sokatsu_shinryo_no</v>
      </c>
      <c r="Q21" s="76" t="str">
        <f t="shared" si="0"/>
        <v>TEXT</v>
      </c>
      <c r="R21" s="76" t="str">
        <f t="shared" si="1"/>
        <v/>
      </c>
      <c r="S21" s="76" t="str">
        <f t="shared" si="5"/>
        <v>NOT NULL</v>
      </c>
      <c r="T21" s="76" t="str">
        <f t="shared" si="6"/>
        <v>-- 統括診療情報番号</v>
      </c>
      <c r="U21" s="4"/>
      <c r="AA21" s="4"/>
      <c r="AB21" s="4"/>
      <c r="AC21" s="4"/>
      <c r="AD21" s="4"/>
      <c r="AE21" s="4"/>
      <c r="AF21" s="4"/>
      <c r="AG21" s="4"/>
      <c r="AH21" s="4"/>
      <c r="AI21" s="4"/>
      <c r="AJ21" s="76" t="str">
        <f>IF(E21="○",IF(COUNTA(E$13:E21)=1,"",",")&amp;D21,"")</f>
        <v>,sokatsu_shinryo_no</v>
      </c>
      <c r="AK21" s="4"/>
      <c r="AL21" s="4"/>
      <c r="AM21" s="4"/>
      <c r="AN21" s="4"/>
      <c r="AO21" s="4"/>
      <c r="AP21" s="4"/>
      <c r="AQ21" s="4"/>
      <c r="AR21" s="4"/>
      <c r="AS21" s="76" t="str">
        <f>"COMMENT ON COLUMN "&amp;エンティティ一覧!$O$2&amp;"."&amp;D$8&amp;"."&amp;D21&amp;" IS '"&amp;C21&amp;"';"</f>
        <v>COMMENT ON COLUMN milscm_2023_010.azn_202310_base_merge_dpc_ff1_a006040.sokatsu_shinryo_no IS '統括診療情報番号';</v>
      </c>
    </row>
    <row r="22" spans="1:52" s="25" customFormat="1">
      <c r="A22" s="4"/>
      <c r="B22" s="21">
        <f t="shared" si="2"/>
        <v>10</v>
      </c>
      <c r="C22" s="6" t="s">
        <v>357</v>
      </c>
      <c r="D22" s="6" t="s">
        <v>358</v>
      </c>
      <c r="E22" s="8" t="s">
        <v>127</v>
      </c>
      <c r="F22" s="7" t="s">
        <v>863</v>
      </c>
      <c r="G22" s="7" t="str">
        <f t="shared" si="3"/>
        <v>text</v>
      </c>
      <c r="H22" s="26" t="s">
        <v>877</v>
      </c>
      <c r="I22" s="10" t="s">
        <v>127</v>
      </c>
      <c r="J22" s="11" t="s">
        <v>878</v>
      </c>
      <c r="N22" s="76"/>
      <c r="O22" s="76"/>
      <c r="P22" s="76" t="str">
        <f t="shared" si="4"/>
        <v>,code</v>
      </c>
      <c r="Q22" s="76" t="str">
        <f t="shared" si="0"/>
        <v>TEXT</v>
      </c>
      <c r="R22" s="76" t="str">
        <f t="shared" si="1"/>
        <v>default 'A006040'</v>
      </c>
      <c r="S22" s="76" t="str">
        <f t="shared" si="5"/>
        <v>NOT NULL</v>
      </c>
      <c r="T22" s="76" t="str">
        <f t="shared" si="6"/>
        <v>-- コード</v>
      </c>
      <c r="U22" s="4"/>
      <c r="AA22" s="4"/>
      <c r="AB22" s="4"/>
      <c r="AC22" s="4"/>
      <c r="AD22" s="4"/>
      <c r="AE22" s="4"/>
      <c r="AF22" s="4"/>
      <c r="AG22" s="4"/>
      <c r="AH22" s="4"/>
      <c r="AI22" s="4"/>
      <c r="AJ22" s="76" t="str">
        <f>IF(E22="○",IF(COUNTA(E$13:E22)=1,"",",")&amp;D22,"")</f>
        <v>,code</v>
      </c>
      <c r="AK22" s="4"/>
      <c r="AL22" s="4"/>
      <c r="AM22" s="4"/>
      <c r="AN22" s="4"/>
      <c r="AO22" s="4"/>
      <c r="AP22" s="4"/>
      <c r="AQ22" s="4"/>
      <c r="AR22" s="4"/>
      <c r="AS22" s="76" t="str">
        <f>"COMMENT ON COLUMN "&amp;エンティティ一覧!$O$2&amp;"."&amp;D$8&amp;"."&amp;D22&amp;" IS '"&amp;C22&amp;"';"</f>
        <v>COMMENT ON COLUMN milscm_2023_010.azn_202310_base_merge_dpc_ff1_a006040.code IS 'コード';</v>
      </c>
    </row>
    <row r="23" spans="1:52" s="25" customFormat="1">
      <c r="A23" s="4"/>
      <c r="B23" s="21">
        <f t="shared" si="2"/>
        <v>11</v>
      </c>
      <c r="C23" s="13" t="s">
        <v>359</v>
      </c>
      <c r="D23" s="13" t="s">
        <v>360</v>
      </c>
      <c r="E23" s="7" t="s">
        <v>127</v>
      </c>
      <c r="F23" s="7" t="s">
        <v>863</v>
      </c>
      <c r="G23" s="7" t="str">
        <f t="shared" si="3"/>
        <v>text</v>
      </c>
      <c r="H23" s="58">
        <v>20140401</v>
      </c>
      <c r="I23" s="23" t="s">
        <v>127</v>
      </c>
      <c r="J23" s="24" t="s">
        <v>809</v>
      </c>
      <c r="N23" s="76"/>
      <c r="O23" s="76"/>
      <c r="P23" s="76" t="str">
        <f t="shared" si="4"/>
        <v>,version</v>
      </c>
      <c r="Q23" s="76" t="str">
        <f t="shared" si="0"/>
        <v>TEXT</v>
      </c>
      <c r="R23" s="76" t="str">
        <f t="shared" si="1"/>
        <v>default '20140401'</v>
      </c>
      <c r="S23" s="76" t="str">
        <f t="shared" si="5"/>
        <v>NOT NULL</v>
      </c>
      <c r="T23" s="76" t="str">
        <f t="shared" si="6"/>
        <v>-- バージョン</v>
      </c>
      <c r="U23" s="4"/>
      <c r="AA23" s="4"/>
      <c r="AB23" s="4"/>
      <c r="AC23" s="4"/>
      <c r="AD23" s="4"/>
      <c r="AE23" s="4"/>
      <c r="AF23" s="4"/>
      <c r="AG23" s="4"/>
      <c r="AH23" s="4"/>
      <c r="AI23" s="4"/>
      <c r="AJ23" s="76" t="str">
        <f>IF(E23="○",IF(COUNTA(E$13:E23)=1,"",",")&amp;D23,"")</f>
        <v>,version</v>
      </c>
      <c r="AK23" s="4"/>
      <c r="AL23" s="4"/>
      <c r="AM23" s="4"/>
      <c r="AN23" s="4"/>
      <c r="AO23" s="4"/>
      <c r="AP23" s="4"/>
      <c r="AQ23" s="4"/>
      <c r="AR23" s="4"/>
      <c r="AS23" s="76" t="str">
        <f>"COMMENT ON COLUMN "&amp;エンティティ一覧!$O$2&amp;"."&amp;D$8&amp;"."&amp;D23&amp;" IS '"&amp;C23&amp;"';"</f>
        <v>COMMENT ON COLUMN milscm_2023_010.azn_202310_base_merge_dpc_ff1_a006040.version IS 'バージョン';</v>
      </c>
    </row>
    <row r="24" spans="1:52" s="25" customFormat="1">
      <c r="A24" s="4"/>
      <c r="B24" s="21">
        <f t="shared" si="2"/>
        <v>12</v>
      </c>
      <c r="C24" s="6" t="s">
        <v>868</v>
      </c>
      <c r="D24" s="6" t="s">
        <v>362</v>
      </c>
      <c r="E24" s="8" t="s">
        <v>127</v>
      </c>
      <c r="F24" s="7" t="s">
        <v>863</v>
      </c>
      <c r="G24" s="7" t="str">
        <f t="shared" si="3"/>
        <v>text</v>
      </c>
      <c r="H24" s="26"/>
      <c r="I24" s="10" t="s">
        <v>127</v>
      </c>
      <c r="J24" s="11"/>
      <c r="N24" s="76"/>
      <c r="O24" s="76"/>
      <c r="P24" s="76" t="str">
        <f t="shared" si="4"/>
        <v>,number</v>
      </c>
      <c r="Q24" s="76" t="str">
        <f t="shared" si="0"/>
        <v>TEXT</v>
      </c>
      <c r="R24" s="76" t="str">
        <f t="shared" si="1"/>
        <v/>
      </c>
      <c r="S24" s="76" t="str">
        <f t="shared" si="5"/>
        <v>NOT NULL</v>
      </c>
      <c r="T24" s="76" t="str">
        <f t="shared" si="6"/>
        <v>-- 連番</v>
      </c>
      <c r="U24" s="4"/>
      <c r="AA24" s="4"/>
      <c r="AB24" s="4"/>
      <c r="AC24" s="4"/>
      <c r="AD24" s="4"/>
      <c r="AE24" s="4"/>
      <c r="AF24" s="4"/>
      <c r="AG24" s="4"/>
      <c r="AH24" s="4"/>
      <c r="AI24" s="4"/>
      <c r="AJ24" s="76" t="str">
        <f>IF(E24="○",IF(COUNTA(E$13:E24)=1,"",",")&amp;D24,"")</f>
        <v>,number</v>
      </c>
      <c r="AK24" s="4"/>
      <c r="AL24" s="4"/>
      <c r="AM24" s="4"/>
      <c r="AN24" s="4"/>
      <c r="AO24" s="4"/>
      <c r="AP24" s="4"/>
      <c r="AQ24" s="4"/>
      <c r="AR24" s="4"/>
      <c r="AS24" s="76" t="str">
        <f>"COMMENT ON COLUMN "&amp;エンティティ一覧!$O$2&amp;"."&amp;D$8&amp;"."&amp;D24&amp;" IS '"&amp;C24&amp;"';"</f>
        <v>COMMENT ON COLUMN milscm_2023_010.azn_202310_base_merge_dpc_ff1_a006040.number IS '連番';</v>
      </c>
    </row>
    <row r="25" spans="1:52" s="25" customFormat="1">
      <c r="A25" s="4"/>
      <c r="B25" s="21">
        <f t="shared" si="2"/>
        <v>13</v>
      </c>
      <c r="C25" s="13" t="s">
        <v>661</v>
      </c>
      <c r="D25" s="13" t="s">
        <v>869</v>
      </c>
      <c r="E25" s="7"/>
      <c r="F25" s="7" t="s">
        <v>863</v>
      </c>
      <c r="G25" s="7" t="str">
        <f t="shared" si="3"/>
        <v>text</v>
      </c>
      <c r="H25" s="58"/>
      <c r="I25" s="23"/>
      <c r="J25" s="24" t="s">
        <v>879</v>
      </c>
      <c r="N25" s="76"/>
      <c r="O25" s="76"/>
      <c r="P25" s="76" t="str">
        <f t="shared" si="4"/>
        <v>,icd10_code</v>
      </c>
      <c r="Q25" s="76" t="str">
        <f t="shared" si="0"/>
        <v>TEXT</v>
      </c>
      <c r="R25" s="76" t="str">
        <f t="shared" si="1"/>
        <v/>
      </c>
      <c r="S25" s="76" t="str">
        <f t="shared" si="5"/>
        <v/>
      </c>
      <c r="T25" s="76" t="str">
        <f t="shared" si="6"/>
        <v>-- ICD10コード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milscm_2023_010.azn_202310_base_merge_dpc_ff1_a006040.icd10_code IS 'ICD10コード';</v>
      </c>
    </row>
    <row r="26" spans="1:52" s="25" customFormat="1">
      <c r="A26" s="4"/>
      <c r="B26" s="21">
        <f t="shared" si="2"/>
        <v>14</v>
      </c>
      <c r="C26" s="6" t="s">
        <v>663</v>
      </c>
      <c r="D26" s="6" t="s">
        <v>870</v>
      </c>
      <c r="E26" s="8"/>
      <c r="F26" s="7" t="s">
        <v>863</v>
      </c>
      <c r="G26" s="7" t="str">
        <f t="shared" si="3"/>
        <v>text</v>
      </c>
      <c r="H26" s="26"/>
      <c r="I26" s="10"/>
      <c r="J26" s="11"/>
      <c r="N26" s="76"/>
      <c r="O26" s="76"/>
      <c r="P26" s="76" t="str">
        <f t="shared" si="4"/>
        <v>,shobyo_code</v>
      </c>
      <c r="Q26" s="76" t="str">
        <f t="shared" si="0"/>
        <v>TEXT</v>
      </c>
      <c r="R26" s="76" t="str">
        <f t="shared" si="1"/>
        <v/>
      </c>
      <c r="S26" s="76" t="str">
        <f t="shared" si="5"/>
        <v/>
      </c>
      <c r="T26" s="76" t="str">
        <f t="shared" si="6"/>
        <v>-- 傷病名コード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milscm_2023_010.azn_202310_base_merge_dpc_ff1_a006040.shobyo_code IS '傷病名コード';</v>
      </c>
    </row>
    <row r="27" spans="1:52" s="25" customFormat="1">
      <c r="A27" s="4"/>
      <c r="B27" s="21">
        <f t="shared" si="2"/>
        <v>15</v>
      </c>
      <c r="C27" s="6" t="s">
        <v>665</v>
      </c>
      <c r="D27" s="6" t="s">
        <v>871</v>
      </c>
      <c r="E27" s="8"/>
      <c r="F27" s="7" t="s">
        <v>863</v>
      </c>
      <c r="G27" s="7" t="str">
        <f t="shared" si="3"/>
        <v>text</v>
      </c>
      <c r="H27" s="26"/>
      <c r="I27" s="10"/>
      <c r="J27" s="11"/>
      <c r="N27" s="76"/>
      <c r="O27" s="76"/>
      <c r="P27" s="76" t="str">
        <f t="shared" si="4"/>
        <v>,shushoku_code1</v>
      </c>
      <c r="Q27" s="76" t="str">
        <f t="shared" si="0"/>
        <v>TEXT</v>
      </c>
      <c r="R27" s="76" t="str">
        <f t="shared" si="1"/>
        <v/>
      </c>
      <c r="S27" s="76" t="str">
        <f t="shared" si="5"/>
        <v/>
      </c>
      <c r="T27" s="76" t="str">
        <f t="shared" si="6"/>
        <v>-- 修飾語コード1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milscm_2023_010.azn_202310_base_merge_dpc_ff1_a006040.shushoku_code1 IS '修飾語コード1';</v>
      </c>
    </row>
    <row r="28" spans="1:52" s="25" customFormat="1">
      <c r="A28" s="4"/>
      <c r="B28" s="21">
        <f t="shared" si="2"/>
        <v>16</v>
      </c>
      <c r="C28" s="13" t="s">
        <v>667</v>
      </c>
      <c r="D28" s="13" t="s">
        <v>872</v>
      </c>
      <c r="E28" s="7"/>
      <c r="F28" s="7" t="s">
        <v>863</v>
      </c>
      <c r="G28" s="7" t="str">
        <f t="shared" si="3"/>
        <v>text</v>
      </c>
      <c r="H28" s="58"/>
      <c r="I28" s="23"/>
      <c r="J28" s="24"/>
      <c r="N28" s="76"/>
      <c r="O28" s="76"/>
      <c r="P28" s="76" t="str">
        <f t="shared" si="4"/>
        <v>,shushoku_code2</v>
      </c>
      <c r="Q28" s="76" t="str">
        <f t="shared" si="0"/>
        <v>TEXT</v>
      </c>
      <c r="R28" s="76" t="str">
        <f t="shared" si="1"/>
        <v/>
      </c>
      <c r="S28" s="76" t="str">
        <f t="shared" si="5"/>
        <v/>
      </c>
      <c r="T28" s="76" t="str">
        <f t="shared" si="6"/>
        <v>-- 修飾語コード2</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milscm_2023_010.azn_202310_base_merge_dpc_ff1_a006040.shushoku_code2 IS '修飾語コード2';</v>
      </c>
    </row>
    <row r="29" spans="1:52" s="25" customFormat="1">
      <c r="A29" s="4"/>
      <c r="B29" s="21">
        <f t="shared" si="2"/>
        <v>17</v>
      </c>
      <c r="C29" s="6" t="s">
        <v>669</v>
      </c>
      <c r="D29" s="6" t="s">
        <v>873</v>
      </c>
      <c r="E29" s="8"/>
      <c r="F29" s="7" t="s">
        <v>863</v>
      </c>
      <c r="G29" s="7" t="str">
        <f t="shared" si="3"/>
        <v>text</v>
      </c>
      <c r="H29" s="26"/>
      <c r="I29" s="10"/>
      <c r="J29" s="11"/>
      <c r="N29" s="76"/>
      <c r="O29" s="76"/>
      <c r="P29" s="76" t="str">
        <f t="shared" si="4"/>
        <v>,shushoku_code3</v>
      </c>
      <c r="Q29" s="76" t="str">
        <f t="shared" si="0"/>
        <v>TEXT</v>
      </c>
      <c r="R29" s="76" t="str">
        <f t="shared" si="1"/>
        <v/>
      </c>
      <c r="S29" s="76" t="str">
        <f t="shared" si="5"/>
        <v/>
      </c>
      <c r="T29" s="76" t="str">
        <f t="shared" si="6"/>
        <v>-- 修飾語コード3</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milscm_2023_010.azn_202310_base_merge_dpc_ff1_a006040.shushoku_code3 IS '修飾語コード3';</v>
      </c>
    </row>
    <row r="30" spans="1:52" s="25" customFormat="1">
      <c r="A30" s="4"/>
      <c r="B30" s="21">
        <f t="shared" si="2"/>
        <v>18</v>
      </c>
      <c r="C30" s="13" t="s">
        <v>671</v>
      </c>
      <c r="D30" s="13" t="s">
        <v>874</v>
      </c>
      <c r="E30" s="7"/>
      <c r="F30" s="7" t="s">
        <v>863</v>
      </c>
      <c r="G30" s="7" t="str">
        <f t="shared" si="3"/>
        <v>text</v>
      </c>
      <c r="H30" s="58"/>
      <c r="I30" s="23"/>
      <c r="J30" s="24"/>
      <c r="N30" s="76"/>
      <c r="O30" s="76"/>
      <c r="P30" s="76" t="str">
        <f t="shared" si="4"/>
        <v>,shushoku_code4</v>
      </c>
      <c r="Q30" s="76" t="str">
        <f t="shared" si="0"/>
        <v>TEXT</v>
      </c>
      <c r="R30" s="76" t="str">
        <f t="shared" si="1"/>
        <v/>
      </c>
      <c r="S30" s="76" t="str">
        <f t="shared" si="5"/>
        <v/>
      </c>
      <c r="T30" s="76" t="str">
        <f t="shared" si="6"/>
        <v>-- 修飾語コード4</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milscm_2023_010.azn_202310_base_merge_dpc_ff1_a006040.shushoku_code4 IS '修飾語コード4';</v>
      </c>
    </row>
    <row r="31" spans="1:52" s="25" customFormat="1" ht="19.5" thickBot="1">
      <c r="A31" s="4"/>
      <c r="B31" s="27">
        <f>ROW()-12</f>
        <v>19</v>
      </c>
      <c r="C31" s="57" t="s">
        <v>875</v>
      </c>
      <c r="D31" s="57" t="s">
        <v>876</v>
      </c>
      <c r="E31" s="56"/>
      <c r="F31" s="56" t="s">
        <v>863</v>
      </c>
      <c r="G31" s="56" t="str">
        <f t="shared" si="3"/>
        <v>text</v>
      </c>
      <c r="H31" s="59"/>
      <c r="I31" s="60"/>
      <c r="J31" s="63" t="s">
        <v>880</v>
      </c>
      <c r="N31" s="76"/>
      <c r="O31" s="76"/>
      <c r="P31" s="76" t="str">
        <f t="shared" ref="P31" si="7">IF(B31&lt;&gt;1,","&amp;D31,D31)</f>
        <v>,nyuin_heizonsho_name</v>
      </c>
      <c r="Q31" s="76" t="str">
        <f t="shared" ref="Q31" si="8">UPPER(G31)</f>
        <v>TEXT</v>
      </c>
      <c r="R31" s="76" t="str">
        <f t="shared" ref="R31" si="9">IF(H31&lt;&gt;"","default "&amp;IF(G31="text","'"&amp;H31&amp;"'",H31),"")</f>
        <v/>
      </c>
      <c r="S31" s="76" t="str">
        <f t="shared" ref="S31" si="10">IF(I31="○","NOT NULL","")</f>
        <v/>
      </c>
      <c r="T31" s="76" t="str">
        <f t="shared" ref="T31" si="11">"-- "&amp;C31</f>
        <v>-- 入院時併存症名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milscm_2023_010.azn_202310_base_merge_dpc_ff1_a006040.nyuin_heizonsho_name IS '入院時併存症名';</v>
      </c>
    </row>
    <row r="32" spans="1:52">
      <c r="L32" s="25"/>
      <c r="M32" s="25"/>
      <c r="N32" s="76" t="s">
        <v>142</v>
      </c>
      <c r="O32" s="76"/>
      <c r="P32" s="76"/>
      <c r="Q32" s="76"/>
      <c r="R32" s="76"/>
      <c r="S32" s="76"/>
      <c r="T32" s="76"/>
      <c r="V32" s="25"/>
      <c r="W32" s="25"/>
      <c r="X32" s="25"/>
      <c r="Y32" s="25"/>
      <c r="Z32" s="25"/>
      <c r="AJ32" s="76"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31</v>
      </c>
      <c r="E4" s="248"/>
      <c r="F4" s="248"/>
      <c r="G4" s="248"/>
      <c r="H4" s="248"/>
      <c r="I4" s="248"/>
      <c r="J4" s="249"/>
    </row>
    <row r="5" spans="1:45">
      <c r="B5" s="261" t="s">
        <v>3704</v>
      </c>
      <c r="C5" s="262"/>
      <c r="D5" s="271" t="str">
        <f>VLOOKUP(D7,エンティティ一覧!A1:'エンティティ一覧'!AM10203,7,FALSE)</f>
        <v>base</v>
      </c>
      <c r="E5" s="272"/>
      <c r="F5" s="272"/>
      <c r="G5" s="272"/>
      <c r="H5" s="272"/>
      <c r="I5" s="272"/>
      <c r="J5" s="273"/>
    </row>
    <row r="6" spans="1:45">
      <c r="B6" s="261" t="s">
        <v>3705</v>
      </c>
      <c r="C6" s="262"/>
      <c r="D6" s="271" t="str">
        <f>VLOOKUP(D7,エンティティ一覧!A1:'エンティティ一覧'!AM10203,15,FALSE)</f>
        <v>ENT_31_C1-08</v>
      </c>
      <c r="E6" s="272"/>
      <c r="F6" s="272"/>
      <c r="G6" s="272"/>
      <c r="H6" s="272"/>
      <c r="I6" s="272"/>
      <c r="J6" s="273"/>
    </row>
    <row r="7" spans="1:45">
      <c r="B7" s="261" t="s">
        <v>115</v>
      </c>
      <c r="C7" s="262"/>
      <c r="D7" s="263" t="s">
        <v>312</v>
      </c>
      <c r="E7" s="264"/>
      <c r="F7" s="264"/>
      <c r="G7" s="264"/>
      <c r="H7" s="264"/>
      <c r="I7" s="264"/>
      <c r="J7" s="265"/>
    </row>
    <row r="8" spans="1:45">
      <c r="B8" s="261" t="s">
        <v>116</v>
      </c>
      <c r="C8" s="262"/>
      <c r="D8" s="263" t="str">
        <f>エンティティ一覧!AE2&amp;"_"&amp;D5&amp;"_merge_dpc_ff1_a006050"</f>
        <v>azn_202310_base_merge_dpc_ff1_a006050</v>
      </c>
      <c r="E8" s="264"/>
      <c r="F8" s="264"/>
      <c r="G8" s="264"/>
      <c r="H8" s="264"/>
      <c r="I8" s="264"/>
      <c r="J8" s="265"/>
    </row>
    <row r="9" spans="1:45" ht="19.5" customHeight="1" thickBot="1">
      <c r="B9" s="266" t="s">
        <v>117</v>
      </c>
      <c r="C9" s="267"/>
      <c r="D9" s="268" t="str">
        <f>"バックアップ_"&amp;SUBSTITUTE(D7,"ベース_","")&amp;"テーブルから対象患者で絞り込んだ結果を格納するテーブル"</f>
        <v>バックアップ_DPC調査データ_様式1_診断情報_続発症テーブルから対象患者で絞り込んだ結果を格納するテーブル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milscm_2023_010.azn_202310_base_merge_dpc_ff1_a006050;</v>
      </c>
      <c r="O10" s="76"/>
      <c r="P10" s="76"/>
      <c r="Q10" s="76"/>
      <c r="R10" s="76"/>
      <c r="S10" s="76"/>
      <c r="T10" s="76"/>
      <c r="AJ10" s="76" t="str">
        <f>"ALTER TABLE ONLY "&amp;エンティティ一覧!$O$2&amp;"."&amp;D$8</f>
        <v>ALTER TABLE ONLY milscm_2023_010.azn_202310_base_merge_dpc_ff1_a006050</v>
      </c>
      <c r="AS10" s="76" t="str">
        <f>"ALTER TABLE "&amp;エンティティ一覧!$O$2&amp;"."&amp;D$8&amp;" OWNER TO pgmisgrp1;"</f>
        <v>ALTER TABLE milscm_2023_010.azn_202310_base_merge_dpc_ff1_a006050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milscm_2023_010.azn_202310_base_merge_dpc_ff1_a006050</v>
      </c>
      <c r="O11" s="76"/>
      <c r="P11" s="76"/>
      <c r="Q11" s="76"/>
      <c r="R11" s="76"/>
      <c r="S11" s="76"/>
      <c r="T11" s="76"/>
      <c r="AJ11" s="76" t="str">
        <f>"ADD CONSTRAINT "&amp;D$8&amp;"_pkey PRIMARY KEY"</f>
        <v>ADD CONSTRAINT azn_202310_base_merge_dpc_ff1_a006050_pkey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milscm_2023_010.azn_202310_base_merge_dpc_ff1_a006050 IS 'ベース_DPC調査データ_様式1_診断情報_続発症';</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0" si="0">UPPER(G13)</f>
        <v>TEXT</v>
      </c>
      <c r="R13" s="76" t="str">
        <f t="shared" ref="R13:R3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milscm_2023_010.azn_202310_base_merge_dpc_ff1_a006050.torikomi_ym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6"/>
      <c r="O14" s="76"/>
      <c r="P14" s="76" t="str">
        <f t="shared" ref="P14:P3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milscm_2023_010.azn_202310_base_merge_dpc_ff1_a006050.mil_karute_id IS '千年カルテID';</v>
      </c>
    </row>
    <row r="15" spans="1:45" s="25" customFormat="1" ht="37.5">
      <c r="A15" s="4"/>
      <c r="B15" s="21">
        <f t="shared" si="2"/>
        <v>3</v>
      </c>
      <c r="C15" s="13" t="s">
        <v>137</v>
      </c>
      <c r="D15" s="13" t="s">
        <v>881</v>
      </c>
      <c r="E15" s="7" t="s">
        <v>127</v>
      </c>
      <c r="F15" s="7" t="s">
        <v>863</v>
      </c>
      <c r="G15" s="7" t="str">
        <f t="shared" si="3"/>
        <v>text</v>
      </c>
      <c r="H15" s="58"/>
      <c r="I15" s="23" t="s">
        <v>127</v>
      </c>
      <c r="J15" s="24" t="s">
        <v>805</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milscm_2023_010.azn_202310_base_merge_dpc_ff1_a006050.facility_id IS '施設ID';</v>
      </c>
    </row>
    <row r="16" spans="1:45" s="25" customFormat="1" ht="93.75">
      <c r="B16" s="21">
        <f t="shared" si="2"/>
        <v>4</v>
      </c>
      <c r="C16" s="6" t="s">
        <v>864</v>
      </c>
      <c r="D16" s="6" t="s">
        <v>882</v>
      </c>
      <c r="E16" s="8" t="s">
        <v>127</v>
      </c>
      <c r="F16" s="7" t="s">
        <v>863</v>
      </c>
      <c r="G16" s="7" t="str">
        <f t="shared" si="3"/>
        <v>text</v>
      </c>
      <c r="H16" s="26"/>
      <c r="I16" s="10" t="s">
        <v>127</v>
      </c>
      <c r="J16" s="53" t="s">
        <v>896</v>
      </c>
      <c r="M16" s="4"/>
      <c r="N16" s="76"/>
      <c r="O16" s="76"/>
      <c r="P16" s="76" t="str">
        <f t="shared" si="4"/>
        <v>,shinryo_ym</v>
      </c>
      <c r="Q16" s="76" t="str">
        <f t="shared" si="0"/>
        <v>TEXT</v>
      </c>
      <c r="R16" s="76" t="str">
        <f t="shared" si="1"/>
        <v/>
      </c>
      <c r="S16" s="76" t="str">
        <f t="shared" ref="S16:S30" si="5">IF(I16="○","NOT NULL","")</f>
        <v>NOT NULL</v>
      </c>
      <c r="T16" s="76" t="str">
        <f t="shared" ref="T16:T30"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milscm_2023_010.azn_202310_base_merge_dpc_ff1_a006050.shinryo_ym IS '診療年月';</v>
      </c>
    </row>
    <row r="17" spans="1:52" s="25" customFormat="1">
      <c r="B17" s="21">
        <f t="shared" si="2"/>
        <v>5</v>
      </c>
      <c r="C17" s="13" t="s">
        <v>318</v>
      </c>
      <c r="D17" s="13" t="s">
        <v>207</v>
      </c>
      <c r="E17" s="7"/>
      <c r="F17" s="7" t="s">
        <v>863</v>
      </c>
      <c r="G17" s="7" t="str">
        <f t="shared" si="3"/>
        <v>text</v>
      </c>
      <c r="H17" s="58" t="s">
        <v>258</v>
      </c>
      <c r="I17" s="23" t="s">
        <v>127</v>
      </c>
      <c r="J17" s="24" t="s">
        <v>806</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milscm_2023_010.azn_202310_base_merge_dpc_ff1_a006050.data_type IS 'データ種別';</v>
      </c>
    </row>
    <row r="18" spans="1:52" s="25" customFormat="1">
      <c r="B18" s="21">
        <f t="shared" si="2"/>
        <v>6</v>
      </c>
      <c r="C18" s="6" t="s">
        <v>865</v>
      </c>
      <c r="D18" s="6" t="s">
        <v>883</v>
      </c>
      <c r="E18" s="8" t="s">
        <v>127</v>
      </c>
      <c r="F18" s="7" t="s">
        <v>863</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milscm_2023_010.azn_202310_base_merge_dpc_ff1_a006050.shikibetsu_no IS 'データ識別番号';</v>
      </c>
    </row>
    <row r="19" spans="1:52" s="25" customFormat="1">
      <c r="B19" s="21">
        <f t="shared" si="2"/>
        <v>7</v>
      </c>
      <c r="C19" s="13" t="s">
        <v>866</v>
      </c>
      <c r="D19" s="13" t="s">
        <v>884</v>
      </c>
      <c r="E19" s="7" t="s">
        <v>127</v>
      </c>
      <c r="F19" s="7" t="s">
        <v>863</v>
      </c>
      <c r="G19" s="7" t="str">
        <f t="shared" si="3"/>
        <v>text</v>
      </c>
      <c r="H19" s="58"/>
      <c r="I19" s="23" t="s">
        <v>127</v>
      </c>
      <c r="J19" s="24" t="s">
        <v>144</v>
      </c>
      <c r="N19" s="76"/>
      <c r="O19" s="76"/>
      <c r="P19" s="76" t="str">
        <f t="shared" si="4"/>
        <v>,nyuin_ymd</v>
      </c>
      <c r="Q19" s="76" t="str">
        <f t="shared" si="0"/>
        <v>TEXT</v>
      </c>
      <c r="R19" s="76" t="str">
        <f t="shared" si="1"/>
        <v/>
      </c>
      <c r="S19" s="76" t="str">
        <f t="shared" si="5"/>
        <v>NOT NULL</v>
      </c>
      <c r="T19" s="76" t="str">
        <f t="shared" si="6"/>
        <v>-- 入院年月日</v>
      </c>
      <c r="U19" s="4"/>
      <c r="AA19" s="4"/>
      <c r="AB19" s="4"/>
      <c r="AC19" s="4"/>
      <c r="AD19" s="4"/>
      <c r="AE19" s="4"/>
      <c r="AF19" s="4"/>
      <c r="AG19" s="4"/>
      <c r="AH19" s="4"/>
      <c r="AI19" s="4"/>
      <c r="AJ19" s="76" t="str">
        <f>IF(E19="○",IF(COUNTA(E$13:E19)=1,"",",")&amp;D19,"")</f>
        <v>,nyuin_ymd</v>
      </c>
      <c r="AK19" s="4"/>
      <c r="AL19" s="4"/>
      <c r="AM19" s="4"/>
      <c r="AN19" s="4"/>
      <c r="AO19" s="4"/>
      <c r="AP19" s="4"/>
      <c r="AQ19" s="4"/>
      <c r="AR19" s="4"/>
      <c r="AS19" s="76" t="str">
        <f>"COMMENT ON COLUMN "&amp;エンティティ一覧!$O$2&amp;"."&amp;D$8&amp;"."&amp;D19&amp;" IS '"&amp;C19&amp;"';"</f>
        <v>COMMENT ON COLUMN milscm_2023_010.azn_202310_base_merge_dpc_ff1_a006050.nyuin_ymd IS '入院年月日';</v>
      </c>
    </row>
    <row r="20" spans="1:52" s="25" customFormat="1">
      <c r="B20" s="21">
        <f t="shared" si="2"/>
        <v>8</v>
      </c>
      <c r="C20" s="6" t="s">
        <v>867</v>
      </c>
      <c r="D20" s="6" t="s">
        <v>562</v>
      </c>
      <c r="E20" s="8" t="s">
        <v>127</v>
      </c>
      <c r="F20" s="7" t="s">
        <v>863</v>
      </c>
      <c r="G20" s="7" t="str">
        <f t="shared" si="3"/>
        <v>text</v>
      </c>
      <c r="H20" s="26"/>
      <c r="I20" s="10" t="s">
        <v>127</v>
      </c>
      <c r="J20" s="11"/>
      <c r="N20" s="76"/>
      <c r="O20" s="76"/>
      <c r="P20" s="76" t="str">
        <f t="shared" si="4"/>
        <v>,times_no</v>
      </c>
      <c r="Q20" s="76" t="str">
        <f t="shared" si="0"/>
        <v>TEXT</v>
      </c>
      <c r="R20" s="76" t="str">
        <f t="shared" si="1"/>
        <v/>
      </c>
      <c r="S20" s="76" t="str">
        <f t="shared" si="5"/>
        <v>NOT NULL</v>
      </c>
      <c r="T20" s="76" t="str">
        <f t="shared" si="6"/>
        <v>-- 回数管理番号</v>
      </c>
      <c r="U20" s="4"/>
      <c r="AA20" s="4"/>
      <c r="AB20" s="4"/>
      <c r="AC20" s="4"/>
      <c r="AD20" s="4"/>
      <c r="AE20" s="4"/>
      <c r="AF20" s="4"/>
      <c r="AG20" s="4"/>
      <c r="AH20" s="4"/>
      <c r="AI20" s="4"/>
      <c r="AJ20" s="76" t="str">
        <f>IF(E20="○",IF(COUNTA(E$13:E20)=1,"",",")&amp;D20,"")</f>
        <v>,times_no</v>
      </c>
      <c r="AK20" s="4"/>
      <c r="AL20" s="4"/>
      <c r="AM20" s="4"/>
      <c r="AN20" s="4"/>
      <c r="AO20" s="4"/>
      <c r="AP20" s="4"/>
      <c r="AQ20" s="4"/>
      <c r="AR20" s="4"/>
      <c r="AS20" s="76" t="str">
        <f>"COMMENT ON COLUMN "&amp;エンティティ一覧!$O$2&amp;"."&amp;D$8&amp;"."&amp;D20&amp;" IS '"&amp;C20&amp;"';"</f>
        <v>COMMENT ON COLUMN milscm_2023_010.azn_202310_base_merge_dpc_ff1_a006050.times_no IS '回数管理番号';</v>
      </c>
    </row>
    <row r="21" spans="1:52" s="25" customFormat="1">
      <c r="A21" s="4"/>
      <c r="B21" s="21">
        <f t="shared" si="2"/>
        <v>9</v>
      </c>
      <c r="C21" s="13" t="s">
        <v>563</v>
      </c>
      <c r="D21" s="13" t="s">
        <v>885</v>
      </c>
      <c r="E21" s="7" t="s">
        <v>127</v>
      </c>
      <c r="F21" s="7" t="s">
        <v>863</v>
      </c>
      <c r="G21" s="7" t="str">
        <f t="shared" si="3"/>
        <v>text</v>
      </c>
      <c r="H21" s="58"/>
      <c r="I21" s="23" t="s">
        <v>127</v>
      </c>
      <c r="J21" s="24"/>
      <c r="N21" s="76"/>
      <c r="O21" s="76"/>
      <c r="P21" s="76" t="str">
        <f t="shared" si="4"/>
        <v>,sokatsu_shinryo_no</v>
      </c>
      <c r="Q21" s="76" t="str">
        <f t="shared" si="0"/>
        <v>TEXT</v>
      </c>
      <c r="R21" s="76" t="str">
        <f t="shared" si="1"/>
        <v/>
      </c>
      <c r="S21" s="76" t="str">
        <f t="shared" si="5"/>
        <v>NOT NULL</v>
      </c>
      <c r="T21" s="76" t="str">
        <f t="shared" si="6"/>
        <v>-- 統括診療情報番号</v>
      </c>
      <c r="U21" s="4"/>
      <c r="AA21" s="4"/>
      <c r="AB21" s="4"/>
      <c r="AC21" s="4"/>
      <c r="AD21" s="4"/>
      <c r="AE21" s="4"/>
      <c r="AF21" s="4"/>
      <c r="AG21" s="4"/>
      <c r="AH21" s="4"/>
      <c r="AI21" s="4"/>
      <c r="AJ21" s="76" t="str">
        <f>IF(E21="○",IF(COUNTA(E$13:E21)=1,"",",")&amp;D21,"")</f>
        <v>,sokatsu_shinryo_no</v>
      </c>
      <c r="AK21" s="4"/>
      <c r="AL21" s="4"/>
      <c r="AM21" s="4"/>
      <c r="AN21" s="4"/>
      <c r="AO21" s="4"/>
      <c r="AP21" s="4"/>
      <c r="AQ21" s="4"/>
      <c r="AR21" s="4"/>
      <c r="AS21" s="76" t="str">
        <f>"COMMENT ON COLUMN "&amp;エンティティ一覧!$O$2&amp;"."&amp;D$8&amp;"."&amp;D21&amp;" IS '"&amp;C21&amp;"';"</f>
        <v>COMMENT ON COLUMN milscm_2023_010.azn_202310_base_merge_dpc_ff1_a006050.sokatsu_shinryo_no IS '統括診療情報番号';</v>
      </c>
    </row>
    <row r="22" spans="1:52" s="25" customFormat="1">
      <c r="A22" s="4"/>
      <c r="B22" s="21">
        <f t="shared" si="2"/>
        <v>10</v>
      </c>
      <c r="C22" s="6" t="s">
        <v>357</v>
      </c>
      <c r="D22" s="6" t="s">
        <v>358</v>
      </c>
      <c r="E22" s="8" t="s">
        <v>127</v>
      </c>
      <c r="F22" s="7" t="s">
        <v>863</v>
      </c>
      <c r="G22" s="7" t="str">
        <f t="shared" si="3"/>
        <v>text</v>
      </c>
      <c r="H22" s="26" t="s">
        <v>888</v>
      </c>
      <c r="I22" s="10" t="s">
        <v>127</v>
      </c>
      <c r="J22" s="11" t="s">
        <v>889</v>
      </c>
      <c r="N22" s="76"/>
      <c r="O22" s="76"/>
      <c r="P22" s="76" t="str">
        <f t="shared" si="4"/>
        <v>,code</v>
      </c>
      <c r="Q22" s="76" t="str">
        <f t="shared" si="0"/>
        <v>TEXT</v>
      </c>
      <c r="R22" s="76" t="str">
        <f t="shared" si="1"/>
        <v>default 'A006050'</v>
      </c>
      <c r="S22" s="76" t="str">
        <f t="shared" si="5"/>
        <v>NOT NULL</v>
      </c>
      <c r="T22" s="76" t="str">
        <f t="shared" si="6"/>
        <v>-- コード</v>
      </c>
      <c r="U22" s="4"/>
      <c r="AA22" s="4"/>
      <c r="AB22" s="4"/>
      <c r="AC22" s="4"/>
      <c r="AD22" s="4"/>
      <c r="AE22" s="4"/>
      <c r="AF22" s="4"/>
      <c r="AG22" s="4"/>
      <c r="AH22" s="4"/>
      <c r="AI22" s="4"/>
      <c r="AJ22" s="76" t="str">
        <f>IF(E22="○",IF(COUNTA(E$13:E22)=1,"",",")&amp;D22,"")</f>
        <v>,code</v>
      </c>
      <c r="AK22" s="4"/>
      <c r="AL22" s="4"/>
      <c r="AM22" s="4"/>
      <c r="AN22" s="4"/>
      <c r="AO22" s="4"/>
      <c r="AP22" s="4"/>
      <c r="AQ22" s="4"/>
      <c r="AR22" s="4"/>
      <c r="AS22" s="76" t="str">
        <f>"COMMENT ON COLUMN "&amp;エンティティ一覧!$O$2&amp;"."&amp;D$8&amp;"."&amp;D22&amp;" IS '"&amp;C22&amp;"';"</f>
        <v>COMMENT ON COLUMN milscm_2023_010.azn_202310_base_merge_dpc_ff1_a006050.code IS 'コード';</v>
      </c>
    </row>
    <row r="23" spans="1:52" s="25" customFormat="1">
      <c r="A23" s="4"/>
      <c r="B23" s="21">
        <f t="shared" si="2"/>
        <v>11</v>
      </c>
      <c r="C23" s="13" t="s">
        <v>359</v>
      </c>
      <c r="D23" s="13" t="s">
        <v>360</v>
      </c>
      <c r="E23" s="7" t="s">
        <v>127</v>
      </c>
      <c r="F23" s="7" t="s">
        <v>863</v>
      </c>
      <c r="G23" s="7" t="str">
        <f t="shared" si="3"/>
        <v>text</v>
      </c>
      <c r="H23" s="58">
        <v>20140401</v>
      </c>
      <c r="I23" s="23" t="s">
        <v>127</v>
      </c>
      <c r="J23" s="24" t="s">
        <v>809</v>
      </c>
      <c r="N23" s="76"/>
      <c r="O23" s="76"/>
      <c r="P23" s="76" t="str">
        <f t="shared" si="4"/>
        <v>,version</v>
      </c>
      <c r="Q23" s="76" t="str">
        <f t="shared" si="0"/>
        <v>TEXT</v>
      </c>
      <c r="R23" s="76" t="str">
        <f t="shared" si="1"/>
        <v>default '20140401'</v>
      </c>
      <c r="S23" s="76" t="str">
        <f t="shared" si="5"/>
        <v>NOT NULL</v>
      </c>
      <c r="T23" s="76" t="str">
        <f t="shared" si="6"/>
        <v>-- バージョン</v>
      </c>
      <c r="U23" s="4"/>
      <c r="AA23" s="4"/>
      <c r="AB23" s="4"/>
      <c r="AC23" s="4"/>
      <c r="AD23" s="4"/>
      <c r="AE23" s="4"/>
      <c r="AF23" s="4"/>
      <c r="AG23" s="4"/>
      <c r="AH23" s="4"/>
      <c r="AI23" s="4"/>
      <c r="AJ23" s="76" t="str">
        <f>IF(E23="○",IF(COUNTA(E$13:E23)=1,"",",")&amp;D23,"")</f>
        <v>,version</v>
      </c>
      <c r="AK23" s="4"/>
      <c r="AL23" s="4"/>
      <c r="AM23" s="4"/>
      <c r="AN23" s="4"/>
      <c r="AO23" s="4"/>
      <c r="AP23" s="4"/>
      <c r="AQ23" s="4"/>
      <c r="AR23" s="4"/>
      <c r="AS23" s="76" t="str">
        <f>"COMMENT ON COLUMN "&amp;エンティティ一覧!$O$2&amp;"."&amp;D$8&amp;"."&amp;D23&amp;" IS '"&amp;C23&amp;"';"</f>
        <v>COMMENT ON COLUMN milscm_2023_010.azn_202310_base_merge_dpc_ff1_a006050.version IS 'バージョン';</v>
      </c>
    </row>
    <row r="24" spans="1:52" s="25" customFormat="1">
      <c r="A24" s="4"/>
      <c r="B24" s="21">
        <f t="shared" si="2"/>
        <v>12</v>
      </c>
      <c r="C24" s="6" t="s">
        <v>868</v>
      </c>
      <c r="D24" s="6" t="s">
        <v>362</v>
      </c>
      <c r="E24" s="8" t="s">
        <v>127</v>
      </c>
      <c r="F24" s="7" t="s">
        <v>863</v>
      </c>
      <c r="G24" s="7" t="str">
        <f t="shared" si="3"/>
        <v>text</v>
      </c>
      <c r="H24" s="26"/>
      <c r="I24" s="10" t="s">
        <v>127</v>
      </c>
      <c r="J24" s="11"/>
      <c r="N24" s="76"/>
      <c r="O24" s="76"/>
      <c r="P24" s="76" t="str">
        <f t="shared" si="4"/>
        <v>,number</v>
      </c>
      <c r="Q24" s="76" t="str">
        <f t="shared" si="0"/>
        <v>TEXT</v>
      </c>
      <c r="R24" s="76" t="str">
        <f t="shared" si="1"/>
        <v/>
      </c>
      <c r="S24" s="76" t="str">
        <f t="shared" si="5"/>
        <v>NOT NULL</v>
      </c>
      <c r="T24" s="76" t="str">
        <f t="shared" si="6"/>
        <v>-- 連番</v>
      </c>
      <c r="U24" s="4"/>
      <c r="AA24" s="4"/>
      <c r="AB24" s="4"/>
      <c r="AC24" s="4"/>
      <c r="AD24" s="4"/>
      <c r="AE24" s="4"/>
      <c r="AF24" s="4"/>
      <c r="AG24" s="4"/>
      <c r="AH24" s="4"/>
      <c r="AI24" s="4"/>
      <c r="AJ24" s="76" t="str">
        <f>IF(E24="○",IF(COUNTA(E$13:E24)=1,"",",")&amp;D24,"")</f>
        <v>,number</v>
      </c>
      <c r="AK24" s="4"/>
      <c r="AL24" s="4"/>
      <c r="AM24" s="4"/>
      <c r="AN24" s="4"/>
      <c r="AO24" s="4"/>
      <c r="AP24" s="4"/>
      <c r="AQ24" s="4"/>
      <c r="AR24" s="4"/>
      <c r="AS24" s="76" t="str">
        <f>"COMMENT ON COLUMN "&amp;エンティティ一覧!$O$2&amp;"."&amp;D$8&amp;"."&amp;D24&amp;" IS '"&amp;C24&amp;"';"</f>
        <v>COMMENT ON COLUMN milscm_2023_010.azn_202310_base_merge_dpc_ff1_a006050.number IS '連番';</v>
      </c>
    </row>
    <row r="25" spans="1:52" s="25" customFormat="1">
      <c r="A25" s="4"/>
      <c r="B25" s="21">
        <f t="shared" si="2"/>
        <v>13</v>
      </c>
      <c r="C25" s="13" t="s">
        <v>661</v>
      </c>
      <c r="D25" s="13" t="s">
        <v>869</v>
      </c>
      <c r="E25" s="7"/>
      <c r="F25" s="7" t="s">
        <v>863</v>
      </c>
      <c r="G25" s="7" t="str">
        <f t="shared" si="3"/>
        <v>text</v>
      </c>
      <c r="H25" s="58"/>
      <c r="I25" s="23"/>
      <c r="J25" s="24" t="s">
        <v>890</v>
      </c>
      <c r="N25" s="76"/>
      <c r="O25" s="76"/>
      <c r="P25" s="76" t="str">
        <f t="shared" si="4"/>
        <v>,icd10_code</v>
      </c>
      <c r="Q25" s="76" t="str">
        <f t="shared" si="0"/>
        <v>TEXT</v>
      </c>
      <c r="R25" s="76" t="str">
        <f t="shared" si="1"/>
        <v/>
      </c>
      <c r="S25" s="76" t="str">
        <f t="shared" si="5"/>
        <v/>
      </c>
      <c r="T25" s="76" t="str">
        <f t="shared" si="6"/>
        <v>-- ICD10コード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milscm_2023_010.azn_202310_base_merge_dpc_ff1_a006050.icd10_code IS 'ICD10コード';</v>
      </c>
    </row>
    <row r="26" spans="1:52" s="25" customFormat="1">
      <c r="A26" s="4"/>
      <c r="B26" s="21">
        <f t="shared" si="2"/>
        <v>14</v>
      </c>
      <c r="C26" s="6" t="s">
        <v>663</v>
      </c>
      <c r="D26" s="6" t="s">
        <v>870</v>
      </c>
      <c r="E26" s="8"/>
      <c r="F26" s="7" t="s">
        <v>863</v>
      </c>
      <c r="G26" s="7" t="str">
        <f t="shared" si="3"/>
        <v>text</v>
      </c>
      <c r="H26" s="26"/>
      <c r="I26" s="10"/>
      <c r="J26" s="11"/>
      <c r="N26" s="76"/>
      <c r="O26" s="76"/>
      <c r="P26" s="76" t="str">
        <f t="shared" si="4"/>
        <v>,shobyo_code</v>
      </c>
      <c r="Q26" s="76" t="str">
        <f t="shared" si="0"/>
        <v>TEXT</v>
      </c>
      <c r="R26" s="76" t="str">
        <f t="shared" si="1"/>
        <v/>
      </c>
      <c r="S26" s="76" t="str">
        <f t="shared" si="5"/>
        <v/>
      </c>
      <c r="T26" s="76" t="str">
        <f t="shared" si="6"/>
        <v>-- 傷病名コード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milscm_2023_010.azn_202310_base_merge_dpc_ff1_a006050.shobyo_code IS '傷病名コード';</v>
      </c>
    </row>
    <row r="27" spans="1:52" s="25" customFormat="1">
      <c r="A27" s="4"/>
      <c r="B27" s="21">
        <f t="shared" si="2"/>
        <v>15</v>
      </c>
      <c r="C27" s="6" t="s">
        <v>665</v>
      </c>
      <c r="D27" s="6" t="s">
        <v>871</v>
      </c>
      <c r="E27" s="8"/>
      <c r="F27" s="7" t="s">
        <v>863</v>
      </c>
      <c r="G27" s="7" t="str">
        <f t="shared" si="3"/>
        <v>text</v>
      </c>
      <c r="H27" s="26"/>
      <c r="I27" s="10"/>
      <c r="J27" s="11"/>
      <c r="N27" s="76"/>
      <c r="O27" s="76"/>
      <c r="P27" s="76" t="str">
        <f t="shared" si="4"/>
        <v>,shushoku_code1</v>
      </c>
      <c r="Q27" s="76" t="str">
        <f t="shared" si="0"/>
        <v>TEXT</v>
      </c>
      <c r="R27" s="76" t="str">
        <f t="shared" si="1"/>
        <v/>
      </c>
      <c r="S27" s="76" t="str">
        <f t="shared" si="5"/>
        <v/>
      </c>
      <c r="T27" s="76" t="str">
        <f t="shared" si="6"/>
        <v>-- 修飾語コード1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milscm_2023_010.azn_202310_base_merge_dpc_ff1_a006050.shushoku_code1 IS '修飾語コード1';</v>
      </c>
    </row>
    <row r="28" spans="1:52" s="25" customFormat="1">
      <c r="A28" s="4"/>
      <c r="B28" s="21">
        <f t="shared" si="2"/>
        <v>16</v>
      </c>
      <c r="C28" s="13" t="s">
        <v>667</v>
      </c>
      <c r="D28" s="13" t="s">
        <v>872</v>
      </c>
      <c r="E28" s="7"/>
      <c r="F28" s="7" t="s">
        <v>863</v>
      </c>
      <c r="G28" s="7" t="str">
        <f t="shared" si="3"/>
        <v>text</v>
      </c>
      <c r="H28" s="58"/>
      <c r="I28" s="23"/>
      <c r="J28" s="24"/>
      <c r="N28" s="76"/>
      <c r="O28" s="76"/>
      <c r="P28" s="76" t="str">
        <f t="shared" si="4"/>
        <v>,shushoku_code2</v>
      </c>
      <c r="Q28" s="76" t="str">
        <f t="shared" si="0"/>
        <v>TEXT</v>
      </c>
      <c r="R28" s="76" t="str">
        <f t="shared" si="1"/>
        <v/>
      </c>
      <c r="S28" s="76" t="str">
        <f t="shared" si="5"/>
        <v/>
      </c>
      <c r="T28" s="76" t="str">
        <f t="shared" si="6"/>
        <v>-- 修飾語コード2</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milscm_2023_010.azn_202310_base_merge_dpc_ff1_a006050.shushoku_code2 IS '修飾語コード2';</v>
      </c>
    </row>
    <row r="29" spans="1:52" s="25" customFormat="1">
      <c r="A29" s="4"/>
      <c r="B29" s="21">
        <f t="shared" si="2"/>
        <v>17</v>
      </c>
      <c r="C29" s="6" t="s">
        <v>669</v>
      </c>
      <c r="D29" s="6" t="s">
        <v>873</v>
      </c>
      <c r="E29" s="8"/>
      <c r="F29" s="7" t="s">
        <v>863</v>
      </c>
      <c r="G29" s="7" t="str">
        <f t="shared" si="3"/>
        <v>text</v>
      </c>
      <c r="H29" s="26"/>
      <c r="I29" s="10"/>
      <c r="J29" s="11"/>
      <c r="N29" s="76"/>
      <c r="O29" s="76"/>
      <c r="P29" s="76" t="str">
        <f t="shared" si="4"/>
        <v>,shushoku_code3</v>
      </c>
      <c r="Q29" s="76" t="str">
        <f t="shared" si="0"/>
        <v>TEXT</v>
      </c>
      <c r="R29" s="76" t="str">
        <f t="shared" si="1"/>
        <v/>
      </c>
      <c r="S29" s="76" t="str">
        <f t="shared" si="5"/>
        <v/>
      </c>
      <c r="T29" s="76" t="str">
        <f t="shared" si="6"/>
        <v>-- 修飾語コード3</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milscm_2023_010.azn_202310_base_merge_dpc_ff1_a006050.shushoku_code3 IS '修飾語コード3';</v>
      </c>
    </row>
    <row r="30" spans="1:52" s="25" customFormat="1">
      <c r="A30" s="4"/>
      <c r="B30" s="21">
        <f t="shared" si="2"/>
        <v>18</v>
      </c>
      <c r="C30" s="13" t="s">
        <v>671</v>
      </c>
      <c r="D30" s="13" t="s">
        <v>874</v>
      </c>
      <c r="E30" s="7"/>
      <c r="F30" s="7" t="s">
        <v>863</v>
      </c>
      <c r="G30" s="7" t="str">
        <f t="shared" si="3"/>
        <v>text</v>
      </c>
      <c r="H30" s="58"/>
      <c r="I30" s="23"/>
      <c r="J30" s="24"/>
      <c r="N30" s="76"/>
      <c r="O30" s="76"/>
      <c r="P30" s="76" t="str">
        <f t="shared" si="4"/>
        <v>,shushoku_code4</v>
      </c>
      <c r="Q30" s="76" t="str">
        <f t="shared" si="0"/>
        <v>TEXT</v>
      </c>
      <c r="R30" s="76" t="str">
        <f t="shared" si="1"/>
        <v/>
      </c>
      <c r="S30" s="76" t="str">
        <f t="shared" si="5"/>
        <v/>
      </c>
      <c r="T30" s="76" t="str">
        <f t="shared" si="6"/>
        <v>-- 修飾語コード4</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milscm_2023_010.azn_202310_base_merge_dpc_ff1_a006050.shushoku_code4 IS '修飾語コード4';</v>
      </c>
    </row>
    <row r="31" spans="1:52" s="25" customFormat="1" ht="19.5" thickBot="1">
      <c r="A31" s="4"/>
      <c r="B31" s="27">
        <f>ROW()-12</f>
        <v>19</v>
      </c>
      <c r="C31" s="57" t="s">
        <v>886</v>
      </c>
      <c r="D31" s="57" t="s">
        <v>887</v>
      </c>
      <c r="E31" s="56"/>
      <c r="F31" s="56" t="s">
        <v>863</v>
      </c>
      <c r="G31" s="56" t="str">
        <f t="shared" si="3"/>
        <v>text</v>
      </c>
      <c r="H31" s="59"/>
      <c r="I31" s="60"/>
      <c r="J31" s="61" t="s">
        <v>891</v>
      </c>
      <c r="N31" s="76"/>
      <c r="O31" s="76"/>
      <c r="P31" s="76" t="str">
        <f t="shared" ref="P31" si="7">IF(B31&lt;&gt;1,","&amp;D31,D31)</f>
        <v>,nyuin_shikkan_name</v>
      </c>
      <c r="Q31" s="76" t="str">
        <f t="shared" ref="Q31" si="8">UPPER(G31)</f>
        <v>TEXT</v>
      </c>
      <c r="R31" s="76" t="str">
        <f t="shared" ref="R31" si="9">IF(H31&lt;&gt;"","default "&amp;IF(G31="text","'"&amp;H31&amp;"'",H31),"")</f>
        <v/>
      </c>
      <c r="S31" s="76" t="str">
        <f t="shared" ref="S31" si="10">IF(I31="○","NOT NULL","")</f>
        <v/>
      </c>
      <c r="T31" s="76" t="str">
        <f t="shared" ref="T31" si="11">"-- "&amp;C31</f>
        <v>-- 入院後発症疾患名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milscm_2023_010.azn_202310_base_merge_dpc_ff1_a006050.nyuin_shikkan_name IS '入院後発症疾患名';</v>
      </c>
    </row>
    <row r="32" spans="1:52">
      <c r="L32" s="25"/>
      <c r="M32" s="25"/>
      <c r="N32" s="76" t="s">
        <v>142</v>
      </c>
      <c r="O32" s="76"/>
      <c r="P32" s="76"/>
      <c r="Q32" s="76"/>
      <c r="R32" s="76"/>
      <c r="S32" s="76"/>
      <c r="T32" s="76"/>
      <c r="V32" s="25"/>
      <c r="W32" s="25"/>
      <c r="X32" s="25"/>
      <c r="Y32" s="25"/>
      <c r="Z32" s="25"/>
      <c r="AJ32" s="76"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31</v>
      </c>
      <c r="E4" s="248"/>
      <c r="F4" s="248"/>
      <c r="G4" s="248"/>
      <c r="H4" s="248"/>
      <c r="I4" s="248"/>
      <c r="J4" s="249"/>
    </row>
    <row r="5" spans="1:45">
      <c r="B5" s="261" t="s">
        <v>3704</v>
      </c>
      <c r="C5" s="262"/>
      <c r="D5" s="271" t="str">
        <f>VLOOKUP(D7,エンティティ一覧!A1:'エンティティ一覧'!AM10203,7,FALSE)</f>
        <v>base</v>
      </c>
      <c r="E5" s="272"/>
      <c r="F5" s="272"/>
      <c r="G5" s="272"/>
      <c r="H5" s="272"/>
      <c r="I5" s="272"/>
      <c r="J5" s="273"/>
    </row>
    <row r="6" spans="1:45">
      <c r="B6" s="261" t="s">
        <v>3705</v>
      </c>
      <c r="C6" s="262"/>
      <c r="D6" s="271" t="str">
        <f>VLOOKUP(D7,エンティティ一覧!A1:'エンティティ一覧'!AM10203,15,FALSE)</f>
        <v>ENT_31_C4-03</v>
      </c>
      <c r="E6" s="272"/>
      <c r="F6" s="272"/>
      <c r="G6" s="272"/>
      <c r="H6" s="272"/>
      <c r="I6" s="272"/>
      <c r="J6" s="273"/>
    </row>
    <row r="7" spans="1:45">
      <c r="B7" s="261" t="s">
        <v>115</v>
      </c>
      <c r="C7" s="262"/>
      <c r="D7" s="263" t="s">
        <v>3678</v>
      </c>
      <c r="E7" s="264"/>
      <c r="F7" s="264"/>
      <c r="G7" s="264"/>
      <c r="H7" s="264"/>
      <c r="I7" s="264"/>
      <c r="J7" s="265"/>
    </row>
    <row r="8" spans="1:45">
      <c r="B8" s="261" t="s">
        <v>116</v>
      </c>
      <c r="C8" s="262"/>
      <c r="D8" s="263" t="str">
        <f>エンティティ一覧!AE2&amp;"_"&amp;D5&amp;"_merge_mml_rd_register"</f>
        <v>azn_202310_base_merge_mml_rd_register</v>
      </c>
      <c r="E8" s="264"/>
      <c r="F8" s="264"/>
      <c r="G8" s="264"/>
      <c r="H8" s="264"/>
      <c r="I8" s="264"/>
      <c r="J8" s="265"/>
    </row>
    <row r="9" spans="1:45" ht="19.5" customHeight="1" thickBot="1">
      <c r="B9" s="266" t="s">
        <v>117</v>
      </c>
      <c r="C9" s="267"/>
      <c r="D9" s="268" t="str">
        <f>"バックアップ_"&amp;SUBSTITUTE(D7,"ベース_","")&amp;"テーブルから対象患者で絞り込んだ結果を格納するテーブル"</f>
        <v>バックアップ_診断履歴情報モジュール_診断履歴情報レコードテーブルから対象患者で絞り込んだ結果を格納するテーブル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milscm_2023_010.azn_202310_base_merge_mml_rd_register;</v>
      </c>
      <c r="O10" s="76"/>
      <c r="P10" s="76"/>
      <c r="Q10" s="76"/>
      <c r="R10" s="76"/>
      <c r="S10" s="76"/>
      <c r="T10" s="76"/>
      <c r="AJ10" s="76" t="str">
        <f>"ALTER TABLE ONLY "&amp;エンティティ一覧!$O$2&amp;"."&amp;D$8</f>
        <v>ALTER TABLE ONLY milscm_2023_010.azn_202310_base_merge_mml_rd_register</v>
      </c>
      <c r="AS10" s="76" t="str">
        <f>"ALTER TABLE "&amp;エンティティ一覧!$O$2&amp;"."&amp;D$8&amp;" OWNER TO pgmisgrp1;"</f>
        <v>ALTER TABLE milscm_2023_010.azn_202310_base_merge_mml_rd_register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milscm_2023_010.azn_202310_base_merge_mml_rd_register</v>
      </c>
      <c r="O11" s="76"/>
      <c r="P11" s="76"/>
      <c r="Q11" s="76"/>
      <c r="R11" s="76"/>
      <c r="S11" s="76"/>
      <c r="T11" s="76"/>
      <c r="AJ11" s="76" t="str">
        <f>"ADD CONSTRAINT "&amp;D$8&amp;"_pkey PRIMARY KEY"</f>
        <v>ADD CONSTRAINT azn_202310_base_merge_mml_rd_register_pkey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milscm_2023_010.azn_202310_base_merge_mml_rd_register IS 'ベース_診断履歴情報モジュール_診断履歴情報レコード';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4" si="0">UPPER(G13)</f>
        <v>TEXT</v>
      </c>
      <c r="R13" s="76" t="str">
        <f t="shared" ref="R13:R24"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milscm_2023_010.azn_202310_base_merge_mml_rd_register.torikomi_ym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1280</v>
      </c>
      <c r="M14" s="4"/>
      <c r="N14" s="76"/>
      <c r="O14" s="76"/>
      <c r="P14" s="76" t="str">
        <f t="shared" ref="P14:P24"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milscm_2023_010.azn_202310_base_merge_mml_rd_register.mil_karute_id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4" si="5">IF(I15="○","NOT NULL","")</f>
        <v>NOT NULL</v>
      </c>
      <c r="T15" s="76" t="str">
        <f t="shared" ref="T15:T24"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milscm_2023_010.azn_202310_base_merge_mml_rd_register.facility_id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milscm_2023_010.azn_202310_base_merge_mml_rd_register.shinryo_ymd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milscm_2023_010.azn_202310_base_merge_mml_rd_register.data_type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milscm_2023_010.azn_202310_base_merge_mml_rd_register.master_id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milscm_2023_010.azn_202310_base_merge_mml_rd_register.uid IS '文書ユニークID';</v>
      </c>
    </row>
    <row r="20" spans="1:52" s="25" customFormat="1" ht="37.5">
      <c r="A20" s="4"/>
      <c r="B20" s="21">
        <f t="shared" si="2"/>
        <v>8</v>
      </c>
      <c r="C20" s="13" t="s">
        <v>1299</v>
      </c>
      <c r="D20" s="13" t="s">
        <v>1300</v>
      </c>
      <c r="E20" s="7" t="s">
        <v>127</v>
      </c>
      <c r="F20" s="7" t="s">
        <v>203</v>
      </c>
      <c r="G20" s="7" t="str">
        <f t="shared" si="3"/>
        <v>integer</v>
      </c>
      <c r="H20" s="58"/>
      <c r="I20" s="23" t="s">
        <v>127</v>
      </c>
      <c r="J20" s="24" t="s">
        <v>1310</v>
      </c>
      <c r="M20" s="4"/>
      <c r="N20" s="76"/>
      <c r="O20" s="76"/>
      <c r="P20" s="76" t="str">
        <f t="shared" si="4"/>
        <v>,shindan_seq</v>
      </c>
      <c r="Q20" s="76" t="str">
        <f t="shared" si="0"/>
        <v>INTEGER</v>
      </c>
      <c r="R20" s="76" t="str">
        <f t="shared" si="1"/>
        <v/>
      </c>
      <c r="S20" s="76" t="str">
        <f t="shared" si="5"/>
        <v>NOT NULL</v>
      </c>
      <c r="T20" s="76" t="str">
        <f t="shared" si="6"/>
        <v>-- 診断SEQ</v>
      </c>
      <c r="U20" s="4"/>
      <c r="AA20" s="4"/>
      <c r="AB20" s="4"/>
      <c r="AC20" s="4"/>
      <c r="AD20" s="4"/>
      <c r="AE20" s="4"/>
      <c r="AF20" s="4"/>
      <c r="AG20" s="4"/>
      <c r="AH20" s="4"/>
      <c r="AI20" s="4"/>
      <c r="AJ20" s="76" t="str">
        <f>IF(E20="○",IF(COUNTA(E$13:E20)=1,"",",")&amp;D20,"")</f>
        <v>,shindan_seq</v>
      </c>
      <c r="AK20" s="4"/>
      <c r="AL20" s="4"/>
      <c r="AM20" s="4"/>
      <c r="AN20" s="4"/>
      <c r="AO20" s="4"/>
      <c r="AP20" s="4"/>
      <c r="AQ20" s="4"/>
      <c r="AR20" s="4"/>
      <c r="AS20" s="76" t="str">
        <f>"COMMENT ON COLUMN "&amp;エンティティ一覧!$O$2&amp;"."&amp;D$8&amp;"."&amp;D20&amp;" IS '"&amp;C20&amp;"';"</f>
        <v>COMMENT ON COLUMN milscm_2023_010.azn_202310_base_merge_mml_rd_register.shindan_seq IS '診断SEQ';</v>
      </c>
    </row>
    <row r="21" spans="1:52" s="25" customFormat="1">
      <c r="A21" s="4"/>
      <c r="B21" s="21">
        <f t="shared" si="2"/>
        <v>9</v>
      </c>
      <c r="C21" s="13" t="s">
        <v>1301</v>
      </c>
      <c r="D21" s="13" t="s">
        <v>1302</v>
      </c>
      <c r="E21" s="7"/>
      <c r="F21" s="7" t="s">
        <v>863</v>
      </c>
      <c r="G21" s="7" t="str">
        <f t="shared" si="3"/>
        <v>text</v>
      </c>
      <c r="H21" s="58"/>
      <c r="I21" s="23"/>
      <c r="J21" s="24" t="s">
        <v>1311</v>
      </c>
      <c r="M21" s="4"/>
      <c r="N21" s="76"/>
      <c r="O21" s="76"/>
      <c r="P21" s="76" t="str">
        <f t="shared" si="4"/>
        <v>,shikkan_start_ymd</v>
      </c>
      <c r="Q21" s="76" t="str">
        <f t="shared" si="0"/>
        <v>TEXT</v>
      </c>
      <c r="R21" s="76" t="str">
        <f t="shared" si="1"/>
        <v/>
      </c>
      <c r="S21" s="76" t="str">
        <f t="shared" si="5"/>
        <v/>
      </c>
      <c r="T21" s="76" t="str">
        <f t="shared" si="6"/>
        <v>-- 疾患開始日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milscm_2023_010.azn_202310_base_merge_mml_rd_register.shikkan_start_ymd IS '疾患開始日';</v>
      </c>
    </row>
    <row r="22" spans="1:52" s="25" customFormat="1">
      <c r="A22" s="4"/>
      <c r="B22" s="21">
        <f t="shared" si="2"/>
        <v>10</v>
      </c>
      <c r="C22" s="13" t="s">
        <v>1303</v>
      </c>
      <c r="D22" s="13" t="s">
        <v>1304</v>
      </c>
      <c r="E22" s="7"/>
      <c r="F22" s="7" t="s">
        <v>863</v>
      </c>
      <c r="G22" s="7" t="str">
        <f t="shared" si="3"/>
        <v>text</v>
      </c>
      <c r="H22" s="58"/>
      <c r="I22" s="23"/>
      <c r="J22" s="24" t="s">
        <v>1312</v>
      </c>
      <c r="M22" s="4"/>
      <c r="N22" s="76"/>
      <c r="O22" s="76"/>
      <c r="P22" s="76" t="str">
        <f t="shared" si="4"/>
        <v>,shikkan_end_ymd</v>
      </c>
      <c r="Q22" s="76" t="str">
        <f t="shared" si="0"/>
        <v>TEXT</v>
      </c>
      <c r="R22" s="76" t="str">
        <f t="shared" si="1"/>
        <v/>
      </c>
      <c r="S22" s="76" t="str">
        <f t="shared" si="5"/>
        <v/>
      </c>
      <c r="T22" s="76" t="str">
        <f t="shared" si="6"/>
        <v>-- 疾患終了日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milscm_2023_010.azn_202310_base_merge_mml_rd_register.shikkan_end_ymd IS '疾患終了日';</v>
      </c>
    </row>
    <row r="23" spans="1:52" s="25" customFormat="1">
      <c r="A23" s="4"/>
      <c r="B23" s="21">
        <f t="shared" si="2"/>
        <v>11</v>
      </c>
      <c r="C23" s="13" t="s">
        <v>1305</v>
      </c>
      <c r="D23" s="13" t="s">
        <v>1306</v>
      </c>
      <c r="E23" s="7"/>
      <c r="F23" s="7" t="s">
        <v>863</v>
      </c>
      <c r="G23" s="7" t="str">
        <f t="shared" si="3"/>
        <v>text</v>
      </c>
      <c r="H23" s="58"/>
      <c r="I23" s="23"/>
      <c r="J23" s="24" t="s">
        <v>1313</v>
      </c>
      <c r="M23" s="4"/>
      <c r="N23" s="76"/>
      <c r="O23" s="76"/>
      <c r="P23" s="76" t="str">
        <f t="shared" si="4"/>
        <v>,tenki</v>
      </c>
      <c r="Q23" s="76" t="str">
        <f t="shared" si="0"/>
        <v>TEXT</v>
      </c>
      <c r="R23" s="76" t="str">
        <f t="shared" si="1"/>
        <v/>
      </c>
      <c r="S23" s="76" t="str">
        <f t="shared" si="5"/>
        <v/>
      </c>
      <c r="T23" s="76" t="str">
        <f t="shared" si="6"/>
        <v>-- 転帰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milscm_2023_010.azn_202310_base_merge_mml_rd_register.tenki IS '転帰';</v>
      </c>
    </row>
    <row r="24" spans="1:52" s="25" customFormat="1" ht="19.5" thickBot="1">
      <c r="A24" s="4"/>
      <c r="B24" s="27">
        <f>ROW()-12</f>
        <v>12</v>
      </c>
      <c r="C24" s="57" t="s">
        <v>1307</v>
      </c>
      <c r="D24" s="57" t="s">
        <v>1308</v>
      </c>
      <c r="E24" s="56"/>
      <c r="F24" s="56" t="s">
        <v>863</v>
      </c>
      <c r="G24" s="56" t="str">
        <f t="shared" si="3"/>
        <v>text</v>
      </c>
      <c r="H24" s="59"/>
      <c r="I24" s="60"/>
      <c r="J24" s="63" t="s">
        <v>1314</v>
      </c>
      <c r="N24" s="76"/>
      <c r="O24" s="76"/>
      <c r="P24" s="76" t="str">
        <f t="shared" si="4"/>
        <v>,shikkan_first_ymd</v>
      </c>
      <c r="Q24" s="76" t="str">
        <f t="shared" si="0"/>
        <v>TEXT</v>
      </c>
      <c r="R24" s="76" t="str">
        <f t="shared" si="1"/>
        <v/>
      </c>
      <c r="S24" s="76" t="str">
        <f t="shared" si="5"/>
        <v/>
      </c>
      <c r="T24" s="76" t="str">
        <f t="shared" si="6"/>
        <v>-- 疾患の初診日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milscm_2023_010.azn_202310_base_merge_mml_rd_register.shikkan_first_ymd IS '疾患の初診日';</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31</v>
      </c>
      <c r="E4" s="248"/>
      <c r="F4" s="248"/>
      <c r="G4" s="248"/>
      <c r="H4" s="248"/>
      <c r="I4" s="248"/>
      <c r="J4" s="249"/>
    </row>
    <row r="5" spans="1:45">
      <c r="B5" s="261" t="s">
        <v>3704</v>
      </c>
      <c r="C5" s="262"/>
      <c r="D5" s="271" t="str">
        <f>VLOOKUP(D7,エンティティ一覧!A1:'エンティティ一覧'!AM10203,7,FALSE)</f>
        <v>base</v>
      </c>
      <c r="E5" s="272"/>
      <c r="F5" s="272"/>
      <c r="G5" s="272"/>
      <c r="H5" s="272"/>
      <c r="I5" s="272"/>
      <c r="J5" s="273"/>
    </row>
    <row r="6" spans="1:45">
      <c r="B6" s="261" t="s">
        <v>3705</v>
      </c>
      <c r="C6" s="262"/>
      <c r="D6" s="271" t="str">
        <f>VLOOKUP(D7,エンティティ一覧!A1:'エンティティ一覧'!AM10203,15,FALSE)</f>
        <v>ENT_31_C4-04</v>
      </c>
      <c r="E6" s="272"/>
      <c r="F6" s="272"/>
      <c r="G6" s="272"/>
      <c r="H6" s="272"/>
      <c r="I6" s="272"/>
      <c r="J6" s="273"/>
    </row>
    <row r="7" spans="1:45">
      <c r="B7" s="261" t="s">
        <v>115</v>
      </c>
      <c r="C7" s="262"/>
      <c r="D7" s="263" t="s">
        <v>3679</v>
      </c>
      <c r="E7" s="264"/>
      <c r="F7" s="264"/>
      <c r="G7" s="264"/>
      <c r="H7" s="264"/>
      <c r="I7" s="264"/>
      <c r="J7" s="265"/>
    </row>
    <row r="8" spans="1:45">
      <c r="B8" s="261" t="s">
        <v>116</v>
      </c>
      <c r="C8" s="262"/>
      <c r="D8" s="263" t="str">
        <f>エンティティ一覧!AE2&amp;"_"&amp;D5&amp;"_merge_mml_rd_byomei"</f>
        <v>azn_202310_base_merge_mml_rd_byomei</v>
      </c>
      <c r="E8" s="264"/>
      <c r="F8" s="264"/>
      <c r="G8" s="264"/>
      <c r="H8" s="264"/>
      <c r="I8" s="264"/>
      <c r="J8" s="265"/>
    </row>
    <row r="9" spans="1:45" ht="19.5" customHeight="1" thickBot="1">
      <c r="B9" s="266" t="s">
        <v>117</v>
      </c>
      <c r="C9" s="267"/>
      <c r="D9" s="268" t="str">
        <f>"バックアップ_"&amp;SUBSTITUTE(D7,"ベース_","")&amp;"テーブルから対象患者で絞り込んだ結果を格納するテーブル"</f>
        <v>バックアップ_診断履歴情報モジュール_診断病名レコードテーブルから対象患者で絞り込んだ結果を格納するテーブル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milscm_2023_010.azn_202310_base_merge_mml_rd_byomei;</v>
      </c>
      <c r="O10" s="76"/>
      <c r="P10" s="76"/>
      <c r="Q10" s="76"/>
      <c r="R10" s="76"/>
      <c r="S10" s="76"/>
      <c r="T10" s="76"/>
      <c r="AJ10" s="76" t="str">
        <f>"ALTER TABLE ONLY "&amp;エンティティ一覧!$O$2&amp;"."&amp;D$8</f>
        <v>ALTER TABLE ONLY milscm_2023_010.azn_202310_base_merge_mml_rd_byomei</v>
      </c>
      <c r="AS10" s="76" t="str">
        <f>"ALTER TABLE "&amp;エンティティ一覧!$O$2&amp;"."&amp;D$8&amp;" OWNER TO pgmisgrp1;"</f>
        <v>ALTER TABLE milscm_2023_010.azn_202310_base_merge_mml_rd_byomei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milscm_2023_010.azn_202310_base_merge_mml_rd_byomei</v>
      </c>
      <c r="O11" s="76"/>
      <c r="P11" s="76"/>
      <c r="Q11" s="76"/>
      <c r="R11" s="76"/>
      <c r="S11" s="76"/>
      <c r="T11" s="76"/>
      <c r="AJ11" s="76" t="str">
        <f>"ADD CONSTRAINT "&amp;D$8&amp;"_pkey PRIMARY KEY"</f>
        <v>ADD CONSTRAINT azn_202310_base_merge_mml_rd_byomei_pkey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milscm_2023_010.azn_202310_base_merge_mml_rd_byomei IS 'ベース_診断履歴情報モジュール_診断病名レコード';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4" si="0">UPPER(G13)</f>
        <v>TEXT</v>
      </c>
      <c r="R13" s="76" t="str">
        <f t="shared" ref="R13:R24"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milscm_2023_010.azn_202310_base_merge_mml_rd_byomei.torikomi_ym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1280</v>
      </c>
      <c r="M14" s="4"/>
      <c r="N14" s="76"/>
      <c r="O14" s="76"/>
      <c r="P14" s="76" t="str">
        <f t="shared" ref="P14:P24"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milscm_2023_010.azn_202310_base_merge_mml_rd_byomei.mil_karute_id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4" si="5">IF(I15="○","NOT NULL","")</f>
        <v>NOT NULL</v>
      </c>
      <c r="T15" s="76" t="str">
        <f t="shared" ref="T15:T24"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milscm_2023_010.azn_202310_base_merge_mml_rd_byomei.facility_id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milscm_2023_010.azn_202310_base_merge_mml_rd_byomei.shinryo_ymd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milscm_2023_010.azn_202310_base_merge_mml_rd_byomei.data_type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milscm_2023_010.azn_202310_base_merge_mml_rd_byomei.master_id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milscm_2023_010.azn_202310_base_merge_mml_rd_byomei.uid IS '文書ユニークID';</v>
      </c>
    </row>
    <row r="20" spans="1:52" s="25" customFormat="1" ht="37.5">
      <c r="A20" s="4"/>
      <c r="B20" s="21">
        <f t="shared" si="2"/>
        <v>8</v>
      </c>
      <c r="C20" s="13" t="s">
        <v>1299</v>
      </c>
      <c r="D20" s="13" t="s">
        <v>1300</v>
      </c>
      <c r="E20" s="7" t="s">
        <v>127</v>
      </c>
      <c r="F20" s="7" t="s">
        <v>203</v>
      </c>
      <c r="G20" s="7" t="str">
        <f t="shared" si="3"/>
        <v>integer</v>
      </c>
      <c r="H20" s="58"/>
      <c r="I20" s="23" t="s">
        <v>127</v>
      </c>
      <c r="J20" s="24" t="s">
        <v>1310</v>
      </c>
      <c r="M20" s="4"/>
      <c r="N20" s="76"/>
      <c r="O20" s="76"/>
      <c r="P20" s="76" t="str">
        <f t="shared" si="4"/>
        <v>,shindan_seq</v>
      </c>
      <c r="Q20" s="76" t="str">
        <f t="shared" si="0"/>
        <v>INTEGER</v>
      </c>
      <c r="R20" s="76" t="str">
        <f t="shared" si="1"/>
        <v/>
      </c>
      <c r="S20" s="76" t="str">
        <f t="shared" si="5"/>
        <v>NOT NULL</v>
      </c>
      <c r="T20" s="76" t="str">
        <f t="shared" si="6"/>
        <v>-- 診断SEQ</v>
      </c>
      <c r="U20" s="4"/>
      <c r="AA20" s="4"/>
      <c r="AB20" s="4"/>
      <c r="AC20" s="4"/>
      <c r="AD20" s="4"/>
      <c r="AE20" s="4"/>
      <c r="AF20" s="4"/>
      <c r="AG20" s="4"/>
      <c r="AH20" s="4"/>
      <c r="AI20" s="4"/>
      <c r="AJ20" s="76" t="str">
        <f>IF(E20="○",IF(COUNTA(E$13:E20)=1,"",",")&amp;D20,"")</f>
        <v>,shindan_seq</v>
      </c>
      <c r="AK20" s="4"/>
      <c r="AL20" s="4"/>
      <c r="AM20" s="4"/>
      <c r="AN20" s="4"/>
      <c r="AO20" s="4"/>
      <c r="AP20" s="4"/>
      <c r="AQ20" s="4"/>
      <c r="AR20" s="4"/>
      <c r="AS20" s="76" t="str">
        <f>"COMMENT ON COLUMN "&amp;エンティティ一覧!$O$2&amp;"."&amp;D$8&amp;"."&amp;D20&amp;" IS '"&amp;C20&amp;"';"</f>
        <v>COMMENT ON COLUMN milscm_2023_010.azn_202310_base_merge_mml_rd_byomei.shindan_seq IS '診断SEQ';</v>
      </c>
    </row>
    <row r="21" spans="1:52" s="25" customFormat="1">
      <c r="A21" s="4"/>
      <c r="B21" s="21">
        <f t="shared" si="2"/>
        <v>9</v>
      </c>
      <c r="C21" s="13" t="s">
        <v>1317</v>
      </c>
      <c r="D21" s="13" t="s">
        <v>1318</v>
      </c>
      <c r="E21" s="7" t="s">
        <v>127</v>
      </c>
      <c r="F21" s="7" t="s">
        <v>203</v>
      </c>
      <c r="G21" s="7" t="str">
        <f t="shared" si="3"/>
        <v>integer</v>
      </c>
      <c r="H21" s="58"/>
      <c r="I21" s="23" t="s">
        <v>127</v>
      </c>
      <c r="J21" s="24" t="s">
        <v>1325</v>
      </c>
      <c r="M21" s="4"/>
      <c r="N21" s="76"/>
      <c r="O21" s="76"/>
      <c r="P21" s="76" t="str">
        <f t="shared" si="4"/>
        <v>,byomei_seq</v>
      </c>
      <c r="Q21" s="76" t="str">
        <f t="shared" si="0"/>
        <v>INTEGER</v>
      </c>
      <c r="R21" s="76" t="str">
        <f t="shared" si="1"/>
        <v/>
      </c>
      <c r="S21" s="76" t="str">
        <f t="shared" si="5"/>
        <v>NOT NULL</v>
      </c>
      <c r="T21" s="76" t="str">
        <f t="shared" si="6"/>
        <v>-- 病名SEQ</v>
      </c>
      <c r="U21" s="4"/>
      <c r="AA21" s="4"/>
      <c r="AB21" s="4"/>
      <c r="AC21" s="4"/>
      <c r="AD21" s="4"/>
      <c r="AE21" s="4"/>
      <c r="AF21" s="4"/>
      <c r="AG21" s="4"/>
      <c r="AH21" s="4"/>
      <c r="AI21" s="4"/>
      <c r="AJ21" s="76" t="str">
        <f>IF(E21="○",IF(COUNTA(E$13:E21)=1,"",",")&amp;D21,"")</f>
        <v>,byomei_seq</v>
      </c>
      <c r="AK21" s="4"/>
      <c r="AL21" s="4"/>
      <c r="AM21" s="4"/>
      <c r="AN21" s="4"/>
      <c r="AO21" s="4"/>
      <c r="AP21" s="4"/>
      <c r="AQ21" s="4"/>
      <c r="AR21" s="4"/>
      <c r="AS21" s="76" t="str">
        <f>"COMMENT ON COLUMN "&amp;エンティティ一覧!$O$2&amp;"."&amp;D$8&amp;"."&amp;D21&amp;" IS '"&amp;C21&amp;"';"</f>
        <v>COMMENT ON COLUMN milscm_2023_010.azn_202310_base_merge_mml_rd_byomei.byomei_seq IS '病名SEQ';</v>
      </c>
    </row>
    <row r="22" spans="1:52" s="25" customFormat="1">
      <c r="A22" s="4"/>
      <c r="B22" s="21">
        <f t="shared" si="2"/>
        <v>10</v>
      </c>
      <c r="C22" s="13" t="s">
        <v>1319</v>
      </c>
      <c r="D22" s="13" t="s">
        <v>1320</v>
      </c>
      <c r="E22" s="7"/>
      <c r="F22" s="7" t="s">
        <v>863</v>
      </c>
      <c r="G22" s="7" t="str">
        <f t="shared" si="3"/>
        <v>text</v>
      </c>
      <c r="H22" s="58"/>
      <c r="I22" s="23"/>
      <c r="J22" s="24" t="s">
        <v>1326</v>
      </c>
      <c r="M22" s="4"/>
      <c r="N22" s="76"/>
      <c r="O22" s="76"/>
      <c r="P22" s="76" t="str">
        <f t="shared" si="4"/>
        <v>,byomei</v>
      </c>
      <c r="Q22" s="76" t="str">
        <f t="shared" si="0"/>
        <v>TEXT</v>
      </c>
      <c r="R22" s="76" t="str">
        <f t="shared" si="1"/>
        <v/>
      </c>
      <c r="S22" s="76" t="str">
        <f t="shared" si="5"/>
        <v/>
      </c>
      <c r="T22" s="76" t="str">
        <f t="shared" si="6"/>
        <v>-- 病名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milscm_2023_010.azn_202310_base_merge_mml_rd_byomei.byomei IS '病名';</v>
      </c>
    </row>
    <row r="23" spans="1:52" s="25" customFormat="1">
      <c r="A23" s="4"/>
      <c r="B23" s="21">
        <f t="shared" si="2"/>
        <v>11</v>
      </c>
      <c r="C23" s="13" t="s">
        <v>1321</v>
      </c>
      <c r="D23" s="13" t="s">
        <v>1322</v>
      </c>
      <c r="E23" s="7"/>
      <c r="F23" s="7" t="s">
        <v>863</v>
      </c>
      <c r="G23" s="7" t="str">
        <f t="shared" si="3"/>
        <v>text</v>
      </c>
      <c r="H23" s="58"/>
      <c r="I23" s="23"/>
      <c r="J23" s="24" t="s">
        <v>1327</v>
      </c>
      <c r="M23" s="4"/>
      <c r="N23" s="76"/>
      <c r="O23" s="76"/>
      <c r="P23" s="76" t="str">
        <f t="shared" si="4"/>
        <v>,byomei_code</v>
      </c>
      <c r="Q23" s="76" t="str">
        <f t="shared" si="0"/>
        <v>TEXT</v>
      </c>
      <c r="R23" s="76" t="str">
        <f t="shared" si="1"/>
        <v/>
      </c>
      <c r="S23" s="76" t="str">
        <f t="shared" si="5"/>
        <v/>
      </c>
      <c r="T23" s="76" t="str">
        <f t="shared" si="6"/>
        <v>-- 病名コード値</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milscm_2023_010.azn_202310_base_merge_mml_rd_byomei.byomei_code IS '病名コード値';</v>
      </c>
    </row>
    <row r="24" spans="1:52" s="25" customFormat="1" ht="19.5" thickBot="1">
      <c r="A24" s="4"/>
      <c r="B24" s="27">
        <f>ROW()-12</f>
        <v>12</v>
      </c>
      <c r="C24" s="57" t="s">
        <v>1323</v>
      </c>
      <c r="D24" s="57" t="s">
        <v>1324</v>
      </c>
      <c r="E24" s="56"/>
      <c r="F24" s="56" t="s">
        <v>863</v>
      </c>
      <c r="G24" s="56" t="str">
        <f t="shared" si="3"/>
        <v>text</v>
      </c>
      <c r="H24" s="59"/>
      <c r="I24" s="60"/>
      <c r="J24" s="63" t="s">
        <v>1328</v>
      </c>
      <c r="N24" s="76"/>
      <c r="O24" s="76"/>
      <c r="P24" s="76" t="str">
        <f t="shared" si="4"/>
        <v>,byomei_code_id</v>
      </c>
      <c r="Q24" s="76" t="str">
        <f t="shared" si="0"/>
        <v>TEXT</v>
      </c>
      <c r="R24" s="76" t="str">
        <f t="shared" si="1"/>
        <v/>
      </c>
      <c r="S24" s="76" t="str">
        <f t="shared" si="5"/>
        <v/>
      </c>
      <c r="T24" s="76" t="str">
        <f t="shared" si="6"/>
        <v>-- 病名コード体系名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milscm_2023_010.azn_202310_base_merge_mml_rd_byomei.byomei_code_id IS '病名コード体系名';</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31</v>
      </c>
      <c r="E4" s="248"/>
      <c r="F4" s="248"/>
      <c r="G4" s="248"/>
      <c r="H4" s="248"/>
      <c r="I4" s="248"/>
      <c r="J4" s="249"/>
    </row>
    <row r="5" spans="1:45">
      <c r="B5" s="261" t="s">
        <v>3704</v>
      </c>
      <c r="C5" s="262"/>
      <c r="D5" s="271" t="str">
        <f>VLOOKUP(D7,エンティティ一覧!A1:'エンティティ一覧'!AM10203,7,FALSE)</f>
        <v>base</v>
      </c>
      <c r="E5" s="272"/>
      <c r="F5" s="272"/>
      <c r="G5" s="272"/>
      <c r="H5" s="272"/>
      <c r="I5" s="272"/>
      <c r="J5" s="273"/>
    </row>
    <row r="6" spans="1:45">
      <c r="B6" s="261" t="s">
        <v>3705</v>
      </c>
      <c r="C6" s="262"/>
      <c r="D6" s="271" t="str">
        <f>VLOOKUP(D7,エンティティ一覧!A1:'エンティティ一覧'!AM10203,15,FALSE)</f>
        <v>ENT_31_C4-06</v>
      </c>
      <c r="E6" s="272"/>
      <c r="F6" s="272"/>
      <c r="G6" s="272"/>
      <c r="H6" s="272"/>
      <c r="I6" s="272"/>
      <c r="J6" s="273"/>
    </row>
    <row r="7" spans="1:45">
      <c r="B7" s="261" t="s">
        <v>115</v>
      </c>
      <c r="C7" s="262"/>
      <c r="D7" s="263" t="s">
        <v>3680</v>
      </c>
      <c r="E7" s="264"/>
      <c r="F7" s="264"/>
      <c r="G7" s="264"/>
      <c r="H7" s="264"/>
      <c r="I7" s="264"/>
      <c r="J7" s="265"/>
    </row>
    <row r="8" spans="1:45">
      <c r="B8" s="261" t="s">
        <v>116</v>
      </c>
      <c r="C8" s="262"/>
      <c r="D8" s="263" t="str">
        <f>エンティティ一覧!AE2&amp;"_"&amp;D5&amp;"_merge_mml_pc_progress_course"</f>
        <v>azn_202310_base_merge_mml_pc_progress_course</v>
      </c>
      <c r="E8" s="264"/>
      <c r="F8" s="264"/>
      <c r="G8" s="264"/>
      <c r="H8" s="264"/>
      <c r="I8" s="264"/>
      <c r="J8" s="265"/>
    </row>
    <row r="9" spans="1:45" ht="19.5" customHeight="1" thickBot="1">
      <c r="B9" s="266" t="s">
        <v>117</v>
      </c>
      <c r="C9" s="267"/>
      <c r="D9" s="268" t="str">
        <f>"バックアップ_"&amp;SUBSTITUTE(D7,"ベース_","")&amp;"テーブルから対象患者で絞り込んだ結果を格納するテーブル"</f>
        <v>バックアップ_経過記録情報モジュール_経過記録情報レコードテーブルから対象患者で絞り込んだ結果を格納するテーブル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milscm_2023_010.azn_202310_base_merge_mml_pc_progress_course;</v>
      </c>
      <c r="O10" s="76"/>
      <c r="P10" s="76"/>
      <c r="Q10" s="76"/>
      <c r="R10" s="76"/>
      <c r="S10" s="76"/>
      <c r="T10" s="76"/>
      <c r="AJ10" s="76" t="str">
        <f>"ALTER TABLE ONLY "&amp;エンティティ一覧!$O$2&amp;"."&amp;D$8</f>
        <v>ALTER TABLE ONLY milscm_2023_010.azn_202310_base_merge_mml_pc_progress_course</v>
      </c>
      <c r="AS10" s="76" t="str">
        <f>"ALTER TABLE "&amp;エンティティ一覧!$O$2&amp;"."&amp;D$8&amp;" OWNER TO pgmisgrp1;"</f>
        <v>ALTER TABLE milscm_2023_010.azn_202310_base_merge_mml_pc_progress_course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milscm_2023_010.azn_202310_base_merge_mml_pc_progress_course</v>
      </c>
      <c r="O11" s="76"/>
      <c r="P11" s="76"/>
      <c r="Q11" s="76"/>
      <c r="R11" s="76"/>
      <c r="S11" s="76"/>
      <c r="T11" s="76"/>
      <c r="AJ11" s="76" t="str">
        <f>"ADD CONSTRAINT "&amp;D$8&amp;"_pkey PRIMARY KEY"</f>
        <v>ADD CONSTRAINT azn_202310_base_merge_mml_pc_progress_course_pkey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milscm_2023_010.azn_202310_base_merge_mml_pc_progress_course IS 'ベース_経過記録情報モジュール_経過記録情報レコード';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1" si="0">UPPER(G13)</f>
        <v>TEXT</v>
      </c>
      <c r="R13" s="76" t="str">
        <f t="shared" ref="R13:R21"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milscm_2023_010.azn_202310_base_merge_mml_pc_progress_course.torikomi_ym IS '取込年月';</v>
      </c>
    </row>
    <row r="14" spans="1:45" s="25" customFormat="1">
      <c r="A14" s="4"/>
      <c r="B14" s="21">
        <f t="shared" ref="B14:B20" si="2">ROW()-12</f>
        <v>2</v>
      </c>
      <c r="C14" s="6" t="s">
        <v>201</v>
      </c>
      <c r="D14" s="6" t="s">
        <v>202</v>
      </c>
      <c r="E14" s="8"/>
      <c r="F14" s="7" t="s">
        <v>203</v>
      </c>
      <c r="G14" s="7" t="str">
        <f t="shared" ref="G14:G21" si="3">IF(F14="フラグ","boolean",IF(F14="文字列","text",IF(F14="整数","integer",IF(F14="実数","numeric",""))))</f>
        <v>integer</v>
      </c>
      <c r="H14" s="26"/>
      <c r="I14" s="10"/>
      <c r="J14" s="11" t="s">
        <v>1280</v>
      </c>
      <c r="M14" s="4"/>
      <c r="N14" s="76"/>
      <c r="O14" s="76"/>
      <c r="P14" s="76" t="str">
        <f t="shared" ref="P14:P21"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milscm_2023_010.azn_202310_base_merge_mml_pc_progress_course.mil_karute_id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1" si="5">IF(I15="○","NOT NULL","")</f>
        <v>NOT NULL</v>
      </c>
      <c r="T15" s="76" t="str">
        <f t="shared" ref="T15:T21"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milscm_2023_010.azn_202310_base_merge_mml_pc_progress_course.facility_id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milscm_2023_010.azn_202310_base_merge_mml_pc_progress_course.shinryo_ymd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milscm_2023_010.azn_202310_base_merge_mml_pc_progress_course.data_type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milscm_2023_010.azn_202310_base_merge_mml_pc_progress_course.master_id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milscm_2023_010.azn_202310_base_merge_mml_pc_progress_course.uid IS '文書ユニークID';</v>
      </c>
    </row>
    <row r="20" spans="1:52" s="25" customFormat="1" ht="37.5">
      <c r="A20" s="4"/>
      <c r="B20" s="21">
        <f t="shared" si="2"/>
        <v>8</v>
      </c>
      <c r="C20" s="13" t="s">
        <v>1342</v>
      </c>
      <c r="D20" s="13" t="s">
        <v>1343</v>
      </c>
      <c r="E20" s="7" t="s">
        <v>127</v>
      </c>
      <c r="F20" s="7" t="s">
        <v>203</v>
      </c>
      <c r="G20" s="7" t="str">
        <f t="shared" si="3"/>
        <v>integer</v>
      </c>
      <c r="H20" s="58"/>
      <c r="I20" s="23" t="s">
        <v>127</v>
      </c>
      <c r="J20" s="24" t="s">
        <v>1346</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milscm_2023_010.azn_202310_base_merge_mml_pc_progress_course.keika_seq IS '経過記録SEQ';</v>
      </c>
    </row>
    <row r="21" spans="1:52" s="25" customFormat="1" ht="38.25" thickBot="1">
      <c r="A21" s="4"/>
      <c r="B21" s="27">
        <f>ROW()-12</f>
        <v>9</v>
      </c>
      <c r="C21" s="57" t="s">
        <v>1344</v>
      </c>
      <c r="D21" s="57" t="s">
        <v>1345</v>
      </c>
      <c r="E21" s="56"/>
      <c r="F21" s="56" t="s">
        <v>863</v>
      </c>
      <c r="G21" s="56" t="str">
        <f t="shared" si="3"/>
        <v>text</v>
      </c>
      <c r="H21" s="59"/>
      <c r="I21" s="60"/>
      <c r="J21" s="63" t="s">
        <v>1347</v>
      </c>
      <c r="N21" s="76"/>
      <c r="O21" s="76"/>
      <c r="P21" s="76" t="str">
        <f t="shared" si="4"/>
        <v>,free_expression</v>
      </c>
      <c r="Q21" s="76" t="str">
        <f t="shared" si="0"/>
        <v>TEXT</v>
      </c>
      <c r="R21" s="76" t="str">
        <f t="shared" si="1"/>
        <v/>
      </c>
      <c r="S21" s="76" t="str">
        <f t="shared" si="5"/>
        <v/>
      </c>
      <c r="T21" s="76" t="str">
        <f t="shared" si="6"/>
        <v>-- 自由記載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milscm_2023_010.azn_202310_base_merge_mml_pc_progress_course.free_expression IS '自由記載';</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31</v>
      </c>
      <c r="E4" s="248"/>
      <c r="F4" s="248"/>
      <c r="G4" s="248"/>
      <c r="H4" s="248"/>
      <c r="I4" s="248"/>
      <c r="J4" s="249"/>
    </row>
    <row r="5" spans="1:45">
      <c r="B5" s="261" t="s">
        <v>3704</v>
      </c>
      <c r="C5" s="262"/>
      <c r="D5" s="271" t="str">
        <f>VLOOKUP(D7,エンティティ一覧!A1:'エンティティ一覧'!AM10203,7,FALSE)</f>
        <v>base</v>
      </c>
      <c r="E5" s="272"/>
      <c r="F5" s="272"/>
      <c r="G5" s="272"/>
      <c r="H5" s="272"/>
      <c r="I5" s="272"/>
      <c r="J5" s="273"/>
    </row>
    <row r="6" spans="1:45">
      <c r="B6" s="261" t="s">
        <v>3705</v>
      </c>
      <c r="C6" s="262"/>
      <c r="D6" s="271" t="str">
        <f>VLOOKUP(D7,エンティティ一覧!A1:'エンティティ一覧'!AM10203,15,FALSE)</f>
        <v>ENT_31_C4-07</v>
      </c>
      <c r="E6" s="272"/>
      <c r="F6" s="272"/>
      <c r="G6" s="272"/>
      <c r="H6" s="272"/>
      <c r="I6" s="272"/>
      <c r="J6" s="273"/>
    </row>
    <row r="7" spans="1:45">
      <c r="B7" s="261" t="s">
        <v>115</v>
      </c>
      <c r="C7" s="262"/>
      <c r="D7" s="263" t="s">
        <v>3681</v>
      </c>
      <c r="E7" s="264"/>
      <c r="F7" s="264"/>
      <c r="G7" s="264"/>
      <c r="H7" s="264"/>
      <c r="I7" s="264"/>
      <c r="J7" s="265"/>
    </row>
    <row r="8" spans="1:45">
      <c r="B8" s="261" t="s">
        <v>116</v>
      </c>
      <c r="C8" s="262"/>
      <c r="D8" s="263" t="str">
        <f>エンティティ一覧!AE2&amp;"_"&amp;D5&amp;"_merge_mml_pc_problem"</f>
        <v>azn_202310_base_merge_mml_pc_problem</v>
      </c>
      <c r="E8" s="264"/>
      <c r="F8" s="264"/>
      <c r="G8" s="264"/>
      <c r="H8" s="264"/>
      <c r="I8" s="264"/>
      <c r="J8" s="265"/>
    </row>
    <row r="9" spans="1:45" ht="19.5" customHeight="1" thickBot="1">
      <c r="B9" s="266" t="s">
        <v>117</v>
      </c>
      <c r="C9" s="267"/>
      <c r="D9" s="268" t="str">
        <f>"バックアップ_"&amp;SUBSTITUTE(D7,"ベース_","")&amp;"テーブルから対象患者で絞り込んだ結果を格納するテーブル"</f>
        <v>バックアップ_経過記録情報モジュール_プロブレムレコードテーブルから対象患者で絞り込んだ結果を格納するテーブル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milscm_2023_010.azn_202310_base_merge_mml_pc_problem;</v>
      </c>
      <c r="O10" s="76"/>
      <c r="P10" s="76"/>
      <c r="Q10" s="76"/>
      <c r="R10" s="76"/>
      <c r="S10" s="76"/>
      <c r="T10" s="76"/>
      <c r="AJ10" s="76" t="str">
        <f>"ALTER TABLE ONLY "&amp;エンティティ一覧!$O$2&amp;"."&amp;D$8</f>
        <v>ALTER TABLE ONLY milscm_2023_010.azn_202310_base_merge_mml_pc_problem</v>
      </c>
      <c r="AS10" s="76" t="str">
        <f>"ALTER TABLE "&amp;エンティティ一覧!$O$2&amp;"."&amp;D$8&amp;" OWNER TO pgmisgrp1;"</f>
        <v>ALTER TABLE milscm_2023_010.azn_202310_base_merge_mml_pc_problem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milscm_2023_010.azn_202310_base_merge_mml_pc_problem</v>
      </c>
      <c r="O11" s="76"/>
      <c r="P11" s="76"/>
      <c r="Q11" s="76"/>
      <c r="R11" s="76"/>
      <c r="S11" s="76"/>
      <c r="T11" s="76"/>
      <c r="AJ11" s="76" t="str">
        <f>"ADD CONSTRAINT "&amp;D$8&amp;"_pkey PRIMARY KEY"</f>
        <v>ADD CONSTRAINT azn_202310_base_merge_mml_pc_problem_pkey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milscm_2023_010.azn_202310_base_merge_mml_pc_problem IS 'ベース_経過記録情報モジュール_プロブレムレコード';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2" si="0">UPPER(G13)</f>
        <v>TEXT</v>
      </c>
      <c r="R13" s="76" t="str">
        <f t="shared" ref="R13:R32"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milscm_2023_010.azn_202310_base_merge_mml_pc_problem.torikomi_ym IS '取込年月';</v>
      </c>
    </row>
    <row r="14" spans="1:45" s="25" customFormat="1">
      <c r="A14" s="4"/>
      <c r="B14" s="21">
        <f t="shared" ref="B14:B31" si="2">ROW()-12</f>
        <v>2</v>
      </c>
      <c r="C14" s="6" t="s">
        <v>201</v>
      </c>
      <c r="D14" s="6" t="s">
        <v>202</v>
      </c>
      <c r="E14" s="8"/>
      <c r="F14" s="7" t="s">
        <v>203</v>
      </c>
      <c r="G14" s="7" t="str">
        <f t="shared" ref="G14:G32" si="3">IF(F14="フラグ","boolean",IF(F14="文字列","text",IF(F14="整数","integer",IF(F14="実数","numeric",""))))</f>
        <v>integer</v>
      </c>
      <c r="H14" s="26"/>
      <c r="I14" s="10"/>
      <c r="J14" s="11" t="s">
        <v>1280</v>
      </c>
      <c r="M14" s="4"/>
      <c r="N14" s="76"/>
      <c r="O14" s="76"/>
      <c r="P14" s="76" t="str">
        <f t="shared" ref="P14:P32"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milscm_2023_010.azn_202310_base_merge_mml_pc_problem.mil_karute_id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32" si="5">IF(I15="○","NOT NULL","")</f>
        <v>NOT NULL</v>
      </c>
      <c r="T15" s="76" t="str">
        <f t="shared" ref="T15:T32"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milscm_2023_010.azn_202310_base_merge_mml_pc_problem.facility_id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milscm_2023_010.azn_202310_base_merge_mml_pc_problem.shinryo_ymd IS '診療年月日';</v>
      </c>
    </row>
    <row r="17" spans="1:45"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milscm_2023_010.azn_202310_base_merge_mml_pc_problem.data_type IS 'データ種別';</v>
      </c>
    </row>
    <row r="18" spans="1:45"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milscm_2023_010.azn_202310_base_merge_mml_pc_problem.master_id IS '患者ID';</v>
      </c>
    </row>
    <row r="19" spans="1:45"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milscm_2023_010.azn_202310_base_merge_mml_pc_problem.uid IS '文書ユニークID';</v>
      </c>
    </row>
    <row r="20" spans="1:45" s="25" customFormat="1" ht="37.5">
      <c r="A20" s="4"/>
      <c r="B20" s="21">
        <f t="shared" si="2"/>
        <v>8</v>
      </c>
      <c r="C20" s="13" t="s">
        <v>1342</v>
      </c>
      <c r="D20" s="13" t="s">
        <v>1343</v>
      </c>
      <c r="E20" s="7" t="s">
        <v>127</v>
      </c>
      <c r="F20" s="7" t="s">
        <v>203</v>
      </c>
      <c r="G20" s="7" t="str">
        <f t="shared" si="3"/>
        <v>integer</v>
      </c>
      <c r="H20" s="58"/>
      <c r="I20" s="23" t="s">
        <v>127</v>
      </c>
      <c r="J20" s="24" t="s">
        <v>1346</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milscm_2023_010.azn_202310_base_merge_mml_pc_problem.keika_seq IS '経過記録SEQ';</v>
      </c>
    </row>
    <row r="21" spans="1:45" s="25" customFormat="1">
      <c r="A21" s="4"/>
      <c r="B21" s="21">
        <f t="shared" si="2"/>
        <v>9</v>
      </c>
      <c r="C21" s="13" t="s">
        <v>1350</v>
      </c>
      <c r="D21" s="13" t="s">
        <v>1351</v>
      </c>
      <c r="E21" s="7" t="s">
        <v>127</v>
      </c>
      <c r="F21" s="7" t="s">
        <v>203</v>
      </c>
      <c r="G21" s="7" t="str">
        <f t="shared" si="3"/>
        <v>integer</v>
      </c>
      <c r="H21" s="58"/>
      <c r="I21" s="23" t="s">
        <v>127</v>
      </c>
      <c r="J21" s="24" t="s">
        <v>1374</v>
      </c>
      <c r="M21" s="4"/>
      <c r="N21" s="76"/>
      <c r="O21" s="76"/>
      <c r="P21" s="76" t="str">
        <f t="shared" si="4"/>
        <v>,problem_seq</v>
      </c>
      <c r="Q21" s="76" t="str">
        <f t="shared" si="0"/>
        <v>INTEGER</v>
      </c>
      <c r="R21" s="76" t="str">
        <f t="shared" si="1"/>
        <v/>
      </c>
      <c r="S21" s="76" t="str">
        <f t="shared" si="5"/>
        <v>NOT NULL</v>
      </c>
      <c r="T21" s="76" t="str">
        <f t="shared" si="6"/>
        <v>-- プロブレムSEQ</v>
      </c>
      <c r="U21" s="4"/>
      <c r="AA21" s="4"/>
      <c r="AB21" s="4"/>
      <c r="AC21" s="4"/>
      <c r="AD21" s="4"/>
      <c r="AE21" s="4"/>
      <c r="AF21" s="4"/>
      <c r="AG21" s="4"/>
      <c r="AH21" s="4"/>
      <c r="AI21" s="4"/>
      <c r="AJ21" s="76" t="str">
        <f>IF(E21="○",IF(COUNTA(E$13:E21)=1,"",",")&amp;D21,"")</f>
        <v>,problem_seq</v>
      </c>
      <c r="AK21" s="4"/>
      <c r="AL21" s="4"/>
      <c r="AM21" s="4"/>
      <c r="AN21" s="4"/>
      <c r="AO21" s="4"/>
      <c r="AP21" s="4"/>
      <c r="AQ21" s="4"/>
      <c r="AR21" s="4"/>
      <c r="AS21" s="76" t="str">
        <f>"COMMENT ON COLUMN "&amp;エンティティ一覧!$O$2&amp;"."&amp;D$8&amp;"."&amp;D21&amp;" IS '"&amp;C21&amp;"';"</f>
        <v>COMMENT ON COLUMN milscm_2023_010.azn_202310_base_merge_mml_pc_problem.problem_seq IS 'プロブレムSEQ';</v>
      </c>
    </row>
    <row r="22" spans="1:45" s="25" customFormat="1" ht="37.5">
      <c r="A22" s="4"/>
      <c r="B22" s="21">
        <f t="shared" si="2"/>
        <v>10</v>
      </c>
      <c r="C22" s="13" t="s">
        <v>1352</v>
      </c>
      <c r="D22" s="13" t="s">
        <v>1353</v>
      </c>
      <c r="E22" s="7"/>
      <c r="F22" s="7" t="s">
        <v>863</v>
      </c>
      <c r="G22" s="7" t="str">
        <f t="shared" si="3"/>
        <v>text</v>
      </c>
      <c r="H22" s="58"/>
      <c r="I22" s="23"/>
      <c r="J22" s="24" t="s">
        <v>1375</v>
      </c>
      <c r="M22" s="4"/>
      <c r="N22" s="76"/>
      <c r="O22" s="76"/>
      <c r="P22" s="76" t="str">
        <f t="shared" si="4"/>
        <v>,problem_shippei_name</v>
      </c>
      <c r="Q22" s="76" t="str">
        <f t="shared" si="0"/>
        <v>TEXT</v>
      </c>
      <c r="R22" s="76" t="str">
        <f t="shared" si="1"/>
        <v/>
      </c>
      <c r="S22" s="76" t="str">
        <f t="shared" si="5"/>
        <v/>
      </c>
      <c r="T22" s="76" t="str">
        <f t="shared" si="6"/>
        <v>-- プロブレム名（疾病名）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milscm_2023_010.azn_202310_base_merge_mml_pc_problem.problem_shippei_name IS 'プロブレム名（疾病名）';</v>
      </c>
    </row>
    <row r="23" spans="1:45" s="25" customFormat="1" ht="56.25">
      <c r="A23" s="4"/>
      <c r="B23" s="21">
        <f t="shared" si="2"/>
        <v>11</v>
      </c>
      <c r="C23" s="13" t="s">
        <v>1354</v>
      </c>
      <c r="D23" s="13" t="s">
        <v>1355</v>
      </c>
      <c r="E23" s="7"/>
      <c r="F23" s="7" t="s">
        <v>863</v>
      </c>
      <c r="G23" s="7" t="str">
        <f t="shared" si="3"/>
        <v>text</v>
      </c>
      <c r="H23" s="58"/>
      <c r="I23" s="23"/>
      <c r="J23" s="24" t="s">
        <v>1376</v>
      </c>
      <c r="M23" s="4"/>
      <c r="N23" s="76"/>
      <c r="O23" s="76"/>
      <c r="P23" s="76" t="str">
        <f t="shared" si="4"/>
        <v>,shindan_name_uid</v>
      </c>
      <c r="Q23" s="76" t="str">
        <f t="shared" si="0"/>
        <v>TEXT</v>
      </c>
      <c r="R23" s="76" t="str">
        <f t="shared" si="1"/>
        <v/>
      </c>
      <c r="S23" s="76" t="str">
        <f t="shared" si="5"/>
        <v/>
      </c>
      <c r="T23" s="76" t="str">
        <f t="shared" si="6"/>
        <v>-- 診断名のuid</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milscm_2023_010.azn_202310_base_merge_mml_pc_problem.shindan_name_uid IS '診断名のuid';</v>
      </c>
    </row>
    <row r="24" spans="1:45" s="25" customFormat="1" ht="37.5">
      <c r="A24" s="4"/>
      <c r="B24" s="21">
        <f t="shared" si="2"/>
        <v>12</v>
      </c>
      <c r="C24" s="13" t="s">
        <v>1356</v>
      </c>
      <c r="D24" s="13" t="s">
        <v>1357</v>
      </c>
      <c r="E24" s="7"/>
      <c r="F24" s="7" t="s">
        <v>863</v>
      </c>
      <c r="G24" s="7" t="str">
        <f t="shared" si="3"/>
        <v>text</v>
      </c>
      <c r="H24" s="58"/>
      <c r="I24" s="23"/>
      <c r="J24" s="24" t="s">
        <v>1377</v>
      </c>
      <c r="M24" s="4"/>
      <c r="N24" s="76"/>
      <c r="O24" s="76"/>
      <c r="P24" s="76" t="str">
        <f t="shared" si="4"/>
        <v>,free_note</v>
      </c>
      <c r="Q24" s="76" t="str">
        <f t="shared" si="0"/>
        <v>TEXT</v>
      </c>
      <c r="R24" s="76" t="str">
        <f t="shared" si="1"/>
        <v/>
      </c>
      <c r="S24" s="76" t="str">
        <f t="shared" si="5"/>
        <v/>
      </c>
      <c r="T24" s="76" t="str">
        <f t="shared" si="6"/>
        <v>-- 自由文章表現</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milscm_2023_010.azn_202310_base_merge_mml_pc_problem.free_note IS '自由文章表現';</v>
      </c>
    </row>
    <row r="25" spans="1:45" s="25" customFormat="1" ht="37.5">
      <c r="A25" s="4"/>
      <c r="B25" s="21">
        <f t="shared" si="2"/>
        <v>13</v>
      </c>
      <c r="C25" s="13" t="s">
        <v>1358</v>
      </c>
      <c r="D25" s="13" t="s">
        <v>1359</v>
      </c>
      <c r="E25" s="7"/>
      <c r="F25" s="7" t="s">
        <v>863</v>
      </c>
      <c r="G25" s="7" t="str">
        <f t="shared" si="3"/>
        <v>text</v>
      </c>
      <c r="H25" s="58"/>
      <c r="I25" s="23"/>
      <c r="J25" s="24" t="s">
        <v>1378</v>
      </c>
      <c r="M25" s="4"/>
      <c r="N25" s="76"/>
      <c r="O25" s="76"/>
      <c r="P25" s="76" t="str">
        <f t="shared" si="4"/>
        <v>,free_expression_objective</v>
      </c>
      <c r="Q25" s="76" t="str">
        <f t="shared" si="0"/>
        <v>TEXT</v>
      </c>
      <c r="R25" s="76" t="str">
        <f t="shared" si="1"/>
        <v/>
      </c>
      <c r="S25" s="76" t="str">
        <f t="shared" si="5"/>
        <v/>
      </c>
      <c r="T25" s="76" t="str">
        <f t="shared" si="6"/>
        <v>-- 客観的自由記載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milscm_2023_010.azn_202310_base_merge_mml_pc_problem.free_expression_objective IS '客観的自由記載';</v>
      </c>
    </row>
    <row r="26" spans="1:45" s="25" customFormat="1" ht="37.5">
      <c r="A26" s="4"/>
      <c r="B26" s="21">
        <f t="shared" si="2"/>
        <v>14</v>
      </c>
      <c r="C26" s="13" t="s">
        <v>1360</v>
      </c>
      <c r="D26" s="13" t="s">
        <v>1361</v>
      </c>
      <c r="E26" s="7"/>
      <c r="F26" s="7" t="s">
        <v>863</v>
      </c>
      <c r="G26" s="7" t="str">
        <f t="shared" si="3"/>
        <v>text</v>
      </c>
      <c r="H26" s="58"/>
      <c r="I26" s="23"/>
      <c r="J26" s="24" t="s">
        <v>1379</v>
      </c>
      <c r="M26" s="4"/>
      <c r="N26" s="76"/>
      <c r="O26" s="76"/>
      <c r="P26" s="76" t="str">
        <f t="shared" si="4"/>
        <v>,test_result</v>
      </c>
      <c r="Q26" s="76" t="str">
        <f t="shared" si="0"/>
        <v>TEXT</v>
      </c>
      <c r="R26" s="76" t="str">
        <f t="shared" si="1"/>
        <v/>
      </c>
      <c r="S26" s="76" t="str">
        <f t="shared" si="5"/>
        <v/>
      </c>
      <c r="T26" s="76" t="str">
        <f t="shared" si="6"/>
        <v>-- 検査結果</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milscm_2023_010.azn_202310_base_merge_mml_pc_problem.test_result IS '検査結果';</v>
      </c>
    </row>
    <row r="27" spans="1:45" s="25" customFormat="1" ht="37.5">
      <c r="A27" s="4"/>
      <c r="B27" s="21">
        <f t="shared" si="2"/>
        <v>15</v>
      </c>
      <c r="C27" s="13" t="s">
        <v>1362</v>
      </c>
      <c r="D27" s="13" t="s">
        <v>1363</v>
      </c>
      <c r="E27" s="7"/>
      <c r="F27" s="7" t="s">
        <v>863</v>
      </c>
      <c r="G27" s="7" t="str">
        <f t="shared" si="3"/>
        <v>text</v>
      </c>
      <c r="H27" s="58"/>
      <c r="I27" s="23"/>
      <c r="J27" s="24" t="s">
        <v>1380</v>
      </c>
      <c r="M27" s="4"/>
      <c r="N27" s="76"/>
      <c r="O27" s="76"/>
      <c r="P27" s="76" t="str">
        <f t="shared" si="4"/>
        <v>,shohou_jisshi_kiroku</v>
      </c>
      <c r="Q27" s="76" t="str">
        <f t="shared" si="0"/>
        <v>TEXT</v>
      </c>
      <c r="R27" s="76" t="str">
        <f t="shared" si="1"/>
        <v/>
      </c>
      <c r="S27" s="76" t="str">
        <f t="shared" si="5"/>
        <v/>
      </c>
      <c r="T27" s="76" t="str">
        <f t="shared" si="6"/>
        <v>-- 処方実施記録</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milscm_2023_010.azn_202310_base_merge_mml_pc_problem.shohou_jisshi_kiroku IS '処方実施記録';</v>
      </c>
    </row>
    <row r="28" spans="1:45" s="25" customFormat="1" ht="37.5">
      <c r="A28" s="4"/>
      <c r="B28" s="21">
        <f t="shared" si="2"/>
        <v>16</v>
      </c>
      <c r="C28" s="13" t="s">
        <v>1364</v>
      </c>
      <c r="D28" s="13" t="s">
        <v>1365</v>
      </c>
      <c r="E28" s="7"/>
      <c r="F28" s="7" t="s">
        <v>863</v>
      </c>
      <c r="G28" s="7" t="str">
        <f t="shared" si="3"/>
        <v>text</v>
      </c>
      <c r="H28" s="58"/>
      <c r="I28" s="23"/>
      <c r="J28" s="24" t="s">
        <v>1381</v>
      </c>
      <c r="M28" s="4"/>
      <c r="N28" s="76"/>
      <c r="O28" s="76"/>
      <c r="P28" s="76" t="str">
        <f t="shared" si="4"/>
        <v>,shochi_jisshi_kiroku</v>
      </c>
      <c r="Q28" s="76" t="str">
        <f t="shared" si="0"/>
        <v>TEXT</v>
      </c>
      <c r="R28" s="76" t="str">
        <f t="shared" si="1"/>
        <v/>
      </c>
      <c r="S28" s="76" t="str">
        <f t="shared" si="5"/>
        <v/>
      </c>
      <c r="T28" s="76" t="str">
        <f t="shared" si="6"/>
        <v>-- 処置実施記録</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milscm_2023_010.azn_202310_base_merge_mml_pc_problem.shochi_jisshi_kiroku IS '処置実施記録';</v>
      </c>
    </row>
    <row r="29" spans="1:45" s="25" customFormat="1" ht="37.5">
      <c r="A29" s="4"/>
      <c r="B29" s="21">
        <f t="shared" si="2"/>
        <v>17</v>
      </c>
      <c r="C29" s="13" t="s">
        <v>1366</v>
      </c>
      <c r="D29" s="13" t="s">
        <v>1367</v>
      </c>
      <c r="E29" s="7"/>
      <c r="F29" s="7" t="s">
        <v>863</v>
      </c>
      <c r="G29" s="7" t="str">
        <f t="shared" si="3"/>
        <v>text</v>
      </c>
      <c r="H29" s="58"/>
      <c r="I29" s="23"/>
      <c r="J29" s="24" t="s">
        <v>1382</v>
      </c>
      <c r="M29" s="4"/>
      <c r="N29" s="76"/>
      <c r="O29" s="76"/>
      <c r="P29" s="76" t="str">
        <f t="shared" si="4"/>
        <v>,kensa_order</v>
      </c>
      <c r="Q29" s="76" t="str">
        <f t="shared" si="0"/>
        <v>TEXT</v>
      </c>
      <c r="R29" s="76" t="str">
        <f t="shared" si="1"/>
        <v/>
      </c>
      <c r="S29" s="76" t="str">
        <f t="shared" si="5"/>
        <v/>
      </c>
      <c r="T29" s="76" t="str">
        <f t="shared" si="6"/>
        <v>-- 検査オーダー</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milscm_2023_010.azn_202310_base_merge_mml_pc_problem.kensa_order IS '検査オーダー';</v>
      </c>
    </row>
    <row r="30" spans="1:45" s="25" customFormat="1" ht="37.5">
      <c r="A30" s="4"/>
      <c r="B30" s="21">
        <f t="shared" si="2"/>
        <v>18</v>
      </c>
      <c r="C30" s="13" t="s">
        <v>1368</v>
      </c>
      <c r="D30" s="13" t="s">
        <v>1369</v>
      </c>
      <c r="E30" s="7"/>
      <c r="F30" s="7" t="s">
        <v>863</v>
      </c>
      <c r="G30" s="7" t="str">
        <f t="shared" si="3"/>
        <v>text</v>
      </c>
      <c r="H30" s="58"/>
      <c r="I30" s="23"/>
      <c r="J30" s="24" t="s">
        <v>1383</v>
      </c>
      <c r="M30" s="4"/>
      <c r="N30" s="76"/>
      <c r="O30" s="76"/>
      <c r="P30" s="76" t="str">
        <f t="shared" si="4"/>
        <v>,shohou_order</v>
      </c>
      <c r="Q30" s="76" t="str">
        <f t="shared" si="0"/>
        <v>TEXT</v>
      </c>
      <c r="R30" s="76" t="str">
        <f t="shared" si="1"/>
        <v/>
      </c>
      <c r="S30" s="76" t="str">
        <f t="shared" si="5"/>
        <v/>
      </c>
      <c r="T30" s="76" t="str">
        <f t="shared" si="6"/>
        <v>-- 処方オーダー</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milscm_2023_010.azn_202310_base_merge_mml_pc_problem.shohou_order IS '処方オーダー';</v>
      </c>
    </row>
    <row r="31" spans="1:45" s="25" customFormat="1" ht="37.5">
      <c r="A31" s="4"/>
      <c r="B31" s="21">
        <f t="shared" si="2"/>
        <v>19</v>
      </c>
      <c r="C31" s="13" t="s">
        <v>1370</v>
      </c>
      <c r="D31" s="13" t="s">
        <v>1371</v>
      </c>
      <c r="E31" s="7"/>
      <c r="F31" s="7" t="s">
        <v>863</v>
      </c>
      <c r="G31" s="7" t="str">
        <f t="shared" si="3"/>
        <v>text</v>
      </c>
      <c r="H31" s="58"/>
      <c r="I31" s="23"/>
      <c r="J31" s="24" t="s">
        <v>1384</v>
      </c>
      <c r="M31" s="4"/>
      <c r="N31" s="76"/>
      <c r="O31" s="76"/>
      <c r="P31" s="76" t="str">
        <f t="shared" si="4"/>
        <v>,chiryo_order</v>
      </c>
      <c r="Q31" s="76" t="str">
        <f t="shared" si="0"/>
        <v>TEXT</v>
      </c>
      <c r="R31" s="76" t="str">
        <f t="shared" si="1"/>
        <v/>
      </c>
      <c r="S31" s="76" t="str">
        <f t="shared" si="5"/>
        <v/>
      </c>
      <c r="T31" s="76" t="str">
        <f t="shared" si="6"/>
        <v>-- 治療処置オーダー</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milscm_2023_010.azn_202310_base_merge_mml_pc_problem.chiryo_order IS '治療処置オーダー';</v>
      </c>
    </row>
    <row r="32" spans="1:45" s="25" customFormat="1" ht="38.25" thickBot="1">
      <c r="A32" s="4"/>
      <c r="B32" s="27">
        <f>ROW()-12</f>
        <v>20</v>
      </c>
      <c r="C32" s="57" t="s">
        <v>1372</v>
      </c>
      <c r="D32" s="57" t="s">
        <v>1373</v>
      </c>
      <c r="E32" s="56"/>
      <c r="F32" s="56" t="s">
        <v>863</v>
      </c>
      <c r="G32" s="56" t="str">
        <f t="shared" si="3"/>
        <v>text</v>
      </c>
      <c r="H32" s="59"/>
      <c r="I32" s="60"/>
      <c r="J32" s="63" t="s">
        <v>1385</v>
      </c>
      <c r="N32" s="76"/>
      <c r="O32" s="76"/>
      <c r="P32" s="76" t="str">
        <f t="shared" si="4"/>
        <v>,free_expression_plan</v>
      </c>
      <c r="Q32" s="76" t="str">
        <f t="shared" si="0"/>
        <v>TEXT</v>
      </c>
      <c r="R32" s="76" t="str">
        <f t="shared" si="1"/>
        <v/>
      </c>
      <c r="S32" s="76" t="str">
        <f t="shared" si="5"/>
        <v/>
      </c>
      <c r="T32" s="76" t="str">
        <f t="shared" si="6"/>
        <v>-- 方針自由記載</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milscm_2023_010.azn_202310_base_merge_mml_pc_problem.free_expression_plan IS '方針自由記載';</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31</v>
      </c>
      <c r="E4" s="248"/>
      <c r="F4" s="248"/>
      <c r="G4" s="248"/>
      <c r="H4" s="248"/>
      <c r="I4" s="248"/>
      <c r="J4" s="249"/>
    </row>
    <row r="5" spans="1:45">
      <c r="B5" s="261" t="s">
        <v>3704</v>
      </c>
      <c r="C5" s="262"/>
      <c r="D5" s="271" t="str">
        <f>VLOOKUP(D7,エンティティ一覧!A1:'エンティティ一覧'!AM10203,7,FALSE)</f>
        <v>base</v>
      </c>
      <c r="E5" s="272"/>
      <c r="F5" s="272"/>
      <c r="G5" s="272"/>
      <c r="H5" s="272"/>
      <c r="I5" s="272"/>
      <c r="J5" s="273"/>
    </row>
    <row r="6" spans="1:45">
      <c r="B6" s="261" t="s">
        <v>3705</v>
      </c>
      <c r="C6" s="262"/>
      <c r="D6" s="271" t="str">
        <f>VLOOKUP(D7,エンティティ一覧!A1:'エンティティ一覧'!AM10203,15,FALSE)</f>
        <v>ENT_31_C4-08</v>
      </c>
      <c r="E6" s="272"/>
      <c r="F6" s="272"/>
      <c r="G6" s="272"/>
      <c r="H6" s="272"/>
      <c r="I6" s="272"/>
      <c r="J6" s="273"/>
    </row>
    <row r="7" spans="1:45">
      <c r="B7" s="261" t="s">
        <v>115</v>
      </c>
      <c r="C7" s="262"/>
      <c r="D7" s="263" t="s">
        <v>3682</v>
      </c>
      <c r="E7" s="264"/>
      <c r="F7" s="264"/>
      <c r="G7" s="264"/>
      <c r="H7" s="264"/>
      <c r="I7" s="264"/>
      <c r="J7" s="265"/>
    </row>
    <row r="8" spans="1:45">
      <c r="B8" s="261" t="s">
        <v>116</v>
      </c>
      <c r="C8" s="262"/>
      <c r="D8" s="263" t="str">
        <f>エンティティ一覧!AE2&amp;"_"&amp;D5&amp;"_merge_mml_pc_physical_exam"</f>
        <v>azn_202310_base_merge_mml_pc_physical_exam</v>
      </c>
      <c r="E8" s="264"/>
      <c r="F8" s="264"/>
      <c r="G8" s="264"/>
      <c r="H8" s="264"/>
      <c r="I8" s="264"/>
      <c r="J8" s="265"/>
    </row>
    <row r="9" spans="1:45" ht="19.5" customHeight="1" thickBot="1">
      <c r="B9" s="266" t="s">
        <v>117</v>
      </c>
      <c r="C9" s="267"/>
      <c r="D9" s="268" t="str">
        <f>"バックアップ_"&amp;SUBSTITUTE(D7,"ベース_","")&amp;"テーブルから対象患者で絞り込んだ結果を格納するテーブル"</f>
        <v>バックアップ_経過記録情報モジュール_身体所見レコードテーブルから対象患者で絞り込んだ結果を格納するテーブル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milscm_2023_010.azn_202310_base_merge_mml_pc_physical_exam;</v>
      </c>
      <c r="O10" s="76"/>
      <c r="P10" s="76"/>
      <c r="Q10" s="76"/>
      <c r="R10" s="76"/>
      <c r="S10" s="76"/>
      <c r="T10" s="76"/>
      <c r="AJ10" s="76" t="str">
        <f>"ALTER TABLE ONLY "&amp;エンティティ一覧!$O$2&amp;"."&amp;D$8</f>
        <v>ALTER TABLE ONLY milscm_2023_010.azn_202310_base_merge_mml_pc_physical_exam</v>
      </c>
      <c r="AS10" s="76" t="str">
        <f>"ALTER TABLE "&amp;エンティティ一覧!$O$2&amp;"."&amp;D$8&amp;" OWNER TO pgmisgrp1;"</f>
        <v>ALTER TABLE milscm_2023_010.azn_202310_base_merge_mml_pc_physical_exam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milscm_2023_010.azn_202310_base_merge_mml_pc_physical_exam</v>
      </c>
      <c r="O11" s="76"/>
      <c r="P11" s="76"/>
      <c r="Q11" s="76"/>
      <c r="R11" s="76"/>
      <c r="S11" s="76"/>
      <c r="T11" s="76"/>
      <c r="AJ11" s="76" t="str">
        <f>"ADD CONSTRAINT "&amp;D$8&amp;"_pkey PRIMARY KEY"</f>
        <v>ADD CONSTRAINT azn_202310_base_merge_mml_pc_physical_exam_pkey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milscm_2023_010.azn_202310_base_merge_mml_pc_physical_exam IS 'ベース_経過記録情報モジュール_身体所見レコード';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milscm_2023_010.azn_202310_base_merge_mml_pc_physical_exam.torikomi_ym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1280</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milscm_2023_010.azn_202310_base_merge_mml_pc_physical_exam.mil_karute_id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milscm_2023_010.azn_202310_base_merge_mml_pc_physical_exam.facility_id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milscm_2023_010.azn_202310_base_merge_mml_pc_physical_exam.shinryo_ymd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milscm_2023_010.azn_202310_base_merge_mml_pc_physical_exam.data_type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milscm_2023_010.azn_202310_base_merge_mml_pc_physical_exam.master_id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milscm_2023_010.azn_202310_base_merge_mml_pc_physical_exam.uid IS '文書ユニークID';</v>
      </c>
    </row>
    <row r="20" spans="1:52" s="25" customFormat="1" ht="37.5">
      <c r="A20" s="4"/>
      <c r="B20" s="21">
        <f t="shared" si="2"/>
        <v>8</v>
      </c>
      <c r="C20" s="13" t="s">
        <v>1342</v>
      </c>
      <c r="D20" s="13" t="s">
        <v>1343</v>
      </c>
      <c r="E20" s="7" t="s">
        <v>127</v>
      </c>
      <c r="F20" s="7" t="s">
        <v>203</v>
      </c>
      <c r="G20" s="7" t="str">
        <f t="shared" si="3"/>
        <v>integer</v>
      </c>
      <c r="H20" s="58"/>
      <c r="I20" s="23" t="s">
        <v>127</v>
      </c>
      <c r="J20" s="24" t="s">
        <v>1346</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milscm_2023_010.azn_202310_base_merge_mml_pc_physical_exam.keika_seq IS '経過記録SEQ';</v>
      </c>
    </row>
    <row r="21" spans="1:52" s="25" customFormat="1">
      <c r="A21" s="4"/>
      <c r="B21" s="21">
        <f t="shared" si="2"/>
        <v>9</v>
      </c>
      <c r="C21" s="13" t="s">
        <v>1350</v>
      </c>
      <c r="D21" s="13" t="s">
        <v>1351</v>
      </c>
      <c r="E21" s="7" t="s">
        <v>127</v>
      </c>
      <c r="F21" s="7" t="s">
        <v>203</v>
      </c>
      <c r="G21" s="7" t="str">
        <f t="shared" si="3"/>
        <v>integer</v>
      </c>
      <c r="H21" s="58"/>
      <c r="I21" s="23" t="s">
        <v>127</v>
      </c>
      <c r="J21" s="24" t="s">
        <v>1374</v>
      </c>
      <c r="M21" s="4"/>
      <c r="N21" s="76"/>
      <c r="O21" s="76"/>
      <c r="P21" s="76" t="str">
        <f t="shared" si="4"/>
        <v>,problem_seq</v>
      </c>
      <c r="Q21" s="76" t="str">
        <f t="shared" si="0"/>
        <v>INTEGER</v>
      </c>
      <c r="R21" s="76" t="str">
        <f t="shared" si="1"/>
        <v/>
      </c>
      <c r="S21" s="76" t="str">
        <f t="shared" si="5"/>
        <v>NOT NULL</v>
      </c>
      <c r="T21" s="76" t="str">
        <f t="shared" si="6"/>
        <v>-- プロブレムSEQ</v>
      </c>
      <c r="U21" s="4"/>
      <c r="AA21" s="4"/>
      <c r="AB21" s="4"/>
      <c r="AC21" s="4"/>
      <c r="AD21" s="4"/>
      <c r="AE21" s="4"/>
      <c r="AF21" s="4"/>
      <c r="AG21" s="4"/>
      <c r="AH21" s="4"/>
      <c r="AI21" s="4"/>
      <c r="AJ21" s="76" t="str">
        <f>IF(E21="○",IF(COUNTA(E$13:E21)=1,"",",")&amp;D21,"")</f>
        <v>,problem_seq</v>
      </c>
      <c r="AK21" s="4"/>
      <c r="AL21" s="4"/>
      <c r="AM21" s="4"/>
      <c r="AN21" s="4"/>
      <c r="AO21" s="4"/>
      <c r="AP21" s="4"/>
      <c r="AQ21" s="4"/>
      <c r="AR21" s="4"/>
      <c r="AS21" s="76" t="str">
        <f>"COMMENT ON COLUMN "&amp;エンティティ一覧!$O$2&amp;"."&amp;D$8&amp;"."&amp;D21&amp;" IS '"&amp;C21&amp;"';"</f>
        <v>COMMENT ON COLUMN milscm_2023_010.azn_202310_base_merge_mml_pc_physical_exam.problem_seq IS 'プロブレムSEQ';</v>
      </c>
    </row>
    <row r="22" spans="1:52" s="25" customFormat="1">
      <c r="A22" s="4"/>
      <c r="B22" s="21">
        <f t="shared" si="2"/>
        <v>10</v>
      </c>
      <c r="C22" s="13" t="s">
        <v>1388</v>
      </c>
      <c r="D22" s="13" t="s">
        <v>1389</v>
      </c>
      <c r="E22" s="7" t="s">
        <v>127</v>
      </c>
      <c r="F22" s="7" t="s">
        <v>203</v>
      </c>
      <c r="G22" s="7" t="str">
        <f t="shared" si="3"/>
        <v>integer</v>
      </c>
      <c r="H22" s="58"/>
      <c r="I22" s="23" t="s">
        <v>127</v>
      </c>
      <c r="J22" s="24" t="s">
        <v>1396</v>
      </c>
      <c r="M22" s="4"/>
      <c r="N22" s="76"/>
      <c r="O22" s="76"/>
      <c r="P22" s="76" t="str">
        <f t="shared" si="4"/>
        <v>,syoken_seq</v>
      </c>
      <c r="Q22" s="76" t="str">
        <f t="shared" si="0"/>
        <v>INTEGER</v>
      </c>
      <c r="R22" s="76" t="str">
        <f t="shared" si="1"/>
        <v/>
      </c>
      <c r="S22" s="76" t="str">
        <f t="shared" si="5"/>
        <v>NOT NULL</v>
      </c>
      <c r="T22" s="76" t="str">
        <f t="shared" si="6"/>
        <v>-- 身体所見SEQ</v>
      </c>
      <c r="U22" s="4"/>
      <c r="AA22" s="4"/>
      <c r="AB22" s="4"/>
      <c r="AC22" s="4"/>
      <c r="AD22" s="4"/>
      <c r="AE22" s="4"/>
      <c r="AF22" s="4"/>
      <c r="AG22" s="4"/>
      <c r="AH22" s="4"/>
      <c r="AI22" s="4"/>
      <c r="AJ22" s="76" t="str">
        <f>IF(E22="○",IF(COUNTA(E$13:E22)=1,"",",")&amp;D22,"")</f>
        <v>,syoken_seq</v>
      </c>
      <c r="AK22" s="4"/>
      <c r="AL22" s="4"/>
      <c r="AM22" s="4"/>
      <c r="AN22" s="4"/>
      <c r="AO22" s="4"/>
      <c r="AP22" s="4"/>
      <c r="AQ22" s="4"/>
      <c r="AR22" s="4"/>
      <c r="AS22" s="76" t="str">
        <f>"COMMENT ON COLUMN "&amp;エンティティ一覧!$O$2&amp;"."&amp;D$8&amp;"."&amp;D22&amp;" IS '"&amp;C22&amp;"';"</f>
        <v>COMMENT ON COLUMN milscm_2023_010.azn_202310_base_merge_mml_pc_physical_exam.syoken_seq IS '身体所見SEQ';</v>
      </c>
    </row>
    <row r="23" spans="1:52" s="25" customFormat="1">
      <c r="A23" s="4"/>
      <c r="B23" s="21">
        <f t="shared" si="2"/>
        <v>11</v>
      </c>
      <c r="C23" s="13" t="s">
        <v>1390</v>
      </c>
      <c r="D23" s="13" t="s">
        <v>1391</v>
      </c>
      <c r="E23" s="7"/>
      <c r="F23" s="7" t="s">
        <v>863</v>
      </c>
      <c r="G23" s="7" t="str">
        <f t="shared" si="3"/>
        <v>text</v>
      </c>
      <c r="H23" s="58"/>
      <c r="I23" s="23"/>
      <c r="J23" s="24" t="s">
        <v>1397</v>
      </c>
      <c r="M23" s="4"/>
      <c r="N23" s="76"/>
      <c r="O23" s="76"/>
      <c r="P23" s="76" t="str">
        <f t="shared" si="4"/>
        <v>,syoken_item_name</v>
      </c>
      <c r="Q23" s="76" t="str">
        <f t="shared" si="0"/>
        <v>TEXT</v>
      </c>
      <c r="R23" s="76" t="str">
        <f t="shared" si="1"/>
        <v/>
      </c>
      <c r="S23" s="76" t="str">
        <f t="shared" si="5"/>
        <v/>
      </c>
      <c r="T23" s="76" t="str">
        <f t="shared" si="6"/>
        <v>-- 所見項目名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milscm_2023_010.azn_202310_base_merge_mml_pc_physical_exam.syoken_item_name IS '所見項目名';</v>
      </c>
    </row>
    <row r="24" spans="1:52" s="25" customFormat="1">
      <c r="A24" s="4"/>
      <c r="B24" s="21">
        <f t="shared" si="2"/>
        <v>12</v>
      </c>
      <c r="C24" s="13" t="s">
        <v>1392</v>
      </c>
      <c r="D24" s="13" t="s">
        <v>1393</v>
      </c>
      <c r="E24" s="7"/>
      <c r="F24" s="7" t="s">
        <v>863</v>
      </c>
      <c r="G24" s="7" t="str">
        <f t="shared" si="3"/>
        <v>text</v>
      </c>
      <c r="H24" s="58"/>
      <c r="I24" s="23"/>
      <c r="J24" s="24" t="s">
        <v>1398</v>
      </c>
      <c r="M24" s="4"/>
      <c r="N24" s="76"/>
      <c r="O24" s="76"/>
      <c r="P24" s="76" t="str">
        <f t="shared" si="4"/>
        <v>,syoken_value</v>
      </c>
      <c r="Q24" s="76" t="str">
        <f t="shared" si="0"/>
        <v>TEXT</v>
      </c>
      <c r="R24" s="76" t="str">
        <f t="shared" si="1"/>
        <v/>
      </c>
      <c r="S24" s="76" t="str">
        <f t="shared" si="5"/>
        <v/>
      </c>
      <c r="T24" s="76" t="str">
        <f t="shared" si="6"/>
        <v>-- 身体所見結果</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milscm_2023_010.azn_202310_base_merge_mml_pc_physical_exam.syoken_value IS '身体所見結果';</v>
      </c>
    </row>
    <row r="25" spans="1:52" s="25" customFormat="1" ht="38.25" thickBot="1">
      <c r="A25" s="4"/>
      <c r="B25" s="27">
        <f>ROW()-12</f>
        <v>13</v>
      </c>
      <c r="C25" s="57" t="s">
        <v>1394</v>
      </c>
      <c r="D25" s="57" t="s">
        <v>1395</v>
      </c>
      <c r="E25" s="56"/>
      <c r="F25" s="56" t="s">
        <v>863</v>
      </c>
      <c r="G25" s="56" t="str">
        <f t="shared" si="3"/>
        <v>text</v>
      </c>
      <c r="H25" s="59"/>
      <c r="I25" s="60"/>
      <c r="J25" s="63" t="s">
        <v>1399</v>
      </c>
      <c r="N25" s="76"/>
      <c r="O25" s="76"/>
      <c r="P25" s="76" t="str">
        <f t="shared" si="4"/>
        <v>,syoken_value_kaishaku</v>
      </c>
      <c r="Q25" s="76" t="str">
        <f t="shared" si="0"/>
        <v>TEXT</v>
      </c>
      <c r="R25" s="76" t="str">
        <f t="shared" si="1"/>
        <v/>
      </c>
      <c r="S25" s="76" t="str">
        <f t="shared" si="5"/>
        <v/>
      </c>
      <c r="T25" s="76" t="str">
        <f t="shared" si="6"/>
        <v>-- 身体所見結果解釈</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milscm_2023_010.azn_202310_base_merge_mml_pc_physical_exam.syoken_value_kaishaku IS '身体所見結果解釈';</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31</v>
      </c>
      <c r="E4" s="248"/>
      <c r="F4" s="248"/>
      <c r="G4" s="248"/>
      <c r="H4" s="248"/>
      <c r="I4" s="248"/>
      <c r="J4" s="249"/>
    </row>
    <row r="5" spans="1:45">
      <c r="B5" s="261" t="s">
        <v>3704</v>
      </c>
      <c r="C5" s="262"/>
      <c r="D5" s="271" t="str">
        <f>VLOOKUP(D7,エンティティ一覧!A1:'エンティティ一覧'!AM10203,7,FALSE)</f>
        <v>base</v>
      </c>
      <c r="E5" s="272"/>
      <c r="F5" s="272"/>
      <c r="G5" s="272"/>
      <c r="H5" s="272"/>
      <c r="I5" s="272"/>
      <c r="J5" s="273"/>
    </row>
    <row r="6" spans="1:45">
      <c r="B6" s="261" t="s">
        <v>3705</v>
      </c>
      <c r="C6" s="262"/>
      <c r="D6" s="271" t="str">
        <f>VLOOKUP(D7,エンティティ一覧!A1:'エンティティ一覧'!AM10203,15,FALSE)</f>
        <v>ENT_31_C4-15</v>
      </c>
      <c r="E6" s="272"/>
      <c r="F6" s="272"/>
      <c r="G6" s="272"/>
      <c r="H6" s="272"/>
      <c r="I6" s="272"/>
      <c r="J6" s="273"/>
    </row>
    <row r="7" spans="1:45">
      <c r="B7" s="261" t="s">
        <v>115</v>
      </c>
      <c r="C7" s="262"/>
      <c r="D7" s="263" t="s">
        <v>3683</v>
      </c>
      <c r="E7" s="264"/>
      <c r="F7" s="264"/>
      <c r="G7" s="264"/>
      <c r="H7" s="264"/>
      <c r="I7" s="264"/>
      <c r="J7" s="265"/>
    </row>
    <row r="8" spans="1:45">
      <c r="B8" s="261" t="s">
        <v>116</v>
      </c>
      <c r="C8" s="262"/>
      <c r="D8" s="263" t="str">
        <f>エンティティ一覧!AE2&amp;"_"&amp;D5&amp;"_merge_mml_pc_assessment"</f>
        <v>azn_202310_base_merge_mml_pc_assessment</v>
      </c>
      <c r="E8" s="264"/>
      <c r="F8" s="264"/>
      <c r="G8" s="264"/>
      <c r="H8" s="264"/>
      <c r="I8" s="264"/>
      <c r="J8" s="265"/>
    </row>
    <row r="9" spans="1:45" ht="19.5" customHeight="1" thickBot="1">
      <c r="B9" s="266" t="s">
        <v>117</v>
      </c>
      <c r="C9" s="267"/>
      <c r="D9" s="268" t="str">
        <f>"バックアップ_"&amp;SUBSTITUTE(D7,"ベース_","")&amp;"テーブルから対象患者で絞り込んだ結果を格納するテーブル"</f>
        <v>バックアップ_経過記録情報モジュール_アセスメントレコードテーブルから対象患者で絞り込んだ結果を格納するテーブル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milscm_2023_010.azn_202310_base_merge_mml_pc_assessment;</v>
      </c>
      <c r="O10" s="76"/>
      <c r="P10" s="76"/>
      <c r="Q10" s="76"/>
      <c r="R10" s="76"/>
      <c r="S10" s="76"/>
      <c r="T10" s="76"/>
      <c r="AJ10" s="76" t="str">
        <f>"ALTER TABLE ONLY "&amp;エンティティ一覧!$O$2&amp;"."&amp;D$8</f>
        <v>ALTER TABLE ONLY milscm_2023_010.azn_202310_base_merge_mml_pc_assessment</v>
      </c>
      <c r="AS10" s="76" t="str">
        <f>"ALTER TABLE "&amp;エンティティ一覧!$O$2&amp;"."&amp;D$8&amp;" OWNER TO pgmisgrp1;"</f>
        <v>ALTER TABLE milscm_2023_010.azn_202310_base_merge_mml_pc_assessment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milscm_2023_010.azn_202310_base_merge_mml_pc_assessment</v>
      </c>
      <c r="O11" s="76"/>
      <c r="P11" s="76"/>
      <c r="Q11" s="76"/>
      <c r="R11" s="76"/>
      <c r="S11" s="76"/>
      <c r="T11" s="76"/>
      <c r="AJ11" s="76" t="str">
        <f>"ADD CONSTRAINT "&amp;D$8&amp;"_pkey PRIMARY KEY"</f>
        <v>ADD CONSTRAINT azn_202310_base_merge_mml_pc_assessment_pkey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milscm_2023_010.azn_202310_base_merge_mml_pc_assessment IS 'ベース_経過記録情報モジュール_アセスメントレコード';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3" si="0">UPPER(G13)</f>
        <v>TEXT</v>
      </c>
      <c r="R13" s="76" t="str">
        <f t="shared" ref="R13:R2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milscm_2023_010.azn_202310_base_merge_mml_pc_assessment.torikomi_ym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1280</v>
      </c>
      <c r="M14" s="4"/>
      <c r="N14" s="76"/>
      <c r="O14" s="76"/>
      <c r="P14" s="76" t="str">
        <f t="shared" ref="P14:P2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milscm_2023_010.azn_202310_base_merge_mml_pc_assessment.mil_karute_id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3" si="5">IF(I15="○","NOT NULL","")</f>
        <v>NOT NULL</v>
      </c>
      <c r="T15" s="76" t="str">
        <f t="shared" ref="T15:T2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milscm_2023_010.azn_202310_base_merge_mml_pc_assessment.facility_id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milscm_2023_010.azn_202310_base_merge_mml_pc_assessment.shinryo_ymd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milscm_2023_010.azn_202310_base_merge_mml_pc_assessment.data_type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milscm_2023_010.azn_202310_base_merge_mml_pc_assessment.master_id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milscm_2023_010.azn_202310_base_merge_mml_pc_assessment.uid IS '文書ユニークID';</v>
      </c>
    </row>
    <row r="20" spans="1:52" s="25" customFormat="1" ht="37.5">
      <c r="A20" s="4"/>
      <c r="B20" s="21">
        <f t="shared" si="2"/>
        <v>8</v>
      </c>
      <c r="C20" s="13" t="s">
        <v>1342</v>
      </c>
      <c r="D20" s="13" t="s">
        <v>1343</v>
      </c>
      <c r="E20" s="7" t="s">
        <v>127</v>
      </c>
      <c r="F20" s="7" t="s">
        <v>203</v>
      </c>
      <c r="G20" s="7" t="str">
        <f t="shared" si="3"/>
        <v>integer</v>
      </c>
      <c r="H20" s="58"/>
      <c r="I20" s="23" t="s">
        <v>127</v>
      </c>
      <c r="J20" s="24" t="s">
        <v>1346</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milscm_2023_010.azn_202310_base_merge_mml_pc_assessment.keika_seq IS '経過記録SEQ';</v>
      </c>
    </row>
    <row r="21" spans="1:52" s="25" customFormat="1">
      <c r="A21" s="4"/>
      <c r="B21" s="21">
        <f t="shared" si="2"/>
        <v>9</v>
      </c>
      <c r="C21" s="13" t="s">
        <v>1350</v>
      </c>
      <c r="D21" s="13" t="s">
        <v>1351</v>
      </c>
      <c r="E21" s="7" t="s">
        <v>127</v>
      </c>
      <c r="F21" s="7" t="s">
        <v>203</v>
      </c>
      <c r="G21" s="7" t="str">
        <f t="shared" si="3"/>
        <v>integer</v>
      </c>
      <c r="H21" s="58"/>
      <c r="I21" s="23" t="s">
        <v>127</v>
      </c>
      <c r="J21" s="24" t="s">
        <v>1374</v>
      </c>
      <c r="M21" s="4"/>
      <c r="N21" s="76"/>
      <c r="O21" s="76"/>
      <c r="P21" s="76" t="str">
        <f t="shared" si="4"/>
        <v>,problem_seq</v>
      </c>
      <c r="Q21" s="76" t="str">
        <f t="shared" si="0"/>
        <v>INTEGER</v>
      </c>
      <c r="R21" s="76" t="str">
        <f t="shared" si="1"/>
        <v/>
      </c>
      <c r="S21" s="76" t="str">
        <f t="shared" si="5"/>
        <v>NOT NULL</v>
      </c>
      <c r="T21" s="76" t="str">
        <f t="shared" si="6"/>
        <v>-- プロブレムSEQ</v>
      </c>
      <c r="U21" s="4"/>
      <c r="AA21" s="4"/>
      <c r="AB21" s="4"/>
      <c r="AC21" s="4"/>
      <c r="AD21" s="4"/>
      <c r="AE21" s="4"/>
      <c r="AF21" s="4"/>
      <c r="AG21" s="4"/>
      <c r="AH21" s="4"/>
      <c r="AI21" s="4"/>
      <c r="AJ21" s="76" t="str">
        <f>IF(E21="○",IF(COUNTA(E$13:E21)=1,"",",")&amp;D21,"")</f>
        <v>,problem_seq</v>
      </c>
      <c r="AK21" s="4"/>
      <c r="AL21" s="4"/>
      <c r="AM21" s="4"/>
      <c r="AN21" s="4"/>
      <c r="AO21" s="4"/>
      <c r="AP21" s="4"/>
      <c r="AQ21" s="4"/>
      <c r="AR21" s="4"/>
      <c r="AS21" s="76" t="str">
        <f>"COMMENT ON COLUMN "&amp;エンティティ一覧!$O$2&amp;"."&amp;D$8&amp;"."&amp;D21&amp;" IS '"&amp;C21&amp;"';"</f>
        <v>COMMENT ON COLUMN milscm_2023_010.azn_202310_base_merge_mml_pc_assessment.problem_seq IS 'プロブレムSEQ';</v>
      </c>
    </row>
    <row r="22" spans="1:52" s="25" customFormat="1">
      <c r="A22" s="4"/>
      <c r="B22" s="21">
        <f t="shared" si="2"/>
        <v>10</v>
      </c>
      <c r="C22" s="13" t="s">
        <v>1402</v>
      </c>
      <c r="D22" s="13" t="s">
        <v>1403</v>
      </c>
      <c r="E22" s="7" t="s">
        <v>127</v>
      </c>
      <c r="F22" s="7" t="s">
        <v>203</v>
      </c>
      <c r="G22" s="7" t="str">
        <f t="shared" si="3"/>
        <v>integer</v>
      </c>
      <c r="H22" s="58"/>
      <c r="I22" s="23" t="s">
        <v>127</v>
      </c>
      <c r="J22" s="24" t="s">
        <v>1406</v>
      </c>
      <c r="M22" s="4"/>
      <c r="N22" s="76"/>
      <c r="O22" s="76"/>
      <c r="P22" s="76" t="str">
        <f t="shared" si="4"/>
        <v>,assessment_item_seq</v>
      </c>
      <c r="Q22" s="76" t="str">
        <f t="shared" si="0"/>
        <v>INTEGER</v>
      </c>
      <c r="R22" s="76" t="str">
        <f t="shared" si="1"/>
        <v/>
      </c>
      <c r="S22" s="76" t="str">
        <f t="shared" si="5"/>
        <v>NOT NULL</v>
      </c>
      <c r="T22" s="76" t="str">
        <f t="shared" si="6"/>
        <v>-- アセスメントSEQ</v>
      </c>
      <c r="U22" s="4"/>
      <c r="AA22" s="4"/>
      <c r="AB22" s="4"/>
      <c r="AC22" s="4"/>
      <c r="AD22" s="4"/>
      <c r="AE22" s="4"/>
      <c r="AF22" s="4"/>
      <c r="AG22" s="4"/>
      <c r="AH22" s="4"/>
      <c r="AI22" s="4"/>
      <c r="AJ22" s="76" t="str">
        <f>IF(E22="○",IF(COUNTA(E$13:E22)=1,"",",")&amp;D22,"")</f>
        <v>,assessment_item_seq</v>
      </c>
      <c r="AK22" s="4"/>
      <c r="AL22" s="4"/>
      <c r="AM22" s="4"/>
      <c r="AN22" s="4"/>
      <c r="AO22" s="4"/>
      <c r="AP22" s="4"/>
      <c r="AQ22" s="4"/>
      <c r="AR22" s="4"/>
      <c r="AS22" s="76" t="str">
        <f>"COMMENT ON COLUMN "&amp;エンティティ一覧!$O$2&amp;"."&amp;D$8&amp;"."&amp;D22&amp;" IS '"&amp;C22&amp;"';"</f>
        <v>COMMENT ON COLUMN milscm_2023_010.azn_202310_base_merge_mml_pc_assessment.assessment_item_seq IS 'アセスメントSEQ';</v>
      </c>
    </row>
    <row r="23" spans="1:52" s="25" customFormat="1" ht="38.25" thickBot="1">
      <c r="A23" s="4"/>
      <c r="B23" s="27">
        <f>ROW()-12</f>
        <v>11</v>
      </c>
      <c r="C23" s="57" t="s">
        <v>1404</v>
      </c>
      <c r="D23" s="57" t="s">
        <v>1405</v>
      </c>
      <c r="E23" s="56"/>
      <c r="F23" s="56" t="s">
        <v>863</v>
      </c>
      <c r="G23" s="56" t="str">
        <f t="shared" si="3"/>
        <v>text</v>
      </c>
      <c r="H23" s="59"/>
      <c r="I23" s="60"/>
      <c r="J23" s="63" t="s">
        <v>1407</v>
      </c>
      <c r="N23" s="76"/>
      <c r="O23" s="76"/>
      <c r="P23" s="76" t="str">
        <f t="shared" si="4"/>
        <v>,assessment_item</v>
      </c>
      <c r="Q23" s="76" t="str">
        <f t="shared" si="0"/>
        <v>TEXT</v>
      </c>
      <c r="R23" s="76" t="str">
        <f t="shared" si="1"/>
        <v/>
      </c>
      <c r="S23" s="76" t="str">
        <f t="shared" si="5"/>
        <v/>
      </c>
      <c r="T23" s="76" t="str">
        <f t="shared" si="6"/>
        <v>-- アセスメント</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milscm_2023_010.azn_202310_base_merge_mml_pc_assessment.assessment_item IS 'アセスメント';</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31</v>
      </c>
      <c r="E4" s="248"/>
      <c r="F4" s="248"/>
      <c r="G4" s="248"/>
      <c r="H4" s="248"/>
      <c r="I4" s="248"/>
      <c r="J4" s="249"/>
    </row>
    <row r="5" spans="1:45">
      <c r="B5" s="261" t="s">
        <v>3704</v>
      </c>
      <c r="C5" s="262"/>
      <c r="D5" s="271" t="str">
        <f>VLOOKUP(D7,エンティティ一覧!A1:'エンティティ一覧'!AM10203,7,FALSE)</f>
        <v>base</v>
      </c>
      <c r="E5" s="272"/>
      <c r="F5" s="272"/>
      <c r="G5" s="272"/>
      <c r="H5" s="272"/>
      <c r="I5" s="272"/>
      <c r="J5" s="273"/>
    </row>
    <row r="6" spans="1:45">
      <c r="B6" s="261" t="s">
        <v>3705</v>
      </c>
      <c r="C6" s="262"/>
      <c r="D6" s="271" t="str">
        <f>VLOOKUP(D7,エンティティ一覧!A1:'エンティティ一覧'!AM10203,15,FALSE)</f>
        <v>ENT_31_C4-22</v>
      </c>
      <c r="E6" s="272"/>
      <c r="F6" s="272"/>
      <c r="G6" s="272"/>
      <c r="H6" s="272"/>
      <c r="I6" s="272"/>
      <c r="J6" s="273"/>
    </row>
    <row r="7" spans="1:45">
      <c r="B7" s="261" t="s">
        <v>115</v>
      </c>
      <c r="C7" s="262"/>
      <c r="D7" s="263" t="s">
        <v>3684</v>
      </c>
      <c r="E7" s="264"/>
      <c r="F7" s="264"/>
      <c r="G7" s="264"/>
      <c r="H7" s="264"/>
      <c r="I7" s="264"/>
      <c r="J7" s="265"/>
    </row>
    <row r="8" spans="1:45">
      <c r="B8" s="261" t="s">
        <v>116</v>
      </c>
      <c r="C8" s="262"/>
      <c r="D8" s="263" t="str">
        <f>エンティティ一覧!AE2&amp;"_"&amp;D5&amp;"_merge_mml_pc_external_reference"</f>
        <v>azn_202310_base_merge_mml_pc_external_reference</v>
      </c>
      <c r="E8" s="264"/>
      <c r="F8" s="264"/>
      <c r="G8" s="264"/>
      <c r="H8" s="264"/>
      <c r="I8" s="264"/>
      <c r="J8" s="265"/>
    </row>
    <row r="9" spans="1:45" ht="19.5" customHeight="1" thickBot="1">
      <c r="B9" s="266" t="s">
        <v>117</v>
      </c>
      <c r="C9" s="267"/>
      <c r="D9" s="268" t="str">
        <f>"バックアップ_"&amp;SUBSTITUTE(D7,"ベース_","")&amp;"テーブルから対象患者で絞り込んだ結果を格納するテーブル"</f>
        <v>バックアップ_経過記録情報モジュール_外部参照レコードテーブルから対象患者で絞り込んだ結果を格納するテーブル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milscm_2023_010.azn_202310_base_merge_mml_pc_external_reference;</v>
      </c>
      <c r="O10" s="76"/>
      <c r="P10" s="76"/>
      <c r="Q10" s="76"/>
      <c r="R10" s="76"/>
      <c r="S10" s="76"/>
      <c r="T10" s="76"/>
      <c r="AJ10" s="76" t="str">
        <f>"ALTER TABLE ONLY "&amp;エンティティ一覧!$O$2&amp;"."&amp;D$8</f>
        <v>ALTER TABLE ONLY milscm_2023_010.azn_202310_base_merge_mml_pc_external_reference</v>
      </c>
      <c r="AS10" s="76" t="str">
        <f>"ALTER TABLE "&amp;エンティティ一覧!$O$2&amp;"."&amp;D$8&amp;" OWNER TO pgmisgrp1;"</f>
        <v>ALTER TABLE milscm_2023_010.azn_202310_base_merge_mml_pc_external_reference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milscm_2023_010.azn_202310_base_merge_mml_pc_external_reference</v>
      </c>
      <c r="O11" s="76"/>
      <c r="P11" s="76"/>
      <c r="Q11" s="76"/>
      <c r="R11" s="76"/>
      <c r="S11" s="76"/>
      <c r="T11" s="76"/>
      <c r="AJ11" s="76" t="str">
        <f>"ADD CONSTRAINT "&amp;D$8&amp;"_pkey PRIMARY KEY"</f>
        <v>ADD CONSTRAINT azn_202310_base_merge_mml_pc_external_reference_pkey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milscm_2023_010.azn_202310_base_merge_mml_pc_external_reference IS 'ベース_経過記録情報モジュール_外部参照レコード';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7" si="0">UPPER(G13)</f>
        <v>TEXT</v>
      </c>
      <c r="R13" s="76" t="str">
        <f t="shared" ref="R13:R27"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milscm_2023_010.azn_202310_base_merge_mml_pc_external_reference.torikomi_ym IS '取込年月';</v>
      </c>
    </row>
    <row r="14" spans="1:45" s="25" customFormat="1">
      <c r="A14" s="4"/>
      <c r="B14" s="21">
        <f t="shared" ref="B14:B26" si="2">ROW()-12</f>
        <v>2</v>
      </c>
      <c r="C14" s="6" t="s">
        <v>201</v>
      </c>
      <c r="D14" s="6" t="s">
        <v>202</v>
      </c>
      <c r="E14" s="8"/>
      <c r="F14" s="7" t="s">
        <v>203</v>
      </c>
      <c r="G14" s="7" t="str">
        <f t="shared" ref="G14:G27" si="3">IF(F14="フラグ","boolean",IF(F14="文字列","text",IF(F14="整数","integer",IF(F14="実数","numeric",""))))</f>
        <v>integer</v>
      </c>
      <c r="H14" s="26"/>
      <c r="I14" s="10"/>
      <c r="J14" s="11" t="s">
        <v>1280</v>
      </c>
      <c r="M14" s="4"/>
      <c r="N14" s="76"/>
      <c r="O14" s="76"/>
      <c r="P14" s="76" t="str">
        <f t="shared" ref="P14:P27"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milscm_2023_010.azn_202310_base_merge_mml_pc_external_reference.mil_karute_id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7" si="5">IF(I15="○","NOT NULL","")</f>
        <v>NOT NULL</v>
      </c>
      <c r="T15" s="76" t="str">
        <f t="shared" ref="T15:T27"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milscm_2023_010.azn_202310_base_merge_mml_pc_external_reference.facility_id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milscm_2023_010.azn_202310_base_merge_mml_pc_external_reference.shinryo_ymd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milscm_2023_010.azn_202310_base_merge_mml_pc_external_reference.data_type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milscm_2023_010.azn_202310_base_merge_mml_pc_external_reference.master_id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milscm_2023_010.azn_202310_base_merge_mml_pc_external_reference.uid IS '文書ユニークID';</v>
      </c>
    </row>
    <row r="20" spans="1:52" s="25" customFormat="1" ht="37.5">
      <c r="A20" s="4"/>
      <c r="B20" s="21">
        <f t="shared" si="2"/>
        <v>8</v>
      </c>
      <c r="C20" s="13" t="s">
        <v>1342</v>
      </c>
      <c r="D20" s="13" t="s">
        <v>1343</v>
      </c>
      <c r="E20" s="7" t="s">
        <v>127</v>
      </c>
      <c r="F20" s="7" t="s">
        <v>203</v>
      </c>
      <c r="G20" s="7" t="str">
        <f t="shared" si="3"/>
        <v>integer</v>
      </c>
      <c r="H20" s="58"/>
      <c r="I20" s="23" t="s">
        <v>127</v>
      </c>
      <c r="J20" s="24" t="s">
        <v>1346</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milscm_2023_010.azn_202310_base_merge_mml_pc_external_reference.keika_seq IS '経過記録SEQ';</v>
      </c>
    </row>
    <row r="21" spans="1:52" s="25" customFormat="1" ht="187.5">
      <c r="A21" s="4"/>
      <c r="B21" s="21">
        <f t="shared" si="2"/>
        <v>9</v>
      </c>
      <c r="C21" s="13" t="s">
        <v>1410</v>
      </c>
      <c r="D21" s="13" t="s">
        <v>1411</v>
      </c>
      <c r="E21" s="7" t="s">
        <v>127</v>
      </c>
      <c r="F21" s="7" t="s">
        <v>863</v>
      </c>
      <c r="G21" s="7" t="str">
        <f t="shared" si="3"/>
        <v>text</v>
      </c>
      <c r="H21" s="58"/>
      <c r="I21" s="23" t="s">
        <v>127</v>
      </c>
      <c r="J21" s="24" t="s">
        <v>1424</v>
      </c>
      <c r="M21" s="4"/>
      <c r="N21" s="76"/>
      <c r="O21" s="76"/>
      <c r="P21" s="76" t="str">
        <f t="shared" si="4"/>
        <v>,gaibu_sansyo_moto</v>
      </c>
      <c r="Q21" s="76" t="str">
        <f t="shared" si="0"/>
        <v>TEXT</v>
      </c>
      <c r="R21" s="76" t="str">
        <f t="shared" si="1"/>
        <v/>
      </c>
      <c r="S21" s="76" t="str">
        <f t="shared" si="5"/>
        <v>NOT NULL</v>
      </c>
      <c r="T21" s="76" t="str">
        <f t="shared" si="6"/>
        <v>-- 外部参照元</v>
      </c>
      <c r="U21" s="4"/>
      <c r="AA21" s="4"/>
      <c r="AB21" s="4"/>
      <c r="AC21" s="4"/>
      <c r="AD21" s="4"/>
      <c r="AE21" s="4"/>
      <c r="AF21" s="4"/>
      <c r="AG21" s="4"/>
      <c r="AH21" s="4"/>
      <c r="AI21" s="4"/>
      <c r="AJ21" s="76" t="str">
        <f>IF(E21="○",IF(COUNTA(E$13:E21)=1,"",",")&amp;D21,"")</f>
        <v>,gaibu_sansyo_moto</v>
      </c>
      <c r="AK21" s="4"/>
      <c r="AL21" s="4"/>
      <c r="AM21" s="4"/>
      <c r="AN21" s="4"/>
      <c r="AO21" s="4"/>
      <c r="AP21" s="4"/>
      <c r="AQ21" s="4"/>
      <c r="AR21" s="4"/>
      <c r="AS21" s="76" t="str">
        <f>"COMMENT ON COLUMN "&amp;エンティティ一覧!$O$2&amp;"."&amp;D$8&amp;"."&amp;D21&amp;" IS '"&amp;C21&amp;"';"</f>
        <v>COMMENT ON COLUMN milscm_2023_010.azn_202310_base_merge_mml_pc_external_reference.gaibu_sansyo_moto IS '外部参照元';</v>
      </c>
    </row>
    <row r="22" spans="1:52" s="25" customFormat="1">
      <c r="A22" s="4"/>
      <c r="B22" s="21">
        <f t="shared" si="2"/>
        <v>10</v>
      </c>
      <c r="C22" s="13" t="s">
        <v>1412</v>
      </c>
      <c r="D22" s="13" t="s">
        <v>1413</v>
      </c>
      <c r="E22" s="7" t="s">
        <v>127</v>
      </c>
      <c r="F22" s="7" t="s">
        <v>203</v>
      </c>
      <c r="G22" s="7" t="str">
        <f t="shared" si="3"/>
        <v>integer</v>
      </c>
      <c r="H22" s="58"/>
      <c r="I22" s="23" t="s">
        <v>127</v>
      </c>
      <c r="J22" s="24" t="s">
        <v>1425</v>
      </c>
      <c r="M22" s="4"/>
      <c r="N22" s="76"/>
      <c r="O22" s="76"/>
      <c r="P22" s="76" t="str">
        <f t="shared" si="4"/>
        <v>,gaibu_sansyo_seq</v>
      </c>
      <c r="Q22" s="76" t="str">
        <f t="shared" si="0"/>
        <v>INTEGER</v>
      </c>
      <c r="R22" s="76" t="str">
        <f t="shared" si="1"/>
        <v/>
      </c>
      <c r="S22" s="76" t="str">
        <f t="shared" si="5"/>
        <v>NOT NULL</v>
      </c>
      <c r="T22" s="76" t="str">
        <f t="shared" si="6"/>
        <v>-- 外部参照SEQ</v>
      </c>
      <c r="U22" s="4"/>
      <c r="AA22" s="4"/>
      <c r="AB22" s="4"/>
      <c r="AC22" s="4"/>
      <c r="AD22" s="4"/>
      <c r="AE22" s="4"/>
      <c r="AF22" s="4"/>
      <c r="AG22" s="4"/>
      <c r="AH22" s="4"/>
      <c r="AI22" s="4"/>
      <c r="AJ22" s="76" t="str">
        <f>IF(E22="○",IF(COUNTA(E$13:E22)=1,"",",")&amp;D22,"")</f>
        <v>,gaibu_sansyo_seq</v>
      </c>
      <c r="AK22" s="4"/>
      <c r="AL22" s="4"/>
      <c r="AM22" s="4"/>
      <c r="AN22" s="4"/>
      <c r="AO22" s="4"/>
      <c r="AP22" s="4"/>
      <c r="AQ22" s="4"/>
      <c r="AR22" s="4"/>
      <c r="AS22" s="76" t="str">
        <f>"COMMENT ON COLUMN "&amp;エンティティ一覧!$O$2&amp;"."&amp;D$8&amp;"."&amp;D22&amp;" IS '"&amp;C22&amp;"';"</f>
        <v>COMMENT ON COLUMN milscm_2023_010.azn_202310_base_merge_mml_pc_external_reference.gaibu_sansyo_seq IS '外部参照SEQ';</v>
      </c>
    </row>
    <row r="23" spans="1:52" s="25" customFormat="1">
      <c r="A23" s="4"/>
      <c r="B23" s="21">
        <f t="shared" si="2"/>
        <v>11</v>
      </c>
      <c r="C23" s="13" t="s">
        <v>1414</v>
      </c>
      <c r="D23" s="13" t="s">
        <v>1415</v>
      </c>
      <c r="E23" s="7"/>
      <c r="F23" s="7" t="s">
        <v>863</v>
      </c>
      <c r="G23" s="7" t="str">
        <f t="shared" si="3"/>
        <v>text</v>
      </c>
      <c r="H23" s="58"/>
      <c r="I23" s="23"/>
      <c r="J23" s="24" t="s">
        <v>1426</v>
      </c>
      <c r="M23" s="4"/>
      <c r="N23" s="76"/>
      <c r="O23" s="76"/>
      <c r="P23" s="76" t="str">
        <f t="shared" si="4"/>
        <v>,content_type</v>
      </c>
      <c r="Q23" s="76" t="str">
        <f t="shared" si="0"/>
        <v>TEXT</v>
      </c>
      <c r="R23" s="76" t="str">
        <f t="shared" si="1"/>
        <v/>
      </c>
      <c r="S23" s="76" t="str">
        <f t="shared" si="5"/>
        <v/>
      </c>
      <c r="T23" s="76" t="str">
        <f t="shared" si="6"/>
        <v>-- コンテンツ種別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milscm_2023_010.azn_202310_base_merge_mml_pc_external_reference.content_type IS 'コンテンツ種別';</v>
      </c>
    </row>
    <row r="24" spans="1:52" s="25" customFormat="1" ht="37.5">
      <c r="A24" s="4"/>
      <c r="B24" s="21">
        <f t="shared" si="2"/>
        <v>12</v>
      </c>
      <c r="C24" s="13" t="s">
        <v>1416</v>
      </c>
      <c r="D24" s="13" t="s">
        <v>1417</v>
      </c>
      <c r="E24" s="7"/>
      <c r="F24" s="7" t="s">
        <v>863</v>
      </c>
      <c r="G24" s="7" t="str">
        <f t="shared" si="3"/>
        <v>text</v>
      </c>
      <c r="H24" s="58"/>
      <c r="I24" s="23"/>
      <c r="J24" s="24" t="s">
        <v>1427</v>
      </c>
      <c r="M24" s="4"/>
      <c r="N24" s="76"/>
      <c r="O24" s="76"/>
      <c r="P24" s="76" t="str">
        <f t="shared" si="4"/>
        <v>,igaku_role</v>
      </c>
      <c r="Q24" s="76" t="str">
        <f t="shared" si="0"/>
        <v>TEXT</v>
      </c>
      <c r="R24" s="76" t="str">
        <f t="shared" si="1"/>
        <v/>
      </c>
      <c r="S24" s="76" t="str">
        <f t="shared" si="5"/>
        <v/>
      </c>
      <c r="T24" s="76" t="str">
        <f t="shared" si="6"/>
        <v>-- 医学的役割</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milscm_2023_010.azn_202310_base_merge_mml_pc_external_reference.igaku_role IS '医学的役割';</v>
      </c>
    </row>
    <row r="25" spans="1:52" s="25" customFormat="1">
      <c r="A25" s="4"/>
      <c r="B25" s="21">
        <f t="shared" si="2"/>
        <v>13</v>
      </c>
      <c r="C25" s="13" t="s">
        <v>1418</v>
      </c>
      <c r="D25" s="13" t="s">
        <v>1419</v>
      </c>
      <c r="E25" s="7"/>
      <c r="F25" s="7" t="s">
        <v>863</v>
      </c>
      <c r="G25" s="7" t="str">
        <f t="shared" si="3"/>
        <v>text</v>
      </c>
      <c r="H25" s="58"/>
      <c r="I25" s="23"/>
      <c r="J25" s="24" t="s">
        <v>1428</v>
      </c>
      <c r="M25" s="4"/>
      <c r="N25" s="76"/>
      <c r="O25" s="76"/>
      <c r="P25" s="76" t="str">
        <f t="shared" si="4"/>
        <v>,gaibu_sansyo_file_name</v>
      </c>
      <c r="Q25" s="76" t="str">
        <f t="shared" si="0"/>
        <v>TEXT</v>
      </c>
      <c r="R25" s="76" t="str">
        <f t="shared" si="1"/>
        <v/>
      </c>
      <c r="S25" s="76" t="str">
        <f t="shared" si="5"/>
        <v/>
      </c>
      <c r="T25" s="76" t="str">
        <f t="shared" si="6"/>
        <v>-- 外部参照ファイル名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milscm_2023_010.azn_202310_base_merge_mml_pc_external_reference.gaibu_sansyo_file_name IS '外部参照ファイル名';</v>
      </c>
    </row>
    <row r="26" spans="1:52" s="25" customFormat="1">
      <c r="A26" s="4"/>
      <c r="B26" s="21">
        <f t="shared" si="2"/>
        <v>14</v>
      </c>
      <c r="C26" s="13" t="s">
        <v>1420</v>
      </c>
      <c r="D26" s="13" t="s">
        <v>1421</v>
      </c>
      <c r="E26" s="7"/>
      <c r="F26" s="7" t="s">
        <v>863</v>
      </c>
      <c r="G26" s="7" t="str">
        <f t="shared" si="3"/>
        <v>text</v>
      </c>
      <c r="H26" s="58"/>
      <c r="I26" s="23"/>
      <c r="J26" s="24" t="s">
        <v>1429</v>
      </c>
      <c r="M26" s="4"/>
      <c r="N26" s="76"/>
      <c r="O26" s="76"/>
      <c r="P26" s="76" t="str">
        <f t="shared" si="4"/>
        <v>,gaibu_sansyo_saki</v>
      </c>
      <c r="Q26" s="76" t="str">
        <f t="shared" si="0"/>
        <v>TEXT</v>
      </c>
      <c r="R26" s="76" t="str">
        <f t="shared" si="1"/>
        <v/>
      </c>
      <c r="S26" s="76" t="str">
        <f t="shared" si="5"/>
        <v/>
      </c>
      <c r="T26" s="76" t="str">
        <f t="shared" si="6"/>
        <v>-- 外部参照先</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milscm_2023_010.azn_202310_base_merge_mml_pc_external_reference.gaibu_sansyo_saki IS '外部参照先';</v>
      </c>
    </row>
    <row r="27" spans="1:52" s="25" customFormat="1" ht="19.5" thickBot="1">
      <c r="A27" s="4"/>
      <c r="B27" s="27">
        <f>ROW()-12</f>
        <v>15</v>
      </c>
      <c r="C27" s="57" t="s">
        <v>1422</v>
      </c>
      <c r="D27" s="57" t="s">
        <v>1423</v>
      </c>
      <c r="E27" s="56"/>
      <c r="F27" s="56" t="s">
        <v>863</v>
      </c>
      <c r="G27" s="56" t="str">
        <f t="shared" si="3"/>
        <v>text</v>
      </c>
      <c r="H27" s="59"/>
      <c r="I27" s="60"/>
      <c r="J27" s="63" t="s">
        <v>1430</v>
      </c>
      <c r="N27" s="76"/>
      <c r="O27" s="76"/>
      <c r="P27" s="76" t="str">
        <f t="shared" si="4"/>
        <v>,gaibu_sansyo_naiyo</v>
      </c>
      <c r="Q27" s="76" t="str">
        <f t="shared" si="0"/>
        <v>TEXT</v>
      </c>
      <c r="R27" s="76" t="str">
        <f t="shared" si="1"/>
        <v/>
      </c>
      <c r="S27" s="76" t="str">
        <f t="shared" si="5"/>
        <v/>
      </c>
      <c r="T27" s="76" t="str">
        <f t="shared" si="6"/>
        <v>-- 外部参照内容</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milscm_2023_010.azn_202310_base_merge_mml_pc_external_reference.gaibu_sansyo_naiyo IS '外部参照内容';</v>
      </c>
    </row>
    <row r="28" spans="1:52">
      <c r="L28" s="25"/>
      <c r="M28" s="25"/>
      <c r="N28" s="76" t="s">
        <v>142</v>
      </c>
      <c r="O28" s="76"/>
      <c r="P28" s="76"/>
      <c r="Q28" s="76"/>
      <c r="R28" s="76"/>
      <c r="S28" s="76"/>
      <c r="T28" s="76"/>
      <c r="V28" s="25"/>
      <c r="W28" s="25"/>
      <c r="X28" s="25"/>
      <c r="Y28" s="25"/>
      <c r="Z28" s="25"/>
      <c r="AJ28" s="76"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31</v>
      </c>
      <c r="E4" s="248"/>
      <c r="F4" s="248"/>
      <c r="G4" s="248"/>
      <c r="H4" s="248"/>
      <c r="I4" s="248"/>
      <c r="J4" s="249"/>
    </row>
    <row r="5" spans="1:45">
      <c r="B5" s="261" t="s">
        <v>3704</v>
      </c>
      <c r="C5" s="262"/>
      <c r="D5" s="271" t="str">
        <f>VLOOKUP(D7,エンティティ一覧!A1:'エンティティ一覧'!AM10203,7,FALSE)</f>
        <v>base</v>
      </c>
      <c r="E5" s="272"/>
      <c r="F5" s="272"/>
      <c r="G5" s="272"/>
      <c r="H5" s="272"/>
      <c r="I5" s="272"/>
      <c r="J5" s="273"/>
    </row>
    <row r="6" spans="1:45">
      <c r="B6" s="261" t="s">
        <v>3705</v>
      </c>
      <c r="C6" s="262"/>
      <c r="D6" s="271" t="str">
        <f>VLOOKUP(D7,エンティティ一覧!A1:'エンティティ一覧'!AM10203,15,FALSE)</f>
        <v>ENT_31_C4-23</v>
      </c>
      <c r="E6" s="272"/>
      <c r="F6" s="272"/>
      <c r="G6" s="272"/>
      <c r="H6" s="272"/>
      <c r="I6" s="272"/>
      <c r="J6" s="273"/>
    </row>
    <row r="7" spans="1:45">
      <c r="B7" s="261" t="s">
        <v>115</v>
      </c>
      <c r="C7" s="262"/>
      <c r="D7" s="263" t="s">
        <v>3685</v>
      </c>
      <c r="E7" s="264"/>
      <c r="F7" s="264"/>
      <c r="G7" s="264"/>
      <c r="H7" s="264"/>
      <c r="I7" s="264"/>
      <c r="J7" s="265"/>
    </row>
    <row r="8" spans="1:45">
      <c r="B8" s="261" t="s">
        <v>116</v>
      </c>
      <c r="C8" s="262"/>
      <c r="D8" s="263" t="str">
        <f>エンティティ一覧!AE2&amp;"_"&amp;D5&amp;"_merge_mml_sm_summary"</f>
        <v>azn_202310_base_merge_mml_sm_summary</v>
      </c>
      <c r="E8" s="264"/>
      <c r="F8" s="264"/>
      <c r="G8" s="264"/>
      <c r="H8" s="264"/>
      <c r="I8" s="264"/>
      <c r="J8" s="265"/>
    </row>
    <row r="9" spans="1:45" ht="19.5" customHeight="1" thickBot="1">
      <c r="B9" s="266" t="s">
        <v>117</v>
      </c>
      <c r="C9" s="267"/>
      <c r="D9" s="268" t="str">
        <f>"バックアップ_"&amp;SUBSTITUTE(D7,"ベース_","")&amp;"テーブルから対象患者で絞り込んだ結果を格納するテーブル"</f>
        <v>バックアップ_臨床サマリーモジュール_臨床サマリー情報レコードテーブルから対象患者で絞り込んだ結果を格納するテーブル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milscm_2023_010.azn_202310_base_merge_mml_sm_summary;</v>
      </c>
      <c r="O10" s="76"/>
      <c r="P10" s="76"/>
      <c r="Q10" s="76"/>
      <c r="R10" s="76"/>
      <c r="S10" s="76"/>
      <c r="T10" s="76"/>
      <c r="AJ10" s="76" t="str">
        <f>"ALTER TABLE ONLY "&amp;エンティティ一覧!$O$2&amp;"."&amp;D$8</f>
        <v>ALTER TABLE ONLY milscm_2023_010.azn_202310_base_merge_mml_sm_summary</v>
      </c>
      <c r="AS10" s="76" t="str">
        <f>"ALTER TABLE "&amp;エンティティ一覧!$O$2&amp;"."&amp;D$8&amp;" OWNER TO pgmisgrp1;"</f>
        <v>ALTER TABLE milscm_2023_010.azn_202310_base_merge_mml_sm_summary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milscm_2023_010.azn_202310_base_merge_mml_sm_summary</v>
      </c>
      <c r="O11" s="76"/>
      <c r="P11" s="76"/>
      <c r="Q11" s="76"/>
      <c r="R11" s="76"/>
      <c r="S11" s="76"/>
      <c r="T11" s="76"/>
      <c r="AJ11" s="76" t="str">
        <f>"ADD CONSTRAINT "&amp;D$8&amp;"_pkey PRIMARY KEY"</f>
        <v>ADD CONSTRAINT azn_202310_base_merge_mml_sm_summary_pkey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milscm_2023_010.azn_202310_base_merge_mml_sm_summary IS 'ベース_臨床サマリーモジュール_臨床サマリー情報レコード';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3" si="0">UPPER(G13)</f>
        <v>TEXT</v>
      </c>
      <c r="R13" s="76" t="str">
        <f t="shared" ref="R13:R3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milscm_2023_010.azn_202310_base_merge_mml_sm_summary.torikomi_ym IS '取込年月';</v>
      </c>
    </row>
    <row r="14" spans="1:45" s="25" customFormat="1">
      <c r="A14" s="4"/>
      <c r="B14" s="21">
        <f t="shared" ref="B14:B32" si="2">ROW()-12</f>
        <v>2</v>
      </c>
      <c r="C14" s="6" t="s">
        <v>201</v>
      </c>
      <c r="D14" s="6" t="s">
        <v>202</v>
      </c>
      <c r="E14" s="8"/>
      <c r="F14" s="7" t="s">
        <v>203</v>
      </c>
      <c r="G14" s="7" t="str">
        <f t="shared" ref="G14:G33" si="3">IF(F14="フラグ","boolean",IF(F14="文字列","text",IF(F14="整数","integer",IF(F14="実数","numeric",""))))</f>
        <v>integer</v>
      </c>
      <c r="H14" s="26"/>
      <c r="I14" s="10"/>
      <c r="J14" s="11" t="s">
        <v>1280</v>
      </c>
      <c r="M14" s="4"/>
      <c r="N14" s="76"/>
      <c r="O14" s="76"/>
      <c r="P14" s="76" t="str">
        <f t="shared" ref="P14:P3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milscm_2023_010.azn_202310_base_merge_mml_sm_summary.mil_karute_id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33" si="5">IF(I15="○","NOT NULL","")</f>
        <v>NOT NULL</v>
      </c>
      <c r="T15" s="76" t="str">
        <f t="shared" ref="T15:T3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milscm_2023_010.azn_202310_base_merge_mml_sm_summary.facility_id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milscm_2023_010.azn_202310_base_merge_mml_sm_summary.shinryo_ymd IS '診療年月日';</v>
      </c>
    </row>
    <row r="17" spans="1:45"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milscm_2023_010.azn_202310_base_merge_mml_sm_summary.data_type IS 'データ種別';</v>
      </c>
    </row>
    <row r="18" spans="1:45"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milscm_2023_010.azn_202310_base_merge_mml_sm_summary.master_id IS '患者ID';</v>
      </c>
    </row>
    <row r="19" spans="1:45"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milscm_2023_010.azn_202310_base_merge_mml_sm_summary.uid IS '文書ユニークID';</v>
      </c>
    </row>
    <row r="20" spans="1:45" s="25" customFormat="1">
      <c r="A20" s="4"/>
      <c r="B20" s="21">
        <f t="shared" si="2"/>
        <v>8</v>
      </c>
      <c r="C20" s="13" t="s">
        <v>1433</v>
      </c>
      <c r="D20" s="13" t="s">
        <v>1434</v>
      </c>
      <c r="E20" s="7" t="s">
        <v>127</v>
      </c>
      <c r="F20" s="7" t="s">
        <v>203</v>
      </c>
      <c r="G20" s="7" t="str">
        <f t="shared" si="3"/>
        <v>integer</v>
      </c>
      <c r="H20" s="58"/>
      <c r="I20" s="23" t="s">
        <v>127</v>
      </c>
      <c r="J20" s="24" t="s">
        <v>1459</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milscm_2023_010.azn_202310_base_merge_mml_sm_summary.summary_seq IS '臨床サマリーSEQ';</v>
      </c>
    </row>
    <row r="21" spans="1:45" s="25" customFormat="1" ht="37.5">
      <c r="A21" s="4"/>
      <c r="B21" s="21">
        <f t="shared" si="2"/>
        <v>9</v>
      </c>
      <c r="C21" s="13" t="s">
        <v>1435</v>
      </c>
      <c r="D21" s="13" t="s">
        <v>1436</v>
      </c>
      <c r="E21" s="7"/>
      <c r="F21" s="7" t="s">
        <v>863</v>
      </c>
      <c r="G21" s="7" t="str">
        <f t="shared" si="3"/>
        <v>text</v>
      </c>
      <c r="H21" s="58"/>
      <c r="I21" s="23"/>
      <c r="J21" s="24" t="s">
        <v>1460</v>
      </c>
      <c r="M21" s="4"/>
      <c r="N21" s="76"/>
      <c r="O21" s="76"/>
      <c r="P21" s="76" t="str">
        <f t="shared" si="4"/>
        <v>,history_start_ymd</v>
      </c>
      <c r="Q21" s="76" t="str">
        <f t="shared" si="0"/>
        <v>TEXT</v>
      </c>
      <c r="R21" s="76" t="str">
        <f t="shared" si="1"/>
        <v/>
      </c>
      <c r="S21" s="76" t="str">
        <f t="shared" si="5"/>
        <v/>
      </c>
      <c r="T21" s="76" t="str">
        <f t="shared" si="6"/>
        <v>-- サマリー対象期間の開始日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milscm_2023_010.azn_202310_base_merge_mml_sm_summary.history_start_ymd IS 'サマリー対象期間の開始日';</v>
      </c>
    </row>
    <row r="22" spans="1:45" s="25" customFormat="1" ht="37.5">
      <c r="A22" s="4"/>
      <c r="B22" s="21">
        <f t="shared" si="2"/>
        <v>10</v>
      </c>
      <c r="C22" s="13" t="s">
        <v>1437</v>
      </c>
      <c r="D22" s="13" t="s">
        <v>1438</v>
      </c>
      <c r="E22" s="7"/>
      <c r="F22" s="7" t="s">
        <v>863</v>
      </c>
      <c r="G22" s="7" t="str">
        <f t="shared" si="3"/>
        <v>text</v>
      </c>
      <c r="H22" s="58"/>
      <c r="I22" s="23"/>
      <c r="J22" s="24" t="s">
        <v>1461</v>
      </c>
      <c r="M22" s="4"/>
      <c r="N22" s="76"/>
      <c r="O22" s="76"/>
      <c r="P22" s="76" t="str">
        <f t="shared" si="4"/>
        <v>,history_end_ymd</v>
      </c>
      <c r="Q22" s="76" t="str">
        <f t="shared" si="0"/>
        <v>TEXT</v>
      </c>
      <c r="R22" s="76" t="str">
        <f t="shared" si="1"/>
        <v/>
      </c>
      <c r="S22" s="76" t="str">
        <f t="shared" si="5"/>
        <v/>
      </c>
      <c r="T22" s="76" t="str">
        <f t="shared" si="6"/>
        <v>-- サマリー対象期間の終了日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milscm_2023_010.azn_202310_base_merge_mml_sm_summary.history_end_ymd IS 'サマリー対象期間の終了日';</v>
      </c>
    </row>
    <row r="23" spans="1:45" s="25" customFormat="1">
      <c r="A23" s="4"/>
      <c r="B23" s="21">
        <f t="shared" si="2"/>
        <v>11</v>
      </c>
      <c r="C23" s="13" t="s">
        <v>1439</v>
      </c>
      <c r="D23" s="13" t="s">
        <v>1440</v>
      </c>
      <c r="E23" s="7"/>
      <c r="F23" s="7" t="s">
        <v>863</v>
      </c>
      <c r="G23" s="7" t="str">
        <f t="shared" si="3"/>
        <v>text</v>
      </c>
      <c r="H23" s="58"/>
      <c r="I23" s="23"/>
      <c r="J23" s="24" t="s">
        <v>1462</v>
      </c>
      <c r="M23" s="4"/>
      <c r="N23" s="76"/>
      <c r="O23" s="76"/>
      <c r="P23" s="76" t="str">
        <f t="shared" si="4"/>
        <v>,death_info</v>
      </c>
      <c r="Q23" s="76" t="str">
        <f t="shared" si="0"/>
        <v>TEXT</v>
      </c>
      <c r="R23" s="76" t="str">
        <f t="shared" si="1"/>
        <v/>
      </c>
      <c r="S23" s="76" t="str">
        <f t="shared" si="5"/>
        <v/>
      </c>
      <c r="T23" s="76" t="str">
        <f t="shared" si="6"/>
        <v>-- 死亡関連情報</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milscm_2023_010.azn_202310_base_merge_mml_sm_summary.death_info IS '死亡関連情報';</v>
      </c>
    </row>
    <row r="24" spans="1:45" s="25" customFormat="1" ht="37.5">
      <c r="A24" s="4"/>
      <c r="B24" s="21">
        <f t="shared" si="2"/>
        <v>12</v>
      </c>
      <c r="C24" s="13" t="s">
        <v>1278</v>
      </c>
      <c r="D24" s="13" t="s">
        <v>1279</v>
      </c>
      <c r="E24" s="7"/>
      <c r="F24" s="7" t="s">
        <v>863</v>
      </c>
      <c r="G24" s="7" t="str">
        <f t="shared" si="3"/>
        <v>text</v>
      </c>
      <c r="H24" s="58"/>
      <c r="I24" s="23"/>
      <c r="J24" s="24" t="s">
        <v>1463</v>
      </c>
      <c r="M24" s="4"/>
      <c r="N24" s="76"/>
      <c r="O24" s="76"/>
      <c r="P24" s="76" t="str">
        <f t="shared" si="4"/>
        <v>,death_date</v>
      </c>
      <c r="Q24" s="76" t="str">
        <f t="shared" si="0"/>
        <v>TEXT</v>
      </c>
      <c r="R24" s="76" t="str">
        <f t="shared" si="1"/>
        <v/>
      </c>
      <c r="S24" s="76" t="str">
        <f t="shared" si="5"/>
        <v/>
      </c>
      <c r="T24" s="76" t="str">
        <f t="shared" si="6"/>
        <v>-- 死亡日時</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milscm_2023_010.azn_202310_base_merge_mml_sm_summary.death_date IS '死亡日時';</v>
      </c>
    </row>
    <row r="25" spans="1:45" s="25" customFormat="1" ht="37.5">
      <c r="A25" s="4"/>
      <c r="B25" s="21">
        <f t="shared" si="2"/>
        <v>13</v>
      </c>
      <c r="C25" s="13" t="s">
        <v>1441</v>
      </c>
      <c r="D25" s="13" t="s">
        <v>1442</v>
      </c>
      <c r="E25" s="7"/>
      <c r="F25" s="7" t="s">
        <v>863</v>
      </c>
      <c r="G25" s="7" t="str">
        <f t="shared" si="3"/>
        <v>text</v>
      </c>
      <c r="H25" s="58"/>
      <c r="I25" s="23"/>
      <c r="J25" s="24" t="s">
        <v>1464</v>
      </c>
      <c r="M25" s="4"/>
      <c r="N25" s="76"/>
      <c r="O25" s="76"/>
      <c r="P25" s="76" t="str">
        <f t="shared" si="4"/>
        <v>,death_autopsy_flag</v>
      </c>
      <c r="Q25" s="76" t="str">
        <f t="shared" si="0"/>
        <v>TEXT</v>
      </c>
      <c r="R25" s="76" t="str">
        <f t="shared" si="1"/>
        <v/>
      </c>
      <c r="S25" s="76" t="str">
        <f t="shared" si="5"/>
        <v/>
      </c>
      <c r="T25" s="76" t="str">
        <f t="shared" si="6"/>
        <v>-- 剖検の有無</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milscm_2023_010.azn_202310_base_merge_mml_sm_summary.death_autopsy_flag IS '剖検の有無';</v>
      </c>
    </row>
    <row r="26" spans="1:45" s="25" customFormat="1" ht="37.5">
      <c r="A26" s="4"/>
      <c r="B26" s="21">
        <f t="shared" si="2"/>
        <v>14</v>
      </c>
      <c r="C26" s="13" t="s">
        <v>1443</v>
      </c>
      <c r="D26" s="13" t="s">
        <v>1444</v>
      </c>
      <c r="E26" s="7"/>
      <c r="F26" s="7" t="s">
        <v>863</v>
      </c>
      <c r="G26" s="7" t="str">
        <f t="shared" si="3"/>
        <v>text</v>
      </c>
      <c r="H26" s="58"/>
      <c r="I26" s="23"/>
      <c r="J26" s="24" t="s">
        <v>1465</v>
      </c>
      <c r="M26" s="4"/>
      <c r="N26" s="76"/>
      <c r="O26" s="76"/>
      <c r="P26" s="76" t="str">
        <f t="shared" si="4"/>
        <v>,chief_complaints</v>
      </c>
      <c r="Q26" s="76" t="str">
        <f t="shared" si="0"/>
        <v>TEXT</v>
      </c>
      <c r="R26" s="76" t="str">
        <f t="shared" si="1"/>
        <v/>
      </c>
      <c r="S26" s="76" t="str">
        <f t="shared" si="5"/>
        <v/>
      </c>
      <c r="T26" s="76" t="str">
        <f t="shared" si="6"/>
        <v>-- 主訴</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milscm_2023_010.azn_202310_base_merge_mml_sm_summary.chief_complaints IS '主訴';</v>
      </c>
    </row>
    <row r="27" spans="1:45" s="25" customFormat="1" ht="37.5">
      <c r="A27" s="4"/>
      <c r="B27" s="21">
        <f t="shared" si="2"/>
        <v>15</v>
      </c>
      <c r="C27" s="13" t="s">
        <v>1445</v>
      </c>
      <c r="D27" s="13" t="s">
        <v>1446</v>
      </c>
      <c r="E27" s="7"/>
      <c r="F27" s="7" t="s">
        <v>863</v>
      </c>
      <c r="G27" s="7" t="str">
        <f t="shared" si="3"/>
        <v>text</v>
      </c>
      <c r="H27" s="58"/>
      <c r="I27" s="23"/>
      <c r="J27" s="24" t="s">
        <v>1466</v>
      </c>
      <c r="M27" s="4"/>
      <c r="N27" s="76"/>
      <c r="O27" s="76"/>
      <c r="P27" s="76" t="str">
        <f t="shared" si="4"/>
        <v>,patient_profile</v>
      </c>
      <c r="Q27" s="76" t="str">
        <f t="shared" si="0"/>
        <v>TEXT</v>
      </c>
      <c r="R27" s="76" t="str">
        <f t="shared" si="1"/>
        <v/>
      </c>
      <c r="S27" s="76" t="str">
        <f t="shared" si="5"/>
        <v/>
      </c>
      <c r="T27" s="76" t="str">
        <f t="shared" si="6"/>
        <v>-- 患者プロフィール</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milscm_2023_010.azn_202310_base_merge_mml_sm_summary.patient_profile IS '患者プロフィール';</v>
      </c>
    </row>
    <row r="28" spans="1:45" s="25" customFormat="1" ht="37.5">
      <c r="A28" s="4"/>
      <c r="B28" s="21">
        <f t="shared" si="2"/>
        <v>16</v>
      </c>
      <c r="C28" s="13" t="s">
        <v>1447</v>
      </c>
      <c r="D28" s="13" t="s">
        <v>1448</v>
      </c>
      <c r="E28" s="7"/>
      <c r="F28" s="7" t="s">
        <v>863</v>
      </c>
      <c r="G28" s="7" t="str">
        <f t="shared" si="3"/>
        <v>text</v>
      </c>
      <c r="H28" s="58"/>
      <c r="I28" s="23"/>
      <c r="J28" s="24" t="s">
        <v>1467</v>
      </c>
      <c r="M28" s="4"/>
      <c r="N28" s="76"/>
      <c r="O28" s="76"/>
      <c r="P28" s="76" t="str">
        <f t="shared" si="4"/>
        <v>,nyuin_history</v>
      </c>
      <c r="Q28" s="76" t="str">
        <f t="shared" si="0"/>
        <v>TEXT</v>
      </c>
      <c r="R28" s="76" t="str">
        <f t="shared" si="1"/>
        <v/>
      </c>
      <c r="S28" s="76" t="str">
        <f t="shared" si="5"/>
        <v/>
      </c>
      <c r="T28" s="76" t="str">
        <f t="shared" si="6"/>
        <v>-- 入院までの経過</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milscm_2023_010.azn_202310_base_merge_mml_sm_summary.nyuin_history IS '入院までの経過';</v>
      </c>
    </row>
    <row r="29" spans="1:45" s="25" customFormat="1" ht="37.5">
      <c r="A29" s="4"/>
      <c r="B29" s="21">
        <f t="shared" si="2"/>
        <v>17</v>
      </c>
      <c r="C29" s="13" t="s">
        <v>1449</v>
      </c>
      <c r="D29" s="13" t="s">
        <v>1450</v>
      </c>
      <c r="E29" s="7"/>
      <c r="F29" s="7" t="s">
        <v>863</v>
      </c>
      <c r="G29" s="7" t="str">
        <f t="shared" si="3"/>
        <v>text</v>
      </c>
      <c r="H29" s="58"/>
      <c r="I29" s="23"/>
      <c r="J29" s="24" t="s">
        <v>1468</v>
      </c>
      <c r="M29" s="4"/>
      <c r="N29" s="76"/>
      <c r="O29" s="76"/>
      <c r="P29" s="76" t="str">
        <f t="shared" si="4"/>
        <v>,nyuin_physical_exam</v>
      </c>
      <c r="Q29" s="76" t="str">
        <f t="shared" si="0"/>
        <v>TEXT</v>
      </c>
      <c r="R29" s="76" t="str">
        <f t="shared" si="1"/>
        <v/>
      </c>
      <c r="S29" s="76" t="str">
        <f t="shared" si="5"/>
        <v/>
      </c>
      <c r="T29" s="76" t="str">
        <f t="shared" si="6"/>
        <v>-- 入院時理学所見</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milscm_2023_010.azn_202310_base_merge_mml_sm_summary.nyuin_physical_exam IS '入院時理学所見';</v>
      </c>
    </row>
    <row r="30" spans="1:45" s="25" customFormat="1" ht="37.5">
      <c r="A30" s="4"/>
      <c r="B30" s="21">
        <f t="shared" si="2"/>
        <v>18</v>
      </c>
      <c r="C30" s="13" t="s">
        <v>1451</v>
      </c>
      <c r="D30" s="13" t="s">
        <v>1452</v>
      </c>
      <c r="E30" s="7"/>
      <c r="F30" s="7" t="s">
        <v>863</v>
      </c>
      <c r="G30" s="7" t="str">
        <f t="shared" si="3"/>
        <v>text</v>
      </c>
      <c r="H30" s="58"/>
      <c r="I30" s="23"/>
      <c r="J30" s="24" t="s">
        <v>1469</v>
      </c>
      <c r="M30" s="4"/>
      <c r="N30" s="76"/>
      <c r="O30" s="76"/>
      <c r="P30" s="76" t="str">
        <f t="shared" si="4"/>
        <v>,taiin_findings</v>
      </c>
      <c r="Q30" s="76" t="str">
        <f t="shared" si="0"/>
        <v>TEXT</v>
      </c>
      <c r="R30" s="76" t="str">
        <f t="shared" si="1"/>
        <v/>
      </c>
      <c r="S30" s="76" t="str">
        <f t="shared" si="5"/>
        <v/>
      </c>
      <c r="T30" s="76" t="str">
        <f t="shared" si="6"/>
        <v>-- 退院時所見</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milscm_2023_010.azn_202310_base_merge_mml_sm_summary.taiin_findings IS '退院時所見';</v>
      </c>
    </row>
    <row r="31" spans="1:45" s="25" customFormat="1" ht="37.5">
      <c r="A31" s="4"/>
      <c r="B31" s="21">
        <f t="shared" si="2"/>
        <v>19</v>
      </c>
      <c r="C31" s="13" t="s">
        <v>1453</v>
      </c>
      <c r="D31" s="13" t="s">
        <v>1454</v>
      </c>
      <c r="E31" s="7"/>
      <c r="F31" s="7" t="s">
        <v>863</v>
      </c>
      <c r="G31" s="7" t="str">
        <f t="shared" si="3"/>
        <v>text</v>
      </c>
      <c r="H31" s="58"/>
      <c r="I31" s="23"/>
      <c r="J31" s="24" t="s">
        <v>1470</v>
      </c>
      <c r="M31" s="4"/>
      <c r="N31" s="76"/>
      <c r="O31" s="76"/>
      <c r="P31" s="76" t="str">
        <f t="shared" si="4"/>
        <v>,taiin_medication</v>
      </c>
      <c r="Q31" s="76" t="str">
        <f t="shared" si="0"/>
        <v>TEXT</v>
      </c>
      <c r="R31" s="76" t="str">
        <f t="shared" si="1"/>
        <v/>
      </c>
      <c r="S31" s="76" t="str">
        <f t="shared" si="5"/>
        <v/>
      </c>
      <c r="T31" s="76" t="str">
        <f t="shared" si="6"/>
        <v>-- 退院時処方</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milscm_2023_010.azn_202310_base_merge_mml_sm_summary.taiin_medication IS '退院時処方';</v>
      </c>
    </row>
    <row r="32" spans="1:45" s="25" customFormat="1" ht="37.5">
      <c r="A32" s="4"/>
      <c r="B32" s="21">
        <f t="shared" si="2"/>
        <v>20</v>
      </c>
      <c r="C32" s="13" t="s">
        <v>1455</v>
      </c>
      <c r="D32" s="13" t="s">
        <v>1456</v>
      </c>
      <c r="E32" s="7"/>
      <c r="F32" s="7" t="s">
        <v>863</v>
      </c>
      <c r="G32" s="7" t="str">
        <f t="shared" si="3"/>
        <v>text</v>
      </c>
      <c r="H32" s="58"/>
      <c r="I32" s="23"/>
      <c r="J32" s="24" t="s">
        <v>1471</v>
      </c>
      <c r="M32" s="4"/>
      <c r="N32" s="76"/>
      <c r="O32" s="76"/>
      <c r="P32" s="76" t="str">
        <f t="shared" si="4"/>
        <v>,taiin_chiryo_plan</v>
      </c>
      <c r="Q32" s="76" t="str">
        <f t="shared" si="0"/>
        <v>TEXT</v>
      </c>
      <c r="R32" s="76" t="str">
        <f t="shared" si="1"/>
        <v/>
      </c>
      <c r="S32" s="76" t="str">
        <f t="shared" si="5"/>
        <v/>
      </c>
      <c r="T32" s="76" t="str">
        <f t="shared" si="6"/>
        <v>-- 退院後治療方針</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milscm_2023_010.azn_202310_base_merge_mml_sm_summary.taiin_chiryo_plan IS '退院後治療方針';</v>
      </c>
    </row>
    <row r="33" spans="1:52" s="25" customFormat="1" ht="38.25" thickBot="1">
      <c r="A33" s="4"/>
      <c r="B33" s="27">
        <f>ROW()-12</f>
        <v>21</v>
      </c>
      <c r="C33" s="57" t="s">
        <v>1457</v>
      </c>
      <c r="D33" s="57" t="s">
        <v>1458</v>
      </c>
      <c r="E33" s="56"/>
      <c r="F33" s="56" t="s">
        <v>863</v>
      </c>
      <c r="G33" s="56" t="str">
        <f t="shared" si="3"/>
        <v>text</v>
      </c>
      <c r="H33" s="59"/>
      <c r="I33" s="60"/>
      <c r="J33" s="63" t="s">
        <v>1472</v>
      </c>
      <c r="N33" s="76"/>
      <c r="O33" s="76"/>
      <c r="P33" s="76" t="str">
        <f t="shared" si="4"/>
        <v>,patient_ryui_code</v>
      </c>
      <c r="Q33" s="76" t="str">
        <f t="shared" si="0"/>
        <v>TEXT</v>
      </c>
      <c r="R33" s="76" t="str">
        <f t="shared" si="1"/>
        <v/>
      </c>
      <c r="S33" s="76" t="str">
        <f t="shared" si="5"/>
        <v/>
      </c>
      <c r="T33" s="76" t="str">
        <f t="shared" si="6"/>
        <v>-- 患者に関する留意事項</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milscm_2023_010.azn_202310_base_merge_mml_sm_summary.patient_ryui_code IS '患者に関する留意事項';</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31</v>
      </c>
      <c r="E4" s="248"/>
      <c r="F4" s="248"/>
      <c r="G4" s="248"/>
      <c r="H4" s="248"/>
      <c r="I4" s="248"/>
      <c r="J4" s="249"/>
    </row>
    <row r="5" spans="1:45">
      <c r="B5" s="261" t="s">
        <v>3704</v>
      </c>
      <c r="C5" s="262"/>
      <c r="D5" s="271" t="str">
        <f>VLOOKUP(D7,エンティティ一覧!A1:'エンティティ一覧'!AM10203,7,FALSE)</f>
        <v>base</v>
      </c>
      <c r="E5" s="272"/>
      <c r="F5" s="272"/>
      <c r="G5" s="272"/>
      <c r="H5" s="272"/>
      <c r="I5" s="272"/>
      <c r="J5" s="273"/>
    </row>
    <row r="6" spans="1:45">
      <c r="B6" s="261" t="s">
        <v>3705</v>
      </c>
      <c r="C6" s="262"/>
      <c r="D6" s="271" t="str">
        <f>VLOOKUP(D7,エンティティ一覧!A1:'エンティティ一覧'!AM10203,15,FALSE)</f>
        <v>ENT_31_C4-24</v>
      </c>
      <c r="E6" s="272"/>
      <c r="F6" s="272"/>
      <c r="G6" s="272"/>
      <c r="H6" s="272"/>
      <c r="I6" s="272"/>
      <c r="J6" s="273"/>
    </row>
    <row r="7" spans="1:45">
      <c r="B7" s="261" t="s">
        <v>115</v>
      </c>
      <c r="C7" s="262"/>
      <c r="D7" s="263" t="s">
        <v>3686</v>
      </c>
      <c r="E7" s="264"/>
      <c r="F7" s="264"/>
      <c r="G7" s="264"/>
      <c r="H7" s="264"/>
      <c r="I7" s="264"/>
      <c r="J7" s="265"/>
    </row>
    <row r="8" spans="1:45">
      <c r="B8" s="261" t="s">
        <v>116</v>
      </c>
      <c r="C8" s="262"/>
      <c r="D8" s="263" t="str">
        <f>エンティティ一覧!AE2&amp;"_"&amp;D5&amp;"_merge_mml_sm_out_patient"</f>
        <v>azn_202310_base_merge_mml_sm_out_patient</v>
      </c>
      <c r="E8" s="264"/>
      <c r="F8" s="264"/>
      <c r="G8" s="264"/>
      <c r="H8" s="264"/>
      <c r="I8" s="264"/>
      <c r="J8" s="265"/>
    </row>
    <row r="9" spans="1:45" ht="19.5" customHeight="1" thickBot="1">
      <c r="B9" s="266" t="s">
        <v>117</v>
      </c>
      <c r="C9" s="267"/>
      <c r="D9" s="268" t="str">
        <f>"バックアップ_"&amp;SUBSTITUTE(D7,"ベース_","")&amp;"テーブルから対象患者で絞り込んだ結果を格納するテーブル"</f>
        <v>バックアップ_臨床サマリーモジュール_外来受診レコードテーブルから対象患者で絞り込んだ結果を格納するテーブル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milscm_2023_010.azn_202310_base_merge_mml_sm_out_patient;</v>
      </c>
      <c r="O10" s="76"/>
      <c r="P10" s="76"/>
      <c r="Q10" s="76"/>
      <c r="R10" s="76"/>
      <c r="S10" s="76"/>
      <c r="T10" s="76"/>
      <c r="AJ10" s="76" t="str">
        <f>"ALTER TABLE ONLY "&amp;エンティティ一覧!$O$2&amp;"."&amp;D$8</f>
        <v>ALTER TABLE ONLY milscm_2023_010.azn_202310_base_merge_mml_sm_out_patient</v>
      </c>
      <c r="AS10" s="76" t="str">
        <f>"ALTER TABLE "&amp;エンティティ一覧!$O$2&amp;"."&amp;D$8&amp;" OWNER TO pgmisgrp1;"</f>
        <v>ALTER TABLE milscm_2023_010.azn_202310_base_merge_mml_sm_out_patient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milscm_2023_010.azn_202310_base_merge_mml_sm_out_patient</v>
      </c>
      <c r="O11" s="76"/>
      <c r="P11" s="76"/>
      <c r="Q11" s="76"/>
      <c r="R11" s="76"/>
      <c r="S11" s="76"/>
      <c r="T11" s="76"/>
      <c r="AJ11" s="76" t="str">
        <f>"ADD CONSTRAINT "&amp;D$8&amp;"_pkey PRIMARY KEY"</f>
        <v>ADD CONSTRAINT azn_202310_base_merge_mml_sm_out_patient_pkey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milscm_2023_010.azn_202310_base_merge_mml_sm_out_patient IS 'ベース_臨床サマリーモジュール_外来受診レコード';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milscm_2023_010.azn_202310_base_merge_mml_sm_out_patient.torikomi_ym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1280</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milscm_2023_010.azn_202310_base_merge_mml_sm_out_patient.mil_karute_id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milscm_2023_010.azn_202310_base_merge_mml_sm_out_patient.facility_id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milscm_2023_010.azn_202310_base_merge_mml_sm_out_patient.shinryo_ymd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milscm_2023_010.azn_202310_base_merge_mml_sm_out_patient.data_type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milscm_2023_010.azn_202310_base_merge_mml_sm_out_patient.master_id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milscm_2023_010.azn_202310_base_merge_mml_sm_out_patient.uid IS '文書ユニークID';</v>
      </c>
    </row>
    <row r="20" spans="1:52" s="25" customFormat="1">
      <c r="A20" s="4"/>
      <c r="B20" s="21">
        <f t="shared" si="2"/>
        <v>8</v>
      </c>
      <c r="C20" s="13" t="s">
        <v>1433</v>
      </c>
      <c r="D20" s="13" t="s">
        <v>1434</v>
      </c>
      <c r="E20" s="7" t="s">
        <v>127</v>
      </c>
      <c r="F20" s="7" t="s">
        <v>203</v>
      </c>
      <c r="G20" s="7" t="str">
        <f t="shared" si="3"/>
        <v>integer</v>
      </c>
      <c r="H20" s="58"/>
      <c r="I20" s="23" t="s">
        <v>127</v>
      </c>
      <c r="J20" s="24" t="s">
        <v>1459</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milscm_2023_010.azn_202310_base_merge_mml_sm_out_patient.summary_seq IS '臨床サマリーSEQ';</v>
      </c>
    </row>
    <row r="21" spans="1:52" s="25" customFormat="1">
      <c r="A21" s="4"/>
      <c r="B21" s="21">
        <f t="shared" si="2"/>
        <v>9</v>
      </c>
      <c r="C21" s="13" t="s">
        <v>1475</v>
      </c>
      <c r="D21" s="13" t="s">
        <v>1476</v>
      </c>
      <c r="E21" s="7" t="s">
        <v>127</v>
      </c>
      <c r="F21" s="7" t="s">
        <v>203</v>
      </c>
      <c r="G21" s="7" t="str">
        <f t="shared" si="3"/>
        <v>integer</v>
      </c>
      <c r="H21" s="58"/>
      <c r="I21" s="23" t="s">
        <v>127</v>
      </c>
      <c r="J21" s="24" t="s">
        <v>1485</v>
      </c>
      <c r="M21" s="4"/>
      <c r="N21" s="76"/>
      <c r="O21" s="76"/>
      <c r="P21" s="76" t="str">
        <f t="shared" si="4"/>
        <v>,gairai_seq</v>
      </c>
      <c r="Q21" s="76" t="str">
        <f t="shared" si="0"/>
        <v>INTEGER</v>
      </c>
      <c r="R21" s="76" t="str">
        <f t="shared" si="1"/>
        <v/>
      </c>
      <c r="S21" s="76" t="str">
        <f t="shared" si="5"/>
        <v>NOT NULL</v>
      </c>
      <c r="T21" s="76" t="str">
        <f t="shared" si="6"/>
        <v>-- 個々の外来受診歴SEQ</v>
      </c>
      <c r="U21" s="4"/>
      <c r="AA21" s="4"/>
      <c r="AB21" s="4"/>
      <c r="AC21" s="4"/>
      <c r="AD21" s="4"/>
      <c r="AE21" s="4"/>
      <c r="AF21" s="4"/>
      <c r="AG21" s="4"/>
      <c r="AH21" s="4"/>
      <c r="AI21" s="4"/>
      <c r="AJ21" s="76" t="str">
        <f>IF(E21="○",IF(COUNTA(E$13:E21)=1,"",",")&amp;D21,"")</f>
        <v>,gairai_seq</v>
      </c>
      <c r="AK21" s="4"/>
      <c r="AL21" s="4"/>
      <c r="AM21" s="4"/>
      <c r="AN21" s="4"/>
      <c r="AO21" s="4"/>
      <c r="AP21" s="4"/>
      <c r="AQ21" s="4"/>
      <c r="AR21" s="4"/>
      <c r="AS21" s="76" t="str">
        <f>"COMMENT ON COLUMN "&amp;エンティティ一覧!$O$2&amp;"."&amp;D$8&amp;"."&amp;D21&amp;" IS '"&amp;C21&amp;"';"</f>
        <v>COMMENT ON COLUMN milscm_2023_010.azn_202310_base_merge_mml_sm_out_patient.gairai_seq IS '個々の外来受診歴SEQ';</v>
      </c>
    </row>
    <row r="22" spans="1:52" s="25" customFormat="1" ht="37.5">
      <c r="A22" s="4"/>
      <c r="B22" s="21">
        <f t="shared" si="2"/>
        <v>10</v>
      </c>
      <c r="C22" s="13" t="s">
        <v>1477</v>
      </c>
      <c r="D22" s="13" t="s">
        <v>1478</v>
      </c>
      <c r="E22" s="7"/>
      <c r="F22" s="7" t="s">
        <v>863</v>
      </c>
      <c r="G22" s="7" t="str">
        <f t="shared" si="3"/>
        <v>text</v>
      </c>
      <c r="H22" s="58"/>
      <c r="I22" s="23"/>
      <c r="J22" s="24" t="s">
        <v>1486</v>
      </c>
      <c r="M22" s="4"/>
      <c r="N22" s="76"/>
      <c r="O22" s="76"/>
      <c r="P22" s="76" t="str">
        <f t="shared" si="4"/>
        <v>,gairai_ymd</v>
      </c>
      <c r="Q22" s="76" t="str">
        <f t="shared" si="0"/>
        <v>TEXT</v>
      </c>
      <c r="R22" s="76" t="str">
        <f t="shared" si="1"/>
        <v/>
      </c>
      <c r="S22" s="76" t="str">
        <f t="shared" si="5"/>
        <v/>
      </c>
      <c r="T22" s="76" t="str">
        <f t="shared" si="6"/>
        <v>-- 外来受診年月日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milscm_2023_010.azn_202310_base_merge_mml_sm_out_patient.gairai_ymd IS '外来受診年月日';</v>
      </c>
    </row>
    <row r="23" spans="1:52" s="25" customFormat="1">
      <c r="A23" s="4"/>
      <c r="B23" s="21">
        <f t="shared" si="2"/>
        <v>11</v>
      </c>
      <c r="C23" s="13" t="s">
        <v>1479</v>
      </c>
      <c r="D23" s="13" t="s">
        <v>1480</v>
      </c>
      <c r="E23" s="7"/>
      <c r="F23" s="7" t="s">
        <v>863</v>
      </c>
      <c r="G23" s="7" t="str">
        <f t="shared" si="3"/>
        <v>text</v>
      </c>
      <c r="H23" s="58"/>
      <c r="I23" s="23"/>
      <c r="J23" s="24" t="s">
        <v>1487</v>
      </c>
      <c r="M23" s="4"/>
      <c r="N23" s="76"/>
      <c r="O23" s="76"/>
      <c r="P23" s="76" t="str">
        <f t="shared" si="4"/>
        <v>,gairai_state</v>
      </c>
      <c r="Q23" s="76" t="str">
        <f t="shared" si="0"/>
        <v>TEXT</v>
      </c>
      <c r="R23" s="76" t="str">
        <f t="shared" si="1"/>
        <v/>
      </c>
      <c r="S23" s="76" t="str">
        <f t="shared" si="5"/>
        <v/>
      </c>
      <c r="T23" s="76" t="str">
        <f t="shared" si="6"/>
        <v>-- 外来受診状態</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milscm_2023_010.azn_202310_base_merge_mml_sm_out_patient.gairai_state IS '外来受診状態';</v>
      </c>
    </row>
    <row r="24" spans="1:52" s="25" customFormat="1" ht="37.5">
      <c r="A24" s="4"/>
      <c r="B24" s="21">
        <f t="shared" si="2"/>
        <v>12</v>
      </c>
      <c r="C24" s="13" t="s">
        <v>1481</v>
      </c>
      <c r="D24" s="13" t="s">
        <v>1482</v>
      </c>
      <c r="E24" s="7"/>
      <c r="F24" s="7" t="s">
        <v>863</v>
      </c>
      <c r="G24" s="7" t="str">
        <f t="shared" si="3"/>
        <v>text</v>
      </c>
      <c r="H24" s="58"/>
      <c r="I24" s="23"/>
      <c r="J24" s="24" t="s">
        <v>1488</v>
      </c>
      <c r="M24" s="4"/>
      <c r="N24" s="76"/>
      <c r="O24" s="76"/>
      <c r="P24" s="76" t="str">
        <f t="shared" si="4"/>
        <v>,first_flag</v>
      </c>
      <c r="Q24" s="76" t="str">
        <f t="shared" si="0"/>
        <v>TEXT</v>
      </c>
      <c r="R24" s="76" t="str">
        <f t="shared" si="1"/>
        <v/>
      </c>
      <c r="S24" s="76" t="str">
        <f t="shared" si="5"/>
        <v/>
      </c>
      <c r="T24" s="76" t="str">
        <f t="shared" si="6"/>
        <v>-- 初診フラグ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milscm_2023_010.azn_202310_base_merge_mml_sm_out_patient.first_flag IS '初診フラグ';</v>
      </c>
    </row>
    <row r="25" spans="1:52" s="25" customFormat="1" ht="57" thickBot="1">
      <c r="A25" s="4"/>
      <c r="B25" s="27">
        <f>ROW()-12</f>
        <v>13</v>
      </c>
      <c r="C25" s="57" t="s">
        <v>1483</v>
      </c>
      <c r="D25" s="57" t="s">
        <v>1484</v>
      </c>
      <c r="E25" s="56"/>
      <c r="F25" s="56" t="s">
        <v>863</v>
      </c>
      <c r="G25" s="56" t="str">
        <f t="shared" si="3"/>
        <v>text</v>
      </c>
      <c r="H25" s="59"/>
      <c r="I25" s="60"/>
      <c r="J25" s="63" t="s">
        <v>1489</v>
      </c>
      <c r="N25" s="76"/>
      <c r="O25" s="76"/>
      <c r="P25" s="76" t="str">
        <f t="shared" si="4"/>
        <v>,emergency_flag</v>
      </c>
      <c r="Q25" s="76" t="str">
        <f t="shared" si="0"/>
        <v>TEXT</v>
      </c>
      <c r="R25" s="76" t="str">
        <f t="shared" si="1"/>
        <v/>
      </c>
      <c r="S25" s="76" t="str">
        <f t="shared" si="5"/>
        <v/>
      </c>
      <c r="T25" s="76" t="str">
        <f t="shared" si="6"/>
        <v>-- 救急受診フラグ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milscm_2023_010.azn_202310_base_merge_mml_sm_out_patient.emergency_flag IS '救急受診フラグ';</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31</v>
      </c>
      <c r="E4" s="248"/>
      <c r="F4" s="248"/>
      <c r="G4" s="248"/>
      <c r="H4" s="248"/>
      <c r="I4" s="248"/>
      <c r="J4" s="249"/>
    </row>
    <row r="5" spans="1:45">
      <c r="B5" s="261" t="s">
        <v>3704</v>
      </c>
      <c r="C5" s="262"/>
      <c r="D5" s="271" t="str">
        <f>VLOOKUP(D7,エンティティ一覧!A1:'エンティティ一覧'!AM10203,7,FALSE)</f>
        <v>base</v>
      </c>
      <c r="E5" s="272"/>
      <c r="F5" s="272"/>
      <c r="G5" s="272"/>
      <c r="H5" s="272"/>
      <c r="I5" s="272"/>
      <c r="J5" s="273"/>
    </row>
    <row r="6" spans="1:45">
      <c r="B6" s="261" t="s">
        <v>3705</v>
      </c>
      <c r="C6" s="262"/>
      <c r="D6" s="271" t="str">
        <f>VLOOKUP(D7,エンティティ一覧!A1:'エンティティ一覧'!AM10203,15,FALSE)</f>
        <v>ENT_31_C4-25</v>
      </c>
      <c r="E6" s="272"/>
      <c r="F6" s="272"/>
      <c r="G6" s="272"/>
      <c r="H6" s="272"/>
      <c r="I6" s="272"/>
      <c r="J6" s="273"/>
    </row>
    <row r="7" spans="1:45">
      <c r="B7" s="261" t="s">
        <v>115</v>
      </c>
      <c r="C7" s="262"/>
      <c r="D7" s="263" t="s">
        <v>3687</v>
      </c>
      <c r="E7" s="264"/>
      <c r="F7" s="264"/>
      <c r="G7" s="264"/>
      <c r="H7" s="264"/>
      <c r="I7" s="264"/>
      <c r="J7" s="265"/>
    </row>
    <row r="8" spans="1:45">
      <c r="B8" s="261" t="s">
        <v>116</v>
      </c>
      <c r="C8" s="262"/>
      <c r="D8" s="263" t="str">
        <f>エンティティ一覧!AE2&amp;"_"&amp;D5&amp;"_merge_mml_sm_in_patient"</f>
        <v>azn_202310_base_merge_mml_sm_in_patient</v>
      </c>
      <c r="E8" s="264"/>
      <c r="F8" s="264"/>
      <c r="G8" s="264"/>
      <c r="H8" s="264"/>
      <c r="I8" s="264"/>
      <c r="J8" s="265"/>
    </row>
    <row r="9" spans="1:45" ht="19.5" customHeight="1" thickBot="1">
      <c r="B9" s="266" t="s">
        <v>117</v>
      </c>
      <c r="C9" s="267"/>
      <c r="D9" s="268" t="str">
        <f>"バックアップ_"&amp;SUBSTITUTE(D7,"ベース_","")&amp;"テーブルから対象患者で絞り込んだ結果を格納するテーブル"</f>
        <v>バックアップ_臨床サマリーモジュール_入院レコードテーブルから対象患者で絞り込んだ結果を格納するテーブル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milscm_2023_010.azn_202310_base_merge_mml_sm_in_patient;</v>
      </c>
      <c r="O10" s="76"/>
      <c r="P10" s="76"/>
      <c r="Q10" s="76"/>
      <c r="R10" s="76"/>
      <c r="S10" s="76"/>
      <c r="T10" s="76"/>
      <c r="AJ10" s="76" t="str">
        <f>"ALTER TABLE ONLY "&amp;エンティティ一覧!$O$2&amp;"."&amp;D$8</f>
        <v>ALTER TABLE ONLY milscm_2023_010.azn_202310_base_merge_mml_sm_in_patient</v>
      </c>
      <c r="AS10" s="76" t="str">
        <f>"ALTER TABLE "&amp;エンティティ一覧!$O$2&amp;"."&amp;D$8&amp;" OWNER TO pgmisgrp1;"</f>
        <v>ALTER TABLE milscm_2023_010.azn_202310_base_merge_mml_sm_in_patient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milscm_2023_010.azn_202310_base_merge_mml_sm_in_patient</v>
      </c>
      <c r="O11" s="76"/>
      <c r="P11" s="76"/>
      <c r="Q11" s="76"/>
      <c r="R11" s="76"/>
      <c r="S11" s="76"/>
      <c r="T11" s="76"/>
      <c r="AJ11" s="76" t="str">
        <f>"ADD CONSTRAINT "&amp;D$8&amp;"_pkey PRIMARY KEY"</f>
        <v>ADD CONSTRAINT azn_202310_base_merge_mml_sm_in_patient_pkey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milscm_2023_010.azn_202310_base_merge_mml_sm_in_patient IS 'ベース_臨床サマリーモジュール_入院レコード';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9" si="0">UPPER(G13)</f>
        <v>TEXT</v>
      </c>
      <c r="R13" s="76" t="str">
        <f t="shared" ref="R13:R29"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milscm_2023_010.azn_202310_base_merge_mml_sm_in_patient.torikomi_ym IS '取込年月';</v>
      </c>
    </row>
    <row r="14" spans="1:45" s="25" customFormat="1">
      <c r="A14" s="4"/>
      <c r="B14" s="21">
        <f t="shared" ref="B14:B28" si="2">ROW()-12</f>
        <v>2</v>
      </c>
      <c r="C14" s="6" t="s">
        <v>201</v>
      </c>
      <c r="D14" s="6" t="s">
        <v>202</v>
      </c>
      <c r="E14" s="8"/>
      <c r="F14" s="7" t="s">
        <v>203</v>
      </c>
      <c r="G14" s="7" t="str">
        <f t="shared" ref="G14:G29" si="3">IF(F14="フラグ","boolean",IF(F14="文字列","text",IF(F14="整数","integer",IF(F14="実数","numeric",""))))</f>
        <v>integer</v>
      </c>
      <c r="H14" s="26"/>
      <c r="I14" s="10"/>
      <c r="J14" s="11" t="s">
        <v>1280</v>
      </c>
      <c r="M14" s="4"/>
      <c r="N14" s="76"/>
      <c r="O14" s="76"/>
      <c r="P14" s="76" t="str">
        <f t="shared" ref="P14:P29"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milscm_2023_010.azn_202310_base_merge_mml_sm_in_patient.mil_karute_id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9" si="5">IF(I15="○","NOT NULL","")</f>
        <v>NOT NULL</v>
      </c>
      <c r="T15" s="76" t="str">
        <f t="shared" ref="T15:T29"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milscm_2023_010.azn_202310_base_merge_mml_sm_in_patient.facility_id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milscm_2023_010.azn_202310_base_merge_mml_sm_in_patient.shinryo_ymd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milscm_2023_010.azn_202310_base_merge_mml_sm_in_patient.data_type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milscm_2023_010.azn_202310_base_merge_mml_sm_in_patient.master_id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milscm_2023_010.azn_202310_base_merge_mml_sm_in_patient.uid IS '文書ユニークID';</v>
      </c>
    </row>
    <row r="20" spans="1:52" s="25" customFormat="1">
      <c r="A20" s="4"/>
      <c r="B20" s="21">
        <f t="shared" si="2"/>
        <v>8</v>
      </c>
      <c r="C20" s="13" t="s">
        <v>1433</v>
      </c>
      <c r="D20" s="13" t="s">
        <v>1434</v>
      </c>
      <c r="E20" s="7" t="s">
        <v>127</v>
      </c>
      <c r="F20" s="7" t="s">
        <v>203</v>
      </c>
      <c r="G20" s="7" t="str">
        <f t="shared" si="3"/>
        <v>integer</v>
      </c>
      <c r="H20" s="58"/>
      <c r="I20" s="23" t="s">
        <v>127</v>
      </c>
      <c r="J20" s="24" t="s">
        <v>1459</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milscm_2023_010.azn_202310_base_merge_mml_sm_in_patient.summary_seq IS '臨床サマリーSEQ';</v>
      </c>
    </row>
    <row r="21" spans="1:52" s="25" customFormat="1">
      <c r="A21" s="4"/>
      <c r="B21" s="21">
        <f t="shared" si="2"/>
        <v>9</v>
      </c>
      <c r="C21" s="13" t="s">
        <v>1492</v>
      </c>
      <c r="D21" s="13" t="s">
        <v>1493</v>
      </c>
      <c r="E21" s="7" t="s">
        <v>127</v>
      </c>
      <c r="F21" s="7" t="s">
        <v>203</v>
      </c>
      <c r="G21" s="7" t="str">
        <f t="shared" si="3"/>
        <v>integer</v>
      </c>
      <c r="H21" s="58"/>
      <c r="I21" s="23" t="s">
        <v>127</v>
      </c>
      <c r="J21" s="24" t="s">
        <v>1507</v>
      </c>
      <c r="M21" s="4"/>
      <c r="N21" s="76"/>
      <c r="O21" s="76"/>
      <c r="P21" s="76" t="str">
        <f t="shared" si="4"/>
        <v>,nyuin_seq</v>
      </c>
      <c r="Q21" s="76" t="str">
        <f t="shared" si="0"/>
        <v>INTEGER</v>
      </c>
      <c r="R21" s="76" t="str">
        <f t="shared" si="1"/>
        <v/>
      </c>
      <c r="S21" s="76" t="str">
        <f t="shared" si="5"/>
        <v>NOT NULL</v>
      </c>
      <c r="T21" s="76" t="str">
        <f t="shared" si="6"/>
        <v>-- 個々の入院歴SEQ</v>
      </c>
      <c r="U21" s="4"/>
      <c r="AA21" s="4"/>
      <c r="AB21" s="4"/>
      <c r="AC21" s="4"/>
      <c r="AD21" s="4"/>
      <c r="AE21" s="4"/>
      <c r="AF21" s="4"/>
      <c r="AG21" s="4"/>
      <c r="AH21" s="4"/>
      <c r="AI21" s="4"/>
      <c r="AJ21" s="76" t="str">
        <f>IF(E21="○",IF(COUNTA(E$13:E21)=1,"",",")&amp;D21,"")</f>
        <v>,nyuin_seq</v>
      </c>
      <c r="AK21" s="4"/>
      <c r="AL21" s="4"/>
      <c r="AM21" s="4"/>
      <c r="AN21" s="4"/>
      <c r="AO21" s="4"/>
      <c r="AP21" s="4"/>
      <c r="AQ21" s="4"/>
      <c r="AR21" s="4"/>
      <c r="AS21" s="76" t="str">
        <f>"COMMENT ON COLUMN "&amp;エンティティ一覧!$O$2&amp;"."&amp;D$8&amp;"."&amp;D21&amp;" IS '"&amp;C21&amp;"';"</f>
        <v>COMMENT ON COLUMN milscm_2023_010.azn_202310_base_merge_mml_sm_in_patient.nyuin_seq IS '個々の入院歴SEQ';</v>
      </c>
    </row>
    <row r="22" spans="1:52" s="25" customFormat="1" ht="37.5">
      <c r="A22" s="4"/>
      <c r="B22" s="21">
        <f t="shared" si="2"/>
        <v>10</v>
      </c>
      <c r="C22" s="13" t="s">
        <v>1494</v>
      </c>
      <c r="D22" s="13" t="s">
        <v>156</v>
      </c>
      <c r="E22" s="7"/>
      <c r="F22" s="7" t="s">
        <v>863</v>
      </c>
      <c r="G22" s="7" t="str">
        <f t="shared" si="3"/>
        <v>text</v>
      </c>
      <c r="H22" s="58"/>
      <c r="I22" s="23"/>
      <c r="J22" s="24" t="s">
        <v>1508</v>
      </c>
      <c r="M22" s="4"/>
      <c r="N22" s="76"/>
      <c r="O22" s="76"/>
      <c r="P22" s="76" t="str">
        <f t="shared" si="4"/>
        <v>,nyuin_ymd</v>
      </c>
      <c r="Q22" s="76" t="str">
        <f t="shared" si="0"/>
        <v>TEXT</v>
      </c>
      <c r="R22" s="76" t="str">
        <f t="shared" si="1"/>
        <v/>
      </c>
      <c r="S22" s="76" t="str">
        <f t="shared" si="5"/>
        <v/>
      </c>
      <c r="T22" s="76" t="str">
        <f t="shared" si="6"/>
        <v>-- 入院（転入）日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milscm_2023_010.azn_202310_base_merge_mml_sm_in_patient.nyuin_ymd IS '入院（転入）日';</v>
      </c>
    </row>
    <row r="23" spans="1:52" s="25" customFormat="1" ht="37.5">
      <c r="A23" s="4"/>
      <c r="B23" s="21">
        <f t="shared" si="2"/>
        <v>11</v>
      </c>
      <c r="C23" s="13" t="s">
        <v>1495</v>
      </c>
      <c r="D23" s="13" t="s">
        <v>1496</v>
      </c>
      <c r="E23" s="7"/>
      <c r="F23" s="7" t="s">
        <v>863</v>
      </c>
      <c r="G23" s="7" t="str">
        <f t="shared" si="3"/>
        <v>text</v>
      </c>
      <c r="H23" s="58"/>
      <c r="I23" s="23"/>
      <c r="J23" s="24" t="s">
        <v>1509</v>
      </c>
      <c r="M23" s="4"/>
      <c r="N23" s="76"/>
      <c r="O23" s="76"/>
      <c r="P23" s="76" t="str">
        <f t="shared" si="4"/>
        <v>,nyuin_state</v>
      </c>
      <c r="Q23" s="76" t="str">
        <f t="shared" si="0"/>
        <v>TEXT</v>
      </c>
      <c r="R23" s="76" t="str">
        <f t="shared" si="1"/>
        <v/>
      </c>
      <c r="S23" s="76" t="str">
        <f t="shared" si="5"/>
        <v/>
      </c>
      <c r="T23" s="76" t="str">
        <f t="shared" si="6"/>
        <v>-- 入院時状態</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milscm_2023_010.azn_202310_base_merge_mml_sm_in_patient.nyuin_state IS '入院時状態';</v>
      </c>
    </row>
    <row r="24" spans="1:52" s="25" customFormat="1" ht="56.25">
      <c r="A24" s="4"/>
      <c r="B24" s="21">
        <f t="shared" si="2"/>
        <v>12</v>
      </c>
      <c r="C24" s="13" t="s">
        <v>1497</v>
      </c>
      <c r="D24" s="13" t="s">
        <v>1498</v>
      </c>
      <c r="E24" s="7"/>
      <c r="F24" s="7" t="s">
        <v>863</v>
      </c>
      <c r="G24" s="7" t="str">
        <f t="shared" si="3"/>
        <v>text</v>
      </c>
      <c r="H24" s="58"/>
      <c r="I24" s="23"/>
      <c r="J24" s="24" t="s">
        <v>1510</v>
      </c>
      <c r="M24" s="4"/>
      <c r="N24" s="76"/>
      <c r="O24" s="76"/>
      <c r="P24" s="76" t="str">
        <f t="shared" si="4"/>
        <v>,emergency_nyuin_flag</v>
      </c>
      <c r="Q24" s="76" t="str">
        <f t="shared" si="0"/>
        <v>TEXT</v>
      </c>
      <c r="R24" s="76" t="str">
        <f t="shared" si="1"/>
        <v/>
      </c>
      <c r="S24" s="76" t="str">
        <f t="shared" si="5"/>
        <v/>
      </c>
      <c r="T24" s="76" t="str">
        <f t="shared" si="6"/>
        <v>-- 緊急入院フラグ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milscm_2023_010.azn_202310_base_merge_mml_sm_in_patient.emergency_nyuin_flag IS '緊急入院フラグ';</v>
      </c>
    </row>
    <row r="25" spans="1:52" s="25" customFormat="1" ht="93.75">
      <c r="A25" s="4"/>
      <c r="B25" s="21">
        <f t="shared" si="2"/>
        <v>13</v>
      </c>
      <c r="C25" s="13" t="s">
        <v>1499</v>
      </c>
      <c r="D25" s="13" t="s">
        <v>1500</v>
      </c>
      <c r="E25" s="7"/>
      <c r="F25" s="7" t="s">
        <v>863</v>
      </c>
      <c r="G25" s="7" t="str">
        <f t="shared" si="3"/>
        <v>text</v>
      </c>
      <c r="H25" s="58"/>
      <c r="I25" s="23"/>
      <c r="J25" s="24" t="s">
        <v>1515</v>
      </c>
      <c r="M25" s="4"/>
      <c r="N25" s="76"/>
      <c r="O25" s="76"/>
      <c r="P25" s="76" t="str">
        <f t="shared" si="4"/>
        <v>,shokai_moto_facility</v>
      </c>
      <c r="Q25" s="76" t="str">
        <f t="shared" si="0"/>
        <v>TEXT</v>
      </c>
      <c r="R25" s="76" t="str">
        <f t="shared" si="1"/>
        <v/>
      </c>
      <c r="S25" s="76" t="str">
        <f t="shared" si="5"/>
        <v/>
      </c>
      <c r="T25" s="76" t="str">
        <f t="shared" si="6"/>
        <v>-- 紹介元施設</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milscm_2023_010.azn_202310_base_merge_mml_sm_in_patient.shokai_moto_facility IS '紹介元施設';</v>
      </c>
    </row>
    <row r="26" spans="1:52" s="25" customFormat="1" ht="37.5">
      <c r="A26" s="4"/>
      <c r="B26" s="21">
        <f t="shared" si="2"/>
        <v>14</v>
      </c>
      <c r="C26" s="13" t="s">
        <v>1501</v>
      </c>
      <c r="D26" s="13" t="s">
        <v>211</v>
      </c>
      <c r="E26" s="7"/>
      <c r="F26" s="7" t="s">
        <v>863</v>
      </c>
      <c r="G26" s="7" t="str">
        <f t="shared" si="3"/>
        <v>text</v>
      </c>
      <c r="H26" s="58"/>
      <c r="I26" s="23"/>
      <c r="J26" s="24" t="s">
        <v>1511</v>
      </c>
      <c r="M26" s="4"/>
      <c r="N26" s="76"/>
      <c r="O26" s="76"/>
      <c r="P26" s="76" t="str">
        <f t="shared" si="4"/>
        <v>,taiin_ymd</v>
      </c>
      <c r="Q26" s="76" t="str">
        <f t="shared" si="0"/>
        <v>TEXT</v>
      </c>
      <c r="R26" s="76" t="str">
        <f t="shared" si="1"/>
        <v/>
      </c>
      <c r="S26" s="76" t="str">
        <f t="shared" si="5"/>
        <v/>
      </c>
      <c r="T26" s="76" t="str">
        <f t="shared" si="6"/>
        <v>-- 退院（転出）日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milscm_2023_010.azn_202310_base_merge_mml_sm_in_patient.taiin_ymd IS '退院（転出）日';</v>
      </c>
    </row>
    <row r="27" spans="1:52" s="25" customFormat="1" ht="37.5">
      <c r="A27" s="4"/>
      <c r="B27" s="21">
        <f t="shared" si="2"/>
        <v>15</v>
      </c>
      <c r="C27" s="13" t="s">
        <v>1502</v>
      </c>
      <c r="D27" s="13" t="s">
        <v>1503</v>
      </c>
      <c r="E27" s="7"/>
      <c r="F27" s="7" t="s">
        <v>863</v>
      </c>
      <c r="G27" s="7" t="str">
        <f t="shared" si="3"/>
        <v>text</v>
      </c>
      <c r="H27" s="58"/>
      <c r="I27" s="23"/>
      <c r="J27" s="24" t="s">
        <v>1512</v>
      </c>
      <c r="M27" s="4"/>
      <c r="N27" s="76"/>
      <c r="O27" s="76"/>
      <c r="P27" s="76" t="str">
        <f t="shared" si="4"/>
        <v>,taiin_state</v>
      </c>
      <c r="Q27" s="76" t="str">
        <f t="shared" si="0"/>
        <v>TEXT</v>
      </c>
      <c r="R27" s="76" t="str">
        <f t="shared" si="1"/>
        <v/>
      </c>
      <c r="S27" s="76" t="str">
        <f t="shared" si="5"/>
        <v/>
      </c>
      <c r="T27" s="76" t="str">
        <f t="shared" si="6"/>
        <v>-- 退院時状態</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milscm_2023_010.azn_202310_base_merge_mml_sm_in_patient.taiin_state IS '退院時状態';</v>
      </c>
    </row>
    <row r="28" spans="1:52" s="25" customFormat="1" ht="56.25">
      <c r="A28" s="4"/>
      <c r="B28" s="21">
        <f t="shared" si="2"/>
        <v>16</v>
      </c>
      <c r="C28" s="13" t="s">
        <v>591</v>
      </c>
      <c r="D28" s="13" t="s">
        <v>1504</v>
      </c>
      <c r="E28" s="7"/>
      <c r="F28" s="7" t="s">
        <v>863</v>
      </c>
      <c r="G28" s="7" t="str">
        <f t="shared" si="3"/>
        <v>text</v>
      </c>
      <c r="H28" s="58"/>
      <c r="I28" s="23"/>
      <c r="J28" s="24" t="s">
        <v>1513</v>
      </c>
      <c r="M28" s="4"/>
      <c r="N28" s="76"/>
      <c r="O28" s="76"/>
      <c r="P28" s="76" t="str">
        <f t="shared" si="4"/>
        <v>,taiin_tenki</v>
      </c>
      <c r="Q28" s="76" t="str">
        <f t="shared" si="0"/>
        <v>TEXT</v>
      </c>
      <c r="R28" s="76" t="str">
        <f t="shared" si="1"/>
        <v/>
      </c>
      <c r="S28" s="76" t="str">
        <f t="shared" si="5"/>
        <v/>
      </c>
      <c r="T28" s="76" t="str">
        <f t="shared" si="6"/>
        <v>-- 退院時転帰</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milscm_2023_010.azn_202310_base_merge_mml_sm_in_patient.taiin_tenki IS '退院時転帰';</v>
      </c>
    </row>
    <row r="29" spans="1:52" s="25" customFormat="1" ht="94.5" thickBot="1">
      <c r="A29" s="4"/>
      <c r="B29" s="27">
        <f>ROW()-12</f>
        <v>17</v>
      </c>
      <c r="C29" s="57" t="s">
        <v>1505</v>
      </c>
      <c r="D29" s="57" t="s">
        <v>1506</v>
      </c>
      <c r="E29" s="56"/>
      <c r="F29" s="56" t="s">
        <v>863</v>
      </c>
      <c r="G29" s="56" t="str">
        <f t="shared" si="3"/>
        <v>text</v>
      </c>
      <c r="H29" s="59"/>
      <c r="I29" s="60"/>
      <c r="J29" s="63" t="s">
        <v>1514</v>
      </c>
      <c r="N29" s="76"/>
      <c r="O29" s="76"/>
      <c r="P29" s="76" t="str">
        <f t="shared" si="4"/>
        <v>,shokai_saki_facility</v>
      </c>
      <c r="Q29" s="76" t="str">
        <f t="shared" si="0"/>
        <v>TEXT</v>
      </c>
      <c r="R29" s="76" t="str">
        <f t="shared" si="1"/>
        <v/>
      </c>
      <c r="S29" s="76" t="str">
        <f t="shared" si="5"/>
        <v/>
      </c>
      <c r="T29" s="76" t="str">
        <f t="shared" si="6"/>
        <v>-- 紹介先施設</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milscm_2023_010.azn_202310_base_merge_mml_sm_in_patient.shokai_saki_facility IS '紹介先施設';</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31</v>
      </c>
      <c r="E4" s="248"/>
      <c r="F4" s="248"/>
      <c r="G4" s="248"/>
      <c r="H4" s="248"/>
      <c r="I4" s="248"/>
      <c r="J4" s="249"/>
    </row>
    <row r="5" spans="1:45">
      <c r="B5" s="261" t="s">
        <v>3704</v>
      </c>
      <c r="C5" s="262"/>
      <c r="D5" s="271" t="str">
        <f>VLOOKUP(D7,エンティティ一覧!A1:'エンティティ一覧'!AM10203,7,FALSE)</f>
        <v>base</v>
      </c>
      <c r="E5" s="272"/>
      <c r="F5" s="272"/>
      <c r="G5" s="272"/>
      <c r="H5" s="272"/>
      <c r="I5" s="272"/>
      <c r="J5" s="273"/>
    </row>
    <row r="6" spans="1:45">
      <c r="B6" s="261" t="s">
        <v>3705</v>
      </c>
      <c r="C6" s="262"/>
      <c r="D6" s="271" t="str">
        <f>VLOOKUP(D7,エンティティ一覧!A1:'エンティティ一覧'!AM10203,15,FALSE)</f>
        <v>ENT_31_C4-29</v>
      </c>
      <c r="E6" s="272"/>
      <c r="F6" s="272"/>
      <c r="G6" s="272"/>
      <c r="H6" s="272"/>
      <c r="I6" s="272"/>
      <c r="J6" s="273"/>
    </row>
    <row r="7" spans="1:45">
      <c r="B7" s="261" t="s">
        <v>115</v>
      </c>
      <c r="C7" s="262"/>
      <c r="D7" s="263" t="s">
        <v>3688</v>
      </c>
      <c r="E7" s="264"/>
      <c r="F7" s="264"/>
      <c r="G7" s="264"/>
      <c r="H7" s="264"/>
      <c r="I7" s="264"/>
      <c r="J7" s="265"/>
    </row>
    <row r="8" spans="1:45">
      <c r="B8" s="261" t="s">
        <v>116</v>
      </c>
      <c r="C8" s="262"/>
      <c r="D8" s="263" t="str">
        <f>エンティティ一覧!AE2&amp;"_"&amp;D5&amp;"_merge_mml_sm_clinical_course"</f>
        <v>azn_202310_base_merge_mml_sm_clinical_course</v>
      </c>
      <c r="E8" s="264"/>
      <c r="F8" s="264"/>
      <c r="G8" s="264"/>
      <c r="H8" s="264"/>
      <c r="I8" s="264"/>
      <c r="J8" s="265"/>
    </row>
    <row r="9" spans="1:45" ht="19.5" customHeight="1" thickBot="1">
      <c r="B9" s="266" t="s">
        <v>117</v>
      </c>
      <c r="C9" s="267"/>
      <c r="D9" s="268" t="str">
        <f>"バックアップ_"&amp;SUBSTITUTE(D7,"ベース_","")&amp;"テーブルから対象患者で絞り込んだ結果を格納するテーブル"</f>
        <v>バックアップ_臨床サマリーモジュール_経過記録レコードテーブルから対象患者で絞り込んだ結果を格納するテーブル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milscm_2023_010.azn_202310_base_merge_mml_sm_clinical_course;</v>
      </c>
      <c r="O10" s="76"/>
      <c r="P10" s="76"/>
      <c r="Q10" s="76"/>
      <c r="R10" s="76"/>
      <c r="S10" s="76"/>
      <c r="T10" s="76"/>
      <c r="AJ10" s="76" t="str">
        <f>"ALTER TABLE ONLY "&amp;エンティティ一覧!$O$2&amp;"."&amp;D$8</f>
        <v>ALTER TABLE ONLY milscm_2023_010.azn_202310_base_merge_mml_sm_clinical_course</v>
      </c>
      <c r="AS10" s="76" t="str">
        <f>"ALTER TABLE "&amp;エンティティ一覧!$O$2&amp;"."&amp;D$8&amp;" OWNER TO pgmisgrp1;"</f>
        <v>ALTER TABLE milscm_2023_010.azn_202310_base_merge_mml_sm_clinical_course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milscm_2023_010.azn_202310_base_merge_mml_sm_clinical_course</v>
      </c>
      <c r="O11" s="76"/>
      <c r="P11" s="76"/>
      <c r="Q11" s="76"/>
      <c r="R11" s="76"/>
      <c r="S11" s="76"/>
      <c r="T11" s="76"/>
      <c r="AJ11" s="76" t="str">
        <f>"ADD CONSTRAINT "&amp;D$8&amp;"_pkey PRIMARY KEY"</f>
        <v>ADD CONSTRAINT azn_202310_base_merge_mml_sm_clinical_course_pkey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milscm_2023_010.azn_202310_base_merge_mml_sm_clinical_course IS 'ベース_臨床サマリーモジュール_経過記録レコード';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milscm_2023_010.azn_202310_base_merge_mml_sm_clinical_course.torikomi_ym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1280</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milscm_2023_010.azn_202310_base_merge_mml_sm_clinical_course.mil_karute_id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milscm_2023_010.azn_202310_base_merge_mml_sm_clinical_course.facility_id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milscm_2023_010.azn_202310_base_merge_mml_sm_clinical_course.shinryo_ymd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milscm_2023_010.azn_202310_base_merge_mml_sm_clinical_course.data_type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milscm_2023_010.azn_202310_base_merge_mml_sm_clinical_course.master_id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milscm_2023_010.azn_202310_base_merge_mml_sm_clinical_course.uid IS '文書ユニークID';</v>
      </c>
    </row>
    <row r="20" spans="1:52" s="25" customFormat="1">
      <c r="A20" s="4"/>
      <c r="B20" s="21">
        <f t="shared" si="2"/>
        <v>8</v>
      </c>
      <c r="C20" s="13" t="s">
        <v>1433</v>
      </c>
      <c r="D20" s="13" t="s">
        <v>1434</v>
      </c>
      <c r="E20" s="7" t="s">
        <v>127</v>
      </c>
      <c r="F20" s="7" t="s">
        <v>203</v>
      </c>
      <c r="G20" s="7" t="str">
        <f t="shared" si="3"/>
        <v>integer</v>
      </c>
      <c r="H20" s="58"/>
      <c r="I20" s="23" t="s">
        <v>127</v>
      </c>
      <c r="J20" s="24" t="s">
        <v>1459</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milscm_2023_010.azn_202310_base_merge_mml_sm_clinical_course.summary_seq IS '臨床サマリーSEQ';</v>
      </c>
    </row>
    <row r="21" spans="1:52" s="25" customFormat="1">
      <c r="A21" s="4"/>
      <c r="B21" s="21">
        <f t="shared" si="2"/>
        <v>9</v>
      </c>
      <c r="C21" s="13" t="s">
        <v>1342</v>
      </c>
      <c r="D21" s="13" t="s">
        <v>1343</v>
      </c>
      <c r="E21" s="7" t="s">
        <v>127</v>
      </c>
      <c r="F21" s="7" t="s">
        <v>203</v>
      </c>
      <c r="G21" s="7" t="str">
        <f t="shared" si="3"/>
        <v>integer</v>
      </c>
      <c r="H21" s="58"/>
      <c r="I21" s="23" t="s">
        <v>127</v>
      </c>
      <c r="J21" s="24" t="s">
        <v>1526</v>
      </c>
      <c r="M21" s="4"/>
      <c r="N21" s="76"/>
      <c r="O21" s="76"/>
      <c r="P21" s="76" t="str">
        <f t="shared" si="4"/>
        <v>,keika_seq</v>
      </c>
      <c r="Q21" s="76" t="str">
        <f t="shared" si="0"/>
        <v>INTEGER</v>
      </c>
      <c r="R21" s="76" t="str">
        <f t="shared" si="1"/>
        <v/>
      </c>
      <c r="S21" s="76" t="str">
        <f t="shared" si="5"/>
        <v>NOT NULL</v>
      </c>
      <c r="T21" s="76" t="str">
        <f t="shared" si="6"/>
        <v>-- 経過記録SEQ</v>
      </c>
      <c r="U21" s="4"/>
      <c r="AA21" s="4"/>
      <c r="AB21" s="4"/>
      <c r="AC21" s="4"/>
      <c r="AD21" s="4"/>
      <c r="AE21" s="4"/>
      <c r="AF21" s="4"/>
      <c r="AG21" s="4"/>
      <c r="AH21" s="4"/>
      <c r="AI21" s="4"/>
      <c r="AJ21" s="76" t="str">
        <f>IF(E21="○",IF(COUNTA(E$13:E21)=1,"",",")&amp;D21,"")</f>
        <v>,keika_seq</v>
      </c>
      <c r="AK21" s="4"/>
      <c r="AL21" s="4"/>
      <c r="AM21" s="4"/>
      <c r="AN21" s="4"/>
      <c r="AO21" s="4"/>
      <c r="AP21" s="4"/>
      <c r="AQ21" s="4"/>
      <c r="AR21" s="4"/>
      <c r="AS21" s="76" t="str">
        <f>"COMMENT ON COLUMN "&amp;エンティティ一覧!$O$2&amp;"."&amp;D$8&amp;"."&amp;D21&amp;" IS '"&amp;C21&amp;"';"</f>
        <v>COMMENT ON COLUMN milscm_2023_010.azn_202310_base_merge_mml_sm_clinical_course.keika_seq IS '経過記録SEQ';</v>
      </c>
    </row>
    <row r="22" spans="1:52" s="25" customFormat="1" ht="37.5">
      <c r="A22" s="4"/>
      <c r="B22" s="21">
        <f t="shared" si="2"/>
        <v>10</v>
      </c>
      <c r="C22" s="13" t="s">
        <v>1518</v>
      </c>
      <c r="D22" s="13" t="s">
        <v>1519</v>
      </c>
      <c r="E22" s="7"/>
      <c r="F22" s="7" t="s">
        <v>863</v>
      </c>
      <c r="G22" s="7" t="str">
        <f t="shared" si="3"/>
        <v>text</v>
      </c>
      <c r="H22" s="58"/>
      <c r="I22" s="23"/>
      <c r="J22" s="24" t="s">
        <v>1527</v>
      </c>
      <c r="M22" s="4"/>
      <c r="N22" s="76"/>
      <c r="O22" s="76"/>
      <c r="P22" s="76" t="str">
        <f t="shared" si="4"/>
        <v>,keika_kiroku</v>
      </c>
      <c r="Q22" s="76" t="str">
        <f t="shared" si="0"/>
        <v>TEXT</v>
      </c>
      <c r="R22" s="76" t="str">
        <f t="shared" si="1"/>
        <v/>
      </c>
      <c r="S22" s="76" t="str">
        <f t="shared" si="5"/>
        <v/>
      </c>
      <c r="T22" s="76" t="str">
        <f t="shared" si="6"/>
        <v>-- 経過記録</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milscm_2023_010.azn_202310_base_merge_mml_sm_clinical_course.keika_kiroku IS '経過記録';</v>
      </c>
    </row>
    <row r="23" spans="1:52" s="25" customFormat="1" ht="37.5">
      <c r="A23" s="4"/>
      <c r="B23" s="21">
        <f t="shared" si="2"/>
        <v>11</v>
      </c>
      <c r="C23" s="13" t="s">
        <v>1520</v>
      </c>
      <c r="D23" s="13" t="s">
        <v>1521</v>
      </c>
      <c r="E23" s="7"/>
      <c r="F23" s="7" t="s">
        <v>863</v>
      </c>
      <c r="G23" s="7" t="str">
        <f t="shared" si="3"/>
        <v>text</v>
      </c>
      <c r="H23" s="58"/>
      <c r="I23" s="23"/>
      <c r="J23" s="24" t="s">
        <v>1528</v>
      </c>
      <c r="M23" s="4"/>
      <c r="N23" s="76"/>
      <c r="O23" s="76"/>
      <c r="P23" s="76" t="str">
        <f t="shared" si="4"/>
        <v>,event_date</v>
      </c>
      <c r="Q23" s="76" t="str">
        <f t="shared" si="0"/>
        <v>TEXT</v>
      </c>
      <c r="R23" s="76" t="str">
        <f t="shared" si="1"/>
        <v/>
      </c>
      <c r="S23" s="76" t="str">
        <f t="shared" si="5"/>
        <v/>
      </c>
      <c r="T23" s="76" t="str">
        <f t="shared" si="6"/>
        <v>-- イベント発生日時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milscm_2023_010.azn_202310_base_merge_mml_sm_clinical_course.event_date IS 'イベント発生日時';</v>
      </c>
    </row>
    <row r="24" spans="1:52" s="25" customFormat="1" ht="37.5">
      <c r="A24" s="4"/>
      <c r="B24" s="21">
        <f t="shared" si="2"/>
        <v>12</v>
      </c>
      <c r="C24" s="13" t="s">
        <v>1522</v>
      </c>
      <c r="D24" s="13" t="s">
        <v>1523</v>
      </c>
      <c r="E24" s="7"/>
      <c r="F24" s="7" t="s">
        <v>863</v>
      </c>
      <c r="G24" s="7" t="str">
        <f t="shared" si="3"/>
        <v>text</v>
      </c>
      <c r="H24" s="58"/>
      <c r="I24" s="23"/>
      <c r="J24" s="24" t="s">
        <v>1529</v>
      </c>
      <c r="M24" s="4"/>
      <c r="N24" s="76"/>
      <c r="O24" s="76"/>
      <c r="P24" s="76" t="str">
        <f t="shared" si="4"/>
        <v>,kanren_doc_uid</v>
      </c>
      <c r="Q24" s="76" t="str">
        <f t="shared" si="0"/>
        <v>TEXT</v>
      </c>
      <c r="R24" s="76" t="str">
        <f t="shared" si="1"/>
        <v/>
      </c>
      <c r="S24" s="76" t="str">
        <f t="shared" si="5"/>
        <v/>
      </c>
      <c r="T24" s="76" t="str">
        <f t="shared" si="6"/>
        <v>-- 関連文書のuid</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milscm_2023_010.azn_202310_base_merge_mml_sm_clinical_course.kanren_doc_uid IS '関連文書のuid';</v>
      </c>
    </row>
    <row r="25" spans="1:52" s="25" customFormat="1" ht="75.75" thickBot="1">
      <c r="A25" s="4"/>
      <c r="B25" s="27">
        <f>ROW()-12</f>
        <v>13</v>
      </c>
      <c r="C25" s="57" t="s">
        <v>1524</v>
      </c>
      <c r="D25" s="57" t="s">
        <v>1525</v>
      </c>
      <c r="E25" s="56"/>
      <c r="F25" s="56" t="s">
        <v>863</v>
      </c>
      <c r="G25" s="56" t="str">
        <f t="shared" si="3"/>
        <v>text</v>
      </c>
      <c r="H25" s="59"/>
      <c r="I25" s="60"/>
      <c r="J25" s="63" t="s">
        <v>1530</v>
      </c>
      <c r="N25" s="76"/>
      <c r="O25" s="76"/>
      <c r="P25" s="76" t="str">
        <f t="shared" si="4"/>
        <v>,kanren_doc_type</v>
      </c>
      <c r="Q25" s="76" t="str">
        <f t="shared" si="0"/>
        <v>TEXT</v>
      </c>
      <c r="R25" s="76" t="str">
        <f t="shared" si="1"/>
        <v/>
      </c>
      <c r="S25" s="76" t="str">
        <f t="shared" si="5"/>
        <v/>
      </c>
      <c r="T25" s="76" t="str">
        <f t="shared" si="6"/>
        <v>-- 関連文書_関連の種別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milscm_2023_010.azn_202310_base_merge_mml_sm_clinical_course.kanren_doc_type IS '関連文書_関連の種別';</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31</v>
      </c>
      <c r="E4" s="248"/>
      <c r="F4" s="248"/>
      <c r="G4" s="248"/>
      <c r="H4" s="248"/>
      <c r="I4" s="248"/>
      <c r="J4" s="249"/>
    </row>
    <row r="5" spans="1:45">
      <c r="B5" s="261" t="s">
        <v>3704</v>
      </c>
      <c r="C5" s="262"/>
      <c r="D5" s="271" t="str">
        <f>VLOOKUP(D7,エンティティ一覧!A1:'エンティティ一覧'!AM10203,7,FALSE)</f>
        <v>base</v>
      </c>
      <c r="E5" s="272"/>
      <c r="F5" s="272"/>
      <c r="G5" s="272"/>
      <c r="H5" s="272"/>
      <c r="I5" s="272"/>
      <c r="J5" s="273"/>
    </row>
    <row r="6" spans="1:45">
      <c r="B6" s="261" t="s">
        <v>3705</v>
      </c>
      <c r="C6" s="262"/>
      <c r="D6" s="271" t="str">
        <f>VLOOKUP(D7,エンティティ一覧!A1:'エンティティ一覧'!AM10203,15,FALSE)</f>
        <v>ENT_31_C4-30</v>
      </c>
      <c r="E6" s="272"/>
      <c r="F6" s="272"/>
      <c r="G6" s="272"/>
      <c r="H6" s="272"/>
      <c r="I6" s="272"/>
      <c r="J6" s="273"/>
    </row>
    <row r="7" spans="1:45">
      <c r="B7" s="261" t="s">
        <v>115</v>
      </c>
      <c r="C7" s="262"/>
      <c r="D7" s="263" t="s">
        <v>3689</v>
      </c>
      <c r="E7" s="264"/>
      <c r="F7" s="264"/>
      <c r="G7" s="264"/>
      <c r="H7" s="264"/>
      <c r="I7" s="264"/>
      <c r="J7" s="265"/>
    </row>
    <row r="8" spans="1:45">
      <c r="B8" s="261" t="s">
        <v>116</v>
      </c>
      <c r="C8" s="262"/>
      <c r="D8" s="263" t="str">
        <f>エンティティ一覧!AE2&amp;"_"&amp;D5&amp;"_merge_mml_sm_test_results"</f>
        <v>azn_202310_base_merge_mml_sm_test_results</v>
      </c>
      <c r="E8" s="264"/>
      <c r="F8" s="264"/>
      <c r="G8" s="264"/>
      <c r="H8" s="264"/>
      <c r="I8" s="264"/>
      <c r="J8" s="265"/>
    </row>
    <row r="9" spans="1:45" ht="19.5" customHeight="1" thickBot="1">
      <c r="B9" s="266" t="s">
        <v>117</v>
      </c>
      <c r="C9" s="267"/>
      <c r="D9" s="268" t="str">
        <f>"バックアップ_"&amp;SUBSTITUTE(D7,"ベース_","")&amp;"テーブルから対象患者で絞り込んだ結果を格納するテーブル"</f>
        <v>バックアップ_臨床サマリーモジュール_検査結果レコードテーブルから対象患者で絞り込んだ結果を格納するテーブル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milscm_2023_010.azn_202310_base_merge_mml_sm_test_results;</v>
      </c>
      <c r="O10" s="76"/>
      <c r="P10" s="76"/>
      <c r="Q10" s="76"/>
      <c r="R10" s="76"/>
      <c r="S10" s="76"/>
      <c r="T10" s="76"/>
      <c r="AJ10" s="76" t="str">
        <f>"ALTER TABLE ONLY "&amp;エンティティ一覧!$O$2&amp;"."&amp;D$8</f>
        <v>ALTER TABLE ONLY milscm_2023_010.azn_202310_base_merge_mml_sm_test_results</v>
      </c>
      <c r="AS10" s="76" t="str">
        <f>"ALTER TABLE "&amp;エンティティ一覧!$O$2&amp;"."&amp;D$8&amp;" OWNER TO pgmisgrp1;"</f>
        <v>ALTER TABLE milscm_2023_010.azn_202310_base_merge_mml_sm_test_results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milscm_2023_010.azn_202310_base_merge_mml_sm_test_results</v>
      </c>
      <c r="O11" s="76"/>
      <c r="P11" s="76"/>
      <c r="Q11" s="76"/>
      <c r="R11" s="76"/>
      <c r="S11" s="76"/>
      <c r="T11" s="76"/>
      <c r="AJ11" s="76" t="str">
        <f>"ADD CONSTRAINT "&amp;D$8&amp;"_pkey PRIMARY KEY"</f>
        <v>ADD CONSTRAINT azn_202310_base_merge_mml_sm_test_results_pkey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milscm_2023_010.azn_202310_base_merge_mml_sm_test_results IS 'ベース_臨床サマリーモジュール_検査結果レコード';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3" si="0">UPPER(G13)</f>
        <v>TEXT</v>
      </c>
      <c r="R13" s="76" t="str">
        <f t="shared" ref="R13:R2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milscm_2023_010.azn_202310_base_merge_mml_sm_test_results.torikomi_ym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1280</v>
      </c>
      <c r="M14" s="4"/>
      <c r="N14" s="76"/>
      <c r="O14" s="76"/>
      <c r="P14" s="76" t="str">
        <f t="shared" ref="P14:P2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milscm_2023_010.azn_202310_base_merge_mml_sm_test_results.mil_karute_id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3" si="5">IF(I15="○","NOT NULL","")</f>
        <v>NOT NULL</v>
      </c>
      <c r="T15" s="76" t="str">
        <f t="shared" ref="T15:T2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milscm_2023_010.azn_202310_base_merge_mml_sm_test_results.facility_id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milscm_2023_010.azn_202310_base_merge_mml_sm_test_results.shinryo_ymd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milscm_2023_010.azn_202310_base_merge_mml_sm_test_results.data_type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milscm_2023_010.azn_202310_base_merge_mml_sm_test_results.master_id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milscm_2023_010.azn_202310_base_merge_mml_sm_test_results.uid IS '文書ユニークID';</v>
      </c>
    </row>
    <row r="20" spans="1:52" s="25" customFormat="1">
      <c r="A20" s="4"/>
      <c r="B20" s="21">
        <f t="shared" si="2"/>
        <v>8</v>
      </c>
      <c r="C20" s="13" t="s">
        <v>1533</v>
      </c>
      <c r="D20" s="13" t="s">
        <v>1434</v>
      </c>
      <c r="E20" s="7" t="s">
        <v>127</v>
      </c>
      <c r="F20" s="7" t="s">
        <v>203</v>
      </c>
      <c r="G20" s="7" t="str">
        <f t="shared" si="3"/>
        <v>integer</v>
      </c>
      <c r="H20" s="58"/>
      <c r="I20" s="23" t="s">
        <v>127</v>
      </c>
      <c r="J20" s="24" t="s">
        <v>1459</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milscm_2023_010.azn_202310_base_merge_mml_sm_test_results.summary_seq IS '臨床サマリーSEQ';</v>
      </c>
    </row>
    <row r="21" spans="1:52" s="25" customFormat="1">
      <c r="A21" s="4"/>
      <c r="B21" s="21">
        <f t="shared" si="2"/>
        <v>9</v>
      </c>
      <c r="C21" s="13" t="s">
        <v>1534</v>
      </c>
      <c r="D21" s="13" t="s">
        <v>1535</v>
      </c>
      <c r="E21" s="7" t="s">
        <v>127</v>
      </c>
      <c r="F21" s="7" t="s">
        <v>203</v>
      </c>
      <c r="G21" s="7" t="str">
        <f t="shared" si="3"/>
        <v>integer</v>
      </c>
      <c r="H21" s="58"/>
      <c r="I21" s="23" t="s">
        <v>127</v>
      </c>
      <c r="J21" s="24" t="s">
        <v>1538</v>
      </c>
      <c r="M21" s="4"/>
      <c r="N21" s="76"/>
      <c r="O21" s="76"/>
      <c r="P21" s="76" t="str">
        <f t="shared" si="4"/>
        <v>,kensa_seq</v>
      </c>
      <c r="Q21" s="76" t="str">
        <f t="shared" si="0"/>
        <v>INTEGER</v>
      </c>
      <c r="R21" s="76" t="str">
        <f t="shared" si="1"/>
        <v/>
      </c>
      <c r="S21" s="76" t="str">
        <f t="shared" si="5"/>
        <v>NOT NULL</v>
      </c>
      <c r="T21" s="76" t="str">
        <f t="shared" si="6"/>
        <v>-- 個々の検査結果SEQ</v>
      </c>
      <c r="U21" s="4"/>
      <c r="AA21" s="4"/>
      <c r="AB21" s="4"/>
      <c r="AC21" s="4"/>
      <c r="AD21" s="4"/>
      <c r="AE21" s="4"/>
      <c r="AF21" s="4"/>
      <c r="AG21" s="4"/>
      <c r="AH21" s="4"/>
      <c r="AI21" s="4"/>
      <c r="AJ21" s="76" t="str">
        <f>IF(E21="○",IF(COUNTA(E$13:E21)=1,"",",")&amp;D21,"")</f>
        <v>,kensa_seq</v>
      </c>
      <c r="AK21" s="4"/>
      <c r="AL21" s="4"/>
      <c r="AM21" s="4"/>
      <c r="AN21" s="4"/>
      <c r="AO21" s="4"/>
      <c r="AP21" s="4"/>
      <c r="AQ21" s="4"/>
      <c r="AR21" s="4"/>
      <c r="AS21" s="76" t="str">
        <f>"COMMENT ON COLUMN "&amp;エンティティ一覧!$O$2&amp;"."&amp;D$8&amp;"."&amp;D21&amp;" IS '"&amp;C21&amp;"';"</f>
        <v>COMMENT ON COLUMN milscm_2023_010.azn_202310_base_merge_mml_sm_test_results.kensa_seq IS '個々の検査結果SEQ';</v>
      </c>
    </row>
    <row r="22" spans="1:52" s="25" customFormat="1" ht="37.5">
      <c r="A22" s="4"/>
      <c r="B22" s="21">
        <f t="shared" si="2"/>
        <v>10</v>
      </c>
      <c r="C22" s="13" t="s">
        <v>1536</v>
      </c>
      <c r="D22" s="13" t="s">
        <v>1537</v>
      </c>
      <c r="E22" s="7"/>
      <c r="F22" s="7" t="s">
        <v>863</v>
      </c>
      <c r="G22" s="7" t="str">
        <f t="shared" si="3"/>
        <v>text</v>
      </c>
      <c r="H22" s="58"/>
      <c r="I22" s="23"/>
      <c r="J22" s="24" t="s">
        <v>1539</v>
      </c>
      <c r="M22" s="4"/>
      <c r="N22" s="76"/>
      <c r="O22" s="76"/>
      <c r="P22" s="76" t="str">
        <f t="shared" si="4"/>
        <v>,kensa_result_value</v>
      </c>
      <c r="Q22" s="76" t="str">
        <f t="shared" si="0"/>
        <v>TEXT</v>
      </c>
      <c r="R22" s="76" t="str">
        <f t="shared" si="1"/>
        <v/>
      </c>
      <c r="S22" s="76" t="str">
        <f t="shared" si="5"/>
        <v/>
      </c>
      <c r="T22" s="76" t="str">
        <f t="shared" si="6"/>
        <v>-- 個々の検査結果</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milscm_2023_010.azn_202310_base_merge_mml_sm_test_results.kensa_result_value IS '個々の検査結果';</v>
      </c>
    </row>
    <row r="23" spans="1:52" s="25" customFormat="1" ht="38.25" thickBot="1">
      <c r="A23" s="4"/>
      <c r="B23" s="27">
        <f>ROW()-12</f>
        <v>11</v>
      </c>
      <c r="C23" s="57" t="s">
        <v>1520</v>
      </c>
      <c r="D23" s="57" t="s">
        <v>1521</v>
      </c>
      <c r="E23" s="56"/>
      <c r="F23" s="56" t="s">
        <v>863</v>
      </c>
      <c r="G23" s="56" t="str">
        <f t="shared" si="3"/>
        <v>text</v>
      </c>
      <c r="H23" s="59"/>
      <c r="I23" s="60"/>
      <c r="J23" s="63" t="s">
        <v>1540</v>
      </c>
      <c r="N23" s="76"/>
      <c r="O23" s="76"/>
      <c r="P23" s="76" t="str">
        <f t="shared" si="4"/>
        <v>,event_date</v>
      </c>
      <c r="Q23" s="76" t="str">
        <f t="shared" si="0"/>
        <v>TEXT</v>
      </c>
      <c r="R23" s="76" t="str">
        <f t="shared" si="1"/>
        <v/>
      </c>
      <c r="S23" s="76" t="str">
        <f t="shared" si="5"/>
        <v/>
      </c>
      <c r="T23" s="76" t="str">
        <f t="shared" si="6"/>
        <v>-- イベント発生日時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milscm_2023_010.azn_202310_base_merge_mml_sm_test_results.event_date IS 'イベント発生日時';</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31</v>
      </c>
      <c r="E4" s="248"/>
      <c r="F4" s="248"/>
      <c r="G4" s="248"/>
      <c r="H4" s="248"/>
      <c r="I4" s="248"/>
      <c r="J4" s="249"/>
    </row>
    <row r="5" spans="1:45">
      <c r="B5" s="261" t="s">
        <v>3704</v>
      </c>
      <c r="C5" s="262"/>
      <c r="D5" s="271" t="str">
        <f>VLOOKUP(D7,エンティティ一覧!A1:'エンティティ一覧'!AM10203,7,FALSE)</f>
        <v>base</v>
      </c>
      <c r="E5" s="272"/>
      <c r="F5" s="272"/>
      <c r="G5" s="272"/>
      <c r="H5" s="272"/>
      <c r="I5" s="272"/>
      <c r="J5" s="273"/>
    </row>
    <row r="6" spans="1:45">
      <c r="B6" s="261" t="s">
        <v>3705</v>
      </c>
      <c r="C6" s="262"/>
      <c r="D6" s="271" t="str">
        <f>VLOOKUP(D7,エンティティ一覧!A1:'エンティティ一覧'!AM10203,15,FALSE)</f>
        <v>ENT_31_C4-31</v>
      </c>
      <c r="E6" s="272"/>
      <c r="F6" s="272"/>
      <c r="G6" s="272"/>
      <c r="H6" s="272"/>
      <c r="I6" s="272"/>
      <c r="J6" s="273"/>
    </row>
    <row r="7" spans="1:45">
      <c r="B7" s="261" t="s">
        <v>115</v>
      </c>
      <c r="C7" s="262"/>
      <c r="D7" s="263" t="s">
        <v>3690</v>
      </c>
      <c r="E7" s="264"/>
      <c r="F7" s="264"/>
      <c r="G7" s="264"/>
      <c r="H7" s="264"/>
      <c r="I7" s="264"/>
      <c r="J7" s="265"/>
    </row>
    <row r="8" spans="1:45">
      <c r="B8" s="261" t="s">
        <v>116</v>
      </c>
      <c r="C8" s="262"/>
      <c r="D8" s="263" t="str">
        <f>エンティティ一覧!AE2&amp;"_"&amp;D5&amp;"_merge_mml_lb_test"</f>
        <v>azn_202310_base_merge_mml_lb_test</v>
      </c>
      <c r="E8" s="264"/>
      <c r="F8" s="264"/>
      <c r="G8" s="264"/>
      <c r="H8" s="264"/>
      <c r="I8" s="264"/>
      <c r="J8" s="265"/>
    </row>
    <row r="9" spans="1:45" ht="19.5" customHeight="1" thickBot="1">
      <c r="B9" s="266" t="s">
        <v>117</v>
      </c>
      <c r="C9" s="267"/>
      <c r="D9" s="268" t="str">
        <f>"バックアップ_"&amp;SUBSTITUTE(D7,"ベース_","")&amp;"テーブルから対象患者で絞り込んだ結果を格納するテーブル"</f>
        <v>バックアップ_検歴情報モジュール_検歴情報テーブルから対象患者で絞り込んだ結果を格納するテーブル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milscm_2023_010.azn_202310_base_merge_mml_lb_test;</v>
      </c>
      <c r="O10" s="76"/>
      <c r="P10" s="76"/>
      <c r="Q10" s="76"/>
      <c r="R10" s="76"/>
      <c r="S10" s="76"/>
      <c r="T10" s="76"/>
      <c r="AJ10" s="76" t="str">
        <f>"ALTER TABLE ONLY "&amp;エンティティ一覧!$O$2&amp;"."&amp;D$8</f>
        <v>ALTER TABLE ONLY milscm_2023_010.azn_202310_base_merge_mml_lb_test</v>
      </c>
      <c r="AS10" s="76" t="str">
        <f>"ALTER TABLE "&amp;エンティティ一覧!$O$2&amp;"."&amp;D$8&amp;" OWNER TO pgmisgrp1;"</f>
        <v>ALTER TABLE milscm_2023_010.azn_202310_base_merge_mml_lb_test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milscm_2023_010.azn_202310_base_merge_mml_lb_test</v>
      </c>
      <c r="O11" s="76"/>
      <c r="P11" s="76"/>
      <c r="Q11" s="76"/>
      <c r="R11" s="76"/>
      <c r="S11" s="76"/>
      <c r="T11" s="76"/>
      <c r="AJ11" s="76" t="str">
        <f>"ADD CONSTRAINT "&amp;D$8&amp;"_pkey PRIMARY KEY"</f>
        <v>ADD CONSTRAINT azn_202310_base_merge_mml_lb_test_pkey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milscm_2023_010.azn_202310_base_merge_mml_lb_test IS 'ベース_検歴情報モジュール_検歴情報';</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38" si="0">UPPER(G13)</f>
        <v>TEXT</v>
      </c>
      <c r="R13" s="76" t="str">
        <f t="shared" ref="R13:R38"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milscm_2023_010.azn_202310_base_merge_mml_lb_test.torikomi_ym IS '取込年月';</v>
      </c>
    </row>
    <row r="14" spans="1:45" s="25" customFormat="1">
      <c r="A14" s="4"/>
      <c r="B14" s="21">
        <f t="shared" ref="B14:B37" si="2">ROW()-12</f>
        <v>2</v>
      </c>
      <c r="C14" s="6" t="s">
        <v>201</v>
      </c>
      <c r="D14" s="6" t="s">
        <v>202</v>
      </c>
      <c r="E14" s="8"/>
      <c r="F14" s="7" t="s">
        <v>203</v>
      </c>
      <c r="G14" s="7" t="str">
        <f t="shared" ref="G14:G38" si="3">IF(F14="フラグ","boolean",IF(F14="文字列","text",IF(F14="整数","integer",IF(F14="実数","numeric",""))))</f>
        <v>integer</v>
      </c>
      <c r="H14" s="26"/>
      <c r="I14" s="10"/>
      <c r="J14" s="11" t="s">
        <v>256</v>
      </c>
      <c r="M14" s="4"/>
      <c r="N14" s="76"/>
      <c r="O14" s="76"/>
      <c r="P14" s="76" t="str">
        <f t="shared" ref="P14:P38"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milscm_2023_010.azn_202310_base_merge_mml_lb_test.mil_karute_id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38" si="5">IF(I15="○","NOT NULL","")</f>
        <v>NOT NULL</v>
      </c>
      <c r="T15" s="76" t="str">
        <f t="shared" ref="T15:T38"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milscm_2023_010.azn_202310_base_merge_mml_lb_test.facility_id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milscm_2023_010.azn_202310_base_merge_mml_lb_test.shinryo_ymd IS '診療年月日';</v>
      </c>
    </row>
    <row r="17" spans="1:45"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milscm_2023_010.azn_202310_base_merge_mml_lb_test.data_type IS 'データ種別';</v>
      </c>
    </row>
    <row r="18" spans="1:45"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milscm_2023_010.azn_202310_base_merge_mml_lb_test.master_id IS '患者ID';</v>
      </c>
    </row>
    <row r="19" spans="1:45"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milscm_2023_010.azn_202310_base_merge_mml_lb_test.uid IS '文書ユニークID';</v>
      </c>
    </row>
    <row r="20" spans="1:45" s="25" customFormat="1">
      <c r="A20" s="4"/>
      <c r="B20" s="21">
        <f t="shared" si="2"/>
        <v>8</v>
      </c>
      <c r="C20" s="13" t="s">
        <v>1542</v>
      </c>
      <c r="D20" s="13" t="s">
        <v>1543</v>
      </c>
      <c r="E20" s="7" t="s">
        <v>127</v>
      </c>
      <c r="F20" s="7" t="s">
        <v>203</v>
      </c>
      <c r="G20" s="7" t="str">
        <f t="shared" si="3"/>
        <v>integer</v>
      </c>
      <c r="H20" s="58"/>
      <c r="I20" s="23" t="s">
        <v>127</v>
      </c>
      <c r="J20" s="24" t="s">
        <v>1580</v>
      </c>
      <c r="M20" s="4"/>
      <c r="N20" s="76"/>
      <c r="O20" s="76"/>
      <c r="P20" s="76" t="str">
        <f t="shared" si="4"/>
        <v>,kenreki_seq</v>
      </c>
      <c r="Q20" s="76" t="str">
        <f t="shared" si="0"/>
        <v>INTEGER</v>
      </c>
      <c r="R20" s="76" t="str">
        <f t="shared" si="1"/>
        <v/>
      </c>
      <c r="S20" s="76" t="str">
        <f t="shared" si="5"/>
        <v>NOT NULL</v>
      </c>
      <c r="T20" s="76" t="str">
        <f t="shared" si="6"/>
        <v>-- 検歴SEQ</v>
      </c>
      <c r="U20" s="4"/>
      <c r="AA20" s="4"/>
      <c r="AB20" s="4"/>
      <c r="AC20" s="4"/>
      <c r="AD20" s="4"/>
      <c r="AE20" s="4"/>
      <c r="AF20" s="4"/>
      <c r="AG20" s="4"/>
      <c r="AH20" s="4"/>
      <c r="AI20" s="4"/>
      <c r="AJ20" s="76" t="str">
        <f>IF(E20="○",IF(COUNTA(E$13:E20)=1,"",",")&amp;D20,"")</f>
        <v>,kenreki_seq</v>
      </c>
      <c r="AK20" s="4"/>
      <c r="AL20" s="4"/>
      <c r="AM20" s="4"/>
      <c r="AN20" s="4"/>
      <c r="AO20" s="4"/>
      <c r="AP20" s="4"/>
      <c r="AQ20" s="4"/>
      <c r="AR20" s="4"/>
      <c r="AS20" s="76" t="str">
        <f>"COMMENT ON COLUMN "&amp;エンティティ一覧!$O$2&amp;"."&amp;D$8&amp;"."&amp;D20&amp;" IS '"&amp;C20&amp;"';"</f>
        <v>COMMENT ON COLUMN milscm_2023_010.azn_202310_base_merge_mml_lb_test.kenreki_seq IS '検歴SEQ';</v>
      </c>
    </row>
    <row r="21" spans="1:45" s="25" customFormat="1">
      <c r="A21" s="4"/>
      <c r="B21" s="21">
        <f t="shared" si="2"/>
        <v>9</v>
      </c>
      <c r="C21" s="13" t="s">
        <v>1544</v>
      </c>
      <c r="D21" s="13" t="s">
        <v>1545</v>
      </c>
      <c r="E21" s="7"/>
      <c r="F21" s="7" t="s">
        <v>863</v>
      </c>
      <c r="G21" s="7" t="str">
        <f t="shared" si="3"/>
        <v>text</v>
      </c>
      <c r="H21" s="58"/>
      <c r="I21" s="23"/>
      <c r="J21" s="24" t="s">
        <v>1581</v>
      </c>
      <c r="M21" s="4"/>
      <c r="N21" s="76"/>
      <c r="O21" s="76"/>
      <c r="P21" s="76" t="str">
        <f t="shared" si="4"/>
        <v>,irai_id</v>
      </c>
      <c r="Q21" s="76" t="str">
        <f t="shared" si="0"/>
        <v>TEXT</v>
      </c>
      <c r="R21" s="76" t="str">
        <f t="shared" si="1"/>
        <v/>
      </c>
      <c r="S21" s="76" t="str">
        <f t="shared" si="5"/>
        <v/>
      </c>
      <c r="T21" s="76" t="str">
        <f t="shared" si="6"/>
        <v>-- 依頼ID</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milscm_2023_010.azn_202310_base_merge_mml_lb_test.irai_id IS '依頼ID';</v>
      </c>
    </row>
    <row r="22" spans="1:45" s="25" customFormat="1" ht="37.5">
      <c r="A22" s="4"/>
      <c r="B22" s="21">
        <f t="shared" si="2"/>
        <v>10</v>
      </c>
      <c r="C22" s="13" t="s">
        <v>1546</v>
      </c>
      <c r="D22" s="13" t="s">
        <v>1547</v>
      </c>
      <c r="E22" s="7"/>
      <c r="F22" s="7" t="s">
        <v>863</v>
      </c>
      <c r="G22" s="7" t="str">
        <f t="shared" si="3"/>
        <v>text</v>
      </c>
      <c r="H22" s="58"/>
      <c r="I22" s="23"/>
      <c r="J22" s="24" t="s">
        <v>1582</v>
      </c>
      <c r="M22" s="4"/>
      <c r="N22" s="76"/>
      <c r="O22" s="76"/>
      <c r="P22" s="76" t="str">
        <f t="shared" si="4"/>
        <v>,sample_time</v>
      </c>
      <c r="Q22" s="76" t="str">
        <f t="shared" si="0"/>
        <v>TEXT</v>
      </c>
      <c r="R22" s="76" t="str">
        <f t="shared" si="1"/>
        <v/>
      </c>
      <c r="S22" s="76" t="str">
        <f t="shared" si="5"/>
        <v/>
      </c>
      <c r="T22" s="76" t="str">
        <f t="shared" si="6"/>
        <v>-- 採取日時</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milscm_2023_010.azn_202310_base_merge_mml_lb_test.sample_time IS '採取日時';</v>
      </c>
    </row>
    <row r="23" spans="1:45" s="25" customFormat="1" ht="37.5">
      <c r="A23" s="4"/>
      <c r="B23" s="21">
        <f t="shared" si="2"/>
        <v>11</v>
      </c>
      <c r="C23" s="13" t="s">
        <v>1548</v>
      </c>
      <c r="D23" s="13" t="s">
        <v>1549</v>
      </c>
      <c r="E23" s="7"/>
      <c r="F23" s="7" t="s">
        <v>863</v>
      </c>
      <c r="G23" s="7" t="str">
        <f t="shared" si="3"/>
        <v>text</v>
      </c>
      <c r="H23" s="58"/>
      <c r="I23" s="23"/>
      <c r="J23" s="24" t="s">
        <v>1583</v>
      </c>
      <c r="M23" s="4"/>
      <c r="N23" s="76"/>
      <c r="O23" s="76"/>
      <c r="P23" s="76" t="str">
        <f t="shared" si="4"/>
        <v>,uketsuke_time</v>
      </c>
      <c r="Q23" s="76" t="str">
        <f t="shared" si="0"/>
        <v>TEXT</v>
      </c>
      <c r="R23" s="76" t="str">
        <f t="shared" si="1"/>
        <v/>
      </c>
      <c r="S23" s="76" t="str">
        <f t="shared" si="5"/>
        <v/>
      </c>
      <c r="T23" s="76" t="str">
        <f t="shared" si="6"/>
        <v>-- 受付日時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milscm_2023_010.azn_202310_base_merge_mml_lb_test.uketsuke_time IS '受付日時';</v>
      </c>
    </row>
    <row r="24" spans="1:45" s="25" customFormat="1" ht="37.5">
      <c r="A24" s="4"/>
      <c r="B24" s="21">
        <f t="shared" si="2"/>
        <v>12</v>
      </c>
      <c r="C24" s="13" t="s">
        <v>1550</v>
      </c>
      <c r="D24" s="13" t="s">
        <v>1551</v>
      </c>
      <c r="E24" s="7"/>
      <c r="F24" s="7" t="s">
        <v>863</v>
      </c>
      <c r="G24" s="7" t="str">
        <f t="shared" si="3"/>
        <v>text</v>
      </c>
      <c r="H24" s="58"/>
      <c r="I24" s="23"/>
      <c r="J24" s="24" t="s">
        <v>1584</v>
      </c>
      <c r="M24" s="4"/>
      <c r="N24" s="76"/>
      <c r="O24" s="76"/>
      <c r="P24" s="76" t="str">
        <f t="shared" si="4"/>
        <v>,report_time</v>
      </c>
      <c r="Q24" s="76" t="str">
        <f t="shared" si="0"/>
        <v>TEXT</v>
      </c>
      <c r="R24" s="76" t="str">
        <f t="shared" si="1"/>
        <v/>
      </c>
      <c r="S24" s="76" t="str">
        <f t="shared" si="5"/>
        <v/>
      </c>
      <c r="T24" s="76" t="str">
        <f t="shared" si="6"/>
        <v>-- 報告日時</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milscm_2023_010.azn_202310_base_merge_mml_lb_test.report_time IS '報告日時';</v>
      </c>
    </row>
    <row r="25" spans="1:45" s="25" customFormat="1">
      <c r="A25" s="4"/>
      <c r="B25" s="21">
        <f t="shared" si="2"/>
        <v>13</v>
      </c>
      <c r="C25" s="13" t="s">
        <v>1552</v>
      </c>
      <c r="D25" s="13" t="s">
        <v>1553</v>
      </c>
      <c r="E25" s="7"/>
      <c r="F25" s="7" t="s">
        <v>863</v>
      </c>
      <c r="G25" s="7" t="str">
        <f t="shared" si="3"/>
        <v>text</v>
      </c>
      <c r="H25" s="58"/>
      <c r="I25" s="23"/>
      <c r="J25" s="24" t="s">
        <v>1585</v>
      </c>
      <c r="M25" s="4"/>
      <c r="N25" s="76"/>
      <c r="O25" s="76"/>
      <c r="P25" s="76" t="str">
        <f t="shared" si="4"/>
        <v>,status</v>
      </c>
      <c r="Q25" s="76" t="str">
        <f t="shared" si="0"/>
        <v>TEXT</v>
      </c>
      <c r="R25" s="76" t="str">
        <f t="shared" si="1"/>
        <v/>
      </c>
      <c r="S25" s="76" t="str">
        <f t="shared" si="5"/>
        <v/>
      </c>
      <c r="T25" s="76" t="str">
        <f t="shared" si="6"/>
        <v>-- 報告状態</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milscm_2023_010.azn_202310_base_merge_mml_lb_test.status IS '報告状態';</v>
      </c>
    </row>
    <row r="26" spans="1:45" s="25" customFormat="1" ht="56.25">
      <c r="A26" s="4"/>
      <c r="B26" s="21">
        <f t="shared" si="2"/>
        <v>14</v>
      </c>
      <c r="C26" s="13" t="s">
        <v>1554</v>
      </c>
      <c r="D26" s="13" t="s">
        <v>1555</v>
      </c>
      <c r="E26" s="7"/>
      <c r="F26" s="7" t="s">
        <v>863</v>
      </c>
      <c r="G26" s="7" t="str">
        <f t="shared" si="3"/>
        <v>text</v>
      </c>
      <c r="H26" s="58"/>
      <c r="I26" s="23"/>
      <c r="J26" s="24" t="s">
        <v>1586</v>
      </c>
      <c r="M26" s="4"/>
      <c r="N26" s="76"/>
      <c r="O26" s="76"/>
      <c r="P26" s="76" t="str">
        <f t="shared" si="4"/>
        <v>,status_code</v>
      </c>
      <c r="Q26" s="76" t="str">
        <f t="shared" si="0"/>
        <v>TEXT</v>
      </c>
      <c r="R26" s="76" t="str">
        <f t="shared" si="1"/>
        <v/>
      </c>
      <c r="S26" s="76" t="str">
        <f t="shared" si="5"/>
        <v/>
      </c>
      <c r="T26" s="76" t="str">
        <f t="shared" si="6"/>
        <v>-- 報告状態コード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milscm_2023_010.azn_202310_base_merge_mml_lb_test.status_code IS '報告状態コード';</v>
      </c>
    </row>
    <row r="27" spans="1:45" s="25" customFormat="1">
      <c r="A27" s="4"/>
      <c r="B27" s="21">
        <f t="shared" si="2"/>
        <v>15</v>
      </c>
      <c r="C27" s="13" t="s">
        <v>1556</v>
      </c>
      <c r="D27" s="13" t="s">
        <v>1557</v>
      </c>
      <c r="E27" s="7"/>
      <c r="F27" s="7" t="s">
        <v>863</v>
      </c>
      <c r="G27" s="7" t="str">
        <f t="shared" si="3"/>
        <v>text</v>
      </c>
      <c r="H27" s="58"/>
      <c r="I27" s="23"/>
      <c r="J27" s="24" t="s">
        <v>1587</v>
      </c>
      <c r="M27" s="4"/>
      <c r="N27" s="76"/>
      <c r="O27" s="76"/>
      <c r="P27" s="76" t="str">
        <f t="shared" si="4"/>
        <v>,set_name</v>
      </c>
      <c r="Q27" s="76" t="str">
        <f t="shared" si="0"/>
        <v>TEXT</v>
      </c>
      <c r="R27" s="76" t="str">
        <f t="shared" si="1"/>
        <v/>
      </c>
      <c r="S27" s="76" t="str">
        <f t="shared" si="5"/>
        <v/>
      </c>
      <c r="T27" s="76" t="str">
        <f t="shared" si="6"/>
        <v>-- セット名</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milscm_2023_010.azn_202310_base_merge_mml_lb_test.set_name IS 'セット名';</v>
      </c>
    </row>
    <row r="28" spans="1:45" s="25" customFormat="1" ht="37.5">
      <c r="A28" s="4"/>
      <c r="B28" s="21">
        <f t="shared" si="2"/>
        <v>16</v>
      </c>
      <c r="C28" s="13" t="s">
        <v>1558</v>
      </c>
      <c r="D28" s="13" t="s">
        <v>1559</v>
      </c>
      <c r="E28" s="7"/>
      <c r="F28" s="7" t="s">
        <v>863</v>
      </c>
      <c r="G28" s="7" t="str">
        <f t="shared" si="3"/>
        <v>text</v>
      </c>
      <c r="H28" s="58"/>
      <c r="I28" s="23"/>
      <c r="J28" s="24" t="s">
        <v>1588</v>
      </c>
      <c r="M28" s="4"/>
      <c r="N28" s="76"/>
      <c r="O28" s="76"/>
      <c r="P28" s="76" t="str">
        <f t="shared" si="4"/>
        <v>,set_name_code</v>
      </c>
      <c r="Q28" s="76" t="str">
        <f t="shared" si="0"/>
        <v>TEXT</v>
      </c>
      <c r="R28" s="76" t="str">
        <f t="shared" si="1"/>
        <v/>
      </c>
      <c r="S28" s="76" t="str">
        <f t="shared" si="5"/>
        <v/>
      </c>
      <c r="T28" s="76" t="str">
        <f t="shared" si="6"/>
        <v>-- セット名コード</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milscm_2023_010.azn_202310_base_merge_mml_lb_test.set_name_code IS 'セット名コード';</v>
      </c>
    </row>
    <row r="29" spans="1:45" s="25" customFormat="1" ht="37.5">
      <c r="A29" s="4"/>
      <c r="B29" s="21">
        <f t="shared" si="2"/>
        <v>17</v>
      </c>
      <c r="C29" s="13" t="s">
        <v>1560</v>
      </c>
      <c r="D29" s="13" t="s">
        <v>1561</v>
      </c>
      <c r="E29" s="7"/>
      <c r="F29" s="7" t="s">
        <v>863</v>
      </c>
      <c r="G29" s="7" t="str">
        <f t="shared" si="3"/>
        <v>text</v>
      </c>
      <c r="H29" s="58"/>
      <c r="I29" s="23"/>
      <c r="J29" s="24" t="s">
        <v>1589</v>
      </c>
      <c r="M29" s="4"/>
      <c r="N29" s="76"/>
      <c r="O29" s="76"/>
      <c r="P29" s="76" t="str">
        <f t="shared" si="4"/>
        <v>,set_name_code_id</v>
      </c>
      <c r="Q29" s="76" t="str">
        <f t="shared" si="0"/>
        <v>TEXT</v>
      </c>
      <c r="R29" s="76" t="str">
        <f t="shared" si="1"/>
        <v/>
      </c>
      <c r="S29" s="76" t="str">
        <f t="shared" si="5"/>
        <v/>
      </c>
      <c r="T29" s="76" t="str">
        <f t="shared" si="6"/>
        <v>-- セット名コードID</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milscm_2023_010.azn_202310_base_merge_mml_lb_test.set_name_code_id IS 'セット名コードID';</v>
      </c>
    </row>
    <row r="30" spans="1:45" s="25" customFormat="1">
      <c r="A30" s="4"/>
      <c r="B30" s="21">
        <f t="shared" si="2"/>
        <v>18</v>
      </c>
      <c r="C30" s="13" t="s">
        <v>1562</v>
      </c>
      <c r="D30" s="13" t="s">
        <v>1563</v>
      </c>
      <c r="E30" s="7"/>
      <c r="F30" s="7" t="s">
        <v>863</v>
      </c>
      <c r="G30" s="7" t="str">
        <f t="shared" si="3"/>
        <v>text</v>
      </c>
      <c r="H30" s="58"/>
      <c r="I30" s="23"/>
      <c r="J30" s="24" t="s">
        <v>1590</v>
      </c>
      <c r="M30" s="4"/>
      <c r="N30" s="76"/>
      <c r="O30" s="76"/>
      <c r="P30" s="76" t="str">
        <f t="shared" si="4"/>
        <v>,irai_facility</v>
      </c>
      <c r="Q30" s="76" t="str">
        <f t="shared" si="0"/>
        <v>TEXT</v>
      </c>
      <c r="R30" s="76" t="str">
        <f t="shared" si="1"/>
        <v/>
      </c>
      <c r="S30" s="76" t="str">
        <f t="shared" si="5"/>
        <v/>
      </c>
      <c r="T30" s="76" t="str">
        <f t="shared" si="6"/>
        <v>-- 依頼施設</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milscm_2023_010.azn_202310_base_merge_mml_lb_test.irai_facility IS '依頼施設';</v>
      </c>
    </row>
    <row r="31" spans="1:45" s="25" customFormat="1">
      <c r="A31" s="4"/>
      <c r="B31" s="21">
        <f t="shared" si="2"/>
        <v>19</v>
      </c>
      <c r="C31" s="13" t="s">
        <v>1564</v>
      </c>
      <c r="D31" s="13" t="s">
        <v>1565</v>
      </c>
      <c r="E31" s="7"/>
      <c r="F31" s="7" t="s">
        <v>863</v>
      </c>
      <c r="G31" s="7" t="str">
        <f t="shared" si="3"/>
        <v>text</v>
      </c>
      <c r="H31" s="58"/>
      <c r="I31" s="23"/>
      <c r="J31" s="24" t="s">
        <v>1591</v>
      </c>
      <c r="M31" s="4"/>
      <c r="N31" s="76"/>
      <c r="O31" s="76"/>
      <c r="P31" s="76" t="str">
        <f t="shared" si="4"/>
        <v>,irai_facility_code</v>
      </c>
      <c r="Q31" s="76" t="str">
        <f t="shared" si="0"/>
        <v>TEXT</v>
      </c>
      <c r="R31" s="76" t="str">
        <f t="shared" si="1"/>
        <v/>
      </c>
      <c r="S31" s="76" t="str">
        <f t="shared" si="5"/>
        <v/>
      </c>
      <c r="T31" s="76" t="str">
        <f t="shared" si="6"/>
        <v>-- 依頼施設コード</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milscm_2023_010.azn_202310_base_merge_mml_lb_test.irai_facility_code IS '依頼施設コード';</v>
      </c>
    </row>
    <row r="32" spans="1:45" s="25" customFormat="1" ht="37.5">
      <c r="A32" s="4"/>
      <c r="B32" s="21">
        <f t="shared" si="2"/>
        <v>20</v>
      </c>
      <c r="C32" s="13" t="s">
        <v>1566</v>
      </c>
      <c r="D32" s="13" t="s">
        <v>1567</v>
      </c>
      <c r="E32" s="7"/>
      <c r="F32" s="7" t="s">
        <v>863</v>
      </c>
      <c r="G32" s="7" t="str">
        <f t="shared" si="3"/>
        <v>text</v>
      </c>
      <c r="H32" s="58"/>
      <c r="I32" s="23"/>
      <c r="J32" s="24" t="s">
        <v>1592</v>
      </c>
      <c r="M32" s="4"/>
      <c r="N32" s="76"/>
      <c r="O32" s="76"/>
      <c r="P32" s="76" t="str">
        <f t="shared" si="4"/>
        <v>,irai_facility_code_id</v>
      </c>
      <c r="Q32" s="76" t="str">
        <f t="shared" si="0"/>
        <v>TEXT</v>
      </c>
      <c r="R32" s="76" t="str">
        <f t="shared" si="1"/>
        <v/>
      </c>
      <c r="S32" s="76" t="str">
        <f t="shared" si="5"/>
        <v/>
      </c>
      <c r="T32" s="76" t="str">
        <f t="shared" si="6"/>
        <v>-- 依頼施設コードID</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milscm_2023_010.azn_202310_base_merge_mml_lb_test.irai_facility_code_id IS '依頼施設コードID';</v>
      </c>
    </row>
    <row r="33" spans="1:52" s="25" customFormat="1">
      <c r="A33" s="4"/>
      <c r="B33" s="21">
        <f t="shared" si="2"/>
        <v>21</v>
      </c>
      <c r="C33" s="13" t="s">
        <v>1568</v>
      </c>
      <c r="D33" s="13" t="s">
        <v>1569</v>
      </c>
      <c r="E33" s="7"/>
      <c r="F33" s="7" t="s">
        <v>863</v>
      </c>
      <c r="G33" s="7" t="str">
        <f t="shared" si="3"/>
        <v>text</v>
      </c>
      <c r="H33" s="58"/>
      <c r="I33" s="23"/>
      <c r="J33" s="24" t="s">
        <v>1593</v>
      </c>
      <c r="M33" s="4"/>
      <c r="N33" s="76"/>
      <c r="O33" s="76"/>
      <c r="P33" s="76" t="str">
        <f t="shared" si="4"/>
        <v>,irai_department</v>
      </c>
      <c r="Q33" s="76" t="str">
        <f t="shared" si="0"/>
        <v>TEXT</v>
      </c>
      <c r="R33" s="76" t="str">
        <f t="shared" si="1"/>
        <v/>
      </c>
      <c r="S33" s="76" t="str">
        <f t="shared" si="5"/>
        <v/>
      </c>
      <c r="T33" s="76" t="str">
        <f t="shared" si="6"/>
        <v>-- 依頼診療科</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milscm_2023_010.azn_202310_base_merge_mml_lb_test.irai_department IS '依頼診療科';</v>
      </c>
    </row>
    <row r="34" spans="1:52" s="25" customFormat="1" ht="37.5">
      <c r="A34" s="4"/>
      <c r="B34" s="21">
        <f t="shared" si="2"/>
        <v>22</v>
      </c>
      <c r="C34" s="13" t="s">
        <v>1570</v>
      </c>
      <c r="D34" s="13" t="s">
        <v>1571</v>
      </c>
      <c r="E34" s="7"/>
      <c r="F34" s="7" t="s">
        <v>863</v>
      </c>
      <c r="G34" s="7" t="str">
        <f t="shared" si="3"/>
        <v>text</v>
      </c>
      <c r="H34" s="58"/>
      <c r="I34" s="23"/>
      <c r="J34" s="24" t="s">
        <v>1594</v>
      </c>
      <c r="M34" s="4"/>
      <c r="N34" s="76"/>
      <c r="O34" s="76"/>
      <c r="P34" s="76" t="str">
        <f t="shared" si="4"/>
        <v>,irai_department_code</v>
      </c>
      <c r="Q34" s="76" t="str">
        <f t="shared" si="0"/>
        <v>TEXT</v>
      </c>
      <c r="R34" s="76" t="str">
        <f t="shared" si="1"/>
        <v/>
      </c>
      <c r="S34" s="76" t="str">
        <f t="shared" si="5"/>
        <v/>
      </c>
      <c r="T34" s="76" t="str">
        <f t="shared" si="6"/>
        <v>-- 依頼診療科コード</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milscm_2023_010.azn_202310_base_merge_mml_lb_test.irai_department_code IS '依頼診療科コード';</v>
      </c>
    </row>
    <row r="35" spans="1:52" s="25" customFormat="1">
      <c r="A35" s="4"/>
      <c r="B35" s="21">
        <f t="shared" si="2"/>
        <v>23</v>
      </c>
      <c r="C35" s="13" t="s">
        <v>1572</v>
      </c>
      <c r="D35" s="13" t="s">
        <v>1573</v>
      </c>
      <c r="E35" s="7"/>
      <c r="F35" s="7" t="s">
        <v>863</v>
      </c>
      <c r="G35" s="7" t="str">
        <f t="shared" si="3"/>
        <v>text</v>
      </c>
      <c r="H35" s="58"/>
      <c r="I35" s="23"/>
      <c r="J35" s="24" t="s">
        <v>1595</v>
      </c>
      <c r="M35" s="4"/>
      <c r="N35" s="76"/>
      <c r="O35" s="76"/>
      <c r="P35" s="76" t="str">
        <f t="shared" si="4"/>
        <v>,irai_ward</v>
      </c>
      <c r="Q35" s="76" t="str">
        <f t="shared" si="0"/>
        <v>TEXT</v>
      </c>
      <c r="R35" s="76" t="str">
        <f t="shared" si="1"/>
        <v/>
      </c>
      <c r="S35" s="76" t="str">
        <f t="shared" si="5"/>
        <v/>
      </c>
      <c r="T35" s="76" t="str">
        <f t="shared" si="6"/>
        <v>-- 依頼病棟</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milscm_2023_010.azn_202310_base_merge_mml_lb_test.irai_ward IS '依頼病棟';</v>
      </c>
    </row>
    <row r="36" spans="1:52" s="25" customFormat="1" ht="37.5">
      <c r="A36" s="4"/>
      <c r="B36" s="21">
        <f t="shared" si="2"/>
        <v>24</v>
      </c>
      <c r="C36" s="13" t="s">
        <v>1574</v>
      </c>
      <c r="D36" s="13" t="s">
        <v>1575</v>
      </c>
      <c r="E36" s="7"/>
      <c r="F36" s="7" t="s">
        <v>863</v>
      </c>
      <c r="G36" s="7" t="str">
        <f t="shared" si="3"/>
        <v>text</v>
      </c>
      <c r="H36" s="58"/>
      <c r="I36" s="23"/>
      <c r="J36" s="24" t="s">
        <v>1596</v>
      </c>
      <c r="M36" s="4"/>
      <c r="N36" s="76"/>
      <c r="O36" s="76"/>
      <c r="P36" s="76" t="str">
        <f t="shared" si="4"/>
        <v>,irai_ward_code</v>
      </c>
      <c r="Q36" s="76" t="str">
        <f t="shared" si="0"/>
        <v>TEXT</v>
      </c>
      <c r="R36" s="76" t="str">
        <f t="shared" si="1"/>
        <v/>
      </c>
      <c r="S36" s="76" t="str">
        <f t="shared" si="5"/>
        <v/>
      </c>
      <c r="T36" s="76" t="str">
        <f t="shared" si="6"/>
        <v>-- 依頼病棟コード</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milscm_2023_010.azn_202310_base_merge_mml_lb_test.irai_ward_code IS '依頼病棟コード';</v>
      </c>
    </row>
    <row r="37" spans="1:52" s="25" customFormat="1" ht="37.5">
      <c r="A37" s="4"/>
      <c r="B37" s="21">
        <f t="shared" si="2"/>
        <v>25</v>
      </c>
      <c r="C37" s="13" t="s">
        <v>1576</v>
      </c>
      <c r="D37" s="13" t="s">
        <v>1577</v>
      </c>
      <c r="E37" s="7"/>
      <c r="F37" s="7" t="s">
        <v>863</v>
      </c>
      <c r="G37" s="7" t="str">
        <f t="shared" si="3"/>
        <v>text</v>
      </c>
      <c r="H37" s="58"/>
      <c r="I37" s="23"/>
      <c r="J37" s="24" t="s">
        <v>1597</v>
      </c>
      <c r="M37" s="4"/>
      <c r="N37" s="76"/>
      <c r="O37" s="76"/>
      <c r="P37" s="76" t="str">
        <f t="shared" si="4"/>
        <v>,irai_ward_code_id</v>
      </c>
      <c r="Q37" s="76" t="str">
        <f t="shared" si="0"/>
        <v>TEXT</v>
      </c>
      <c r="R37" s="76" t="str">
        <f t="shared" si="1"/>
        <v/>
      </c>
      <c r="S37" s="76" t="str">
        <f t="shared" si="5"/>
        <v/>
      </c>
      <c r="T37" s="76" t="str">
        <f t="shared" si="6"/>
        <v>-- 依頼病棟コードID</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milscm_2023_010.azn_202310_base_merge_mml_lb_test.irai_ward_code_id IS '依頼病棟コードID';</v>
      </c>
    </row>
    <row r="38" spans="1:52" s="25" customFormat="1" ht="19.5" thickBot="1">
      <c r="A38" s="4"/>
      <c r="B38" s="27">
        <f>ROW()-12</f>
        <v>26</v>
      </c>
      <c r="C38" s="57" t="s">
        <v>1578</v>
      </c>
      <c r="D38" s="57" t="s">
        <v>1579</v>
      </c>
      <c r="E38" s="56"/>
      <c r="F38" s="56" t="s">
        <v>863</v>
      </c>
      <c r="G38" s="56" t="str">
        <f t="shared" si="3"/>
        <v>text</v>
      </c>
      <c r="H38" s="59"/>
      <c r="I38" s="60"/>
      <c r="J38" s="63" t="s">
        <v>1598</v>
      </c>
      <c r="N38" s="76"/>
      <c r="O38" s="76"/>
      <c r="P38" s="76" t="str">
        <f t="shared" si="4"/>
        <v>,report_free_comment</v>
      </c>
      <c r="Q38" s="76" t="str">
        <f t="shared" si="0"/>
        <v>TEXT</v>
      </c>
      <c r="R38" s="76" t="str">
        <f t="shared" si="1"/>
        <v/>
      </c>
      <c r="S38" s="76" t="str">
        <f t="shared" si="5"/>
        <v/>
      </c>
      <c r="T38" s="76" t="str">
        <f t="shared" si="6"/>
        <v>-- 報告フリーコメント</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milscm_2023_010.azn_202310_base_merge_mml_lb_test.report_free_comment IS '報告フリーコメント';</v>
      </c>
    </row>
    <row r="39" spans="1:52">
      <c r="L39" s="25"/>
      <c r="M39" s="25"/>
      <c r="N39" s="76" t="s">
        <v>142</v>
      </c>
      <c r="O39" s="76"/>
      <c r="P39" s="76"/>
      <c r="Q39" s="76"/>
      <c r="R39" s="76"/>
      <c r="S39" s="76"/>
      <c r="T39" s="76"/>
      <c r="V39" s="25"/>
      <c r="W39" s="25"/>
      <c r="X39" s="25"/>
      <c r="Y39" s="25"/>
      <c r="Z39" s="25"/>
      <c r="AJ39" s="76"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topLeftCell="A18" zoomScale="85" zoomScaleNormal="85" workbookViewId="0">
      <selection activeCell="A18" sqref="A18"/>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31</v>
      </c>
      <c r="E4" s="248"/>
      <c r="F4" s="248"/>
      <c r="G4" s="248"/>
      <c r="H4" s="248"/>
      <c r="I4" s="248"/>
      <c r="J4" s="249"/>
    </row>
    <row r="5" spans="1:45">
      <c r="B5" s="261" t="s">
        <v>3704</v>
      </c>
      <c r="C5" s="262"/>
      <c r="D5" s="271" t="str">
        <f>VLOOKUP(D7,エンティティ一覧!A1:'エンティティ一覧'!AM10203,7,FALSE)</f>
        <v>base</v>
      </c>
      <c r="E5" s="272"/>
      <c r="F5" s="272"/>
      <c r="G5" s="272"/>
      <c r="H5" s="272"/>
      <c r="I5" s="272"/>
      <c r="J5" s="273"/>
    </row>
    <row r="6" spans="1:45">
      <c r="B6" s="261" t="s">
        <v>3705</v>
      </c>
      <c r="C6" s="262"/>
      <c r="D6" s="271" t="str">
        <f>VLOOKUP(D7,エンティティ一覧!A1:'エンティティ一覧'!AM10203,15,FALSE)</f>
        <v>ENT_31_C4-33</v>
      </c>
      <c r="E6" s="272"/>
      <c r="F6" s="272"/>
      <c r="G6" s="272"/>
      <c r="H6" s="272"/>
      <c r="I6" s="272"/>
      <c r="J6" s="273"/>
    </row>
    <row r="7" spans="1:45">
      <c r="B7" s="261" t="s">
        <v>115</v>
      </c>
      <c r="C7" s="262"/>
      <c r="D7" s="263" t="s">
        <v>3691</v>
      </c>
      <c r="E7" s="264"/>
      <c r="F7" s="264"/>
      <c r="G7" s="264"/>
      <c r="H7" s="264"/>
      <c r="I7" s="264"/>
      <c r="J7" s="265"/>
    </row>
    <row r="8" spans="1:45">
      <c r="B8" s="261" t="s">
        <v>116</v>
      </c>
      <c r="C8" s="262"/>
      <c r="D8" s="263" t="str">
        <f>エンティティ一覧!AE2&amp;"_"&amp;D5&amp;"_merge_mml_lb_specimen"</f>
        <v>azn_202310_base_merge_mml_lb_specimen</v>
      </c>
      <c r="E8" s="264"/>
      <c r="F8" s="264"/>
      <c r="G8" s="264"/>
      <c r="H8" s="264"/>
      <c r="I8" s="264"/>
      <c r="J8" s="265"/>
    </row>
    <row r="9" spans="1:45" ht="19.5" customHeight="1" thickBot="1">
      <c r="B9" s="266" t="s">
        <v>117</v>
      </c>
      <c r="C9" s="267"/>
      <c r="D9" s="268" t="str">
        <f>"バックアップ_"&amp;SUBSTITUTE(D7,"ベース_","")&amp;"テーブルから対象患者で絞り込んだ結果を格納するテーブル"</f>
        <v>バックアップ_検歴情報モジュール_検歴検体材料テーブルから対象患者で絞り込んだ結果を格納するテーブル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milscm_2023_010.azn_202310_base_merge_mml_lb_specimen;</v>
      </c>
      <c r="O10" s="76"/>
      <c r="P10" s="76"/>
      <c r="Q10" s="76"/>
      <c r="R10" s="76"/>
      <c r="S10" s="76"/>
      <c r="T10" s="76"/>
      <c r="AJ10" s="76" t="str">
        <f>"ALTER TABLE ONLY "&amp;エンティティ一覧!$O$2&amp;"."&amp;D$8</f>
        <v>ALTER TABLE ONLY milscm_2023_010.azn_202310_base_merge_mml_lb_specimen</v>
      </c>
      <c r="AS10" s="76" t="str">
        <f>"ALTER TABLE "&amp;エンティティ一覧!$O$2&amp;"."&amp;D$8&amp;" OWNER TO pgmisgrp1;"</f>
        <v>ALTER TABLE milscm_2023_010.azn_202310_base_merge_mml_lb_specimen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milscm_2023_010.azn_202310_base_merge_mml_lb_specimen</v>
      </c>
      <c r="O11" s="76"/>
      <c r="P11" s="76"/>
      <c r="Q11" s="76"/>
      <c r="R11" s="76"/>
      <c r="S11" s="76"/>
      <c r="T11" s="76"/>
      <c r="AJ11" s="76" t="str">
        <f>"ADD CONSTRAINT "&amp;D$8&amp;"_pkey PRIMARY KEY"</f>
        <v>ADD CONSTRAINT azn_202310_base_merge_mml_lb_specimen_pkey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milscm_2023_010.azn_202310_base_merge_mml_lb_specimen IS 'ベース_検歴情報モジュール_検歴検体材料';</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26" si="0">UPPER(G13)</f>
        <v>TEXT</v>
      </c>
      <c r="R13" s="76" t="str">
        <f t="shared" ref="R13:R2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milscm_2023_010.azn_202310_base_merge_mml_lb_specimen.torikomi_ym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1280</v>
      </c>
      <c r="M14" s="4"/>
      <c r="N14" s="76"/>
      <c r="O14" s="76"/>
      <c r="P14" s="76" t="str">
        <f t="shared" ref="P14:P2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milscm_2023_010.azn_202310_base_merge_mml_lb_specimen.mil_karute_id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26" si="5">IF(I15="○","NOT NULL","")</f>
        <v>NOT NULL</v>
      </c>
      <c r="T15" s="76" t="str">
        <f t="shared" ref="T15:T2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milscm_2023_010.azn_202310_base_merge_mml_lb_specimen.facility_id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milscm_2023_010.azn_202310_base_merge_mml_lb_specimen.shinryo_ymd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milscm_2023_010.azn_202310_base_merge_mml_lb_specimen.data_type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milscm_2023_010.azn_202310_base_merge_mml_lb_specimen.master_id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milscm_2023_010.azn_202310_base_merge_mml_lb_specimen.uid IS '文書ユニークID';</v>
      </c>
    </row>
    <row r="20" spans="1:52" s="25" customFormat="1">
      <c r="A20" s="4"/>
      <c r="B20" s="21">
        <f t="shared" si="2"/>
        <v>8</v>
      </c>
      <c r="C20" s="13" t="s">
        <v>1542</v>
      </c>
      <c r="D20" s="13" t="s">
        <v>1543</v>
      </c>
      <c r="E20" s="7" t="s">
        <v>127</v>
      </c>
      <c r="F20" s="7" t="s">
        <v>203</v>
      </c>
      <c r="G20" s="7" t="str">
        <f t="shared" si="3"/>
        <v>integer</v>
      </c>
      <c r="H20" s="58"/>
      <c r="I20" s="23" t="s">
        <v>127</v>
      </c>
      <c r="J20" s="24" t="s">
        <v>1580</v>
      </c>
      <c r="M20" s="4"/>
      <c r="N20" s="76"/>
      <c r="O20" s="76"/>
      <c r="P20" s="76" t="str">
        <f t="shared" si="4"/>
        <v>,kenreki_seq</v>
      </c>
      <c r="Q20" s="76" t="str">
        <f t="shared" si="0"/>
        <v>INTEGER</v>
      </c>
      <c r="R20" s="76" t="str">
        <f t="shared" si="1"/>
        <v/>
      </c>
      <c r="S20" s="76" t="str">
        <f t="shared" si="5"/>
        <v>NOT NULL</v>
      </c>
      <c r="T20" s="76" t="str">
        <f t="shared" si="6"/>
        <v>-- 検歴SEQ</v>
      </c>
      <c r="U20" s="4"/>
      <c r="AA20" s="4"/>
      <c r="AB20" s="4"/>
      <c r="AC20" s="4"/>
      <c r="AD20" s="4"/>
      <c r="AE20" s="4"/>
      <c r="AF20" s="4"/>
      <c r="AG20" s="4"/>
      <c r="AH20" s="4"/>
      <c r="AI20" s="4"/>
      <c r="AJ20" s="76" t="str">
        <f>IF(E20="○",IF(COUNTA(E$13:E20)=1,"",",")&amp;D20,"")</f>
        <v>,kenreki_seq</v>
      </c>
      <c r="AK20" s="4"/>
      <c r="AL20" s="4"/>
      <c r="AM20" s="4"/>
      <c r="AN20" s="4"/>
      <c r="AO20" s="4"/>
      <c r="AP20" s="4"/>
      <c r="AQ20" s="4"/>
      <c r="AR20" s="4"/>
      <c r="AS20" s="76" t="str">
        <f>"COMMENT ON COLUMN "&amp;エンティティ一覧!$O$2&amp;"."&amp;D$8&amp;"."&amp;D20&amp;" IS '"&amp;C20&amp;"';"</f>
        <v>COMMENT ON COLUMN milscm_2023_010.azn_202310_base_merge_mml_lb_specimen.kenreki_seq IS '検歴SEQ';</v>
      </c>
    </row>
    <row r="21" spans="1:52" s="25" customFormat="1">
      <c r="A21" s="4"/>
      <c r="B21" s="21">
        <f t="shared" si="2"/>
        <v>9</v>
      </c>
      <c r="C21" s="13" t="s">
        <v>1600</v>
      </c>
      <c r="D21" s="13" t="s">
        <v>1601</v>
      </c>
      <c r="E21" s="7" t="s">
        <v>127</v>
      </c>
      <c r="F21" s="7" t="s">
        <v>203</v>
      </c>
      <c r="G21" s="7" t="str">
        <f t="shared" si="3"/>
        <v>integer</v>
      </c>
      <c r="H21" s="58"/>
      <c r="I21" s="23" t="s">
        <v>127</v>
      </c>
      <c r="J21" s="24" t="s">
        <v>1612</v>
      </c>
      <c r="M21" s="4"/>
      <c r="N21" s="76"/>
      <c r="O21" s="76"/>
      <c r="P21" s="76" t="str">
        <f t="shared" si="4"/>
        <v>,labo_test_seq</v>
      </c>
      <c r="Q21" s="76" t="str">
        <f t="shared" si="0"/>
        <v>INTEGER</v>
      </c>
      <c r="R21" s="76" t="str">
        <f t="shared" si="1"/>
        <v/>
      </c>
      <c r="S21" s="76" t="str">
        <f t="shared" si="5"/>
        <v>NOT NULL</v>
      </c>
      <c r="T21" s="76" t="str">
        <f t="shared" si="6"/>
        <v>-- 検体結果情報SEQ</v>
      </c>
      <c r="U21" s="4"/>
      <c r="AA21" s="4"/>
      <c r="AB21" s="4"/>
      <c r="AC21" s="4"/>
      <c r="AD21" s="4"/>
      <c r="AE21" s="4"/>
      <c r="AF21" s="4"/>
      <c r="AG21" s="4"/>
      <c r="AH21" s="4"/>
      <c r="AI21" s="4"/>
      <c r="AJ21" s="76" t="str">
        <f>IF(E21="○",IF(COUNTA(E$13:E21)=1,"",",")&amp;D21,"")</f>
        <v>,labo_test_seq</v>
      </c>
      <c r="AK21" s="4"/>
      <c r="AL21" s="4"/>
      <c r="AM21" s="4"/>
      <c r="AN21" s="4"/>
      <c r="AO21" s="4"/>
      <c r="AP21" s="4"/>
      <c r="AQ21" s="4"/>
      <c r="AR21" s="4"/>
      <c r="AS21" s="76" t="str">
        <f>"COMMENT ON COLUMN "&amp;エンティティ一覧!$O$2&amp;"."&amp;D$8&amp;"."&amp;D21&amp;" IS '"&amp;C21&amp;"';"</f>
        <v>COMMENT ON COLUMN milscm_2023_010.azn_202310_base_merge_mml_lb_specimen.labo_test_seq IS '検体結果情報SEQ';</v>
      </c>
    </row>
    <row r="22" spans="1:52" s="25" customFormat="1" ht="75">
      <c r="A22" s="4"/>
      <c r="B22" s="21">
        <f t="shared" si="2"/>
        <v>10</v>
      </c>
      <c r="C22" s="13" t="s">
        <v>1602</v>
      </c>
      <c r="D22" s="13" t="s">
        <v>1603</v>
      </c>
      <c r="E22" s="7" t="s">
        <v>127</v>
      </c>
      <c r="F22" s="7" t="s">
        <v>203</v>
      </c>
      <c r="G22" s="7" t="str">
        <f t="shared" si="3"/>
        <v>integer</v>
      </c>
      <c r="H22" s="58">
        <v>1</v>
      </c>
      <c r="I22" s="23" t="s">
        <v>127</v>
      </c>
      <c r="J22" s="24" t="s">
        <v>1613</v>
      </c>
      <c r="M22" s="4"/>
      <c r="N22" s="76"/>
      <c r="O22" s="76"/>
      <c r="P22" s="76" t="str">
        <f t="shared" si="4"/>
        <v>,specimen_seq</v>
      </c>
      <c r="Q22" s="76" t="str">
        <f t="shared" si="0"/>
        <v>INTEGER</v>
      </c>
      <c r="R22" s="76" t="str">
        <f t="shared" si="1"/>
        <v>default 1</v>
      </c>
      <c r="S22" s="76" t="str">
        <f t="shared" si="5"/>
        <v>NOT NULL</v>
      </c>
      <c r="T22" s="76" t="str">
        <f t="shared" si="6"/>
        <v>-- 検体材料SEQ</v>
      </c>
      <c r="U22" s="4"/>
      <c r="AA22" s="4"/>
      <c r="AB22" s="4"/>
      <c r="AC22" s="4"/>
      <c r="AD22" s="4"/>
      <c r="AE22" s="4"/>
      <c r="AF22" s="4"/>
      <c r="AG22" s="4"/>
      <c r="AH22" s="4"/>
      <c r="AI22" s="4"/>
      <c r="AJ22" s="76" t="str">
        <f>IF(E22="○",IF(COUNTA(E$13:E22)=1,"",",")&amp;D22,"")</f>
        <v>,specimen_seq</v>
      </c>
      <c r="AK22" s="4"/>
      <c r="AL22" s="4"/>
      <c r="AM22" s="4"/>
      <c r="AN22" s="4"/>
      <c r="AO22" s="4"/>
      <c r="AP22" s="4"/>
      <c r="AQ22" s="4"/>
      <c r="AR22" s="4"/>
      <c r="AS22" s="76" t="str">
        <f>"COMMENT ON COLUMN "&amp;エンティティ一覧!$O$2&amp;"."&amp;D$8&amp;"."&amp;D22&amp;" IS '"&amp;C22&amp;"';"</f>
        <v>COMMENT ON COLUMN milscm_2023_010.azn_202310_base_merge_mml_lb_specimen.specimen_seq IS '検体材料SEQ';</v>
      </c>
    </row>
    <row r="23" spans="1:52" s="25" customFormat="1">
      <c r="A23" s="4"/>
      <c r="B23" s="21">
        <f t="shared" si="2"/>
        <v>11</v>
      </c>
      <c r="C23" s="13" t="s">
        <v>1604</v>
      </c>
      <c r="D23" s="13" t="s">
        <v>1605</v>
      </c>
      <c r="E23" s="7"/>
      <c r="F23" s="7" t="s">
        <v>863</v>
      </c>
      <c r="G23" s="7" t="str">
        <f t="shared" si="3"/>
        <v>text</v>
      </c>
      <c r="H23" s="58"/>
      <c r="I23" s="23"/>
      <c r="J23" s="24" t="s">
        <v>1614</v>
      </c>
      <c r="M23" s="4"/>
      <c r="N23" s="76"/>
      <c r="O23" s="76"/>
      <c r="P23" s="76" t="str">
        <f t="shared" si="4"/>
        <v>,specimen_name</v>
      </c>
      <c r="Q23" s="76" t="str">
        <f t="shared" si="0"/>
        <v>TEXT</v>
      </c>
      <c r="R23" s="76" t="str">
        <f t="shared" si="1"/>
        <v/>
      </c>
      <c r="S23" s="76" t="str">
        <f t="shared" si="5"/>
        <v/>
      </c>
      <c r="T23" s="76" t="str">
        <f t="shared" si="6"/>
        <v>-- 検体材料</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milscm_2023_010.azn_202310_base_merge_mml_lb_specimen.specimen_name IS '検体材料';</v>
      </c>
    </row>
    <row r="24" spans="1:52" s="25" customFormat="1" ht="37.5">
      <c r="A24" s="4"/>
      <c r="B24" s="21">
        <f t="shared" si="2"/>
        <v>12</v>
      </c>
      <c r="C24" s="13" t="s">
        <v>1606</v>
      </c>
      <c r="D24" s="13" t="s">
        <v>1607</v>
      </c>
      <c r="E24" s="7"/>
      <c r="F24" s="7" t="s">
        <v>863</v>
      </c>
      <c r="G24" s="7" t="str">
        <f t="shared" si="3"/>
        <v>text</v>
      </c>
      <c r="H24" s="58"/>
      <c r="I24" s="23"/>
      <c r="J24" s="24" t="s">
        <v>1615</v>
      </c>
      <c r="M24" s="4"/>
      <c r="N24" s="76"/>
      <c r="O24" s="76"/>
      <c r="P24" s="76" t="str">
        <f t="shared" si="4"/>
        <v>,sp_code</v>
      </c>
      <c r="Q24" s="76" t="str">
        <f t="shared" si="0"/>
        <v>TEXT</v>
      </c>
      <c r="R24" s="76" t="str">
        <f t="shared" si="1"/>
        <v/>
      </c>
      <c r="S24" s="76" t="str">
        <f t="shared" si="5"/>
        <v/>
      </c>
      <c r="T24" s="76" t="str">
        <f t="shared" si="6"/>
        <v>-- 検体材料コード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milscm_2023_010.azn_202310_base_merge_mml_lb_specimen.sp_code IS '検体材料コード';</v>
      </c>
    </row>
    <row r="25" spans="1:52" s="25" customFormat="1" ht="37.5">
      <c r="A25" s="4"/>
      <c r="B25" s="21">
        <f t="shared" si="2"/>
        <v>13</v>
      </c>
      <c r="C25" s="13" t="s">
        <v>1608</v>
      </c>
      <c r="D25" s="13" t="s">
        <v>1609</v>
      </c>
      <c r="E25" s="7"/>
      <c r="F25" s="7" t="s">
        <v>863</v>
      </c>
      <c r="G25" s="7" t="str">
        <f t="shared" si="3"/>
        <v>text</v>
      </c>
      <c r="H25" s="58"/>
      <c r="I25" s="23"/>
      <c r="J25" s="24" t="s">
        <v>1616</v>
      </c>
      <c r="M25" s="4"/>
      <c r="N25" s="76"/>
      <c r="O25" s="76"/>
      <c r="P25" s="76" t="str">
        <f t="shared" si="4"/>
        <v>,sp_code_id</v>
      </c>
      <c r="Q25" s="76" t="str">
        <f t="shared" si="0"/>
        <v>TEXT</v>
      </c>
      <c r="R25" s="76" t="str">
        <f t="shared" si="1"/>
        <v/>
      </c>
      <c r="S25" s="76" t="str">
        <f t="shared" si="5"/>
        <v/>
      </c>
      <c r="T25" s="76" t="str">
        <f t="shared" si="6"/>
        <v>-- 検体材料コードのテーブル名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milscm_2023_010.azn_202310_base_merge_mml_lb_specimen.sp_code_id IS '検体材料コードのテーブル名';</v>
      </c>
    </row>
    <row r="26" spans="1:52" s="25" customFormat="1" ht="19.5" thickBot="1">
      <c r="A26" s="4"/>
      <c r="B26" s="27">
        <f>ROW()-12</f>
        <v>14</v>
      </c>
      <c r="C26" s="57" t="s">
        <v>1610</v>
      </c>
      <c r="D26" s="57" t="s">
        <v>1611</v>
      </c>
      <c r="E26" s="56"/>
      <c r="F26" s="56" t="s">
        <v>863</v>
      </c>
      <c r="G26" s="56" t="str">
        <f t="shared" si="3"/>
        <v>text</v>
      </c>
      <c r="H26" s="59"/>
      <c r="I26" s="60"/>
      <c r="J26" s="63" t="s">
        <v>1617</v>
      </c>
      <c r="N26" s="76"/>
      <c r="O26" s="76"/>
      <c r="P26" s="76" t="str">
        <f t="shared" si="4"/>
        <v>,specimen_free_comment</v>
      </c>
      <c r="Q26" s="76" t="str">
        <f t="shared" si="0"/>
        <v>TEXT</v>
      </c>
      <c r="R26" s="76" t="str">
        <f t="shared" si="1"/>
        <v/>
      </c>
      <c r="S26" s="76" t="str">
        <f t="shared" si="5"/>
        <v/>
      </c>
      <c r="T26" s="76" t="str">
        <f t="shared" si="6"/>
        <v>-- 検体フリーコメント</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milscm_2023_010.azn_202310_base_merge_mml_lb_specimen.specimen_free_comment IS '検体フリーコメント';</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2"/>
  <sheetViews>
    <sheetView showGridLines="0" topLeftCell="A38" zoomScale="85" zoomScaleNormal="85" workbookViewId="0">
      <selection activeCell="A38" sqref="A38"/>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31</v>
      </c>
      <c r="E4" s="248"/>
      <c r="F4" s="248"/>
      <c r="G4" s="248"/>
      <c r="H4" s="248"/>
      <c r="I4" s="248"/>
      <c r="J4" s="249"/>
    </row>
    <row r="5" spans="1:45">
      <c r="B5" s="261" t="s">
        <v>3704</v>
      </c>
      <c r="C5" s="262"/>
      <c r="D5" s="271" t="str">
        <f>VLOOKUP(D7,エンティティ一覧!A1:'エンティティ一覧'!AM10203,7,FALSE)</f>
        <v>base</v>
      </c>
      <c r="E5" s="272"/>
      <c r="F5" s="272"/>
      <c r="G5" s="272"/>
      <c r="H5" s="272"/>
      <c r="I5" s="272"/>
      <c r="J5" s="273"/>
    </row>
    <row r="6" spans="1:45">
      <c r="B6" s="261" t="s">
        <v>3705</v>
      </c>
      <c r="C6" s="262"/>
      <c r="D6" s="271" t="str">
        <f>VLOOKUP(D7,エンティティ一覧!A1:'エンティティ一覧'!AM10203,15,FALSE)</f>
        <v>ENT_31_C4-35</v>
      </c>
      <c r="E6" s="272"/>
      <c r="F6" s="272"/>
      <c r="G6" s="272"/>
      <c r="H6" s="272"/>
      <c r="I6" s="272"/>
      <c r="J6" s="273"/>
    </row>
    <row r="7" spans="1:45">
      <c r="B7" s="261" t="s">
        <v>115</v>
      </c>
      <c r="C7" s="262"/>
      <c r="D7" s="263" t="s">
        <v>3692</v>
      </c>
      <c r="E7" s="264"/>
      <c r="F7" s="264"/>
      <c r="G7" s="264"/>
      <c r="H7" s="264"/>
      <c r="I7" s="264"/>
      <c r="J7" s="265"/>
    </row>
    <row r="8" spans="1:45">
      <c r="B8" s="261" t="s">
        <v>116</v>
      </c>
      <c r="C8" s="262"/>
      <c r="D8" s="263" t="str">
        <f>エンティティ一覧!AE2&amp;"_"&amp;D5&amp;"_merge_mml_lb_item"</f>
        <v>azn_202310_base_merge_mml_lb_item</v>
      </c>
      <c r="E8" s="264"/>
      <c r="F8" s="264"/>
      <c r="G8" s="264"/>
      <c r="H8" s="264"/>
      <c r="I8" s="264"/>
      <c r="J8" s="265"/>
    </row>
    <row r="9" spans="1:45" ht="19.5" customHeight="1" thickBot="1">
      <c r="B9" s="266" t="s">
        <v>117</v>
      </c>
      <c r="C9" s="267"/>
      <c r="D9" s="268" t="str">
        <f>"バックアップ_"&amp;SUBSTITUTE(D7,"ベース_","")&amp;"テーブルから対象患者で絞り込んだ結果を格納するテーブル"</f>
        <v>バックアップ_検歴情報モジュール_検歴項目情報テーブルから対象患者で絞り込んだ結果を格納するテーブル</v>
      </c>
      <c r="E9" s="269"/>
      <c r="F9" s="269"/>
      <c r="G9" s="269"/>
      <c r="H9" s="269"/>
      <c r="I9" s="269"/>
      <c r="J9" s="270"/>
    </row>
    <row r="10" spans="1:45">
      <c r="B10" s="19"/>
      <c r="C10" s="19"/>
      <c r="D10" s="5"/>
      <c r="E10" s="5"/>
      <c r="F10" s="5"/>
      <c r="G10" s="5"/>
      <c r="H10" s="5"/>
      <c r="I10" s="5"/>
      <c r="J10" s="18"/>
      <c r="N10" s="76" t="str">
        <f>"--DROP TABLE  "&amp;エンティティ一覧!$O$2&amp;"."&amp;D$8&amp;";"</f>
        <v>--DROP TABLE  milscm_2023_010.azn_202310_base_merge_mml_lb_item;</v>
      </c>
      <c r="O10" s="76"/>
      <c r="P10" s="76"/>
      <c r="Q10" s="76"/>
      <c r="R10" s="76"/>
      <c r="S10" s="76"/>
      <c r="T10" s="76"/>
      <c r="AJ10" s="76" t="str">
        <f>"ALTER TABLE ONLY "&amp;エンティティ一覧!$O$2&amp;"."&amp;D$8</f>
        <v>ALTER TABLE ONLY milscm_2023_010.azn_202310_base_merge_mml_lb_item</v>
      </c>
      <c r="AS10" s="76" t="str">
        <f>"ALTER TABLE "&amp;エンティティ一覧!$O$2&amp;"."&amp;D$8&amp;" OWNER TO pgmisgrp1;"</f>
        <v>ALTER TABLE milscm_2023_010.azn_202310_base_merge_mml_lb_item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milscm_2023_010.azn_202310_base_merge_mml_lb_item</v>
      </c>
      <c r="O11" s="76"/>
      <c r="P11" s="76"/>
      <c r="Q11" s="76"/>
      <c r="R11" s="76"/>
      <c r="S11" s="76"/>
      <c r="T11" s="76"/>
      <c r="AJ11" s="76" t="str">
        <f>"ADD CONSTRAINT "&amp;D$8&amp;"_pkey PRIMARY KEY"</f>
        <v>ADD CONSTRAINT azn_202310_base_merge_mml_lb_item_pkey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milscm_2023_010.azn_202310_base_merge_mml_lb_item IS 'ベース_検歴情報モジュール_検歴項目情報';</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6"/>
      <c r="O13" s="76"/>
      <c r="P13" s="76" t="str">
        <f>IF(B13&lt;&gt;1,","&amp;D13,D13)</f>
        <v>torikomi_ym</v>
      </c>
      <c r="Q13" s="76" t="str">
        <f t="shared" ref="Q13:Q40" si="0">UPPER(G13)</f>
        <v>TEXT</v>
      </c>
      <c r="R13" s="76" t="str">
        <f t="shared" ref="R13:R4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milscm_2023_010.azn_202310_base_merge_mml_lb_item.torikomi_ym IS '取込年月';</v>
      </c>
    </row>
    <row r="14" spans="1:45" s="25" customFormat="1">
      <c r="A14" s="4"/>
      <c r="B14" s="21">
        <f t="shared" ref="B14:B39" si="2">ROW()-12</f>
        <v>2</v>
      </c>
      <c r="C14" s="6" t="s">
        <v>201</v>
      </c>
      <c r="D14" s="6" t="s">
        <v>202</v>
      </c>
      <c r="E14" s="8"/>
      <c r="F14" s="7" t="s">
        <v>203</v>
      </c>
      <c r="G14" s="7" t="str">
        <f t="shared" ref="G14:G40" si="3">IF(F14="フラグ","boolean",IF(F14="文字列","text",IF(F14="整数","integer",IF(F14="実数","numeric",""))))</f>
        <v>integer</v>
      </c>
      <c r="H14" s="26"/>
      <c r="I14" s="10"/>
      <c r="J14" s="11" t="s">
        <v>1280</v>
      </c>
      <c r="M14" s="4"/>
      <c r="N14" s="76"/>
      <c r="O14" s="76"/>
      <c r="P14" s="76" t="str">
        <f t="shared" ref="P14:P4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milscm_2023_010.azn_202310_base_merge_mml_lb_item.mil_karute_id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76"/>
      <c r="O15" s="76"/>
      <c r="P15" s="76" t="str">
        <f t="shared" si="4"/>
        <v>,facility_id</v>
      </c>
      <c r="Q15" s="76" t="str">
        <f t="shared" si="0"/>
        <v>TEXT</v>
      </c>
      <c r="R15" s="76" t="str">
        <f t="shared" si="1"/>
        <v/>
      </c>
      <c r="S15" s="76" t="str">
        <f t="shared" ref="S15:S40" si="5">IF(I15="○","NOT NULL","")</f>
        <v>NOT NULL</v>
      </c>
      <c r="T15" s="76" t="str">
        <f t="shared" ref="T15:T40"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milscm_2023_010.azn_202310_base_merge_mml_lb_item.facility_id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milscm_2023_010.azn_202310_base_merge_mml_lb_item.shinryo_ymd IS '診療年月日';</v>
      </c>
    </row>
    <row r="17" spans="1:45" s="25" customFormat="1">
      <c r="A17" s="4"/>
      <c r="B17" s="21">
        <f t="shared" si="2"/>
        <v>5</v>
      </c>
      <c r="C17" s="13" t="s">
        <v>1298</v>
      </c>
      <c r="D17" s="13" t="s">
        <v>207</v>
      </c>
      <c r="E17" s="7"/>
      <c r="F17" s="7" t="s">
        <v>863</v>
      </c>
      <c r="G17" s="7" t="str">
        <f t="shared" si="3"/>
        <v>text</v>
      </c>
      <c r="H17" s="58" t="s">
        <v>1283</v>
      </c>
      <c r="I17" s="23" t="s">
        <v>127</v>
      </c>
      <c r="J17" s="24" t="s">
        <v>1284</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milscm_2023_010.azn_202310_base_merge_mml_lb_item.data_type IS 'データ種別';</v>
      </c>
    </row>
    <row r="18" spans="1:45" s="25" customFormat="1" ht="37.5">
      <c r="A18" s="4"/>
      <c r="B18" s="21">
        <f t="shared" si="2"/>
        <v>6</v>
      </c>
      <c r="C18" s="13" t="s">
        <v>1243</v>
      </c>
      <c r="D18" s="13" t="s">
        <v>1244</v>
      </c>
      <c r="E18" s="7" t="s">
        <v>127</v>
      </c>
      <c r="F18" s="7" t="s">
        <v>863</v>
      </c>
      <c r="G18" s="7" t="str">
        <f t="shared" si="3"/>
        <v>text</v>
      </c>
      <c r="H18" s="58"/>
      <c r="I18" s="23" t="s">
        <v>127</v>
      </c>
      <c r="J18" s="24" t="s">
        <v>1285</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milscm_2023_010.azn_202310_base_merge_mml_lb_item.master_id IS '患者ID';</v>
      </c>
    </row>
    <row r="19" spans="1:45" s="25" customFormat="1" ht="37.5">
      <c r="A19" s="4"/>
      <c r="B19" s="21">
        <f t="shared" si="2"/>
        <v>7</v>
      </c>
      <c r="C19" s="13" t="s">
        <v>1245</v>
      </c>
      <c r="D19" s="13" t="s">
        <v>1246</v>
      </c>
      <c r="E19" s="7" t="s">
        <v>127</v>
      </c>
      <c r="F19" s="7" t="s">
        <v>863</v>
      </c>
      <c r="G19" s="7" t="str">
        <f t="shared" si="3"/>
        <v>text</v>
      </c>
      <c r="H19" s="58"/>
      <c r="I19" s="23" t="s">
        <v>127</v>
      </c>
      <c r="J19" s="24" t="s">
        <v>1286</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milscm_2023_010.azn_202310_base_merge_mml_lb_item.uid IS '文書ユニークID';</v>
      </c>
    </row>
    <row r="20" spans="1:45" s="25" customFormat="1">
      <c r="A20" s="4"/>
      <c r="B20" s="21">
        <f t="shared" si="2"/>
        <v>8</v>
      </c>
      <c r="C20" s="13" t="s">
        <v>1542</v>
      </c>
      <c r="D20" s="13" t="s">
        <v>1543</v>
      </c>
      <c r="E20" s="7" t="s">
        <v>127</v>
      </c>
      <c r="F20" s="7" t="s">
        <v>203</v>
      </c>
      <c r="G20" s="7" t="str">
        <f t="shared" si="3"/>
        <v>integer</v>
      </c>
      <c r="H20" s="58"/>
      <c r="I20" s="23" t="s">
        <v>127</v>
      </c>
      <c r="J20" s="24" t="s">
        <v>1580</v>
      </c>
      <c r="M20" s="4"/>
      <c r="N20" s="76"/>
      <c r="O20" s="76"/>
      <c r="P20" s="76" t="str">
        <f t="shared" si="4"/>
        <v>,kenreki_seq</v>
      </c>
      <c r="Q20" s="76" t="str">
        <f t="shared" si="0"/>
        <v>INTEGER</v>
      </c>
      <c r="R20" s="76" t="str">
        <f t="shared" si="1"/>
        <v/>
      </c>
      <c r="S20" s="76" t="str">
        <f t="shared" si="5"/>
        <v>NOT NULL</v>
      </c>
      <c r="T20" s="76" t="str">
        <f t="shared" si="6"/>
        <v>-- 検歴SEQ</v>
      </c>
      <c r="U20" s="4"/>
      <c r="AA20" s="4"/>
      <c r="AB20" s="4"/>
      <c r="AC20" s="4"/>
      <c r="AD20" s="4"/>
      <c r="AE20" s="4"/>
      <c r="AF20" s="4"/>
      <c r="AG20" s="4"/>
      <c r="AH20" s="4"/>
      <c r="AI20" s="4"/>
      <c r="AJ20" s="76" t="str">
        <f>IF(E20="○",IF(COUNTA(E$13:E20)=1,"",",")&amp;D20,"")</f>
        <v>,kenreki_seq</v>
      </c>
      <c r="AK20" s="4"/>
      <c r="AL20" s="4"/>
      <c r="AM20" s="4"/>
      <c r="AN20" s="4"/>
      <c r="AO20" s="4"/>
      <c r="AP20" s="4"/>
      <c r="AQ20" s="4"/>
      <c r="AR20" s="4"/>
      <c r="AS20" s="76" t="str">
        <f>"COMMENT ON COLUMN "&amp;エンティティ一覧!$O$2&amp;"."&amp;D$8&amp;"."&amp;D20&amp;" IS '"&amp;C20&amp;"';"</f>
        <v>COMMENT ON COLUMN milscm_2023_010.azn_202310_base_merge_mml_lb_item.kenreki_seq IS '検歴SEQ';</v>
      </c>
    </row>
    <row r="21" spans="1:45" s="25" customFormat="1">
      <c r="A21" s="4"/>
      <c r="B21" s="21">
        <f t="shared" si="2"/>
        <v>9</v>
      </c>
      <c r="C21" s="13" t="s">
        <v>1600</v>
      </c>
      <c r="D21" s="13" t="s">
        <v>1601</v>
      </c>
      <c r="E21" s="7" t="s">
        <v>127</v>
      </c>
      <c r="F21" s="7" t="s">
        <v>203</v>
      </c>
      <c r="G21" s="7" t="str">
        <f t="shared" si="3"/>
        <v>integer</v>
      </c>
      <c r="H21" s="58"/>
      <c r="I21" s="23" t="s">
        <v>127</v>
      </c>
      <c r="J21" s="24" t="s">
        <v>1656</v>
      </c>
      <c r="M21" s="4"/>
      <c r="N21" s="76"/>
      <c r="O21" s="76"/>
      <c r="P21" s="76" t="str">
        <f t="shared" si="4"/>
        <v>,labo_test_seq</v>
      </c>
      <c r="Q21" s="76" t="str">
        <f t="shared" si="0"/>
        <v>INTEGER</v>
      </c>
      <c r="R21" s="76" t="str">
        <f t="shared" si="1"/>
        <v/>
      </c>
      <c r="S21" s="76" t="str">
        <f t="shared" si="5"/>
        <v>NOT NULL</v>
      </c>
      <c r="T21" s="76" t="str">
        <f t="shared" si="6"/>
        <v>-- 検体結果情報SEQ</v>
      </c>
      <c r="U21" s="4"/>
      <c r="AA21" s="4"/>
      <c r="AB21" s="4"/>
      <c r="AC21" s="4"/>
      <c r="AD21" s="4"/>
      <c r="AE21" s="4"/>
      <c r="AF21" s="4"/>
      <c r="AG21" s="4"/>
      <c r="AH21" s="4"/>
      <c r="AI21" s="4"/>
      <c r="AJ21" s="76" t="str">
        <f>IF(E21="○",IF(COUNTA(E$13:E21)=1,"",",")&amp;D21,"")</f>
        <v>,labo_test_seq</v>
      </c>
      <c r="AK21" s="4"/>
      <c r="AL21" s="4"/>
      <c r="AM21" s="4"/>
      <c r="AN21" s="4"/>
      <c r="AO21" s="4"/>
      <c r="AP21" s="4"/>
      <c r="AQ21" s="4"/>
      <c r="AR21" s="4"/>
      <c r="AS21" s="76" t="str">
        <f>"COMMENT ON COLUMN "&amp;エンティティ一覧!$O$2&amp;"."&amp;D$8&amp;"."&amp;D21&amp;" IS '"&amp;C21&amp;"';"</f>
        <v>COMMENT ON COLUMN milscm_2023_010.azn_202310_base_merge_mml_lb_item.labo_test_seq IS '検体結果情報SEQ';</v>
      </c>
    </row>
    <row r="22" spans="1:45" s="25" customFormat="1">
      <c r="A22" s="4"/>
      <c r="B22" s="21">
        <f t="shared" si="2"/>
        <v>10</v>
      </c>
      <c r="C22" s="13" t="s">
        <v>1619</v>
      </c>
      <c r="D22" s="13" t="s">
        <v>1620</v>
      </c>
      <c r="E22" s="7" t="s">
        <v>127</v>
      </c>
      <c r="F22" s="7" t="s">
        <v>203</v>
      </c>
      <c r="G22" s="7" t="str">
        <f t="shared" si="3"/>
        <v>integer</v>
      </c>
      <c r="H22" s="58"/>
      <c r="I22" s="23" t="s">
        <v>127</v>
      </c>
      <c r="J22" s="24" t="s">
        <v>1657</v>
      </c>
      <c r="M22" s="4"/>
      <c r="N22" s="76"/>
      <c r="O22" s="76"/>
      <c r="P22" s="76" t="str">
        <f t="shared" si="4"/>
        <v>,item_info_seq</v>
      </c>
      <c r="Q22" s="76" t="str">
        <f t="shared" si="0"/>
        <v>INTEGER</v>
      </c>
      <c r="R22" s="76" t="str">
        <f t="shared" si="1"/>
        <v/>
      </c>
      <c r="S22" s="76" t="str">
        <f t="shared" si="5"/>
        <v>NOT NULL</v>
      </c>
      <c r="T22" s="76" t="str">
        <f t="shared" si="6"/>
        <v>-- 項目情報SEQ</v>
      </c>
      <c r="U22" s="4"/>
      <c r="AA22" s="4"/>
      <c r="AB22" s="4"/>
      <c r="AC22" s="4"/>
      <c r="AD22" s="4"/>
      <c r="AE22" s="4"/>
      <c r="AF22" s="4"/>
      <c r="AG22" s="4"/>
      <c r="AH22" s="4"/>
      <c r="AI22" s="4"/>
      <c r="AJ22" s="76" t="str">
        <f>IF(E22="○",IF(COUNTA(E$13:E22)=1,"",",")&amp;D22,"")</f>
        <v>,item_info_seq</v>
      </c>
      <c r="AK22" s="4"/>
      <c r="AL22" s="4"/>
      <c r="AM22" s="4"/>
      <c r="AN22" s="4"/>
      <c r="AO22" s="4"/>
      <c r="AP22" s="4"/>
      <c r="AQ22" s="4"/>
      <c r="AR22" s="4"/>
      <c r="AS22" s="76" t="str">
        <f>"COMMENT ON COLUMN "&amp;エンティティ一覧!$O$2&amp;"."&amp;D$8&amp;"."&amp;D22&amp;" IS '"&amp;C22&amp;"';"</f>
        <v>COMMENT ON COLUMN milscm_2023_010.azn_202310_base_merge_mml_lb_item.item_info_seq IS '項目情報SEQ';</v>
      </c>
    </row>
    <row r="23" spans="1:45" s="25" customFormat="1">
      <c r="A23" s="4"/>
      <c r="B23" s="21">
        <f t="shared" si="2"/>
        <v>11</v>
      </c>
      <c r="C23" s="13" t="s">
        <v>1621</v>
      </c>
      <c r="D23" s="13" t="s">
        <v>1622</v>
      </c>
      <c r="E23" s="7"/>
      <c r="F23" s="7" t="s">
        <v>863</v>
      </c>
      <c r="G23" s="7" t="str">
        <f t="shared" si="3"/>
        <v>text</v>
      </c>
      <c r="H23" s="58"/>
      <c r="I23" s="23"/>
      <c r="J23" s="24" t="s">
        <v>1658</v>
      </c>
      <c r="M23" s="4"/>
      <c r="N23" s="76"/>
      <c r="O23" s="76"/>
      <c r="P23" s="76" t="str">
        <f t="shared" si="4"/>
        <v>,item_name</v>
      </c>
      <c r="Q23" s="76" t="str">
        <f t="shared" si="0"/>
        <v>TEXT</v>
      </c>
      <c r="R23" s="76" t="str">
        <f t="shared" si="1"/>
        <v/>
      </c>
      <c r="S23" s="76" t="str">
        <f t="shared" si="5"/>
        <v/>
      </c>
      <c r="T23" s="76" t="str">
        <f t="shared" si="6"/>
        <v>-- 項目名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milscm_2023_010.azn_202310_base_merge_mml_lb_item.item_name IS '項目名';</v>
      </c>
    </row>
    <row r="24" spans="1:45" s="25" customFormat="1">
      <c r="A24" s="4"/>
      <c r="B24" s="21">
        <f t="shared" si="2"/>
        <v>12</v>
      </c>
      <c r="C24" s="13" t="s">
        <v>1623</v>
      </c>
      <c r="D24" s="13" t="s">
        <v>1624</v>
      </c>
      <c r="E24" s="7"/>
      <c r="F24" s="7" t="s">
        <v>863</v>
      </c>
      <c r="G24" s="7" t="str">
        <f t="shared" si="3"/>
        <v>text</v>
      </c>
      <c r="H24" s="58"/>
      <c r="I24" s="23"/>
      <c r="J24" s="24" t="s">
        <v>1659</v>
      </c>
      <c r="M24" s="4"/>
      <c r="N24" s="76"/>
      <c r="O24" s="76"/>
      <c r="P24" s="76" t="str">
        <f t="shared" si="4"/>
        <v>,facility_it_code</v>
      </c>
      <c r="Q24" s="76" t="str">
        <f t="shared" si="0"/>
        <v>TEXT</v>
      </c>
      <c r="R24" s="76" t="str">
        <f t="shared" si="1"/>
        <v/>
      </c>
      <c r="S24" s="76" t="str">
        <f t="shared" si="5"/>
        <v/>
      </c>
      <c r="T24" s="76" t="str">
        <f t="shared" si="6"/>
        <v>-- 施設固有コード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milscm_2023_010.azn_202310_base_merge_mml_lb_item.facility_it_code IS '施設固有コード';</v>
      </c>
    </row>
    <row r="25" spans="1:45" s="25" customFormat="1">
      <c r="A25" s="4"/>
      <c r="B25" s="21">
        <f t="shared" si="2"/>
        <v>13</v>
      </c>
      <c r="C25" s="13" t="s">
        <v>1625</v>
      </c>
      <c r="D25" s="13" t="s">
        <v>1626</v>
      </c>
      <c r="E25" s="7"/>
      <c r="F25" s="7" t="s">
        <v>863</v>
      </c>
      <c r="G25" s="7" t="str">
        <f t="shared" si="3"/>
        <v>text</v>
      </c>
      <c r="H25" s="58"/>
      <c r="I25" s="23"/>
      <c r="J25" s="24" t="s">
        <v>1660</v>
      </c>
      <c r="M25" s="4"/>
      <c r="N25" s="76"/>
      <c r="O25" s="76"/>
      <c r="P25" s="76" t="str">
        <f t="shared" si="4"/>
        <v>,facility_it_code_id</v>
      </c>
      <c r="Q25" s="76" t="str">
        <f t="shared" si="0"/>
        <v>TEXT</v>
      </c>
      <c r="R25" s="76" t="str">
        <f t="shared" si="1"/>
        <v/>
      </c>
      <c r="S25" s="76" t="str">
        <f t="shared" si="5"/>
        <v/>
      </c>
      <c r="T25" s="76" t="str">
        <f t="shared" si="6"/>
        <v>-- 施設固有コード体系名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milscm_2023_010.azn_202310_base_merge_mml_lb_item.facility_it_code_id IS '施設固有コード体系名';</v>
      </c>
    </row>
    <row r="26" spans="1:45" s="25" customFormat="1">
      <c r="A26" s="4"/>
      <c r="B26" s="21">
        <f t="shared" si="2"/>
        <v>14</v>
      </c>
      <c r="C26" s="13" t="s">
        <v>1627</v>
      </c>
      <c r="D26" s="13" t="s">
        <v>1628</v>
      </c>
      <c r="E26" s="7"/>
      <c r="F26" s="7" t="s">
        <v>863</v>
      </c>
      <c r="G26" s="7" t="str">
        <f t="shared" si="3"/>
        <v>text</v>
      </c>
      <c r="H26" s="58"/>
      <c r="I26" s="23"/>
      <c r="J26" s="24" t="s">
        <v>1661</v>
      </c>
      <c r="M26" s="4"/>
      <c r="N26" s="76"/>
      <c r="O26" s="76"/>
      <c r="P26" s="76" t="str">
        <f t="shared" si="4"/>
        <v>,jlac10_a_code</v>
      </c>
      <c r="Q26" s="76" t="str">
        <f t="shared" si="0"/>
        <v>TEXT</v>
      </c>
      <c r="R26" s="76" t="str">
        <f t="shared" si="1"/>
        <v/>
      </c>
      <c r="S26" s="76" t="str">
        <f t="shared" si="5"/>
        <v/>
      </c>
      <c r="T26" s="76" t="str">
        <f t="shared" si="6"/>
        <v>-- JLAC10の分析物コード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milscm_2023_010.azn_202310_base_merge_mml_lb_item.jlac10_a_code IS 'JLAC10の分析物コード';</v>
      </c>
    </row>
    <row r="27" spans="1:45" s="25" customFormat="1">
      <c r="A27" s="4"/>
      <c r="B27" s="21">
        <f t="shared" si="2"/>
        <v>15</v>
      </c>
      <c r="C27" s="13" t="s">
        <v>1629</v>
      </c>
      <c r="D27" s="13" t="s">
        <v>1630</v>
      </c>
      <c r="E27" s="7"/>
      <c r="F27" s="7" t="s">
        <v>863</v>
      </c>
      <c r="G27" s="7" t="str">
        <f t="shared" si="3"/>
        <v>text</v>
      </c>
      <c r="H27" s="58"/>
      <c r="I27" s="23"/>
      <c r="J27" s="24" t="s">
        <v>1662</v>
      </c>
      <c r="M27" s="4"/>
      <c r="N27" s="76"/>
      <c r="O27" s="76"/>
      <c r="P27" s="76" t="str">
        <f t="shared" si="4"/>
        <v>,jlac10_i_code</v>
      </c>
      <c r="Q27" s="76" t="str">
        <f t="shared" si="0"/>
        <v>TEXT</v>
      </c>
      <c r="R27" s="76" t="str">
        <f t="shared" si="1"/>
        <v/>
      </c>
      <c r="S27" s="76" t="str">
        <f t="shared" si="5"/>
        <v/>
      </c>
      <c r="T27" s="76" t="str">
        <f t="shared" si="6"/>
        <v>-- JLAC10の識別コード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milscm_2023_010.azn_202310_base_merge_mml_lb_item.jlac10_i_code IS 'JLAC10の識別コード';</v>
      </c>
    </row>
    <row r="28" spans="1:45" s="25" customFormat="1">
      <c r="A28" s="4"/>
      <c r="B28" s="21">
        <f t="shared" si="2"/>
        <v>16</v>
      </c>
      <c r="C28" s="13" t="s">
        <v>1631</v>
      </c>
      <c r="D28" s="13" t="s">
        <v>1632</v>
      </c>
      <c r="E28" s="7"/>
      <c r="F28" s="7" t="s">
        <v>863</v>
      </c>
      <c r="G28" s="7" t="str">
        <f t="shared" si="3"/>
        <v>text</v>
      </c>
      <c r="H28" s="58"/>
      <c r="I28" s="23"/>
      <c r="J28" s="24" t="s">
        <v>1663</v>
      </c>
      <c r="M28" s="4"/>
      <c r="N28" s="76"/>
      <c r="O28" s="76"/>
      <c r="P28" s="76" t="str">
        <f t="shared" si="4"/>
        <v>,jlac10_s_code</v>
      </c>
      <c r="Q28" s="76" t="str">
        <f t="shared" si="0"/>
        <v>TEXT</v>
      </c>
      <c r="R28" s="76" t="str">
        <f t="shared" si="1"/>
        <v/>
      </c>
      <c r="S28" s="76" t="str">
        <f t="shared" si="5"/>
        <v/>
      </c>
      <c r="T28" s="76" t="str">
        <f t="shared" si="6"/>
        <v>-- JLAC10の材料コード</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milscm_2023_010.azn_202310_base_merge_mml_lb_item.jlac10_s_code IS 'JLAC10の材料コード';</v>
      </c>
    </row>
    <row r="29" spans="1:45" s="25" customFormat="1">
      <c r="A29" s="4"/>
      <c r="B29" s="21">
        <f t="shared" si="2"/>
        <v>17</v>
      </c>
      <c r="C29" s="13" t="s">
        <v>1633</v>
      </c>
      <c r="D29" s="13" t="s">
        <v>1634</v>
      </c>
      <c r="E29" s="7"/>
      <c r="F29" s="7" t="s">
        <v>863</v>
      </c>
      <c r="G29" s="7" t="str">
        <f t="shared" si="3"/>
        <v>text</v>
      </c>
      <c r="H29" s="58"/>
      <c r="I29" s="23"/>
      <c r="J29" s="24" t="s">
        <v>1664</v>
      </c>
      <c r="M29" s="4"/>
      <c r="N29" s="76"/>
      <c r="O29" s="76"/>
      <c r="P29" s="76" t="str">
        <f t="shared" si="4"/>
        <v>,jlac10_m_code</v>
      </c>
      <c r="Q29" s="76" t="str">
        <f t="shared" si="0"/>
        <v>TEXT</v>
      </c>
      <c r="R29" s="76" t="str">
        <f t="shared" si="1"/>
        <v/>
      </c>
      <c r="S29" s="76" t="str">
        <f t="shared" si="5"/>
        <v/>
      </c>
      <c r="T29" s="76" t="str">
        <f t="shared" si="6"/>
        <v>-- JLAC10の測定法コード</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milscm_2023_010.azn_202310_base_merge_mml_lb_item.jlac10_m_code IS 'JLAC10の測定法コード';</v>
      </c>
    </row>
    <row r="30" spans="1:45" s="25" customFormat="1">
      <c r="A30" s="4"/>
      <c r="B30" s="21">
        <f t="shared" si="2"/>
        <v>18</v>
      </c>
      <c r="C30" s="13" t="s">
        <v>1635</v>
      </c>
      <c r="D30" s="13" t="s">
        <v>1636</v>
      </c>
      <c r="E30" s="7"/>
      <c r="F30" s="7" t="s">
        <v>863</v>
      </c>
      <c r="G30" s="7" t="str">
        <f t="shared" si="3"/>
        <v>text</v>
      </c>
      <c r="H30" s="58"/>
      <c r="I30" s="23"/>
      <c r="J30" s="24" t="s">
        <v>1665</v>
      </c>
      <c r="M30" s="4"/>
      <c r="N30" s="76"/>
      <c r="O30" s="76"/>
      <c r="P30" s="76" t="str">
        <f t="shared" si="4"/>
        <v>,jlac10_r_code</v>
      </c>
      <c r="Q30" s="76" t="str">
        <f t="shared" si="0"/>
        <v>TEXT</v>
      </c>
      <c r="R30" s="76" t="str">
        <f t="shared" si="1"/>
        <v/>
      </c>
      <c r="S30" s="76" t="str">
        <f t="shared" si="5"/>
        <v/>
      </c>
      <c r="T30" s="76" t="str">
        <f t="shared" si="6"/>
        <v>-- JLAC10の結果識別コード</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milscm_2023_010.azn_202310_base_merge_mml_lb_item.jlac10_r_code IS 'JLAC10の結果識別コード';</v>
      </c>
    </row>
    <row r="31" spans="1:45" s="25" customFormat="1">
      <c r="A31" s="4"/>
      <c r="B31" s="21">
        <f t="shared" si="2"/>
        <v>19</v>
      </c>
      <c r="C31" s="13" t="s">
        <v>1637</v>
      </c>
      <c r="D31" s="13" t="s">
        <v>1638</v>
      </c>
      <c r="E31" s="7"/>
      <c r="F31" s="7" t="s">
        <v>863</v>
      </c>
      <c r="G31" s="7" t="str">
        <f t="shared" si="3"/>
        <v>text</v>
      </c>
      <c r="H31" s="58"/>
      <c r="I31" s="23"/>
      <c r="J31" s="24" t="s">
        <v>1666</v>
      </c>
      <c r="M31" s="4"/>
      <c r="N31" s="76"/>
      <c r="O31" s="76"/>
      <c r="P31" s="76" t="str">
        <f t="shared" si="4"/>
        <v>,value</v>
      </c>
      <c r="Q31" s="76" t="str">
        <f t="shared" si="0"/>
        <v>TEXT</v>
      </c>
      <c r="R31" s="76" t="str">
        <f t="shared" si="1"/>
        <v/>
      </c>
      <c r="S31" s="76" t="str">
        <f t="shared" si="5"/>
        <v/>
      </c>
      <c r="T31" s="76" t="str">
        <f t="shared" si="6"/>
        <v>-- 検査結果値</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milscm_2023_010.azn_202310_base_merge_mml_lb_item.value IS '検査結果値';</v>
      </c>
    </row>
    <row r="32" spans="1:45" s="25" customFormat="1">
      <c r="A32" s="4"/>
      <c r="B32" s="21">
        <f t="shared" si="2"/>
        <v>20</v>
      </c>
      <c r="C32" s="13" t="s">
        <v>1639</v>
      </c>
      <c r="D32" s="13" t="s">
        <v>1640</v>
      </c>
      <c r="E32" s="7"/>
      <c r="F32" s="7" t="s">
        <v>863</v>
      </c>
      <c r="G32" s="7" t="str">
        <f t="shared" si="3"/>
        <v>text</v>
      </c>
      <c r="H32" s="58"/>
      <c r="I32" s="23"/>
      <c r="J32" s="24" t="s">
        <v>1667</v>
      </c>
      <c r="M32" s="4"/>
      <c r="N32" s="76"/>
      <c r="O32" s="76"/>
      <c r="P32" s="76" t="str">
        <f t="shared" si="4"/>
        <v>,num_value</v>
      </c>
      <c r="Q32" s="76" t="str">
        <f t="shared" si="0"/>
        <v>TEXT</v>
      </c>
      <c r="R32" s="76" t="str">
        <f t="shared" si="1"/>
        <v/>
      </c>
      <c r="S32" s="76" t="str">
        <f t="shared" si="5"/>
        <v/>
      </c>
      <c r="T32" s="76" t="str">
        <f t="shared" si="6"/>
        <v>-- 数値結果</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milscm_2023_010.azn_202310_base_merge_mml_lb_item.num_value IS '数値結果';</v>
      </c>
    </row>
    <row r="33" spans="1:52" s="25" customFormat="1">
      <c r="A33" s="4"/>
      <c r="B33" s="21">
        <f t="shared" si="2"/>
        <v>21</v>
      </c>
      <c r="C33" s="13" t="s">
        <v>1641</v>
      </c>
      <c r="D33" s="13" t="s">
        <v>1642</v>
      </c>
      <c r="E33" s="7"/>
      <c r="F33" s="7" t="s">
        <v>863</v>
      </c>
      <c r="G33" s="7" t="str">
        <f t="shared" si="3"/>
        <v>text</v>
      </c>
      <c r="H33" s="58"/>
      <c r="I33" s="23"/>
      <c r="J33" s="24" t="s">
        <v>1668</v>
      </c>
      <c r="M33" s="4"/>
      <c r="N33" s="76"/>
      <c r="O33" s="76"/>
      <c r="P33" s="76" t="str">
        <f t="shared" si="4"/>
        <v>,up_value</v>
      </c>
      <c r="Q33" s="76" t="str">
        <f t="shared" si="0"/>
        <v>TEXT</v>
      </c>
      <c r="R33" s="76" t="str">
        <f t="shared" si="1"/>
        <v/>
      </c>
      <c r="S33" s="76" t="str">
        <f t="shared" si="5"/>
        <v/>
      </c>
      <c r="T33" s="76" t="str">
        <f t="shared" si="6"/>
        <v>-- 上限値</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milscm_2023_010.azn_202310_base_merge_mml_lb_item.up_value IS '上限値';</v>
      </c>
    </row>
    <row r="34" spans="1:52" s="25" customFormat="1">
      <c r="A34" s="4"/>
      <c r="B34" s="21">
        <f t="shared" si="2"/>
        <v>22</v>
      </c>
      <c r="C34" s="13" t="s">
        <v>1643</v>
      </c>
      <c r="D34" s="13" t="s">
        <v>1644</v>
      </c>
      <c r="E34" s="7"/>
      <c r="F34" s="7" t="s">
        <v>863</v>
      </c>
      <c r="G34" s="7" t="str">
        <f t="shared" si="3"/>
        <v>text</v>
      </c>
      <c r="H34" s="58"/>
      <c r="I34" s="23"/>
      <c r="J34" s="24" t="s">
        <v>1669</v>
      </c>
      <c r="M34" s="4"/>
      <c r="N34" s="76"/>
      <c r="O34" s="76"/>
      <c r="P34" s="76" t="str">
        <f t="shared" si="4"/>
        <v>,low_value</v>
      </c>
      <c r="Q34" s="76" t="str">
        <f t="shared" si="0"/>
        <v>TEXT</v>
      </c>
      <c r="R34" s="76" t="str">
        <f t="shared" si="1"/>
        <v/>
      </c>
      <c r="S34" s="76" t="str">
        <f t="shared" si="5"/>
        <v/>
      </c>
      <c r="T34" s="76" t="str">
        <f t="shared" si="6"/>
        <v>-- 下限値</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milscm_2023_010.azn_202310_base_merge_mml_lb_item.low_value IS '下限値';</v>
      </c>
    </row>
    <row r="35" spans="1:52" s="25" customFormat="1">
      <c r="A35" s="4"/>
      <c r="B35" s="21">
        <f t="shared" si="2"/>
        <v>23</v>
      </c>
      <c r="C35" s="13" t="s">
        <v>1645</v>
      </c>
      <c r="D35" s="13" t="s">
        <v>1646</v>
      </c>
      <c r="E35" s="7"/>
      <c r="F35" s="7" t="s">
        <v>863</v>
      </c>
      <c r="G35" s="7" t="str">
        <f t="shared" si="3"/>
        <v>text</v>
      </c>
      <c r="H35" s="58"/>
      <c r="I35" s="23"/>
      <c r="J35" s="24" t="s">
        <v>1670</v>
      </c>
      <c r="M35" s="4"/>
      <c r="N35" s="76"/>
      <c r="O35" s="76"/>
      <c r="P35" s="76" t="str">
        <f t="shared" si="4"/>
        <v>,normal_value</v>
      </c>
      <c r="Q35" s="76" t="str">
        <f t="shared" si="0"/>
        <v>TEXT</v>
      </c>
      <c r="R35" s="76" t="str">
        <f t="shared" si="1"/>
        <v/>
      </c>
      <c r="S35" s="76" t="str">
        <f t="shared" si="5"/>
        <v/>
      </c>
      <c r="T35" s="76" t="str">
        <f t="shared" si="6"/>
        <v>-- 文字列で示す基準値</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milscm_2023_010.azn_202310_base_merge_mml_lb_item.normal_value IS '文字列で示す基準値';</v>
      </c>
    </row>
    <row r="36" spans="1:52" s="25" customFormat="1" ht="56.25">
      <c r="A36" s="4"/>
      <c r="B36" s="21">
        <f t="shared" si="2"/>
        <v>24</v>
      </c>
      <c r="C36" s="13" t="s">
        <v>1647</v>
      </c>
      <c r="D36" s="13" t="s">
        <v>1648</v>
      </c>
      <c r="E36" s="7"/>
      <c r="F36" s="7" t="s">
        <v>863</v>
      </c>
      <c r="G36" s="7" t="str">
        <f t="shared" si="3"/>
        <v>text</v>
      </c>
      <c r="H36" s="58"/>
      <c r="I36" s="23"/>
      <c r="J36" s="24" t="s">
        <v>1671</v>
      </c>
      <c r="M36" s="4"/>
      <c r="N36" s="76"/>
      <c r="O36" s="76"/>
      <c r="P36" s="76" t="str">
        <f t="shared" si="4"/>
        <v>,out_flag</v>
      </c>
      <c r="Q36" s="76" t="str">
        <f t="shared" si="0"/>
        <v>TEXT</v>
      </c>
      <c r="R36" s="76" t="str">
        <f t="shared" si="1"/>
        <v/>
      </c>
      <c r="S36" s="76" t="str">
        <f t="shared" si="5"/>
        <v/>
      </c>
      <c r="T36" s="76" t="str">
        <f t="shared" si="6"/>
        <v>-- 異常値フラグ</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milscm_2023_010.azn_202310_base_merge_mml_lb_item.out_flag IS '異常値フラグ';</v>
      </c>
    </row>
    <row r="37" spans="1:52" s="25" customFormat="1">
      <c r="A37" s="4"/>
      <c r="B37" s="21">
        <f t="shared" si="2"/>
        <v>25</v>
      </c>
      <c r="C37" s="13" t="s">
        <v>1649</v>
      </c>
      <c r="D37" s="13" t="s">
        <v>275</v>
      </c>
      <c r="E37" s="7"/>
      <c r="F37" s="7" t="s">
        <v>863</v>
      </c>
      <c r="G37" s="7" t="str">
        <f t="shared" si="3"/>
        <v>text</v>
      </c>
      <c r="H37" s="58"/>
      <c r="I37" s="23"/>
      <c r="J37" s="24" t="s">
        <v>1672</v>
      </c>
      <c r="M37" s="4"/>
      <c r="N37" s="76"/>
      <c r="O37" s="76"/>
      <c r="P37" s="76" t="str">
        <f t="shared" si="4"/>
        <v>,unit</v>
      </c>
      <c r="Q37" s="76" t="str">
        <f t="shared" si="0"/>
        <v>TEXT</v>
      </c>
      <c r="R37" s="76" t="str">
        <f t="shared" si="1"/>
        <v/>
      </c>
      <c r="S37" s="76" t="str">
        <f t="shared" si="5"/>
        <v/>
      </c>
      <c r="T37" s="76" t="str">
        <f t="shared" si="6"/>
        <v>-- 単位</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milscm_2023_010.azn_202310_base_merge_mml_lb_item.unit IS '単位';</v>
      </c>
    </row>
    <row r="38" spans="1:52" s="25" customFormat="1" ht="37.5">
      <c r="A38" s="4"/>
      <c r="B38" s="21">
        <f t="shared" si="2"/>
        <v>26</v>
      </c>
      <c r="C38" s="13" t="s">
        <v>1650</v>
      </c>
      <c r="D38" s="13" t="s">
        <v>1651</v>
      </c>
      <c r="E38" s="7"/>
      <c r="F38" s="7" t="s">
        <v>863</v>
      </c>
      <c r="G38" s="7" t="str">
        <f t="shared" si="3"/>
        <v>text</v>
      </c>
      <c r="H38" s="58"/>
      <c r="I38" s="23"/>
      <c r="J38" s="24" t="s">
        <v>1673</v>
      </c>
      <c r="M38" s="4"/>
      <c r="N38" s="76"/>
      <c r="O38" s="76"/>
      <c r="P38" s="76" t="str">
        <f t="shared" si="4"/>
        <v>,unit_code</v>
      </c>
      <c r="Q38" s="76" t="str">
        <f t="shared" si="0"/>
        <v>TEXT</v>
      </c>
      <c r="R38" s="76" t="str">
        <f t="shared" si="1"/>
        <v/>
      </c>
      <c r="S38" s="76" t="str">
        <f t="shared" si="5"/>
        <v/>
      </c>
      <c r="T38" s="76" t="str">
        <f t="shared" si="6"/>
        <v>-- 単位コード</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milscm_2023_010.azn_202310_base_merge_mml_lb_item.unit_code IS '単位コード';</v>
      </c>
    </row>
    <row r="39" spans="1:52" s="25" customFormat="1" ht="37.5">
      <c r="A39" s="4"/>
      <c r="B39" s="21">
        <f t="shared" si="2"/>
        <v>27</v>
      </c>
      <c r="C39" s="13" t="s">
        <v>1652</v>
      </c>
      <c r="D39" s="13" t="s">
        <v>1653</v>
      </c>
      <c r="E39" s="7"/>
      <c r="F39" s="7" t="s">
        <v>863</v>
      </c>
      <c r="G39" s="7" t="str">
        <f t="shared" si="3"/>
        <v>text</v>
      </c>
      <c r="H39" s="58"/>
      <c r="I39" s="23"/>
      <c r="J39" s="24" t="s">
        <v>1674</v>
      </c>
      <c r="M39" s="4"/>
      <c r="N39" s="76"/>
      <c r="O39" s="76"/>
      <c r="P39" s="76" t="str">
        <f t="shared" si="4"/>
        <v>,unit_code_id</v>
      </c>
      <c r="Q39" s="76" t="str">
        <f t="shared" si="0"/>
        <v>TEXT</v>
      </c>
      <c r="R39" s="76" t="str">
        <f t="shared" si="1"/>
        <v/>
      </c>
      <c r="S39" s="76" t="str">
        <f t="shared" si="5"/>
        <v/>
      </c>
      <c r="T39" s="76" t="str">
        <f t="shared" si="6"/>
        <v>-- 単位コードID</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milscm_2023_010.azn_202310_base_merge_mml_lb_item.unit_code_id IS '単位コードID';</v>
      </c>
    </row>
    <row r="40" spans="1:52" s="25" customFormat="1" ht="19.5" thickBot="1">
      <c r="A40" s="4"/>
      <c r="B40" s="27">
        <f>ROW()-12</f>
        <v>28</v>
      </c>
      <c r="C40" s="57" t="s">
        <v>1654</v>
      </c>
      <c r="D40" s="57" t="s">
        <v>1655</v>
      </c>
      <c r="E40" s="56"/>
      <c r="F40" s="56" t="s">
        <v>863</v>
      </c>
      <c r="G40" s="56" t="str">
        <f t="shared" si="3"/>
        <v>text</v>
      </c>
      <c r="H40" s="59"/>
      <c r="I40" s="60"/>
      <c r="J40" s="63" t="s">
        <v>1675</v>
      </c>
      <c r="N40" s="76"/>
      <c r="O40" s="76"/>
      <c r="P40" s="76" t="str">
        <f t="shared" si="4"/>
        <v>,item_free_comment</v>
      </c>
      <c r="Q40" s="76" t="str">
        <f t="shared" si="0"/>
        <v>TEXT</v>
      </c>
      <c r="R40" s="76" t="str">
        <f t="shared" si="1"/>
        <v/>
      </c>
      <c r="S40" s="76" t="str">
        <f t="shared" si="5"/>
        <v/>
      </c>
      <c r="T40" s="76" t="str">
        <f t="shared" si="6"/>
        <v>-- 項目フリーコメント</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milscm_2023_010.azn_202310_base_merge_mml_lb_item.item_free_comment IS '項目フリーコメント';</v>
      </c>
    </row>
    <row r="41" spans="1:52">
      <c r="L41" s="25"/>
      <c r="M41" s="25"/>
      <c r="N41" s="76" t="s">
        <v>142</v>
      </c>
      <c r="O41" s="76"/>
      <c r="P41" s="76"/>
      <c r="Q41" s="76"/>
      <c r="R41" s="76"/>
      <c r="S41" s="76"/>
      <c r="T41" s="76"/>
      <c r="V41" s="25"/>
      <c r="W41" s="25"/>
      <c r="X41" s="25"/>
      <c r="Y41" s="25"/>
      <c r="Z41" s="25"/>
      <c r="AJ41" s="76" t="s">
        <v>142</v>
      </c>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V56" s="25"/>
      <c r="AW56" s="25"/>
      <c r="AX56" s="25"/>
      <c r="AY56" s="25"/>
      <c r="AZ56" s="25"/>
    </row>
    <row r="57" spans="12:52">
      <c r="M57" s="25"/>
    </row>
    <row r="58" spans="12:52">
      <c r="M58" s="25"/>
    </row>
    <row r="59" spans="12:52">
      <c r="M59" s="25"/>
    </row>
    <row r="60" spans="12:52">
      <c r="M60" s="25"/>
    </row>
    <row r="61" spans="12:52">
      <c r="M61" s="25"/>
    </row>
    <row r="62" spans="12:52">
      <c r="M6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31</v>
      </c>
      <c r="E4" s="248"/>
      <c r="F4" s="248"/>
      <c r="G4" s="248"/>
      <c r="H4" s="248"/>
      <c r="I4" s="248"/>
      <c r="J4" s="249"/>
    </row>
    <row r="5" spans="1:45">
      <c r="B5" s="261" t="s">
        <v>3704</v>
      </c>
      <c r="C5" s="262"/>
      <c r="D5" s="271" t="str">
        <f>VLOOKUP(D7,エンティティ一覧!A1:'エンティティ一覧'!AM10203,7,FALSE)</f>
        <v>base</v>
      </c>
      <c r="E5" s="272"/>
      <c r="F5" s="272"/>
      <c r="G5" s="272"/>
      <c r="H5" s="272"/>
      <c r="I5" s="272"/>
      <c r="J5" s="273"/>
    </row>
    <row r="6" spans="1:45">
      <c r="B6" s="261" t="s">
        <v>3705</v>
      </c>
      <c r="C6" s="262"/>
      <c r="D6" s="271" t="str">
        <f>VLOOKUP(D7,エンティティ一覧!A1:'エンティティ一覧'!AM10203,15,FALSE)</f>
        <v>ENT_31_C4-37</v>
      </c>
      <c r="E6" s="272"/>
      <c r="F6" s="272"/>
      <c r="G6" s="272"/>
      <c r="H6" s="272"/>
      <c r="I6" s="272"/>
      <c r="J6" s="273"/>
    </row>
    <row r="7" spans="1:45">
      <c r="B7" s="261" t="s">
        <v>115</v>
      </c>
      <c r="C7" s="262"/>
      <c r="D7" s="263" t="s">
        <v>4086</v>
      </c>
      <c r="E7" s="264"/>
      <c r="F7" s="264"/>
      <c r="G7" s="264"/>
      <c r="H7" s="264"/>
      <c r="I7" s="264"/>
      <c r="J7" s="265"/>
    </row>
    <row r="8" spans="1:45">
      <c r="B8" s="261" t="s">
        <v>116</v>
      </c>
      <c r="C8" s="262"/>
      <c r="D8" s="263" t="str">
        <f>エンティティ一覧!AE2&amp;"_"&amp;D5&amp;"_merge_mml_vs_vitalsign"</f>
        <v>azn_202310_base_merge_mml_vs_vitalsign</v>
      </c>
      <c r="E8" s="264"/>
      <c r="F8" s="264"/>
      <c r="G8" s="264"/>
      <c r="H8" s="264"/>
      <c r="I8" s="264"/>
      <c r="J8" s="265"/>
    </row>
    <row r="9" spans="1:45" ht="19.5" customHeight="1" thickBot="1">
      <c r="B9" s="266" t="s">
        <v>117</v>
      </c>
      <c r="C9" s="267"/>
      <c r="D9" s="268" t="str">
        <f>"バックアップ_"&amp;SUBSTITUTE(D7,"ベース_","")&amp;"テーブルから対象患者で絞り込んだ結果を格納するテーブル"</f>
        <v>バックアップ_バイタルサインモジュール_バイタルサインテーブルから対象患者で絞り込んだ結果を格納するテーブル</v>
      </c>
      <c r="E9" s="269"/>
      <c r="F9" s="269"/>
      <c r="G9" s="269"/>
      <c r="H9" s="269"/>
      <c r="I9" s="269"/>
      <c r="J9" s="270"/>
    </row>
    <row r="10" spans="1:45">
      <c r="B10" s="19"/>
      <c r="C10" s="19"/>
      <c r="D10" s="5"/>
      <c r="E10" s="5"/>
      <c r="F10" s="5"/>
      <c r="G10" s="5"/>
      <c r="H10" s="5"/>
      <c r="I10" s="5"/>
      <c r="J10" s="18"/>
      <c r="N10" s="97" t="str">
        <f>"--DROP TABLE  "&amp;エンティティ一覧!$O$2&amp;"."&amp;D$8&amp;";"</f>
        <v>--DROP TABLE  milscm_2023_010.azn_202310_base_merge_mml_vs_vitalsign;</v>
      </c>
      <c r="O10" s="97"/>
      <c r="P10" s="97"/>
      <c r="Q10" s="97"/>
      <c r="R10" s="97"/>
      <c r="S10" s="97"/>
      <c r="T10" s="97"/>
      <c r="AJ10" s="97" t="str">
        <f>"ALTER TABLE ONLY "&amp;エンティティ一覧!$O$2&amp;"."&amp;D$8</f>
        <v>ALTER TABLE ONLY milscm_2023_010.azn_202310_base_merge_mml_vs_vitalsign</v>
      </c>
      <c r="AS10" s="97" t="str">
        <f>"ALTER TABLE "&amp;エンティティ一覧!$O$2&amp;"."&amp;D$8&amp;" OWNER TO pgmisgrp1;"</f>
        <v>ALTER TABLE milscm_2023_010.azn_202310_base_merge_mml_vs_vitalsign OWNER TO pgmisgrp1;</v>
      </c>
    </row>
    <row r="11" spans="1:45" ht="19.5" thickBot="1">
      <c r="B11" s="20" t="s">
        <v>118</v>
      </c>
      <c r="C11" s="19"/>
      <c r="D11" s="5"/>
      <c r="E11" s="5"/>
      <c r="F11" s="5"/>
      <c r="G11" s="5"/>
      <c r="H11" s="5"/>
      <c r="I11" s="5"/>
      <c r="J11" s="18"/>
      <c r="N11" s="97" t="str">
        <f>"CREATE TABLE  "&amp;エンティティ一覧!$O$2&amp;"."&amp;D$8</f>
        <v>CREATE TABLE  milscm_2023_010.azn_202310_base_merge_mml_vs_vitalsign</v>
      </c>
      <c r="O11" s="97"/>
      <c r="P11" s="97"/>
      <c r="Q11" s="97"/>
      <c r="R11" s="97"/>
      <c r="S11" s="97"/>
      <c r="T11" s="97"/>
      <c r="AJ11" s="97" t="str">
        <f>"ADD CONSTRAINT "&amp;D$8&amp;"_pkey PRIMARY KEY"</f>
        <v>ADD CONSTRAINT azn_202310_base_merge_mml_vs_vitalsign_pkey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milscm_2023_010.azn_202310_base_merge_mml_vs_vitalsign IS 'ベース_バイタルサインモジュール_バイタルサイン';</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97"/>
      <c r="O13" s="97"/>
      <c r="P13" s="97" t="str">
        <f>IF(B13&lt;&gt;1,","&amp;D13,D13)</f>
        <v>torikomi_ym</v>
      </c>
      <c r="Q13" s="97" t="str">
        <f t="shared" ref="Q13:Q32" si="0">UPPER(G13)</f>
        <v>TEXT</v>
      </c>
      <c r="R13" s="97" t="str">
        <f t="shared" ref="R13:R32" si="1">IF(H13&lt;&gt;"","default "&amp;IF(G13="text","'"&amp;H13&amp;"'",H13),"")</f>
        <v/>
      </c>
      <c r="S13" s="97" t="str">
        <f>IF(I13="○","NOT NULL","")</f>
        <v>NOT NULL</v>
      </c>
      <c r="T13" s="97" t="str">
        <f>"-- "&amp;C13</f>
        <v>-- 取込年月</v>
      </c>
      <c r="U13" s="4"/>
      <c r="AA13" s="4"/>
      <c r="AB13" s="4"/>
      <c r="AC13" s="4"/>
      <c r="AD13" s="4"/>
      <c r="AE13" s="4"/>
      <c r="AF13" s="4"/>
      <c r="AG13" s="4"/>
      <c r="AH13" s="4"/>
      <c r="AI13" s="4"/>
      <c r="AJ13" s="97" t="str">
        <f>IF(E13="○",IF(COUNTA(E$13:E13)=1,"",",")&amp;D13,"")</f>
        <v/>
      </c>
      <c r="AK13" s="4"/>
      <c r="AL13" s="4"/>
      <c r="AM13" s="4"/>
      <c r="AN13" s="4"/>
      <c r="AO13" s="4"/>
      <c r="AP13" s="4"/>
      <c r="AQ13" s="4"/>
      <c r="AR13" s="4"/>
      <c r="AS13" s="97" t="str">
        <f>"COMMENT ON COLUMN "&amp;エンティティ一覧!$O$2&amp;"."&amp;D$8&amp;"."&amp;D13&amp;" IS '"&amp;C13&amp;"';"</f>
        <v>COMMENT ON COLUMN milscm_2023_010.azn_202310_base_merge_mml_vs_vitalsign.torikomi_ym IS '取込年月';</v>
      </c>
    </row>
    <row r="14" spans="1:45" s="25" customFormat="1">
      <c r="A14" s="4"/>
      <c r="B14" s="21">
        <f t="shared" ref="B14:B31" si="2">ROW()-12</f>
        <v>2</v>
      </c>
      <c r="C14" s="6" t="s">
        <v>201</v>
      </c>
      <c r="D14" s="6" t="s">
        <v>202</v>
      </c>
      <c r="E14" s="8"/>
      <c r="F14" s="7" t="s">
        <v>203</v>
      </c>
      <c r="G14" s="7" t="str">
        <f t="shared" ref="G14:G32" si="3">IF(F14="フラグ","boolean",IF(F14="文字列","text",IF(F14="整数","integer",IF(F14="実数","numeric",""))))</f>
        <v>integer</v>
      </c>
      <c r="H14" s="26"/>
      <c r="I14" s="10"/>
      <c r="J14" s="11" t="s">
        <v>1280</v>
      </c>
      <c r="M14" s="4"/>
      <c r="N14" s="97"/>
      <c r="O14" s="97"/>
      <c r="P14" s="97" t="str">
        <f t="shared" ref="P14:P32" si="4">IF(B14&lt;&gt;1,","&amp;D14,D14)</f>
        <v>,mil_karute_id</v>
      </c>
      <c r="Q14" s="97" t="str">
        <f t="shared" si="0"/>
        <v>INTEGER</v>
      </c>
      <c r="R14" s="97" t="str">
        <f t="shared" si="1"/>
        <v/>
      </c>
      <c r="S14" s="97" t="str">
        <f>IF(I14="○","NOT NULL","")</f>
        <v/>
      </c>
      <c r="T14" s="97" t="str">
        <f>"-- "&amp;C14</f>
        <v>-- 千年カルテID</v>
      </c>
      <c r="U14" s="4"/>
      <c r="AA14" s="4"/>
      <c r="AB14" s="4"/>
      <c r="AC14" s="4"/>
      <c r="AD14" s="4"/>
      <c r="AE14" s="4"/>
      <c r="AF14" s="4"/>
      <c r="AG14" s="4"/>
      <c r="AH14" s="4"/>
      <c r="AI14" s="4"/>
      <c r="AJ14" s="97" t="str">
        <f>IF(E14="○",IF(COUNTA(E$13:E14)=1,"",",")&amp;D14,"")</f>
        <v/>
      </c>
      <c r="AK14" s="4"/>
      <c r="AL14" s="4"/>
      <c r="AM14" s="4"/>
      <c r="AN14" s="4"/>
      <c r="AO14" s="4"/>
      <c r="AP14" s="4"/>
      <c r="AQ14" s="4"/>
      <c r="AR14" s="4"/>
      <c r="AS14" s="97" t="str">
        <f>"COMMENT ON COLUMN "&amp;エンティティ一覧!$O$2&amp;"."&amp;D$8&amp;"."&amp;D14&amp;" IS '"&amp;C14&amp;"';"</f>
        <v>COMMENT ON COLUMN milscm_2023_010.azn_202310_base_merge_mml_vs_vitalsign.mil_karute_id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97"/>
      <c r="O15" s="97"/>
      <c r="P15" s="97" t="str">
        <f t="shared" si="4"/>
        <v>,facility_id</v>
      </c>
      <c r="Q15" s="97" t="str">
        <f t="shared" si="0"/>
        <v>TEXT</v>
      </c>
      <c r="R15" s="97" t="str">
        <f t="shared" si="1"/>
        <v/>
      </c>
      <c r="S15" s="97" t="str">
        <f t="shared" ref="S15:S32" si="5">IF(I15="○","NOT NULL","")</f>
        <v>NOT NULL</v>
      </c>
      <c r="T15" s="97" t="str">
        <f t="shared" ref="T15:T32" si="6">"-- "&amp;C15</f>
        <v>-- 施設ID</v>
      </c>
      <c r="U15" s="4"/>
      <c r="AA15" s="4"/>
      <c r="AB15" s="4"/>
      <c r="AC15" s="4"/>
      <c r="AD15" s="4"/>
      <c r="AE15" s="4"/>
      <c r="AF15" s="4"/>
      <c r="AG15" s="4"/>
      <c r="AH15" s="4"/>
      <c r="AI15" s="4"/>
      <c r="AJ15" s="97" t="str">
        <f>IF(E15="○",IF(COUNTA(E$13:E15)=1,"",",")&amp;D15,"")</f>
        <v>facility_id</v>
      </c>
      <c r="AK15" s="4"/>
      <c r="AL15" s="4"/>
      <c r="AM15" s="4"/>
      <c r="AN15" s="4"/>
      <c r="AO15" s="4"/>
      <c r="AP15" s="4"/>
      <c r="AQ15" s="4"/>
      <c r="AR15" s="4"/>
      <c r="AS15" s="97" t="str">
        <f>"COMMENT ON COLUMN "&amp;エンティティ一覧!$O$2&amp;"."&amp;D$8&amp;"."&amp;D15&amp;" IS '"&amp;C15&amp;"';"</f>
        <v>COMMENT ON COLUMN milscm_2023_010.azn_202310_base_merge_mml_vs_vitalsign.facility_id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97"/>
      <c r="O16" s="97"/>
      <c r="P16" s="97" t="str">
        <f t="shared" si="4"/>
        <v>,shinryo_ymd</v>
      </c>
      <c r="Q16" s="97" t="str">
        <f t="shared" si="0"/>
        <v>TEXT</v>
      </c>
      <c r="R16" s="97" t="str">
        <f t="shared" si="1"/>
        <v/>
      </c>
      <c r="S16" s="97" t="str">
        <f t="shared" si="5"/>
        <v>NOT NULL</v>
      </c>
      <c r="T16" s="97" t="str">
        <f t="shared" si="6"/>
        <v>-- 診療年月日</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"&amp;エンティティ一覧!$O$2&amp;"."&amp;D$8&amp;"."&amp;D16&amp;" IS '"&amp;C16&amp;"';"</f>
        <v>COMMENT ON COLUMN milscm_2023_010.azn_202310_base_merge_mml_vs_vitalsign.shinryo_ymd IS '診療年月日';</v>
      </c>
    </row>
    <row r="17" spans="1:45" s="25" customFormat="1">
      <c r="A17" s="4"/>
      <c r="B17" s="21">
        <f t="shared" si="2"/>
        <v>5</v>
      </c>
      <c r="C17" s="13" t="s">
        <v>1298</v>
      </c>
      <c r="D17" s="13" t="s">
        <v>207</v>
      </c>
      <c r="E17" s="7"/>
      <c r="F17" s="7" t="s">
        <v>863</v>
      </c>
      <c r="G17" s="7" t="str">
        <f t="shared" si="3"/>
        <v>text</v>
      </c>
      <c r="H17" s="58" t="s">
        <v>1283</v>
      </c>
      <c r="I17" s="23" t="s">
        <v>127</v>
      </c>
      <c r="J17" s="24" t="s">
        <v>1284</v>
      </c>
      <c r="M17" s="4"/>
      <c r="N17" s="97"/>
      <c r="O17" s="97"/>
      <c r="P17" s="97" t="str">
        <f t="shared" si="4"/>
        <v>,data_type</v>
      </c>
      <c r="Q17" s="97" t="str">
        <f t="shared" si="0"/>
        <v>TEXT</v>
      </c>
      <c r="R17" s="97" t="str">
        <f t="shared" si="1"/>
        <v>default 'MML'</v>
      </c>
      <c r="S17" s="97" t="str">
        <f t="shared" si="5"/>
        <v>NOT NULL</v>
      </c>
      <c r="T17" s="97" t="str">
        <f t="shared" si="6"/>
        <v>-- データ種別</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milscm_2023_010.azn_202310_base_merge_mml_vs_vitalsign.data_type IS 'データ種別';</v>
      </c>
    </row>
    <row r="18" spans="1:45" s="25" customFormat="1" ht="37.5">
      <c r="A18" s="4"/>
      <c r="B18" s="21">
        <f t="shared" si="2"/>
        <v>6</v>
      </c>
      <c r="C18" s="13" t="s">
        <v>1243</v>
      </c>
      <c r="D18" s="13" t="s">
        <v>1244</v>
      </c>
      <c r="E18" s="7" t="s">
        <v>127</v>
      </c>
      <c r="F18" s="7" t="s">
        <v>863</v>
      </c>
      <c r="G18" s="7" t="str">
        <f t="shared" si="3"/>
        <v>text</v>
      </c>
      <c r="H18" s="58"/>
      <c r="I18" s="23" t="s">
        <v>127</v>
      </c>
      <c r="J18" s="24" t="s">
        <v>1285</v>
      </c>
      <c r="M18" s="4"/>
      <c r="N18" s="97"/>
      <c r="O18" s="97"/>
      <c r="P18" s="97" t="str">
        <f t="shared" si="4"/>
        <v>,master_id</v>
      </c>
      <c r="Q18" s="97" t="str">
        <f t="shared" si="0"/>
        <v>TEXT</v>
      </c>
      <c r="R18" s="97" t="str">
        <f t="shared" si="1"/>
        <v/>
      </c>
      <c r="S18" s="97" t="str">
        <f t="shared" si="5"/>
        <v>NOT NULL</v>
      </c>
      <c r="T18" s="97" t="str">
        <f t="shared" si="6"/>
        <v>-- 患者ID</v>
      </c>
      <c r="U18" s="4"/>
      <c r="AA18" s="4"/>
      <c r="AB18" s="4"/>
      <c r="AC18" s="4"/>
      <c r="AD18" s="4"/>
      <c r="AE18" s="4"/>
      <c r="AF18" s="4"/>
      <c r="AG18" s="4"/>
      <c r="AH18" s="4"/>
      <c r="AI18" s="4"/>
      <c r="AJ18" s="97" t="str">
        <f>IF(E18="○",IF(COUNTA(E$13:E18)=1,"",",")&amp;D18,"")</f>
        <v>,master_id</v>
      </c>
      <c r="AK18" s="4"/>
      <c r="AL18" s="4"/>
      <c r="AM18" s="4"/>
      <c r="AN18" s="4"/>
      <c r="AO18" s="4"/>
      <c r="AP18" s="4"/>
      <c r="AQ18" s="4"/>
      <c r="AR18" s="4"/>
      <c r="AS18" s="97" t="str">
        <f>"COMMENT ON COLUMN "&amp;エンティティ一覧!$O$2&amp;"."&amp;D$8&amp;"."&amp;D18&amp;" IS '"&amp;C18&amp;"';"</f>
        <v>COMMENT ON COLUMN milscm_2023_010.azn_202310_base_merge_mml_vs_vitalsign.master_id IS '患者ID';</v>
      </c>
    </row>
    <row r="19" spans="1:45" s="25" customFormat="1" ht="37.5">
      <c r="A19" s="4"/>
      <c r="B19" s="21">
        <f t="shared" si="2"/>
        <v>7</v>
      </c>
      <c r="C19" s="13" t="s">
        <v>1245</v>
      </c>
      <c r="D19" s="13" t="s">
        <v>1246</v>
      </c>
      <c r="E19" s="7" t="s">
        <v>127</v>
      </c>
      <c r="F19" s="7" t="s">
        <v>863</v>
      </c>
      <c r="G19" s="7" t="str">
        <f t="shared" si="3"/>
        <v>text</v>
      </c>
      <c r="H19" s="58"/>
      <c r="I19" s="23" t="s">
        <v>127</v>
      </c>
      <c r="J19" s="24" t="s">
        <v>1286</v>
      </c>
      <c r="M19" s="4"/>
      <c r="N19" s="97"/>
      <c r="O19" s="97"/>
      <c r="P19" s="97" t="str">
        <f t="shared" si="4"/>
        <v>,uid</v>
      </c>
      <c r="Q19" s="97" t="str">
        <f t="shared" si="0"/>
        <v>TEXT</v>
      </c>
      <c r="R19" s="97" t="str">
        <f t="shared" si="1"/>
        <v/>
      </c>
      <c r="S19" s="97" t="str">
        <f t="shared" si="5"/>
        <v>NOT NULL</v>
      </c>
      <c r="T19" s="97" t="str">
        <f t="shared" si="6"/>
        <v>-- 文書ユニークID</v>
      </c>
      <c r="U19" s="4"/>
      <c r="AA19" s="4"/>
      <c r="AB19" s="4"/>
      <c r="AC19" s="4"/>
      <c r="AD19" s="4"/>
      <c r="AE19" s="4"/>
      <c r="AF19" s="4"/>
      <c r="AG19" s="4"/>
      <c r="AH19" s="4"/>
      <c r="AI19" s="4"/>
      <c r="AJ19" s="97" t="str">
        <f>IF(E19="○",IF(COUNTA(E$13:E19)=1,"",",")&amp;D19,"")</f>
        <v>,uid</v>
      </c>
      <c r="AK19" s="4"/>
      <c r="AL19" s="4"/>
      <c r="AM19" s="4"/>
      <c r="AN19" s="4"/>
      <c r="AO19" s="4"/>
      <c r="AP19" s="4"/>
      <c r="AQ19" s="4"/>
      <c r="AR19" s="4"/>
      <c r="AS19" s="97" t="str">
        <f>"COMMENT ON COLUMN "&amp;エンティティ一覧!$O$2&amp;"."&amp;D$8&amp;"."&amp;D19&amp;" IS '"&amp;C19&amp;"';"</f>
        <v>COMMENT ON COLUMN milscm_2023_010.azn_202310_base_merge_mml_vs_vitalsign.uid IS '文書ユニークID';</v>
      </c>
    </row>
    <row r="20" spans="1:45" s="25" customFormat="1">
      <c r="A20" s="4"/>
      <c r="B20" s="21">
        <f t="shared" si="2"/>
        <v>8</v>
      </c>
      <c r="C20" s="13" t="s">
        <v>1677</v>
      </c>
      <c r="D20" s="13" t="s">
        <v>1678</v>
      </c>
      <c r="E20" s="7" t="s">
        <v>127</v>
      </c>
      <c r="F20" s="7" t="s">
        <v>203</v>
      </c>
      <c r="G20" s="7" t="str">
        <f t="shared" si="3"/>
        <v>integer</v>
      </c>
      <c r="H20" s="58"/>
      <c r="I20" s="23" t="s">
        <v>127</v>
      </c>
      <c r="J20" s="24" t="s">
        <v>1700</v>
      </c>
      <c r="M20" s="4"/>
      <c r="N20" s="97"/>
      <c r="O20" s="97"/>
      <c r="P20" s="97" t="str">
        <f t="shared" si="4"/>
        <v>,vital_seq</v>
      </c>
      <c r="Q20" s="97" t="str">
        <f t="shared" si="0"/>
        <v>INTEGER</v>
      </c>
      <c r="R20" s="97" t="str">
        <f t="shared" si="1"/>
        <v/>
      </c>
      <c r="S20" s="97" t="str">
        <f t="shared" si="5"/>
        <v>NOT NULL</v>
      </c>
      <c r="T20" s="97" t="str">
        <f t="shared" si="6"/>
        <v>-- バイタルSEQ</v>
      </c>
      <c r="U20" s="4"/>
      <c r="AA20" s="4"/>
      <c r="AB20" s="4"/>
      <c r="AC20" s="4"/>
      <c r="AD20" s="4"/>
      <c r="AE20" s="4"/>
      <c r="AF20" s="4"/>
      <c r="AG20" s="4"/>
      <c r="AH20" s="4"/>
      <c r="AI20" s="4"/>
      <c r="AJ20" s="97" t="str">
        <f>IF(E20="○",IF(COUNTA(E$13:E20)=1,"",",")&amp;D20,"")</f>
        <v>,vital_seq</v>
      </c>
      <c r="AK20" s="4"/>
      <c r="AL20" s="4"/>
      <c r="AM20" s="4"/>
      <c r="AN20" s="4"/>
      <c r="AO20" s="4"/>
      <c r="AP20" s="4"/>
      <c r="AQ20" s="4"/>
      <c r="AR20" s="4"/>
      <c r="AS20" s="97" t="str">
        <f>"COMMENT ON COLUMN "&amp;エンティティ一覧!$O$2&amp;"."&amp;D$8&amp;"."&amp;D20&amp;" IS '"&amp;C20&amp;"';"</f>
        <v>COMMENT ON COLUMN milscm_2023_010.azn_202310_base_merge_mml_vs_vitalsign.vital_seq IS 'バイタルSEQ';</v>
      </c>
    </row>
    <row r="21" spans="1:45" s="25" customFormat="1">
      <c r="A21" s="4"/>
      <c r="B21" s="21">
        <f t="shared" si="2"/>
        <v>9</v>
      </c>
      <c r="C21" s="13" t="s">
        <v>1679</v>
      </c>
      <c r="D21" s="13" t="s">
        <v>1680</v>
      </c>
      <c r="E21" s="7"/>
      <c r="F21" s="7" t="s">
        <v>863</v>
      </c>
      <c r="G21" s="7" t="str">
        <f t="shared" si="3"/>
        <v>text</v>
      </c>
      <c r="H21" s="58"/>
      <c r="I21" s="23"/>
      <c r="J21" s="24" t="s">
        <v>1701</v>
      </c>
      <c r="M21" s="4"/>
      <c r="N21" s="97"/>
      <c r="O21" s="97"/>
      <c r="P21" s="97" t="str">
        <f t="shared" si="4"/>
        <v>,department_name</v>
      </c>
      <c r="Q21" s="97" t="str">
        <f t="shared" si="0"/>
        <v>TEXT</v>
      </c>
      <c r="R21" s="97" t="str">
        <f t="shared" si="1"/>
        <v/>
      </c>
      <c r="S21" s="97" t="str">
        <f t="shared" si="5"/>
        <v/>
      </c>
      <c r="T21" s="97" t="str">
        <f t="shared" si="6"/>
        <v>-- 診療科名</v>
      </c>
      <c r="U21" s="4"/>
      <c r="AA21" s="4"/>
      <c r="AB21" s="4"/>
      <c r="AC21" s="4"/>
      <c r="AD21" s="4"/>
      <c r="AE21" s="4"/>
      <c r="AF21" s="4"/>
      <c r="AG21" s="4"/>
      <c r="AH21" s="4"/>
      <c r="AI21" s="4"/>
      <c r="AJ21" s="97" t="str">
        <f>IF(E21="○",IF(COUNTA(E$13:E21)=1,"",",")&amp;D21,"")</f>
        <v/>
      </c>
      <c r="AK21" s="4"/>
      <c r="AL21" s="4"/>
      <c r="AM21" s="4"/>
      <c r="AN21" s="4"/>
      <c r="AO21" s="4"/>
      <c r="AP21" s="4"/>
      <c r="AQ21" s="4"/>
      <c r="AR21" s="4"/>
      <c r="AS21" s="97" t="str">
        <f>"COMMENT ON COLUMN "&amp;エンティティ一覧!$O$2&amp;"."&amp;D$8&amp;"."&amp;D21&amp;" IS '"&amp;C21&amp;"';"</f>
        <v>COMMENT ON COLUMN milscm_2023_010.azn_202310_base_merge_mml_vs_vitalsign.department_name IS '診療科名';</v>
      </c>
    </row>
    <row r="22" spans="1:45" s="25" customFormat="1" ht="37.5">
      <c r="A22" s="4"/>
      <c r="B22" s="21">
        <f t="shared" si="2"/>
        <v>10</v>
      </c>
      <c r="C22" s="13" t="s">
        <v>601</v>
      </c>
      <c r="D22" s="13" t="s">
        <v>1681</v>
      </c>
      <c r="E22" s="7"/>
      <c r="F22" s="7" t="s">
        <v>863</v>
      </c>
      <c r="G22" s="7" t="str">
        <f t="shared" si="3"/>
        <v>text</v>
      </c>
      <c r="H22" s="58"/>
      <c r="I22" s="23"/>
      <c r="J22" s="24" t="s">
        <v>1702</v>
      </c>
      <c r="M22" s="4"/>
      <c r="N22" s="97"/>
      <c r="O22" s="97"/>
      <c r="P22" s="97" t="str">
        <f t="shared" si="4"/>
        <v>,department_code</v>
      </c>
      <c r="Q22" s="97" t="str">
        <f t="shared" si="0"/>
        <v>TEXT</v>
      </c>
      <c r="R22" s="97" t="str">
        <f t="shared" si="1"/>
        <v/>
      </c>
      <c r="S22" s="97" t="str">
        <f t="shared" si="5"/>
        <v/>
      </c>
      <c r="T22" s="97" t="str">
        <f t="shared" si="6"/>
        <v>-- 診療科コード</v>
      </c>
      <c r="U22" s="4"/>
      <c r="AA22" s="4"/>
      <c r="AB22" s="4"/>
      <c r="AC22" s="4"/>
      <c r="AD22" s="4"/>
      <c r="AE22" s="4"/>
      <c r="AF22" s="4"/>
      <c r="AG22" s="4"/>
      <c r="AH22" s="4"/>
      <c r="AI22" s="4"/>
      <c r="AJ22" s="97" t="str">
        <f>IF(E22="○",IF(COUNTA(E$13:E22)=1,"",",")&amp;D22,"")</f>
        <v/>
      </c>
      <c r="AK22" s="4"/>
      <c r="AL22" s="4"/>
      <c r="AM22" s="4"/>
      <c r="AN22" s="4"/>
      <c r="AO22" s="4"/>
      <c r="AP22" s="4"/>
      <c r="AQ22" s="4"/>
      <c r="AR22" s="4"/>
      <c r="AS22" s="97" t="str">
        <f>"COMMENT ON COLUMN "&amp;エンティティ一覧!$O$2&amp;"."&amp;D$8&amp;"."&amp;D22&amp;" IS '"&amp;C22&amp;"';"</f>
        <v>COMMENT ON COLUMN milscm_2023_010.azn_202310_base_merge_mml_vs_vitalsign.department_code IS '診療科コード';</v>
      </c>
    </row>
    <row r="23" spans="1:45" s="25" customFormat="1">
      <c r="A23" s="4"/>
      <c r="B23" s="21">
        <f t="shared" si="2"/>
        <v>11</v>
      </c>
      <c r="C23" s="13" t="s">
        <v>1682</v>
      </c>
      <c r="D23" s="13" t="s">
        <v>1683</v>
      </c>
      <c r="E23" s="7"/>
      <c r="F23" s="7" t="s">
        <v>863</v>
      </c>
      <c r="G23" s="7" t="str">
        <f t="shared" si="3"/>
        <v>text</v>
      </c>
      <c r="H23" s="58"/>
      <c r="I23" s="23"/>
      <c r="J23" s="24" t="s">
        <v>1703</v>
      </c>
      <c r="M23" s="4"/>
      <c r="N23" s="97"/>
      <c r="O23" s="97"/>
      <c r="P23" s="97" t="str">
        <f t="shared" si="4"/>
        <v>,ward</v>
      </c>
      <c r="Q23" s="97" t="str">
        <f t="shared" si="0"/>
        <v>TEXT</v>
      </c>
      <c r="R23" s="97" t="str">
        <f t="shared" si="1"/>
        <v/>
      </c>
      <c r="S23" s="97" t="str">
        <f t="shared" si="5"/>
        <v/>
      </c>
      <c r="T23" s="97" t="str">
        <f t="shared" si="6"/>
        <v>-- 病棟</v>
      </c>
      <c r="U23" s="4"/>
      <c r="AA23" s="4"/>
      <c r="AB23" s="4"/>
      <c r="AC23" s="4"/>
      <c r="AD23" s="4"/>
      <c r="AE23" s="4"/>
      <c r="AF23" s="4"/>
      <c r="AG23" s="4"/>
      <c r="AH23" s="4"/>
      <c r="AI23" s="4"/>
      <c r="AJ23" s="97" t="str">
        <f>IF(E23="○",IF(COUNTA(E$13:E23)=1,"",",")&amp;D23,"")</f>
        <v/>
      </c>
      <c r="AK23" s="4"/>
      <c r="AL23" s="4"/>
      <c r="AM23" s="4"/>
      <c r="AN23" s="4"/>
      <c r="AO23" s="4"/>
      <c r="AP23" s="4"/>
      <c r="AQ23" s="4"/>
      <c r="AR23" s="4"/>
      <c r="AS23" s="97" t="str">
        <f>"COMMENT ON COLUMN "&amp;エンティティ一覧!$O$2&amp;"."&amp;D$8&amp;"."&amp;D23&amp;" IS '"&amp;C23&amp;"';"</f>
        <v>COMMENT ON COLUMN milscm_2023_010.azn_202310_base_merge_mml_vs_vitalsign.ward IS '病棟';</v>
      </c>
    </row>
    <row r="24" spans="1:45" s="25" customFormat="1" ht="37.5">
      <c r="A24" s="4"/>
      <c r="B24" s="21">
        <f t="shared" si="2"/>
        <v>12</v>
      </c>
      <c r="C24" s="13" t="s">
        <v>237</v>
      </c>
      <c r="D24" s="13" t="s">
        <v>238</v>
      </c>
      <c r="E24" s="7"/>
      <c r="F24" s="7" t="s">
        <v>863</v>
      </c>
      <c r="G24" s="7" t="str">
        <f t="shared" si="3"/>
        <v>text</v>
      </c>
      <c r="H24" s="58"/>
      <c r="I24" s="23"/>
      <c r="J24" s="24" t="s">
        <v>1704</v>
      </c>
      <c r="M24" s="4"/>
      <c r="N24" s="97"/>
      <c r="O24" s="97"/>
      <c r="P24" s="97" t="str">
        <f t="shared" si="4"/>
        <v>,ward_code</v>
      </c>
      <c r="Q24" s="97" t="str">
        <f t="shared" si="0"/>
        <v>TEXT</v>
      </c>
      <c r="R24" s="97" t="str">
        <f t="shared" si="1"/>
        <v/>
      </c>
      <c r="S24" s="97" t="str">
        <f t="shared" si="5"/>
        <v/>
      </c>
      <c r="T24" s="97" t="str">
        <f t="shared" si="6"/>
        <v>-- 病棟コード</v>
      </c>
      <c r="U24" s="4"/>
      <c r="AA24" s="4"/>
      <c r="AB24" s="4"/>
      <c r="AC24" s="4"/>
      <c r="AD24" s="4"/>
      <c r="AE24" s="4"/>
      <c r="AF24" s="4"/>
      <c r="AG24" s="4"/>
      <c r="AH24" s="4"/>
      <c r="AI24" s="4"/>
      <c r="AJ24" s="97" t="str">
        <f>IF(E24="○",IF(COUNTA(E$13:E24)=1,"",",")&amp;D24,"")</f>
        <v/>
      </c>
      <c r="AK24" s="4"/>
      <c r="AL24" s="4"/>
      <c r="AM24" s="4"/>
      <c r="AN24" s="4"/>
      <c r="AO24" s="4"/>
      <c r="AP24" s="4"/>
      <c r="AQ24" s="4"/>
      <c r="AR24" s="4"/>
      <c r="AS24" s="97" t="str">
        <f>"COMMENT ON COLUMN "&amp;エンティティ一覧!$O$2&amp;"."&amp;D$8&amp;"."&amp;D24&amp;" IS '"&amp;C24&amp;"';"</f>
        <v>COMMENT ON COLUMN milscm_2023_010.azn_202310_base_merge_mml_vs_vitalsign.ward_code IS '病棟コード';</v>
      </c>
    </row>
    <row r="25" spans="1:45" s="25" customFormat="1" ht="37.5">
      <c r="A25" s="4"/>
      <c r="B25" s="21">
        <f t="shared" si="2"/>
        <v>13</v>
      </c>
      <c r="C25" s="13" t="s">
        <v>1684</v>
      </c>
      <c r="D25" s="13" t="s">
        <v>1685</v>
      </c>
      <c r="E25" s="7"/>
      <c r="F25" s="7" t="s">
        <v>863</v>
      </c>
      <c r="G25" s="7" t="str">
        <f t="shared" si="3"/>
        <v>text</v>
      </c>
      <c r="H25" s="58"/>
      <c r="I25" s="23"/>
      <c r="J25" s="24" t="s">
        <v>1705</v>
      </c>
      <c r="M25" s="4"/>
      <c r="N25" s="97"/>
      <c r="O25" s="97"/>
      <c r="P25" s="97" t="str">
        <f t="shared" si="4"/>
        <v>,ward_code_id</v>
      </c>
      <c r="Q25" s="97" t="str">
        <f t="shared" si="0"/>
        <v>TEXT</v>
      </c>
      <c r="R25" s="97" t="str">
        <f t="shared" si="1"/>
        <v/>
      </c>
      <c r="S25" s="97" t="str">
        <f t="shared" si="5"/>
        <v/>
      </c>
      <c r="T25" s="97" t="str">
        <f t="shared" si="6"/>
        <v>-- 病棟コードID</v>
      </c>
      <c r="U25" s="4"/>
      <c r="AA25" s="4"/>
      <c r="AB25" s="4"/>
      <c r="AC25" s="4"/>
      <c r="AD25" s="4"/>
      <c r="AE25" s="4"/>
      <c r="AF25" s="4"/>
      <c r="AG25" s="4"/>
      <c r="AH25" s="4"/>
      <c r="AI25" s="4"/>
      <c r="AJ25" s="97" t="str">
        <f>IF(E25="○",IF(COUNTA(E$13:E25)=1,"",",")&amp;D25,"")</f>
        <v/>
      </c>
      <c r="AK25" s="4"/>
      <c r="AL25" s="4"/>
      <c r="AM25" s="4"/>
      <c r="AN25" s="4"/>
      <c r="AO25" s="4"/>
      <c r="AP25" s="4"/>
      <c r="AQ25" s="4"/>
      <c r="AR25" s="4"/>
      <c r="AS25" s="97" t="str">
        <f>"COMMENT ON COLUMN "&amp;エンティティ一覧!$O$2&amp;"."&amp;D$8&amp;"."&amp;D25&amp;" IS '"&amp;C25&amp;"';"</f>
        <v>COMMENT ON COLUMN milscm_2023_010.azn_202310_base_merge_mml_vs_vitalsign.ward_code_id IS '病棟コードID';</v>
      </c>
    </row>
    <row r="26" spans="1:45" s="25" customFormat="1" ht="37.5">
      <c r="A26" s="4"/>
      <c r="B26" s="21">
        <f t="shared" si="2"/>
        <v>14</v>
      </c>
      <c r="C26" s="13" t="s">
        <v>1686</v>
      </c>
      <c r="D26" s="13" t="s">
        <v>1687</v>
      </c>
      <c r="E26" s="7"/>
      <c r="F26" s="7" t="s">
        <v>863</v>
      </c>
      <c r="G26" s="7" t="str">
        <f t="shared" si="3"/>
        <v>text</v>
      </c>
      <c r="H26" s="58"/>
      <c r="I26" s="23"/>
      <c r="J26" s="24" t="s">
        <v>1706</v>
      </c>
      <c r="M26" s="4"/>
      <c r="N26" s="97"/>
      <c r="O26" s="97"/>
      <c r="P26" s="97" t="str">
        <f t="shared" si="4"/>
        <v>,vital_sign_time</v>
      </c>
      <c r="Q26" s="97" t="str">
        <f t="shared" si="0"/>
        <v>TEXT</v>
      </c>
      <c r="R26" s="97" t="str">
        <f t="shared" si="1"/>
        <v/>
      </c>
      <c r="S26" s="97" t="str">
        <f t="shared" si="5"/>
        <v/>
      </c>
      <c r="T26" s="97" t="str">
        <f t="shared" si="6"/>
        <v>-- バイタルサインの計測時間</v>
      </c>
      <c r="U26" s="4"/>
      <c r="AA26" s="4"/>
      <c r="AB26" s="4"/>
      <c r="AC26" s="4"/>
      <c r="AD26" s="4"/>
      <c r="AE26" s="4"/>
      <c r="AF26" s="4"/>
      <c r="AG26" s="4"/>
      <c r="AH26" s="4"/>
      <c r="AI26" s="4"/>
      <c r="AJ26" s="97" t="str">
        <f>IF(E26="○",IF(COUNTA(E$13:E26)=1,"",",")&amp;D26,"")</f>
        <v/>
      </c>
      <c r="AK26" s="4"/>
      <c r="AL26" s="4"/>
      <c r="AM26" s="4"/>
      <c r="AN26" s="4"/>
      <c r="AO26" s="4"/>
      <c r="AP26" s="4"/>
      <c r="AQ26" s="4"/>
      <c r="AR26" s="4"/>
      <c r="AS26" s="97" t="str">
        <f>"COMMENT ON COLUMN "&amp;エンティティ一覧!$O$2&amp;"."&amp;D$8&amp;"."&amp;D26&amp;" IS '"&amp;C26&amp;"';"</f>
        <v>COMMENT ON COLUMN milscm_2023_010.azn_202310_base_merge_mml_vs_vitalsign.vital_sign_time IS 'バイタルサインの計測時間';</v>
      </c>
    </row>
    <row r="27" spans="1:45" s="25" customFormat="1">
      <c r="A27" s="4"/>
      <c r="B27" s="21">
        <f t="shared" si="2"/>
        <v>15</v>
      </c>
      <c r="C27" s="13" t="s">
        <v>1688</v>
      </c>
      <c r="D27" s="13" t="s">
        <v>1689</v>
      </c>
      <c r="E27" s="7"/>
      <c r="F27" s="7" t="s">
        <v>863</v>
      </c>
      <c r="G27" s="7" t="str">
        <f t="shared" si="3"/>
        <v>text</v>
      </c>
      <c r="H27" s="58"/>
      <c r="I27" s="23"/>
      <c r="J27" s="24" t="s">
        <v>1707</v>
      </c>
      <c r="M27" s="4"/>
      <c r="N27" s="97"/>
      <c r="O27" s="97"/>
      <c r="P27" s="97" t="str">
        <f t="shared" si="4"/>
        <v>,keisoku_tejun</v>
      </c>
      <c r="Q27" s="97" t="str">
        <f t="shared" si="0"/>
        <v>TEXT</v>
      </c>
      <c r="R27" s="97" t="str">
        <f t="shared" si="1"/>
        <v/>
      </c>
      <c r="S27" s="97" t="str">
        <f t="shared" si="5"/>
        <v/>
      </c>
      <c r="T27" s="97" t="str">
        <f t="shared" si="6"/>
        <v>-- 計測手順</v>
      </c>
      <c r="U27" s="4"/>
      <c r="AA27" s="4"/>
      <c r="AB27" s="4"/>
      <c r="AC27" s="4"/>
      <c r="AD27" s="4"/>
      <c r="AE27" s="4"/>
      <c r="AF27" s="4"/>
      <c r="AG27" s="4"/>
      <c r="AH27" s="4"/>
      <c r="AI27" s="4"/>
      <c r="AJ27" s="97" t="str">
        <f>IF(E27="○",IF(COUNTA(E$13:E27)=1,"",",")&amp;D27,"")</f>
        <v/>
      </c>
      <c r="AK27" s="4"/>
      <c r="AL27" s="4"/>
      <c r="AM27" s="4"/>
      <c r="AN27" s="4"/>
      <c r="AO27" s="4"/>
      <c r="AP27" s="4"/>
      <c r="AQ27" s="4"/>
      <c r="AR27" s="4"/>
      <c r="AS27" s="97" t="str">
        <f>"COMMENT ON COLUMN "&amp;エンティティ一覧!$O$2&amp;"."&amp;D$8&amp;"."&amp;D27&amp;" IS '"&amp;C27&amp;"';"</f>
        <v>COMMENT ON COLUMN milscm_2023_010.azn_202310_base_merge_mml_vs_vitalsign.keisoku_tejun IS '計測手順';</v>
      </c>
    </row>
    <row r="28" spans="1:45" s="25" customFormat="1">
      <c r="A28" s="4"/>
      <c r="B28" s="21">
        <f t="shared" si="2"/>
        <v>16</v>
      </c>
      <c r="C28" s="13" t="s">
        <v>1690</v>
      </c>
      <c r="D28" s="13" t="s">
        <v>1691</v>
      </c>
      <c r="E28" s="7"/>
      <c r="F28" s="7" t="s">
        <v>863</v>
      </c>
      <c r="G28" s="7" t="str">
        <f t="shared" si="3"/>
        <v>text</v>
      </c>
      <c r="H28" s="58"/>
      <c r="I28" s="23"/>
      <c r="J28" s="24" t="s">
        <v>1708</v>
      </c>
      <c r="M28" s="4"/>
      <c r="N28" s="97"/>
      <c r="O28" s="97"/>
      <c r="P28" s="97" t="str">
        <f t="shared" si="4"/>
        <v>,keisoku_device</v>
      </c>
      <c r="Q28" s="97" t="str">
        <f t="shared" si="0"/>
        <v>TEXT</v>
      </c>
      <c r="R28" s="97" t="str">
        <f t="shared" si="1"/>
        <v/>
      </c>
      <c r="S28" s="97" t="str">
        <f t="shared" si="5"/>
        <v/>
      </c>
      <c r="T28" s="97" t="str">
        <f t="shared" si="6"/>
        <v>-- 計測器具</v>
      </c>
      <c r="U28" s="4"/>
      <c r="AA28" s="4"/>
      <c r="AB28" s="4"/>
      <c r="AC28" s="4"/>
      <c r="AD28" s="4"/>
      <c r="AE28" s="4"/>
      <c r="AF28" s="4"/>
      <c r="AG28" s="4"/>
      <c r="AH28" s="4"/>
      <c r="AI28" s="4"/>
      <c r="AJ28" s="97" t="str">
        <f>IF(E28="○",IF(COUNTA(E$13:E28)=1,"",",")&amp;D28,"")</f>
        <v/>
      </c>
      <c r="AK28" s="4"/>
      <c r="AL28" s="4"/>
      <c r="AM28" s="4"/>
      <c r="AN28" s="4"/>
      <c r="AO28" s="4"/>
      <c r="AP28" s="4"/>
      <c r="AQ28" s="4"/>
      <c r="AR28" s="4"/>
      <c r="AS28" s="97" t="str">
        <f>"COMMENT ON COLUMN "&amp;エンティティ一覧!$O$2&amp;"."&amp;D$8&amp;"."&amp;D28&amp;" IS '"&amp;C28&amp;"';"</f>
        <v>COMMENT ON COLUMN milscm_2023_010.azn_202310_base_merge_mml_vs_vitalsign.keisoku_device IS '計測器具';</v>
      </c>
    </row>
    <row r="29" spans="1:45" s="25" customFormat="1">
      <c r="A29" s="4"/>
      <c r="B29" s="21">
        <f t="shared" si="2"/>
        <v>17</v>
      </c>
      <c r="C29" s="13" t="s">
        <v>1692</v>
      </c>
      <c r="D29" s="13" t="s">
        <v>1693</v>
      </c>
      <c r="E29" s="7"/>
      <c r="F29" s="7" t="s">
        <v>863</v>
      </c>
      <c r="G29" s="7" t="str">
        <f t="shared" si="3"/>
        <v>text</v>
      </c>
      <c r="H29" s="58"/>
      <c r="I29" s="23"/>
      <c r="J29" s="24" t="s">
        <v>1709</v>
      </c>
      <c r="M29" s="4"/>
      <c r="N29" s="97"/>
      <c r="O29" s="97"/>
      <c r="P29" s="97" t="str">
        <f t="shared" si="4"/>
        <v>,keisoku_bui</v>
      </c>
      <c r="Q29" s="97" t="str">
        <f t="shared" si="0"/>
        <v>TEXT</v>
      </c>
      <c r="R29" s="97" t="str">
        <f t="shared" si="1"/>
        <v/>
      </c>
      <c r="S29" s="97" t="str">
        <f t="shared" si="5"/>
        <v/>
      </c>
      <c r="T29" s="97" t="str">
        <f t="shared" si="6"/>
        <v>-- 計測部位</v>
      </c>
      <c r="U29" s="4"/>
      <c r="AA29" s="4"/>
      <c r="AB29" s="4"/>
      <c r="AC29" s="4"/>
      <c r="AD29" s="4"/>
      <c r="AE29" s="4"/>
      <c r="AF29" s="4"/>
      <c r="AG29" s="4"/>
      <c r="AH29" s="4"/>
      <c r="AI29" s="4"/>
      <c r="AJ29" s="97" t="str">
        <f>IF(E29="○",IF(COUNTA(E$13:E29)=1,"",",")&amp;D29,"")</f>
        <v/>
      </c>
      <c r="AK29" s="4"/>
      <c r="AL29" s="4"/>
      <c r="AM29" s="4"/>
      <c r="AN29" s="4"/>
      <c r="AO29" s="4"/>
      <c r="AP29" s="4"/>
      <c r="AQ29" s="4"/>
      <c r="AR29" s="4"/>
      <c r="AS29" s="97" t="str">
        <f>"COMMENT ON COLUMN "&amp;エンティティ一覧!$O$2&amp;"."&amp;D$8&amp;"."&amp;D29&amp;" IS '"&amp;C29&amp;"';"</f>
        <v>COMMENT ON COLUMN milscm_2023_010.azn_202310_base_merge_mml_vs_vitalsign.keisoku_bui IS '計測部位';</v>
      </c>
    </row>
    <row r="30" spans="1:45" s="25" customFormat="1">
      <c r="A30" s="4"/>
      <c r="B30" s="21">
        <f t="shared" si="2"/>
        <v>18</v>
      </c>
      <c r="C30" s="13" t="s">
        <v>1694</v>
      </c>
      <c r="D30" s="13" t="s">
        <v>1695</v>
      </c>
      <c r="E30" s="7"/>
      <c r="F30" s="7" t="s">
        <v>863</v>
      </c>
      <c r="G30" s="7" t="str">
        <f t="shared" si="3"/>
        <v>text</v>
      </c>
      <c r="H30" s="58"/>
      <c r="I30" s="23"/>
      <c r="J30" s="24" t="s">
        <v>1710</v>
      </c>
      <c r="M30" s="4"/>
      <c r="N30" s="97"/>
      <c r="O30" s="97"/>
      <c r="P30" s="97" t="str">
        <f t="shared" si="4"/>
        <v>,keisoku_position</v>
      </c>
      <c r="Q30" s="97" t="str">
        <f t="shared" si="0"/>
        <v>TEXT</v>
      </c>
      <c r="R30" s="97" t="str">
        <f t="shared" si="1"/>
        <v/>
      </c>
      <c r="S30" s="97" t="str">
        <f t="shared" si="5"/>
        <v/>
      </c>
      <c r="T30" s="97" t="str">
        <f t="shared" si="6"/>
        <v>-- 計測時体位</v>
      </c>
      <c r="U30" s="4"/>
      <c r="AA30" s="4"/>
      <c r="AB30" s="4"/>
      <c r="AC30" s="4"/>
      <c r="AD30" s="4"/>
      <c r="AE30" s="4"/>
      <c r="AF30" s="4"/>
      <c r="AG30" s="4"/>
      <c r="AH30" s="4"/>
      <c r="AI30" s="4"/>
      <c r="AJ30" s="97" t="str">
        <f>IF(E30="○",IF(COUNTA(E$13:E30)=1,"",",")&amp;D30,"")</f>
        <v/>
      </c>
      <c r="AK30" s="4"/>
      <c r="AL30" s="4"/>
      <c r="AM30" s="4"/>
      <c r="AN30" s="4"/>
      <c r="AO30" s="4"/>
      <c r="AP30" s="4"/>
      <c r="AQ30" s="4"/>
      <c r="AR30" s="4"/>
      <c r="AS30" s="97" t="str">
        <f>"COMMENT ON COLUMN "&amp;エンティティ一覧!$O$2&amp;"."&amp;D$8&amp;"."&amp;D30&amp;" IS '"&amp;C30&amp;"';"</f>
        <v>COMMENT ON COLUMN milscm_2023_010.azn_202310_base_merge_mml_vs_vitalsign.keisoku_position IS '計測時体位';</v>
      </c>
    </row>
    <row r="31" spans="1:45" s="25" customFormat="1" ht="31.5">
      <c r="A31" s="4"/>
      <c r="B31" s="21">
        <f t="shared" si="2"/>
        <v>19</v>
      </c>
      <c r="C31" s="13" t="s">
        <v>1696</v>
      </c>
      <c r="D31" s="13" t="s">
        <v>1697</v>
      </c>
      <c r="E31" s="7"/>
      <c r="F31" s="7" t="s">
        <v>863</v>
      </c>
      <c r="G31" s="7" t="str">
        <f t="shared" si="3"/>
        <v>text</v>
      </c>
      <c r="H31" s="58"/>
      <c r="I31" s="23"/>
      <c r="J31" s="24" t="s">
        <v>1711</v>
      </c>
      <c r="M31" s="4"/>
      <c r="N31" s="97"/>
      <c r="O31" s="97"/>
      <c r="P31" s="97" t="str">
        <f t="shared" si="4"/>
        <v>,keisoku_method_comment</v>
      </c>
      <c r="Q31" s="97" t="str">
        <f t="shared" si="0"/>
        <v>TEXT</v>
      </c>
      <c r="R31" s="97" t="str">
        <f t="shared" si="1"/>
        <v/>
      </c>
      <c r="S31" s="97" t="str">
        <f t="shared" si="5"/>
        <v/>
      </c>
      <c r="T31" s="97" t="str">
        <f t="shared" si="6"/>
        <v>-- 計測方法コメント</v>
      </c>
      <c r="U31" s="4"/>
      <c r="AA31" s="4"/>
      <c r="AB31" s="4"/>
      <c r="AC31" s="4"/>
      <c r="AD31" s="4"/>
      <c r="AE31" s="4"/>
      <c r="AF31" s="4"/>
      <c r="AG31" s="4"/>
      <c r="AH31" s="4"/>
      <c r="AI31" s="4"/>
      <c r="AJ31" s="97" t="str">
        <f>IF(E31="○",IF(COUNTA(E$13:E31)=1,"",",")&amp;D31,"")</f>
        <v/>
      </c>
      <c r="AK31" s="4"/>
      <c r="AL31" s="4"/>
      <c r="AM31" s="4"/>
      <c r="AN31" s="4"/>
      <c r="AO31" s="4"/>
      <c r="AP31" s="4"/>
      <c r="AQ31" s="4"/>
      <c r="AR31" s="4"/>
      <c r="AS31" s="97" t="str">
        <f>"COMMENT ON COLUMN "&amp;エンティティ一覧!$O$2&amp;"."&amp;D$8&amp;"."&amp;D31&amp;" IS '"&amp;C31&amp;"';"</f>
        <v>COMMENT ON COLUMN milscm_2023_010.azn_202310_base_merge_mml_vs_vitalsign.keisoku_method_comment IS '計測方法コメント';</v>
      </c>
    </row>
    <row r="32" spans="1:45" s="25" customFormat="1" ht="19.5" thickBot="1">
      <c r="A32" s="4"/>
      <c r="B32" s="27">
        <f>ROW()-12</f>
        <v>20</v>
      </c>
      <c r="C32" s="57" t="s">
        <v>1698</v>
      </c>
      <c r="D32" s="57" t="s">
        <v>1699</v>
      </c>
      <c r="E32" s="56"/>
      <c r="F32" s="56" t="s">
        <v>863</v>
      </c>
      <c r="G32" s="56" t="str">
        <f t="shared" si="3"/>
        <v>text</v>
      </c>
      <c r="H32" s="59"/>
      <c r="I32" s="60"/>
      <c r="J32" s="63" t="s">
        <v>1712</v>
      </c>
      <c r="N32" s="97"/>
      <c r="O32" s="97"/>
      <c r="P32" s="97" t="str">
        <f t="shared" si="4"/>
        <v>,kiroku_comment</v>
      </c>
      <c r="Q32" s="97" t="str">
        <f t="shared" si="0"/>
        <v>TEXT</v>
      </c>
      <c r="R32" s="97" t="str">
        <f t="shared" si="1"/>
        <v/>
      </c>
      <c r="S32" s="97" t="str">
        <f t="shared" si="5"/>
        <v/>
      </c>
      <c r="T32" s="97" t="str">
        <f t="shared" si="6"/>
        <v>-- 記録コメント</v>
      </c>
      <c r="U32" s="4"/>
      <c r="AA32" s="4"/>
      <c r="AB32" s="4"/>
      <c r="AC32" s="4"/>
      <c r="AD32" s="4"/>
      <c r="AE32" s="4"/>
      <c r="AF32" s="4"/>
      <c r="AG32" s="4"/>
      <c r="AH32" s="4"/>
      <c r="AI32" s="4"/>
      <c r="AJ32" s="97" t="str">
        <f>IF(E32="○",IF(COUNTA(E$13:E32)=1,"",",")&amp;D32,"")</f>
        <v/>
      </c>
      <c r="AK32" s="4"/>
      <c r="AL32" s="4"/>
      <c r="AM32" s="4"/>
      <c r="AN32" s="4"/>
      <c r="AO32" s="4"/>
      <c r="AP32" s="4"/>
      <c r="AQ32" s="4"/>
      <c r="AR32" s="4"/>
      <c r="AS32" s="97" t="str">
        <f>"COMMENT ON COLUMN "&amp;エンティティ一覧!$O$2&amp;"."&amp;D$8&amp;"."&amp;D32&amp;" IS '"&amp;C32&amp;"';"</f>
        <v>COMMENT ON COLUMN milscm_2023_010.azn_202310_base_merge_mml_vs_vitalsign.kiroku_comment IS '記録コメント';</v>
      </c>
    </row>
    <row r="33" spans="12:52">
      <c r="L33" s="25"/>
      <c r="M33" s="25"/>
      <c r="N33" s="97" t="s">
        <v>142</v>
      </c>
      <c r="O33" s="97"/>
      <c r="P33" s="97"/>
      <c r="Q33" s="97"/>
      <c r="R33" s="97"/>
      <c r="S33" s="97"/>
      <c r="T33" s="97"/>
      <c r="V33" s="25"/>
      <c r="W33" s="25"/>
      <c r="X33" s="25"/>
      <c r="Y33" s="25"/>
      <c r="Z33" s="25"/>
      <c r="AJ33" s="97"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31</v>
      </c>
      <c r="E4" s="248"/>
      <c r="F4" s="248"/>
      <c r="G4" s="248"/>
      <c r="H4" s="248"/>
      <c r="I4" s="248"/>
      <c r="J4" s="249"/>
    </row>
    <row r="5" spans="1:45">
      <c r="B5" s="261" t="s">
        <v>3704</v>
      </c>
      <c r="C5" s="262"/>
      <c r="D5" s="271" t="str">
        <f>VLOOKUP(D7,エンティティ一覧!A1:'エンティティ一覧'!AM10203,7,FALSE)</f>
        <v>base</v>
      </c>
      <c r="E5" s="272"/>
      <c r="F5" s="272"/>
      <c r="G5" s="272"/>
      <c r="H5" s="272"/>
      <c r="I5" s="272"/>
      <c r="J5" s="273"/>
    </row>
    <row r="6" spans="1:45">
      <c r="B6" s="261" t="s">
        <v>3705</v>
      </c>
      <c r="C6" s="262"/>
      <c r="D6" s="271" t="str">
        <f>VLOOKUP(D7,エンティティ一覧!A1:'エンティティ一覧'!AM10203,15,FALSE)</f>
        <v>ENT_31_C4-38</v>
      </c>
      <c r="E6" s="272"/>
      <c r="F6" s="272"/>
      <c r="G6" s="272"/>
      <c r="H6" s="272"/>
      <c r="I6" s="272"/>
      <c r="J6" s="273"/>
    </row>
    <row r="7" spans="1:45">
      <c r="B7" s="261" t="s">
        <v>115</v>
      </c>
      <c r="C7" s="262"/>
      <c r="D7" s="263" t="s">
        <v>4087</v>
      </c>
      <c r="E7" s="264"/>
      <c r="F7" s="264"/>
      <c r="G7" s="264"/>
      <c r="H7" s="264"/>
      <c r="I7" s="264"/>
      <c r="J7" s="265"/>
    </row>
    <row r="8" spans="1:45">
      <c r="B8" s="261" t="s">
        <v>116</v>
      </c>
      <c r="C8" s="262"/>
      <c r="D8" s="263" t="str">
        <f>エンティティ一覧!AE2&amp;"_"&amp;D5&amp;"_merge_mml_vs_item"</f>
        <v>azn_202310_base_merge_mml_vs_item</v>
      </c>
      <c r="E8" s="264"/>
      <c r="F8" s="264"/>
      <c r="G8" s="264"/>
      <c r="H8" s="264"/>
      <c r="I8" s="264"/>
      <c r="J8" s="265"/>
    </row>
    <row r="9" spans="1:45" ht="19.5" customHeight="1" thickBot="1">
      <c r="B9" s="266" t="s">
        <v>117</v>
      </c>
      <c r="C9" s="267"/>
      <c r="D9" s="268" t="str">
        <f>"バックアップ_"&amp;SUBSTITUTE(D7,"ベース_","")&amp;"テーブルから対象患者で絞り込んだ結果を格納するテーブル"</f>
        <v>バックアップ_バイタルサインモジュール_記録項目テーブルから対象患者で絞り込んだ結果を格納するテーブル</v>
      </c>
      <c r="E9" s="269"/>
      <c r="F9" s="269"/>
      <c r="G9" s="269"/>
      <c r="H9" s="269"/>
      <c r="I9" s="269"/>
      <c r="J9" s="270"/>
    </row>
    <row r="10" spans="1:45">
      <c r="B10" s="19"/>
      <c r="C10" s="19"/>
      <c r="D10" s="5"/>
      <c r="E10" s="5"/>
      <c r="F10" s="5"/>
      <c r="G10" s="5"/>
      <c r="H10" s="5"/>
      <c r="I10" s="5"/>
      <c r="J10" s="18"/>
      <c r="N10" s="97" t="str">
        <f>"--DROP TABLE  "&amp;エンティティ一覧!$O$2&amp;"."&amp;D$8&amp;";"</f>
        <v>--DROP TABLE  milscm_2023_010.azn_202310_base_merge_mml_vs_item;</v>
      </c>
      <c r="O10" s="97"/>
      <c r="P10" s="97"/>
      <c r="Q10" s="97"/>
      <c r="R10" s="97"/>
      <c r="S10" s="97"/>
      <c r="T10" s="97"/>
      <c r="AJ10" s="97" t="str">
        <f>"ALTER TABLE ONLY "&amp;エンティティ一覧!$O$2&amp;"."&amp;D$8</f>
        <v>ALTER TABLE ONLY milscm_2023_010.azn_202310_base_merge_mml_vs_item</v>
      </c>
      <c r="AS10" s="97" t="str">
        <f>"ALTER TABLE "&amp;エンティティ一覧!$O$2&amp;"."&amp;D$8&amp;" OWNER TO pgmisgrp1;"</f>
        <v>ALTER TABLE milscm_2023_010.azn_202310_base_merge_mml_vs_item OWNER TO pgmisgrp1;</v>
      </c>
    </row>
    <row r="11" spans="1:45" ht="19.5" thickBot="1">
      <c r="B11" s="20" t="s">
        <v>118</v>
      </c>
      <c r="C11" s="19"/>
      <c r="D11" s="5"/>
      <c r="E11" s="5"/>
      <c r="F11" s="5"/>
      <c r="G11" s="5"/>
      <c r="H11" s="5"/>
      <c r="I11" s="5"/>
      <c r="J11" s="18"/>
      <c r="N11" s="97" t="str">
        <f>"CREATE TABLE  "&amp;エンティティ一覧!$O$2&amp;"."&amp;D$8</f>
        <v>CREATE TABLE  milscm_2023_010.azn_202310_base_merge_mml_vs_item</v>
      </c>
      <c r="O11" s="97"/>
      <c r="P11" s="97"/>
      <c r="Q11" s="97"/>
      <c r="R11" s="97"/>
      <c r="S11" s="97"/>
      <c r="T11" s="97"/>
      <c r="AJ11" s="97" t="str">
        <f>"ADD CONSTRAINT "&amp;D$8&amp;"_pkey PRIMARY KEY"</f>
        <v>ADD CONSTRAINT azn_202310_base_merge_mml_vs_item_pkey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milscm_2023_010.azn_202310_base_merge_mml_vs_item IS 'ベース_バイタルサインモジュール_記録項目';</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97"/>
      <c r="O13" s="97"/>
      <c r="P13" s="97" t="str">
        <f>IF(B13&lt;&gt;1,","&amp;D13,D13)</f>
        <v>torikomi_ym</v>
      </c>
      <c r="Q13" s="97" t="str">
        <f t="shared" ref="Q13:Q25" si="0">UPPER(G13)</f>
        <v>TEXT</v>
      </c>
      <c r="R13" s="97" t="str">
        <f t="shared" ref="R13:R25" si="1">IF(H13&lt;&gt;"","default "&amp;IF(G13="text","'"&amp;H13&amp;"'",H13),"")</f>
        <v/>
      </c>
      <c r="S13" s="97" t="str">
        <f>IF(I13="○","NOT NULL","")</f>
        <v>NOT NULL</v>
      </c>
      <c r="T13" s="97" t="str">
        <f>"-- "&amp;C13</f>
        <v>-- 取込年月</v>
      </c>
      <c r="U13" s="4"/>
      <c r="AA13" s="4"/>
      <c r="AB13" s="4"/>
      <c r="AC13" s="4"/>
      <c r="AD13" s="4"/>
      <c r="AE13" s="4"/>
      <c r="AF13" s="4"/>
      <c r="AG13" s="4"/>
      <c r="AH13" s="4"/>
      <c r="AI13" s="4"/>
      <c r="AJ13" s="97" t="str">
        <f>IF(E13="○",IF(COUNTA(E$13:E13)=1,"",",")&amp;D13,"")</f>
        <v/>
      </c>
      <c r="AK13" s="4"/>
      <c r="AL13" s="4"/>
      <c r="AM13" s="4"/>
      <c r="AN13" s="4"/>
      <c r="AO13" s="4"/>
      <c r="AP13" s="4"/>
      <c r="AQ13" s="4"/>
      <c r="AR13" s="4"/>
      <c r="AS13" s="97" t="str">
        <f>"COMMENT ON COLUMN "&amp;エンティティ一覧!$O$2&amp;"."&amp;D$8&amp;"."&amp;D13&amp;" IS '"&amp;C13&amp;"';"</f>
        <v>COMMENT ON COLUMN milscm_2023_010.azn_202310_base_merge_mml_vs_item.torikomi_ym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1280</v>
      </c>
      <c r="M14" s="4"/>
      <c r="N14" s="97"/>
      <c r="O14" s="97"/>
      <c r="P14" s="97" t="str">
        <f t="shared" ref="P14:P25" si="4">IF(B14&lt;&gt;1,","&amp;D14,D14)</f>
        <v>,mil_karute_id</v>
      </c>
      <c r="Q14" s="97" t="str">
        <f t="shared" si="0"/>
        <v>INTEGER</v>
      </c>
      <c r="R14" s="97" t="str">
        <f t="shared" si="1"/>
        <v/>
      </c>
      <c r="S14" s="97" t="str">
        <f>IF(I14="○","NOT NULL","")</f>
        <v/>
      </c>
      <c r="T14" s="97" t="str">
        <f>"-- "&amp;C14</f>
        <v>-- 千年カルテID</v>
      </c>
      <c r="U14" s="4"/>
      <c r="AA14" s="4"/>
      <c r="AB14" s="4"/>
      <c r="AC14" s="4"/>
      <c r="AD14" s="4"/>
      <c r="AE14" s="4"/>
      <c r="AF14" s="4"/>
      <c r="AG14" s="4"/>
      <c r="AH14" s="4"/>
      <c r="AI14" s="4"/>
      <c r="AJ14" s="97" t="str">
        <f>IF(E14="○",IF(COUNTA(E$13:E14)=1,"",",")&amp;D14,"")</f>
        <v/>
      </c>
      <c r="AK14" s="4"/>
      <c r="AL14" s="4"/>
      <c r="AM14" s="4"/>
      <c r="AN14" s="4"/>
      <c r="AO14" s="4"/>
      <c r="AP14" s="4"/>
      <c r="AQ14" s="4"/>
      <c r="AR14" s="4"/>
      <c r="AS14" s="97" t="str">
        <f>"COMMENT ON COLUMN "&amp;エンティティ一覧!$O$2&amp;"."&amp;D$8&amp;"."&amp;D14&amp;" IS '"&amp;C14&amp;"';"</f>
        <v>COMMENT ON COLUMN milscm_2023_010.azn_202310_base_merge_mml_vs_item.mil_karute_id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97"/>
      <c r="O15" s="97"/>
      <c r="P15" s="97" t="str">
        <f t="shared" si="4"/>
        <v>,facility_id</v>
      </c>
      <c r="Q15" s="97" t="str">
        <f t="shared" si="0"/>
        <v>TEXT</v>
      </c>
      <c r="R15" s="97" t="str">
        <f t="shared" si="1"/>
        <v/>
      </c>
      <c r="S15" s="97" t="str">
        <f t="shared" ref="S15:S25" si="5">IF(I15="○","NOT NULL","")</f>
        <v>NOT NULL</v>
      </c>
      <c r="T15" s="97" t="str">
        <f t="shared" ref="T15:T25" si="6">"-- "&amp;C15</f>
        <v>-- 施設ID</v>
      </c>
      <c r="U15" s="4"/>
      <c r="AA15" s="4"/>
      <c r="AB15" s="4"/>
      <c r="AC15" s="4"/>
      <c r="AD15" s="4"/>
      <c r="AE15" s="4"/>
      <c r="AF15" s="4"/>
      <c r="AG15" s="4"/>
      <c r="AH15" s="4"/>
      <c r="AI15" s="4"/>
      <c r="AJ15" s="97" t="str">
        <f>IF(E15="○",IF(COUNTA(E$13:E15)=1,"",",")&amp;D15,"")</f>
        <v>facility_id</v>
      </c>
      <c r="AK15" s="4"/>
      <c r="AL15" s="4"/>
      <c r="AM15" s="4"/>
      <c r="AN15" s="4"/>
      <c r="AO15" s="4"/>
      <c r="AP15" s="4"/>
      <c r="AQ15" s="4"/>
      <c r="AR15" s="4"/>
      <c r="AS15" s="97" t="str">
        <f>"COMMENT ON COLUMN "&amp;エンティティ一覧!$O$2&amp;"."&amp;D$8&amp;"."&amp;D15&amp;" IS '"&amp;C15&amp;"';"</f>
        <v>COMMENT ON COLUMN milscm_2023_010.azn_202310_base_merge_mml_vs_item.facility_id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97"/>
      <c r="O16" s="97"/>
      <c r="P16" s="97" t="str">
        <f t="shared" si="4"/>
        <v>,shinryo_ymd</v>
      </c>
      <c r="Q16" s="97" t="str">
        <f t="shared" si="0"/>
        <v>TEXT</v>
      </c>
      <c r="R16" s="97" t="str">
        <f t="shared" si="1"/>
        <v/>
      </c>
      <c r="S16" s="97" t="str">
        <f t="shared" si="5"/>
        <v>NOT NULL</v>
      </c>
      <c r="T16" s="97" t="str">
        <f t="shared" si="6"/>
        <v>-- 診療年月日</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"&amp;エンティティ一覧!$O$2&amp;"."&amp;D$8&amp;"."&amp;D16&amp;" IS '"&amp;C16&amp;"';"</f>
        <v>COMMENT ON COLUMN milscm_2023_010.azn_202310_base_merge_mml_vs_item.shinryo_ymd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97"/>
      <c r="O17" s="97"/>
      <c r="P17" s="97" t="str">
        <f t="shared" si="4"/>
        <v>,data_type</v>
      </c>
      <c r="Q17" s="97" t="str">
        <f t="shared" si="0"/>
        <v>TEXT</v>
      </c>
      <c r="R17" s="97" t="str">
        <f t="shared" si="1"/>
        <v>default 'MML'</v>
      </c>
      <c r="S17" s="97" t="str">
        <f t="shared" si="5"/>
        <v>NOT NULL</v>
      </c>
      <c r="T17" s="97" t="str">
        <f t="shared" si="6"/>
        <v>-- データ種別</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milscm_2023_010.azn_202310_base_merge_mml_vs_item.data_type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97"/>
      <c r="O18" s="97"/>
      <c r="P18" s="97" t="str">
        <f t="shared" si="4"/>
        <v>,master_id</v>
      </c>
      <c r="Q18" s="97" t="str">
        <f t="shared" si="0"/>
        <v>TEXT</v>
      </c>
      <c r="R18" s="97" t="str">
        <f t="shared" si="1"/>
        <v/>
      </c>
      <c r="S18" s="97" t="str">
        <f t="shared" si="5"/>
        <v>NOT NULL</v>
      </c>
      <c r="T18" s="97" t="str">
        <f t="shared" si="6"/>
        <v>-- 患者ID</v>
      </c>
      <c r="U18" s="4"/>
      <c r="AA18" s="4"/>
      <c r="AB18" s="4"/>
      <c r="AC18" s="4"/>
      <c r="AD18" s="4"/>
      <c r="AE18" s="4"/>
      <c r="AF18" s="4"/>
      <c r="AG18" s="4"/>
      <c r="AH18" s="4"/>
      <c r="AI18" s="4"/>
      <c r="AJ18" s="97" t="str">
        <f>IF(E18="○",IF(COUNTA(E$13:E18)=1,"",",")&amp;D18,"")</f>
        <v>,master_id</v>
      </c>
      <c r="AK18" s="4"/>
      <c r="AL18" s="4"/>
      <c r="AM18" s="4"/>
      <c r="AN18" s="4"/>
      <c r="AO18" s="4"/>
      <c r="AP18" s="4"/>
      <c r="AQ18" s="4"/>
      <c r="AR18" s="4"/>
      <c r="AS18" s="97" t="str">
        <f>"COMMENT ON COLUMN "&amp;エンティティ一覧!$O$2&amp;"."&amp;D$8&amp;"."&amp;D18&amp;" IS '"&amp;C18&amp;"';"</f>
        <v>COMMENT ON COLUMN milscm_2023_010.azn_202310_base_merge_mml_vs_item.master_id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97"/>
      <c r="O19" s="97"/>
      <c r="P19" s="97" t="str">
        <f t="shared" si="4"/>
        <v>,uid</v>
      </c>
      <c r="Q19" s="97" t="str">
        <f t="shared" si="0"/>
        <v>TEXT</v>
      </c>
      <c r="R19" s="97" t="str">
        <f t="shared" si="1"/>
        <v/>
      </c>
      <c r="S19" s="97" t="str">
        <f t="shared" si="5"/>
        <v>NOT NULL</v>
      </c>
      <c r="T19" s="97" t="str">
        <f t="shared" si="6"/>
        <v>-- 文書ユニークID</v>
      </c>
      <c r="U19" s="4"/>
      <c r="AA19" s="4"/>
      <c r="AB19" s="4"/>
      <c r="AC19" s="4"/>
      <c r="AD19" s="4"/>
      <c r="AE19" s="4"/>
      <c r="AF19" s="4"/>
      <c r="AG19" s="4"/>
      <c r="AH19" s="4"/>
      <c r="AI19" s="4"/>
      <c r="AJ19" s="97" t="str">
        <f>IF(E19="○",IF(COUNTA(E$13:E19)=1,"",",")&amp;D19,"")</f>
        <v>,uid</v>
      </c>
      <c r="AK19" s="4"/>
      <c r="AL19" s="4"/>
      <c r="AM19" s="4"/>
      <c r="AN19" s="4"/>
      <c r="AO19" s="4"/>
      <c r="AP19" s="4"/>
      <c r="AQ19" s="4"/>
      <c r="AR19" s="4"/>
      <c r="AS19" s="97" t="str">
        <f>"COMMENT ON COLUMN "&amp;エンティティ一覧!$O$2&amp;"."&amp;D$8&amp;"."&amp;D19&amp;" IS '"&amp;C19&amp;"';"</f>
        <v>COMMENT ON COLUMN milscm_2023_010.azn_202310_base_merge_mml_vs_item.uid IS '文書ユニークID';</v>
      </c>
    </row>
    <row r="20" spans="1:52" s="25" customFormat="1">
      <c r="A20" s="4"/>
      <c r="B20" s="21">
        <f t="shared" si="2"/>
        <v>8</v>
      </c>
      <c r="C20" s="13" t="s">
        <v>1677</v>
      </c>
      <c r="D20" s="13" t="s">
        <v>1678</v>
      </c>
      <c r="E20" s="7" t="s">
        <v>127</v>
      </c>
      <c r="F20" s="7" t="s">
        <v>203</v>
      </c>
      <c r="G20" s="7" t="str">
        <f t="shared" si="3"/>
        <v>integer</v>
      </c>
      <c r="H20" s="58"/>
      <c r="I20" s="23" t="s">
        <v>127</v>
      </c>
      <c r="J20" s="24" t="s">
        <v>1700</v>
      </c>
      <c r="M20" s="4"/>
      <c r="N20" s="97"/>
      <c r="O20" s="97"/>
      <c r="P20" s="97" t="str">
        <f t="shared" si="4"/>
        <v>,vital_seq</v>
      </c>
      <c r="Q20" s="97" t="str">
        <f t="shared" si="0"/>
        <v>INTEGER</v>
      </c>
      <c r="R20" s="97" t="str">
        <f t="shared" si="1"/>
        <v/>
      </c>
      <c r="S20" s="97" t="str">
        <f t="shared" si="5"/>
        <v>NOT NULL</v>
      </c>
      <c r="T20" s="97" t="str">
        <f t="shared" si="6"/>
        <v>-- バイタルSEQ</v>
      </c>
      <c r="U20" s="4"/>
      <c r="AA20" s="4"/>
      <c r="AB20" s="4"/>
      <c r="AC20" s="4"/>
      <c r="AD20" s="4"/>
      <c r="AE20" s="4"/>
      <c r="AF20" s="4"/>
      <c r="AG20" s="4"/>
      <c r="AH20" s="4"/>
      <c r="AI20" s="4"/>
      <c r="AJ20" s="97" t="str">
        <f>IF(E20="○",IF(COUNTA(E$13:E20)=1,"",",")&amp;D20,"")</f>
        <v>,vital_seq</v>
      </c>
      <c r="AK20" s="4"/>
      <c r="AL20" s="4"/>
      <c r="AM20" s="4"/>
      <c r="AN20" s="4"/>
      <c r="AO20" s="4"/>
      <c r="AP20" s="4"/>
      <c r="AQ20" s="4"/>
      <c r="AR20" s="4"/>
      <c r="AS20" s="97" t="str">
        <f>"COMMENT ON COLUMN "&amp;エンティティ一覧!$O$2&amp;"."&amp;D$8&amp;"."&amp;D20&amp;" IS '"&amp;C20&amp;"';"</f>
        <v>COMMENT ON COLUMN milscm_2023_010.azn_202310_base_merge_mml_vs_item.vital_seq IS 'バイタルSEQ';</v>
      </c>
    </row>
    <row r="21" spans="1:52" s="25" customFormat="1">
      <c r="A21" s="4"/>
      <c r="B21" s="21">
        <f t="shared" si="2"/>
        <v>9</v>
      </c>
      <c r="C21" s="13" t="s">
        <v>1714</v>
      </c>
      <c r="D21" s="13" t="s">
        <v>1715</v>
      </c>
      <c r="E21" s="7" t="s">
        <v>127</v>
      </c>
      <c r="F21" s="7" t="s">
        <v>203</v>
      </c>
      <c r="G21" s="7" t="str">
        <f t="shared" si="3"/>
        <v>integer</v>
      </c>
      <c r="H21" s="58"/>
      <c r="I21" s="23" t="s">
        <v>127</v>
      </c>
      <c r="J21" s="24" t="s">
        <v>1722</v>
      </c>
      <c r="M21" s="4"/>
      <c r="N21" s="97"/>
      <c r="O21" s="97"/>
      <c r="P21" s="97" t="str">
        <f t="shared" si="4"/>
        <v>,item_seq</v>
      </c>
      <c r="Q21" s="97" t="str">
        <f t="shared" si="0"/>
        <v>INTEGER</v>
      </c>
      <c r="R21" s="97" t="str">
        <f t="shared" si="1"/>
        <v/>
      </c>
      <c r="S21" s="97" t="str">
        <f t="shared" si="5"/>
        <v>NOT NULL</v>
      </c>
      <c r="T21" s="97" t="str">
        <f t="shared" si="6"/>
        <v>-- 項目SEQ</v>
      </c>
      <c r="U21" s="4"/>
      <c r="AA21" s="4"/>
      <c r="AB21" s="4"/>
      <c r="AC21" s="4"/>
      <c r="AD21" s="4"/>
      <c r="AE21" s="4"/>
      <c r="AF21" s="4"/>
      <c r="AG21" s="4"/>
      <c r="AH21" s="4"/>
      <c r="AI21" s="4"/>
      <c r="AJ21" s="97" t="str">
        <f>IF(E21="○",IF(COUNTA(E$13:E21)=1,"",",")&amp;D21,"")</f>
        <v>,item_seq</v>
      </c>
      <c r="AK21" s="4"/>
      <c r="AL21" s="4"/>
      <c r="AM21" s="4"/>
      <c r="AN21" s="4"/>
      <c r="AO21" s="4"/>
      <c r="AP21" s="4"/>
      <c r="AQ21" s="4"/>
      <c r="AR21" s="4"/>
      <c r="AS21" s="97" t="str">
        <f>"COMMENT ON COLUMN "&amp;エンティティ一覧!$O$2&amp;"."&amp;D$8&amp;"."&amp;D21&amp;" IS '"&amp;C21&amp;"';"</f>
        <v>COMMENT ON COLUMN milscm_2023_010.azn_202310_base_merge_mml_vs_item.item_seq IS '項目SEQ';</v>
      </c>
    </row>
    <row r="22" spans="1:52" s="25" customFormat="1" ht="37.5">
      <c r="A22" s="4"/>
      <c r="B22" s="21">
        <f t="shared" si="2"/>
        <v>10</v>
      </c>
      <c r="C22" s="13" t="s">
        <v>1621</v>
      </c>
      <c r="D22" s="13" t="s">
        <v>1622</v>
      </c>
      <c r="E22" s="7"/>
      <c r="F22" s="7" t="s">
        <v>863</v>
      </c>
      <c r="G22" s="7" t="str">
        <f t="shared" si="3"/>
        <v>text</v>
      </c>
      <c r="H22" s="58"/>
      <c r="I22" s="23"/>
      <c r="J22" s="24" t="s">
        <v>1723</v>
      </c>
      <c r="M22" s="4"/>
      <c r="N22" s="97"/>
      <c r="O22" s="97"/>
      <c r="P22" s="97" t="str">
        <f t="shared" si="4"/>
        <v>,item_name</v>
      </c>
      <c r="Q22" s="97" t="str">
        <f t="shared" si="0"/>
        <v>TEXT</v>
      </c>
      <c r="R22" s="97" t="str">
        <f t="shared" si="1"/>
        <v/>
      </c>
      <c r="S22" s="97" t="str">
        <f t="shared" si="5"/>
        <v/>
      </c>
      <c r="T22" s="97" t="str">
        <f t="shared" si="6"/>
        <v>-- 項目名</v>
      </c>
      <c r="U22" s="4"/>
      <c r="AA22" s="4"/>
      <c r="AB22" s="4"/>
      <c r="AC22" s="4"/>
      <c r="AD22" s="4"/>
      <c r="AE22" s="4"/>
      <c r="AF22" s="4"/>
      <c r="AG22" s="4"/>
      <c r="AH22" s="4"/>
      <c r="AI22" s="4"/>
      <c r="AJ22" s="97" t="str">
        <f>IF(E22="○",IF(COUNTA(E$13:E22)=1,"",",")&amp;D22,"")</f>
        <v/>
      </c>
      <c r="AK22" s="4"/>
      <c r="AL22" s="4"/>
      <c r="AM22" s="4"/>
      <c r="AN22" s="4"/>
      <c r="AO22" s="4"/>
      <c r="AP22" s="4"/>
      <c r="AQ22" s="4"/>
      <c r="AR22" s="4"/>
      <c r="AS22" s="97" t="str">
        <f>"COMMENT ON COLUMN "&amp;エンティティ一覧!$O$2&amp;"."&amp;D$8&amp;"."&amp;D22&amp;" IS '"&amp;C22&amp;"';"</f>
        <v>COMMENT ON COLUMN milscm_2023_010.azn_202310_base_merge_mml_vs_item.item_name IS '項目名';</v>
      </c>
    </row>
    <row r="23" spans="1:52" s="25" customFormat="1" ht="31.5">
      <c r="A23" s="4"/>
      <c r="B23" s="21">
        <f t="shared" si="2"/>
        <v>11</v>
      </c>
      <c r="C23" s="13" t="s">
        <v>1716</v>
      </c>
      <c r="D23" s="13" t="s">
        <v>1717</v>
      </c>
      <c r="E23" s="7"/>
      <c r="F23" s="7" t="s">
        <v>863</v>
      </c>
      <c r="G23" s="7" t="str">
        <f t="shared" si="3"/>
        <v>text</v>
      </c>
      <c r="H23" s="58"/>
      <c r="I23" s="23"/>
      <c r="J23" s="24" t="s">
        <v>1724</v>
      </c>
      <c r="M23" s="4"/>
      <c r="N23" s="97"/>
      <c r="O23" s="97"/>
      <c r="P23" s="97" t="str">
        <f t="shared" si="4"/>
        <v>,vital_sign_value</v>
      </c>
      <c r="Q23" s="97" t="str">
        <f t="shared" si="0"/>
        <v>TEXT</v>
      </c>
      <c r="R23" s="97" t="str">
        <f t="shared" si="1"/>
        <v/>
      </c>
      <c r="S23" s="97" t="str">
        <f t="shared" si="5"/>
        <v/>
      </c>
      <c r="T23" s="97" t="str">
        <f t="shared" si="6"/>
        <v>-- 文字列で表記されるバイタルサインの値</v>
      </c>
      <c r="U23" s="4"/>
      <c r="AA23" s="4"/>
      <c r="AB23" s="4"/>
      <c r="AC23" s="4"/>
      <c r="AD23" s="4"/>
      <c r="AE23" s="4"/>
      <c r="AF23" s="4"/>
      <c r="AG23" s="4"/>
      <c r="AH23" s="4"/>
      <c r="AI23" s="4"/>
      <c r="AJ23" s="97" t="str">
        <f>IF(E23="○",IF(COUNTA(E$13:E23)=1,"",",")&amp;D23,"")</f>
        <v/>
      </c>
      <c r="AK23" s="4"/>
      <c r="AL23" s="4"/>
      <c r="AM23" s="4"/>
      <c r="AN23" s="4"/>
      <c r="AO23" s="4"/>
      <c r="AP23" s="4"/>
      <c r="AQ23" s="4"/>
      <c r="AR23" s="4"/>
      <c r="AS23" s="97" t="str">
        <f>"COMMENT ON COLUMN "&amp;エンティティ一覧!$O$2&amp;"."&amp;D$8&amp;"."&amp;D23&amp;" IS '"&amp;C23&amp;"';"</f>
        <v>COMMENT ON COLUMN milscm_2023_010.azn_202310_base_merge_mml_vs_item.vital_sign_value IS '文字列で表記されるバイタルサインの値';</v>
      </c>
    </row>
    <row r="24" spans="1:52" s="25" customFormat="1">
      <c r="A24" s="4"/>
      <c r="B24" s="21">
        <f t="shared" si="2"/>
        <v>12</v>
      </c>
      <c r="C24" s="13" t="s">
        <v>1718</v>
      </c>
      <c r="D24" s="13" t="s">
        <v>1719</v>
      </c>
      <c r="E24" s="7"/>
      <c r="F24" s="7" t="s">
        <v>863</v>
      </c>
      <c r="G24" s="7" t="str">
        <f t="shared" si="3"/>
        <v>text</v>
      </c>
      <c r="H24" s="58"/>
      <c r="I24" s="23"/>
      <c r="J24" s="24" t="s">
        <v>1725</v>
      </c>
      <c r="M24" s="4"/>
      <c r="N24" s="97"/>
      <c r="O24" s="97"/>
      <c r="P24" s="97" t="str">
        <f t="shared" si="4"/>
        <v>,vital_sign_num_value</v>
      </c>
      <c r="Q24" s="97" t="str">
        <f t="shared" si="0"/>
        <v>TEXT</v>
      </c>
      <c r="R24" s="97" t="str">
        <f t="shared" si="1"/>
        <v/>
      </c>
      <c r="S24" s="97" t="str">
        <f t="shared" si="5"/>
        <v/>
      </c>
      <c r="T24" s="97" t="str">
        <f t="shared" si="6"/>
        <v>-- 数値で表記されるバイタルサインの値</v>
      </c>
      <c r="U24" s="4"/>
      <c r="AA24" s="4"/>
      <c r="AB24" s="4"/>
      <c r="AC24" s="4"/>
      <c r="AD24" s="4"/>
      <c r="AE24" s="4"/>
      <c r="AF24" s="4"/>
      <c r="AG24" s="4"/>
      <c r="AH24" s="4"/>
      <c r="AI24" s="4"/>
      <c r="AJ24" s="97" t="str">
        <f>IF(E24="○",IF(COUNTA(E$13:E24)=1,"",",")&amp;D24,"")</f>
        <v/>
      </c>
      <c r="AK24" s="4"/>
      <c r="AL24" s="4"/>
      <c r="AM24" s="4"/>
      <c r="AN24" s="4"/>
      <c r="AO24" s="4"/>
      <c r="AP24" s="4"/>
      <c r="AQ24" s="4"/>
      <c r="AR24" s="4"/>
      <c r="AS24" s="97" t="str">
        <f>"COMMENT ON COLUMN "&amp;エンティティ一覧!$O$2&amp;"."&amp;D$8&amp;"."&amp;D24&amp;" IS '"&amp;C24&amp;"';"</f>
        <v>COMMENT ON COLUMN milscm_2023_010.azn_202310_base_merge_mml_vs_item.vital_sign_num_value IS '数値で表記されるバイタルサインの値';</v>
      </c>
    </row>
    <row r="25" spans="1:52" s="25" customFormat="1" ht="38.25" thickBot="1">
      <c r="A25" s="4"/>
      <c r="B25" s="27">
        <f>ROW()-12</f>
        <v>13</v>
      </c>
      <c r="C25" s="57" t="s">
        <v>1720</v>
      </c>
      <c r="D25" s="57" t="s">
        <v>1721</v>
      </c>
      <c r="E25" s="56"/>
      <c r="F25" s="56" t="s">
        <v>863</v>
      </c>
      <c r="G25" s="56" t="str">
        <f t="shared" si="3"/>
        <v>text</v>
      </c>
      <c r="H25" s="59"/>
      <c r="I25" s="60"/>
      <c r="J25" s="63" t="s">
        <v>1726</v>
      </c>
      <c r="N25" s="97"/>
      <c r="O25" s="97"/>
      <c r="P25" s="97" t="str">
        <f t="shared" si="4"/>
        <v>,vital_sign_unit</v>
      </c>
      <c r="Q25" s="97" t="str">
        <f t="shared" si="0"/>
        <v>TEXT</v>
      </c>
      <c r="R25" s="97" t="str">
        <f t="shared" si="1"/>
        <v/>
      </c>
      <c r="S25" s="97" t="str">
        <f t="shared" si="5"/>
        <v/>
      </c>
      <c r="T25" s="97" t="str">
        <f t="shared" si="6"/>
        <v>-- バイタルサインの単位</v>
      </c>
      <c r="U25" s="4"/>
      <c r="AA25" s="4"/>
      <c r="AB25" s="4"/>
      <c r="AC25" s="4"/>
      <c r="AD25" s="4"/>
      <c r="AE25" s="4"/>
      <c r="AF25" s="4"/>
      <c r="AG25" s="4"/>
      <c r="AH25" s="4"/>
      <c r="AI25" s="4"/>
      <c r="AJ25" s="97" t="str">
        <f>IF(E25="○",IF(COUNTA(E$13:E25)=1,"",",")&amp;D25,"")</f>
        <v/>
      </c>
      <c r="AK25" s="4"/>
      <c r="AL25" s="4"/>
      <c r="AM25" s="4"/>
      <c r="AN25" s="4"/>
      <c r="AO25" s="4"/>
      <c r="AP25" s="4"/>
      <c r="AQ25" s="4"/>
      <c r="AR25" s="4"/>
      <c r="AS25" s="97" t="str">
        <f>"COMMENT ON COLUMN "&amp;エンティティ一覧!$O$2&amp;"."&amp;D$8&amp;"."&amp;D25&amp;" IS '"&amp;C25&amp;"';"</f>
        <v>COMMENT ON COLUMN milscm_2023_010.azn_202310_base_merge_mml_vs_item.vital_sign_unit IS 'バイタルサインの単位';</v>
      </c>
    </row>
    <row r="26" spans="1:52">
      <c r="L26" s="25"/>
      <c r="M26" s="25"/>
      <c r="N26" s="97" t="s">
        <v>142</v>
      </c>
      <c r="O26" s="97"/>
      <c r="P26" s="97"/>
      <c r="Q26" s="97"/>
      <c r="R26" s="97"/>
      <c r="S26" s="97"/>
      <c r="T26" s="97"/>
      <c r="V26" s="25"/>
      <c r="W26" s="25"/>
      <c r="X26" s="25"/>
      <c r="Y26" s="25"/>
      <c r="Z26" s="25"/>
      <c r="AJ26" s="97"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31</v>
      </c>
      <c r="E4" s="248"/>
      <c r="F4" s="248"/>
      <c r="G4" s="248"/>
      <c r="H4" s="248"/>
      <c r="I4" s="248"/>
      <c r="J4" s="249"/>
    </row>
    <row r="5" spans="1:45">
      <c r="B5" s="261" t="s">
        <v>3704</v>
      </c>
      <c r="C5" s="262"/>
      <c r="D5" s="271" t="str">
        <f>VLOOKUP(D7,エンティティ一覧!A1:'エンティティ一覧'!AM10203,7,FALSE)</f>
        <v>base</v>
      </c>
      <c r="E5" s="272"/>
      <c r="F5" s="272"/>
      <c r="G5" s="272"/>
      <c r="H5" s="272"/>
      <c r="I5" s="272"/>
      <c r="J5" s="273"/>
    </row>
    <row r="6" spans="1:45">
      <c r="B6" s="261" t="s">
        <v>3705</v>
      </c>
      <c r="C6" s="262"/>
      <c r="D6" s="271" t="str">
        <f>VLOOKUP(D7,エンティティ一覧!A1:'エンティティ一覧'!AM10203,15,FALSE)</f>
        <v>ENT_31_C4-40</v>
      </c>
      <c r="E6" s="272"/>
      <c r="F6" s="272"/>
      <c r="G6" s="272"/>
      <c r="H6" s="272"/>
      <c r="I6" s="272"/>
      <c r="J6" s="273"/>
    </row>
    <row r="7" spans="1:45">
      <c r="B7" s="261" t="s">
        <v>115</v>
      </c>
      <c r="C7" s="262"/>
      <c r="D7" s="263" t="s">
        <v>4088</v>
      </c>
      <c r="E7" s="264"/>
      <c r="F7" s="264"/>
      <c r="G7" s="264"/>
      <c r="H7" s="264"/>
      <c r="I7" s="264"/>
      <c r="J7" s="265"/>
    </row>
    <row r="8" spans="1:45">
      <c r="B8" s="261" t="s">
        <v>116</v>
      </c>
      <c r="C8" s="262"/>
      <c r="D8" s="263" t="str">
        <f>エンティティ一覧!AE2&amp;"_"&amp;D5&amp;"_merge_mml_fs_vitalsign"</f>
        <v>azn_202310_base_merge_mml_fs_vitalsign</v>
      </c>
      <c r="E8" s="264"/>
      <c r="F8" s="264"/>
      <c r="G8" s="264"/>
      <c r="H8" s="264"/>
      <c r="I8" s="264"/>
      <c r="J8" s="265"/>
    </row>
    <row r="9" spans="1:45" ht="19.5" customHeight="1" thickBot="1">
      <c r="B9" s="266" t="s">
        <v>117</v>
      </c>
      <c r="C9" s="267"/>
      <c r="D9" s="268" t="str">
        <f>"バックアップ_"&amp;SUBSTITUTE(D7,"ベース_","")&amp;"テーブルから対象患者で絞り込んだ結果を格納するテーブル"</f>
        <v>バックアップ_体温表モジュール_バイタルサインテーブルから対象患者で絞り込んだ結果を格納するテーブル</v>
      </c>
      <c r="E9" s="269"/>
      <c r="F9" s="269"/>
      <c r="G9" s="269"/>
      <c r="H9" s="269"/>
      <c r="I9" s="269"/>
      <c r="J9" s="270"/>
    </row>
    <row r="10" spans="1:45">
      <c r="B10" s="19"/>
      <c r="C10" s="19"/>
      <c r="D10" s="5"/>
      <c r="E10" s="5"/>
      <c r="F10" s="5"/>
      <c r="G10" s="5"/>
      <c r="H10" s="5"/>
      <c r="I10" s="5"/>
      <c r="J10" s="18"/>
      <c r="N10" s="97" t="str">
        <f>"--DROP TABLE  "&amp;エンティティ一覧!$O$2&amp;"."&amp;D$8&amp;";"</f>
        <v>--DROP TABLE  milscm_2023_010.azn_202310_base_merge_mml_fs_vitalsign;</v>
      </c>
      <c r="O10" s="97"/>
      <c r="P10" s="97"/>
      <c r="Q10" s="97"/>
      <c r="R10" s="97"/>
      <c r="S10" s="97"/>
      <c r="T10" s="97"/>
      <c r="AJ10" s="97" t="str">
        <f>"ALTER TABLE ONLY "&amp;エンティティ一覧!$O$2&amp;"."&amp;D$8</f>
        <v>ALTER TABLE ONLY milscm_2023_010.azn_202310_base_merge_mml_fs_vitalsign</v>
      </c>
      <c r="AS10" s="97" t="str">
        <f>"ALTER TABLE "&amp;エンティティ一覧!$O$2&amp;"."&amp;D$8&amp;" OWNER TO pgmisgrp1;"</f>
        <v>ALTER TABLE milscm_2023_010.azn_202310_base_merge_mml_fs_vitalsign OWNER TO pgmisgrp1;</v>
      </c>
    </row>
    <row r="11" spans="1:45" ht="19.5" thickBot="1">
      <c r="B11" s="20" t="s">
        <v>118</v>
      </c>
      <c r="C11" s="19"/>
      <c r="D11" s="5"/>
      <c r="E11" s="5"/>
      <c r="F11" s="5"/>
      <c r="G11" s="5"/>
      <c r="H11" s="5"/>
      <c r="I11" s="5"/>
      <c r="J11" s="18"/>
      <c r="N11" s="97" t="str">
        <f>"CREATE TABLE  "&amp;エンティティ一覧!$O$2&amp;"."&amp;D$8</f>
        <v>CREATE TABLE  milscm_2023_010.azn_202310_base_merge_mml_fs_vitalsign</v>
      </c>
      <c r="O11" s="97"/>
      <c r="P11" s="97"/>
      <c r="Q11" s="97"/>
      <c r="R11" s="97"/>
      <c r="S11" s="97"/>
      <c r="T11" s="97"/>
      <c r="AJ11" s="97" t="str">
        <f>"ADD CONSTRAINT "&amp;D$8&amp;"_pkey PRIMARY KEY"</f>
        <v>ADD CONSTRAINT azn_202310_base_merge_mml_fs_vitalsign_pkey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milscm_2023_010.azn_202310_base_merge_mml_fs_vitalsign IS 'ベース_体温表モジュール_バイタルサイン';</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97"/>
      <c r="O13" s="97"/>
      <c r="P13" s="97" t="str">
        <f>IF(B13&lt;&gt;1,","&amp;D13,D13)</f>
        <v>torikomi_ym</v>
      </c>
      <c r="Q13" s="97" t="str">
        <f t="shared" ref="Q13:Q33" si="0">UPPER(G13)</f>
        <v>TEXT</v>
      </c>
      <c r="R13" s="97" t="str">
        <f t="shared" ref="R13:R33" si="1">IF(H13&lt;&gt;"","default "&amp;IF(G13="text","'"&amp;H13&amp;"'",H13),"")</f>
        <v/>
      </c>
      <c r="S13" s="97" t="str">
        <f>IF(I13="○","NOT NULL","")</f>
        <v>NOT NULL</v>
      </c>
      <c r="T13" s="97" t="str">
        <f>"-- "&amp;C13</f>
        <v>-- 取込年月</v>
      </c>
      <c r="U13" s="4"/>
      <c r="AA13" s="4"/>
      <c r="AB13" s="4"/>
      <c r="AC13" s="4"/>
      <c r="AD13" s="4"/>
      <c r="AE13" s="4"/>
      <c r="AF13" s="4"/>
      <c r="AG13" s="4"/>
      <c r="AH13" s="4"/>
      <c r="AI13" s="4"/>
      <c r="AJ13" s="97" t="str">
        <f>IF(E13="○",IF(COUNTA(E$13:E13)=1,"",",")&amp;D13,"")</f>
        <v/>
      </c>
      <c r="AK13" s="4"/>
      <c r="AL13" s="4"/>
      <c r="AM13" s="4"/>
      <c r="AN13" s="4"/>
      <c r="AO13" s="4"/>
      <c r="AP13" s="4"/>
      <c r="AQ13" s="4"/>
      <c r="AR13" s="4"/>
      <c r="AS13" s="97" t="str">
        <f>"COMMENT ON COLUMN "&amp;エンティティ一覧!$O$2&amp;"."&amp;D$8&amp;"."&amp;D13&amp;" IS '"&amp;C13&amp;"';"</f>
        <v>COMMENT ON COLUMN milscm_2023_010.azn_202310_base_merge_mml_fs_vitalsign.torikomi_ym IS '取込年月';</v>
      </c>
    </row>
    <row r="14" spans="1:45" s="25" customFormat="1">
      <c r="A14" s="4"/>
      <c r="B14" s="21">
        <f t="shared" ref="B14:B32" si="2">ROW()-12</f>
        <v>2</v>
      </c>
      <c r="C14" s="6" t="s">
        <v>201</v>
      </c>
      <c r="D14" s="6" t="s">
        <v>202</v>
      </c>
      <c r="E14" s="8"/>
      <c r="F14" s="7" t="s">
        <v>203</v>
      </c>
      <c r="G14" s="7" t="str">
        <f t="shared" ref="G14:G33" si="3">IF(F14="フラグ","boolean",IF(F14="文字列","text",IF(F14="整数","integer",IF(F14="実数","numeric",""))))</f>
        <v>integer</v>
      </c>
      <c r="H14" s="26"/>
      <c r="I14" s="10"/>
      <c r="J14" s="11" t="s">
        <v>1280</v>
      </c>
      <c r="M14" s="4"/>
      <c r="N14" s="97"/>
      <c r="O14" s="97"/>
      <c r="P14" s="97" t="str">
        <f t="shared" ref="P14:P33" si="4">IF(B14&lt;&gt;1,","&amp;D14,D14)</f>
        <v>,mil_karute_id</v>
      </c>
      <c r="Q14" s="97" t="str">
        <f t="shared" si="0"/>
        <v>INTEGER</v>
      </c>
      <c r="R14" s="97" t="str">
        <f t="shared" si="1"/>
        <v/>
      </c>
      <c r="S14" s="97" t="str">
        <f>IF(I14="○","NOT NULL","")</f>
        <v/>
      </c>
      <c r="T14" s="97" t="str">
        <f>"-- "&amp;C14</f>
        <v>-- 千年カルテID</v>
      </c>
      <c r="U14" s="4"/>
      <c r="AA14" s="4"/>
      <c r="AB14" s="4"/>
      <c r="AC14" s="4"/>
      <c r="AD14" s="4"/>
      <c r="AE14" s="4"/>
      <c r="AF14" s="4"/>
      <c r="AG14" s="4"/>
      <c r="AH14" s="4"/>
      <c r="AI14" s="4"/>
      <c r="AJ14" s="97" t="str">
        <f>IF(E14="○",IF(COUNTA(E$13:E14)=1,"",",")&amp;D14,"")</f>
        <v/>
      </c>
      <c r="AK14" s="4"/>
      <c r="AL14" s="4"/>
      <c r="AM14" s="4"/>
      <c r="AN14" s="4"/>
      <c r="AO14" s="4"/>
      <c r="AP14" s="4"/>
      <c r="AQ14" s="4"/>
      <c r="AR14" s="4"/>
      <c r="AS14" s="97" t="str">
        <f>"COMMENT ON COLUMN "&amp;エンティティ一覧!$O$2&amp;"."&amp;D$8&amp;"."&amp;D14&amp;" IS '"&amp;C14&amp;"';"</f>
        <v>COMMENT ON COLUMN milscm_2023_010.azn_202310_base_merge_mml_fs_vitalsign.mil_karute_id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97"/>
      <c r="O15" s="97"/>
      <c r="P15" s="97" t="str">
        <f t="shared" si="4"/>
        <v>,facility_id</v>
      </c>
      <c r="Q15" s="97" t="str">
        <f t="shared" si="0"/>
        <v>TEXT</v>
      </c>
      <c r="R15" s="97" t="str">
        <f t="shared" si="1"/>
        <v/>
      </c>
      <c r="S15" s="97" t="str">
        <f t="shared" ref="S15:S33" si="5">IF(I15="○","NOT NULL","")</f>
        <v>NOT NULL</v>
      </c>
      <c r="T15" s="97" t="str">
        <f t="shared" ref="T15:T33" si="6">"-- "&amp;C15</f>
        <v>-- 施設ID</v>
      </c>
      <c r="U15" s="4"/>
      <c r="AA15" s="4"/>
      <c r="AB15" s="4"/>
      <c r="AC15" s="4"/>
      <c r="AD15" s="4"/>
      <c r="AE15" s="4"/>
      <c r="AF15" s="4"/>
      <c r="AG15" s="4"/>
      <c r="AH15" s="4"/>
      <c r="AI15" s="4"/>
      <c r="AJ15" s="97" t="str">
        <f>IF(E15="○",IF(COUNTA(E$13:E15)=1,"",",")&amp;D15,"")</f>
        <v>facility_id</v>
      </c>
      <c r="AK15" s="4"/>
      <c r="AL15" s="4"/>
      <c r="AM15" s="4"/>
      <c r="AN15" s="4"/>
      <c r="AO15" s="4"/>
      <c r="AP15" s="4"/>
      <c r="AQ15" s="4"/>
      <c r="AR15" s="4"/>
      <c r="AS15" s="97" t="str">
        <f>"COMMENT ON COLUMN "&amp;エンティティ一覧!$O$2&amp;"."&amp;D$8&amp;"."&amp;D15&amp;" IS '"&amp;C15&amp;"';"</f>
        <v>COMMENT ON COLUMN milscm_2023_010.azn_202310_base_merge_mml_fs_vitalsign.facility_id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97"/>
      <c r="O16" s="97"/>
      <c r="P16" s="97" t="str">
        <f t="shared" si="4"/>
        <v>,shinryo_ymd</v>
      </c>
      <c r="Q16" s="97" t="str">
        <f t="shared" si="0"/>
        <v>TEXT</v>
      </c>
      <c r="R16" s="97" t="str">
        <f t="shared" si="1"/>
        <v/>
      </c>
      <c r="S16" s="97" t="str">
        <f t="shared" si="5"/>
        <v>NOT NULL</v>
      </c>
      <c r="T16" s="97" t="str">
        <f t="shared" si="6"/>
        <v>-- 診療年月日</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"&amp;エンティティ一覧!$O$2&amp;"."&amp;D$8&amp;"."&amp;D16&amp;" IS '"&amp;C16&amp;"';"</f>
        <v>COMMENT ON COLUMN milscm_2023_010.azn_202310_base_merge_mml_fs_vitalsign.shinryo_ymd IS '診療年月日';</v>
      </c>
    </row>
    <row r="17" spans="1:45" s="25" customFormat="1">
      <c r="A17" s="4"/>
      <c r="B17" s="21">
        <f t="shared" si="2"/>
        <v>5</v>
      </c>
      <c r="C17" s="13" t="s">
        <v>1298</v>
      </c>
      <c r="D17" s="13" t="s">
        <v>207</v>
      </c>
      <c r="E17" s="7"/>
      <c r="F17" s="7" t="s">
        <v>863</v>
      </c>
      <c r="G17" s="7" t="str">
        <f t="shared" si="3"/>
        <v>text</v>
      </c>
      <c r="H17" s="58" t="s">
        <v>1283</v>
      </c>
      <c r="I17" s="23" t="s">
        <v>127</v>
      </c>
      <c r="J17" s="24" t="s">
        <v>1284</v>
      </c>
      <c r="M17" s="4"/>
      <c r="N17" s="97"/>
      <c r="O17" s="97"/>
      <c r="P17" s="97" t="str">
        <f t="shared" si="4"/>
        <v>,data_type</v>
      </c>
      <c r="Q17" s="97" t="str">
        <f t="shared" si="0"/>
        <v>TEXT</v>
      </c>
      <c r="R17" s="97" t="str">
        <f t="shared" si="1"/>
        <v>default 'MML'</v>
      </c>
      <c r="S17" s="97" t="str">
        <f t="shared" si="5"/>
        <v>NOT NULL</v>
      </c>
      <c r="T17" s="97" t="str">
        <f t="shared" si="6"/>
        <v>-- データ種別</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milscm_2023_010.azn_202310_base_merge_mml_fs_vitalsign.data_type IS 'データ種別';</v>
      </c>
    </row>
    <row r="18" spans="1:45" s="25" customFormat="1" ht="37.5">
      <c r="A18" s="4"/>
      <c r="B18" s="21">
        <f t="shared" si="2"/>
        <v>6</v>
      </c>
      <c r="C18" s="13" t="s">
        <v>1243</v>
      </c>
      <c r="D18" s="13" t="s">
        <v>1244</v>
      </c>
      <c r="E18" s="7" t="s">
        <v>127</v>
      </c>
      <c r="F18" s="7" t="s">
        <v>863</v>
      </c>
      <c r="G18" s="7" t="str">
        <f t="shared" si="3"/>
        <v>text</v>
      </c>
      <c r="H18" s="58"/>
      <c r="I18" s="23" t="s">
        <v>127</v>
      </c>
      <c r="J18" s="24" t="s">
        <v>1285</v>
      </c>
      <c r="M18" s="4"/>
      <c r="N18" s="97"/>
      <c r="O18" s="97"/>
      <c r="P18" s="97" t="str">
        <f t="shared" si="4"/>
        <v>,master_id</v>
      </c>
      <c r="Q18" s="97" t="str">
        <f t="shared" si="0"/>
        <v>TEXT</v>
      </c>
      <c r="R18" s="97" t="str">
        <f t="shared" si="1"/>
        <v/>
      </c>
      <c r="S18" s="97" t="str">
        <f t="shared" si="5"/>
        <v>NOT NULL</v>
      </c>
      <c r="T18" s="97" t="str">
        <f t="shared" si="6"/>
        <v>-- 患者ID</v>
      </c>
      <c r="U18" s="4"/>
      <c r="AA18" s="4"/>
      <c r="AB18" s="4"/>
      <c r="AC18" s="4"/>
      <c r="AD18" s="4"/>
      <c r="AE18" s="4"/>
      <c r="AF18" s="4"/>
      <c r="AG18" s="4"/>
      <c r="AH18" s="4"/>
      <c r="AI18" s="4"/>
      <c r="AJ18" s="97" t="str">
        <f>IF(E18="○",IF(COUNTA(E$13:E18)=1,"",",")&amp;D18,"")</f>
        <v>,master_id</v>
      </c>
      <c r="AK18" s="4"/>
      <c r="AL18" s="4"/>
      <c r="AM18" s="4"/>
      <c r="AN18" s="4"/>
      <c r="AO18" s="4"/>
      <c r="AP18" s="4"/>
      <c r="AQ18" s="4"/>
      <c r="AR18" s="4"/>
      <c r="AS18" s="97" t="str">
        <f>"COMMENT ON COLUMN "&amp;エンティティ一覧!$O$2&amp;"."&amp;D$8&amp;"."&amp;D18&amp;" IS '"&amp;C18&amp;"';"</f>
        <v>COMMENT ON COLUMN milscm_2023_010.azn_202310_base_merge_mml_fs_vitalsign.master_id IS '患者ID';</v>
      </c>
    </row>
    <row r="19" spans="1:45" s="25" customFormat="1" ht="37.5">
      <c r="A19" s="4"/>
      <c r="B19" s="21">
        <f t="shared" si="2"/>
        <v>7</v>
      </c>
      <c r="C19" s="13" t="s">
        <v>1245</v>
      </c>
      <c r="D19" s="13" t="s">
        <v>1246</v>
      </c>
      <c r="E19" s="7" t="s">
        <v>127</v>
      </c>
      <c r="F19" s="7" t="s">
        <v>863</v>
      </c>
      <c r="G19" s="7" t="str">
        <f t="shared" si="3"/>
        <v>text</v>
      </c>
      <c r="H19" s="58"/>
      <c r="I19" s="23" t="s">
        <v>127</v>
      </c>
      <c r="J19" s="24" t="s">
        <v>1286</v>
      </c>
      <c r="M19" s="4"/>
      <c r="N19" s="97"/>
      <c r="O19" s="97"/>
      <c r="P19" s="97" t="str">
        <f t="shared" si="4"/>
        <v>,uid</v>
      </c>
      <c r="Q19" s="97" t="str">
        <f t="shared" si="0"/>
        <v>TEXT</v>
      </c>
      <c r="R19" s="97" t="str">
        <f t="shared" si="1"/>
        <v/>
      </c>
      <c r="S19" s="97" t="str">
        <f t="shared" si="5"/>
        <v>NOT NULL</v>
      </c>
      <c r="T19" s="97" t="str">
        <f t="shared" si="6"/>
        <v>-- 文書ユニークID</v>
      </c>
      <c r="U19" s="4"/>
      <c r="AA19" s="4"/>
      <c r="AB19" s="4"/>
      <c r="AC19" s="4"/>
      <c r="AD19" s="4"/>
      <c r="AE19" s="4"/>
      <c r="AF19" s="4"/>
      <c r="AG19" s="4"/>
      <c r="AH19" s="4"/>
      <c r="AI19" s="4"/>
      <c r="AJ19" s="97" t="str">
        <f>IF(E19="○",IF(COUNTA(E$13:E19)=1,"",",")&amp;D19,"")</f>
        <v>,uid</v>
      </c>
      <c r="AK19" s="4"/>
      <c r="AL19" s="4"/>
      <c r="AM19" s="4"/>
      <c r="AN19" s="4"/>
      <c r="AO19" s="4"/>
      <c r="AP19" s="4"/>
      <c r="AQ19" s="4"/>
      <c r="AR19" s="4"/>
      <c r="AS19" s="97" t="str">
        <f>"COMMENT ON COLUMN "&amp;エンティティ一覧!$O$2&amp;"."&amp;D$8&amp;"."&amp;D19&amp;" IS '"&amp;C19&amp;"';"</f>
        <v>COMMENT ON COLUMN milscm_2023_010.azn_202310_base_merge_mml_fs_vitalsign.uid IS '文書ユニークID';</v>
      </c>
    </row>
    <row r="20" spans="1:45" s="25" customFormat="1">
      <c r="A20" s="4"/>
      <c r="B20" s="21">
        <f t="shared" si="2"/>
        <v>8</v>
      </c>
      <c r="C20" s="13" t="s">
        <v>1728</v>
      </c>
      <c r="D20" s="13" t="s">
        <v>1729</v>
      </c>
      <c r="E20" s="7" t="s">
        <v>127</v>
      </c>
      <c r="F20" s="7" t="s">
        <v>203</v>
      </c>
      <c r="G20" s="7" t="str">
        <f t="shared" si="3"/>
        <v>integer</v>
      </c>
      <c r="H20" s="58"/>
      <c r="I20" s="23" t="s">
        <v>127</v>
      </c>
      <c r="J20" s="24" t="s">
        <v>1730</v>
      </c>
      <c r="M20" s="4"/>
      <c r="N20" s="97"/>
      <c r="O20" s="97"/>
      <c r="P20" s="97" t="str">
        <f t="shared" si="4"/>
        <v>,taionhyo_seq</v>
      </c>
      <c r="Q20" s="97" t="str">
        <f t="shared" si="0"/>
        <v>INTEGER</v>
      </c>
      <c r="R20" s="97" t="str">
        <f t="shared" si="1"/>
        <v/>
      </c>
      <c r="S20" s="97" t="str">
        <f t="shared" si="5"/>
        <v>NOT NULL</v>
      </c>
      <c r="T20" s="97" t="str">
        <f t="shared" si="6"/>
        <v>-- 体温表SEQ</v>
      </c>
      <c r="U20" s="4"/>
      <c r="AA20" s="4"/>
      <c r="AB20" s="4"/>
      <c r="AC20" s="4"/>
      <c r="AD20" s="4"/>
      <c r="AE20" s="4"/>
      <c r="AF20" s="4"/>
      <c r="AG20" s="4"/>
      <c r="AH20" s="4"/>
      <c r="AI20" s="4"/>
      <c r="AJ20" s="97" t="str">
        <f>IF(E20="○",IF(COUNTA(E$13:E20)=1,"",",")&amp;D20,"")</f>
        <v>,taionhyo_seq</v>
      </c>
      <c r="AK20" s="4"/>
      <c r="AL20" s="4"/>
      <c r="AM20" s="4"/>
      <c r="AN20" s="4"/>
      <c r="AO20" s="4"/>
      <c r="AP20" s="4"/>
      <c r="AQ20" s="4"/>
      <c r="AR20" s="4"/>
      <c r="AS20" s="97" t="str">
        <f>"COMMENT ON COLUMN "&amp;エンティティ一覧!$O$2&amp;"."&amp;D$8&amp;"."&amp;D20&amp;" IS '"&amp;C20&amp;"';"</f>
        <v>COMMENT ON COLUMN milscm_2023_010.azn_202310_base_merge_mml_fs_vitalsign.taionhyo_seq IS '体温表SEQ';</v>
      </c>
    </row>
    <row r="21" spans="1:45" s="25" customFormat="1">
      <c r="A21" s="4"/>
      <c r="B21" s="21">
        <f t="shared" si="2"/>
        <v>9</v>
      </c>
      <c r="C21" s="13" t="s">
        <v>1677</v>
      </c>
      <c r="D21" s="13" t="s">
        <v>1678</v>
      </c>
      <c r="E21" s="7" t="s">
        <v>127</v>
      </c>
      <c r="F21" s="7" t="s">
        <v>203</v>
      </c>
      <c r="G21" s="7" t="str">
        <f t="shared" si="3"/>
        <v>integer</v>
      </c>
      <c r="H21" s="58"/>
      <c r="I21" s="23" t="s">
        <v>127</v>
      </c>
      <c r="J21" s="24" t="s">
        <v>1700</v>
      </c>
      <c r="M21" s="4"/>
      <c r="N21" s="97"/>
      <c r="O21" s="97"/>
      <c r="P21" s="97" t="str">
        <f t="shared" si="4"/>
        <v>,vital_seq</v>
      </c>
      <c r="Q21" s="97" t="str">
        <f t="shared" si="0"/>
        <v>INTEGER</v>
      </c>
      <c r="R21" s="97" t="str">
        <f t="shared" si="1"/>
        <v/>
      </c>
      <c r="S21" s="97" t="str">
        <f t="shared" si="5"/>
        <v>NOT NULL</v>
      </c>
      <c r="T21" s="97" t="str">
        <f t="shared" si="6"/>
        <v>-- バイタルSEQ</v>
      </c>
      <c r="U21" s="4"/>
      <c r="AA21" s="4"/>
      <c r="AB21" s="4"/>
      <c r="AC21" s="4"/>
      <c r="AD21" s="4"/>
      <c r="AE21" s="4"/>
      <c r="AF21" s="4"/>
      <c r="AG21" s="4"/>
      <c r="AH21" s="4"/>
      <c r="AI21" s="4"/>
      <c r="AJ21" s="97" t="str">
        <f>IF(E21="○",IF(COUNTA(E$13:E21)=1,"",",")&amp;D21,"")</f>
        <v>,vital_seq</v>
      </c>
      <c r="AK21" s="4"/>
      <c r="AL21" s="4"/>
      <c r="AM21" s="4"/>
      <c r="AN21" s="4"/>
      <c r="AO21" s="4"/>
      <c r="AP21" s="4"/>
      <c r="AQ21" s="4"/>
      <c r="AR21" s="4"/>
      <c r="AS21" s="97" t="str">
        <f>"COMMENT ON COLUMN "&amp;エンティティ一覧!$O$2&amp;"."&amp;D$8&amp;"."&amp;D21&amp;" IS '"&amp;C21&amp;"';"</f>
        <v>COMMENT ON COLUMN milscm_2023_010.azn_202310_base_merge_mml_fs_vitalsign.vital_seq IS 'バイタルSEQ';</v>
      </c>
    </row>
    <row r="22" spans="1:45" s="25" customFormat="1">
      <c r="A22" s="4"/>
      <c r="B22" s="21">
        <f t="shared" si="2"/>
        <v>10</v>
      </c>
      <c r="C22" s="13" t="s">
        <v>1679</v>
      </c>
      <c r="D22" s="13" t="s">
        <v>1680</v>
      </c>
      <c r="E22" s="7"/>
      <c r="F22" s="7" t="s">
        <v>863</v>
      </c>
      <c r="G22" s="7" t="str">
        <f t="shared" si="3"/>
        <v>text</v>
      </c>
      <c r="H22" s="58"/>
      <c r="I22" s="23"/>
      <c r="J22" s="24" t="s">
        <v>1701</v>
      </c>
      <c r="M22" s="4"/>
      <c r="N22" s="97"/>
      <c r="O22" s="97"/>
      <c r="P22" s="97" t="str">
        <f t="shared" si="4"/>
        <v>,department_name</v>
      </c>
      <c r="Q22" s="97" t="str">
        <f t="shared" si="0"/>
        <v>TEXT</v>
      </c>
      <c r="R22" s="97" t="str">
        <f t="shared" si="1"/>
        <v/>
      </c>
      <c r="S22" s="97" t="str">
        <f t="shared" si="5"/>
        <v/>
      </c>
      <c r="T22" s="97" t="str">
        <f t="shared" si="6"/>
        <v>-- 診療科名</v>
      </c>
      <c r="U22" s="4"/>
      <c r="AA22" s="4"/>
      <c r="AB22" s="4"/>
      <c r="AC22" s="4"/>
      <c r="AD22" s="4"/>
      <c r="AE22" s="4"/>
      <c r="AF22" s="4"/>
      <c r="AG22" s="4"/>
      <c r="AH22" s="4"/>
      <c r="AI22" s="4"/>
      <c r="AJ22" s="97" t="str">
        <f>IF(E22="○",IF(COUNTA(E$13:E22)=1,"",",")&amp;D22,"")</f>
        <v/>
      </c>
      <c r="AK22" s="4"/>
      <c r="AL22" s="4"/>
      <c r="AM22" s="4"/>
      <c r="AN22" s="4"/>
      <c r="AO22" s="4"/>
      <c r="AP22" s="4"/>
      <c r="AQ22" s="4"/>
      <c r="AR22" s="4"/>
      <c r="AS22" s="97" t="str">
        <f>"COMMENT ON COLUMN "&amp;エンティティ一覧!$O$2&amp;"."&amp;D$8&amp;"."&amp;D22&amp;" IS '"&amp;C22&amp;"';"</f>
        <v>COMMENT ON COLUMN milscm_2023_010.azn_202310_base_merge_mml_fs_vitalsign.department_name IS '診療科名';</v>
      </c>
    </row>
    <row r="23" spans="1:45" s="25" customFormat="1" ht="37.5">
      <c r="A23" s="4"/>
      <c r="B23" s="21">
        <f t="shared" si="2"/>
        <v>11</v>
      </c>
      <c r="C23" s="13" t="s">
        <v>601</v>
      </c>
      <c r="D23" s="13" t="s">
        <v>1681</v>
      </c>
      <c r="E23" s="7"/>
      <c r="F23" s="7" t="s">
        <v>863</v>
      </c>
      <c r="G23" s="7" t="str">
        <f t="shared" si="3"/>
        <v>text</v>
      </c>
      <c r="H23" s="58"/>
      <c r="I23" s="23"/>
      <c r="J23" s="24" t="s">
        <v>1702</v>
      </c>
      <c r="M23" s="4"/>
      <c r="N23" s="97"/>
      <c r="O23" s="97"/>
      <c r="P23" s="97" t="str">
        <f t="shared" si="4"/>
        <v>,department_code</v>
      </c>
      <c r="Q23" s="97" t="str">
        <f t="shared" si="0"/>
        <v>TEXT</v>
      </c>
      <c r="R23" s="97" t="str">
        <f t="shared" si="1"/>
        <v/>
      </c>
      <c r="S23" s="97" t="str">
        <f t="shared" si="5"/>
        <v/>
      </c>
      <c r="T23" s="97" t="str">
        <f t="shared" si="6"/>
        <v>-- 診療科コード</v>
      </c>
      <c r="U23" s="4"/>
      <c r="AA23" s="4"/>
      <c r="AB23" s="4"/>
      <c r="AC23" s="4"/>
      <c r="AD23" s="4"/>
      <c r="AE23" s="4"/>
      <c r="AF23" s="4"/>
      <c r="AG23" s="4"/>
      <c r="AH23" s="4"/>
      <c r="AI23" s="4"/>
      <c r="AJ23" s="97" t="str">
        <f>IF(E23="○",IF(COUNTA(E$13:E23)=1,"",",")&amp;D23,"")</f>
        <v/>
      </c>
      <c r="AK23" s="4"/>
      <c r="AL23" s="4"/>
      <c r="AM23" s="4"/>
      <c r="AN23" s="4"/>
      <c r="AO23" s="4"/>
      <c r="AP23" s="4"/>
      <c r="AQ23" s="4"/>
      <c r="AR23" s="4"/>
      <c r="AS23" s="97" t="str">
        <f>"COMMENT ON COLUMN "&amp;エンティティ一覧!$O$2&amp;"."&amp;D$8&amp;"."&amp;D23&amp;" IS '"&amp;C23&amp;"';"</f>
        <v>COMMENT ON COLUMN milscm_2023_010.azn_202310_base_merge_mml_fs_vitalsign.department_code IS '診療科コード';</v>
      </c>
    </row>
    <row r="24" spans="1:45" s="25" customFormat="1">
      <c r="A24" s="4"/>
      <c r="B24" s="21">
        <f t="shared" si="2"/>
        <v>12</v>
      </c>
      <c r="C24" s="13" t="s">
        <v>1682</v>
      </c>
      <c r="D24" s="13" t="s">
        <v>1683</v>
      </c>
      <c r="E24" s="7"/>
      <c r="F24" s="7" t="s">
        <v>863</v>
      </c>
      <c r="G24" s="7" t="str">
        <f t="shared" si="3"/>
        <v>text</v>
      </c>
      <c r="H24" s="58"/>
      <c r="I24" s="23"/>
      <c r="J24" s="24" t="s">
        <v>1703</v>
      </c>
      <c r="M24" s="4"/>
      <c r="N24" s="97"/>
      <c r="O24" s="97"/>
      <c r="P24" s="97" t="str">
        <f t="shared" si="4"/>
        <v>,ward</v>
      </c>
      <c r="Q24" s="97" t="str">
        <f t="shared" si="0"/>
        <v>TEXT</v>
      </c>
      <c r="R24" s="97" t="str">
        <f t="shared" si="1"/>
        <v/>
      </c>
      <c r="S24" s="97" t="str">
        <f t="shared" si="5"/>
        <v/>
      </c>
      <c r="T24" s="97" t="str">
        <f t="shared" si="6"/>
        <v>-- 病棟</v>
      </c>
      <c r="U24" s="4"/>
      <c r="AA24" s="4"/>
      <c r="AB24" s="4"/>
      <c r="AC24" s="4"/>
      <c r="AD24" s="4"/>
      <c r="AE24" s="4"/>
      <c r="AF24" s="4"/>
      <c r="AG24" s="4"/>
      <c r="AH24" s="4"/>
      <c r="AI24" s="4"/>
      <c r="AJ24" s="97" t="str">
        <f>IF(E24="○",IF(COUNTA(E$13:E24)=1,"",",")&amp;D24,"")</f>
        <v/>
      </c>
      <c r="AK24" s="4"/>
      <c r="AL24" s="4"/>
      <c r="AM24" s="4"/>
      <c r="AN24" s="4"/>
      <c r="AO24" s="4"/>
      <c r="AP24" s="4"/>
      <c r="AQ24" s="4"/>
      <c r="AR24" s="4"/>
      <c r="AS24" s="97" t="str">
        <f>"COMMENT ON COLUMN "&amp;エンティティ一覧!$O$2&amp;"."&amp;D$8&amp;"."&amp;D24&amp;" IS '"&amp;C24&amp;"';"</f>
        <v>COMMENT ON COLUMN milscm_2023_010.azn_202310_base_merge_mml_fs_vitalsign.ward IS '病棟';</v>
      </c>
    </row>
    <row r="25" spans="1:45" s="25" customFormat="1" ht="37.5">
      <c r="A25" s="4"/>
      <c r="B25" s="21">
        <f t="shared" si="2"/>
        <v>13</v>
      </c>
      <c r="C25" s="13" t="s">
        <v>237</v>
      </c>
      <c r="D25" s="13" t="s">
        <v>238</v>
      </c>
      <c r="E25" s="7"/>
      <c r="F25" s="7" t="s">
        <v>863</v>
      </c>
      <c r="G25" s="7" t="str">
        <f t="shared" si="3"/>
        <v>text</v>
      </c>
      <c r="H25" s="58"/>
      <c r="I25" s="23"/>
      <c r="J25" s="24" t="s">
        <v>1704</v>
      </c>
      <c r="M25" s="4"/>
      <c r="N25" s="97"/>
      <c r="O25" s="97"/>
      <c r="P25" s="97" t="str">
        <f t="shared" si="4"/>
        <v>,ward_code</v>
      </c>
      <c r="Q25" s="97" t="str">
        <f t="shared" si="0"/>
        <v>TEXT</v>
      </c>
      <c r="R25" s="97" t="str">
        <f t="shared" si="1"/>
        <v/>
      </c>
      <c r="S25" s="97" t="str">
        <f t="shared" si="5"/>
        <v/>
      </c>
      <c r="T25" s="97" t="str">
        <f t="shared" si="6"/>
        <v>-- 病棟コード</v>
      </c>
      <c r="U25" s="4"/>
      <c r="AA25" s="4"/>
      <c r="AB25" s="4"/>
      <c r="AC25" s="4"/>
      <c r="AD25" s="4"/>
      <c r="AE25" s="4"/>
      <c r="AF25" s="4"/>
      <c r="AG25" s="4"/>
      <c r="AH25" s="4"/>
      <c r="AI25" s="4"/>
      <c r="AJ25" s="97" t="str">
        <f>IF(E25="○",IF(COUNTA(E$13:E25)=1,"",",")&amp;D25,"")</f>
        <v/>
      </c>
      <c r="AK25" s="4"/>
      <c r="AL25" s="4"/>
      <c r="AM25" s="4"/>
      <c r="AN25" s="4"/>
      <c r="AO25" s="4"/>
      <c r="AP25" s="4"/>
      <c r="AQ25" s="4"/>
      <c r="AR25" s="4"/>
      <c r="AS25" s="97" t="str">
        <f>"COMMENT ON COLUMN "&amp;エンティティ一覧!$O$2&amp;"."&amp;D$8&amp;"."&amp;D25&amp;" IS '"&amp;C25&amp;"';"</f>
        <v>COMMENT ON COLUMN milscm_2023_010.azn_202310_base_merge_mml_fs_vitalsign.ward_code IS '病棟コード';</v>
      </c>
    </row>
    <row r="26" spans="1:45" s="25" customFormat="1" ht="37.5">
      <c r="A26" s="4"/>
      <c r="B26" s="21">
        <f t="shared" si="2"/>
        <v>14</v>
      </c>
      <c r="C26" s="13" t="s">
        <v>1684</v>
      </c>
      <c r="D26" s="13" t="s">
        <v>1685</v>
      </c>
      <c r="E26" s="7"/>
      <c r="F26" s="7" t="s">
        <v>863</v>
      </c>
      <c r="G26" s="7" t="str">
        <f t="shared" si="3"/>
        <v>text</v>
      </c>
      <c r="H26" s="58"/>
      <c r="I26" s="23"/>
      <c r="J26" s="24" t="s">
        <v>1705</v>
      </c>
      <c r="M26" s="4"/>
      <c r="N26" s="97"/>
      <c r="O26" s="97"/>
      <c r="P26" s="97" t="str">
        <f t="shared" si="4"/>
        <v>,ward_code_id</v>
      </c>
      <c r="Q26" s="97" t="str">
        <f t="shared" si="0"/>
        <v>TEXT</v>
      </c>
      <c r="R26" s="97" t="str">
        <f t="shared" si="1"/>
        <v/>
      </c>
      <c r="S26" s="97" t="str">
        <f t="shared" si="5"/>
        <v/>
      </c>
      <c r="T26" s="97" t="str">
        <f t="shared" si="6"/>
        <v>-- 病棟コードID</v>
      </c>
      <c r="U26" s="4"/>
      <c r="AA26" s="4"/>
      <c r="AB26" s="4"/>
      <c r="AC26" s="4"/>
      <c r="AD26" s="4"/>
      <c r="AE26" s="4"/>
      <c r="AF26" s="4"/>
      <c r="AG26" s="4"/>
      <c r="AH26" s="4"/>
      <c r="AI26" s="4"/>
      <c r="AJ26" s="97" t="str">
        <f>IF(E26="○",IF(COUNTA(E$13:E26)=1,"",",")&amp;D26,"")</f>
        <v/>
      </c>
      <c r="AK26" s="4"/>
      <c r="AL26" s="4"/>
      <c r="AM26" s="4"/>
      <c r="AN26" s="4"/>
      <c r="AO26" s="4"/>
      <c r="AP26" s="4"/>
      <c r="AQ26" s="4"/>
      <c r="AR26" s="4"/>
      <c r="AS26" s="97" t="str">
        <f>"COMMENT ON COLUMN "&amp;エンティティ一覧!$O$2&amp;"."&amp;D$8&amp;"."&amp;D26&amp;" IS '"&amp;C26&amp;"';"</f>
        <v>COMMENT ON COLUMN milscm_2023_010.azn_202310_base_merge_mml_fs_vitalsign.ward_code_id IS '病棟コードID';</v>
      </c>
    </row>
    <row r="27" spans="1:45" s="25" customFormat="1">
      <c r="A27" s="4"/>
      <c r="B27" s="21">
        <f t="shared" si="2"/>
        <v>15</v>
      </c>
      <c r="C27" s="13" t="s">
        <v>1686</v>
      </c>
      <c r="D27" s="13" t="s">
        <v>1687</v>
      </c>
      <c r="E27" s="7"/>
      <c r="F27" s="7" t="s">
        <v>863</v>
      </c>
      <c r="G27" s="7" t="str">
        <f t="shared" si="3"/>
        <v>text</v>
      </c>
      <c r="H27" s="58"/>
      <c r="I27" s="23"/>
      <c r="J27" s="24" t="s">
        <v>1295</v>
      </c>
      <c r="M27" s="4"/>
      <c r="N27" s="97"/>
      <c r="O27" s="97"/>
      <c r="P27" s="97" t="str">
        <f t="shared" si="4"/>
        <v>,vital_sign_time</v>
      </c>
      <c r="Q27" s="97" t="str">
        <f t="shared" si="0"/>
        <v>TEXT</v>
      </c>
      <c r="R27" s="97" t="str">
        <f t="shared" si="1"/>
        <v/>
      </c>
      <c r="S27" s="97" t="str">
        <f t="shared" si="5"/>
        <v/>
      </c>
      <c r="T27" s="97" t="str">
        <f t="shared" si="6"/>
        <v>-- バイタルサインの計測時間</v>
      </c>
      <c r="U27" s="4"/>
      <c r="AA27" s="4"/>
      <c r="AB27" s="4"/>
      <c r="AC27" s="4"/>
      <c r="AD27" s="4"/>
      <c r="AE27" s="4"/>
      <c r="AF27" s="4"/>
      <c r="AG27" s="4"/>
      <c r="AH27" s="4"/>
      <c r="AI27" s="4"/>
      <c r="AJ27" s="97" t="str">
        <f>IF(E27="○",IF(COUNTA(E$13:E27)=1,"",",")&amp;D27,"")</f>
        <v/>
      </c>
      <c r="AK27" s="4"/>
      <c r="AL27" s="4"/>
      <c r="AM27" s="4"/>
      <c r="AN27" s="4"/>
      <c r="AO27" s="4"/>
      <c r="AP27" s="4"/>
      <c r="AQ27" s="4"/>
      <c r="AR27" s="4"/>
      <c r="AS27" s="97" t="str">
        <f>"COMMENT ON COLUMN "&amp;エンティティ一覧!$O$2&amp;"."&amp;D$8&amp;"."&amp;D27&amp;" IS '"&amp;C27&amp;"';"</f>
        <v>COMMENT ON COLUMN milscm_2023_010.azn_202310_base_merge_mml_fs_vitalsign.vital_sign_time IS 'バイタルサインの計測時間';</v>
      </c>
    </row>
    <row r="28" spans="1:45" s="25" customFormat="1">
      <c r="A28" s="4"/>
      <c r="B28" s="21">
        <f t="shared" si="2"/>
        <v>16</v>
      </c>
      <c r="C28" s="13" t="s">
        <v>1688</v>
      </c>
      <c r="D28" s="13" t="s">
        <v>1689</v>
      </c>
      <c r="E28" s="7"/>
      <c r="F28" s="7" t="s">
        <v>863</v>
      </c>
      <c r="G28" s="7" t="str">
        <f t="shared" si="3"/>
        <v>text</v>
      </c>
      <c r="H28" s="58"/>
      <c r="I28" s="23"/>
      <c r="J28" s="24" t="s">
        <v>1707</v>
      </c>
      <c r="M28" s="4"/>
      <c r="N28" s="97"/>
      <c r="O28" s="97"/>
      <c r="P28" s="97" t="str">
        <f t="shared" si="4"/>
        <v>,keisoku_tejun</v>
      </c>
      <c r="Q28" s="97" t="str">
        <f t="shared" si="0"/>
        <v>TEXT</v>
      </c>
      <c r="R28" s="97" t="str">
        <f t="shared" si="1"/>
        <v/>
      </c>
      <c r="S28" s="97" t="str">
        <f t="shared" si="5"/>
        <v/>
      </c>
      <c r="T28" s="97" t="str">
        <f t="shared" si="6"/>
        <v>-- 計測手順</v>
      </c>
      <c r="U28" s="4"/>
      <c r="AA28" s="4"/>
      <c r="AB28" s="4"/>
      <c r="AC28" s="4"/>
      <c r="AD28" s="4"/>
      <c r="AE28" s="4"/>
      <c r="AF28" s="4"/>
      <c r="AG28" s="4"/>
      <c r="AH28" s="4"/>
      <c r="AI28" s="4"/>
      <c r="AJ28" s="97" t="str">
        <f>IF(E28="○",IF(COUNTA(E$13:E28)=1,"",",")&amp;D28,"")</f>
        <v/>
      </c>
      <c r="AK28" s="4"/>
      <c r="AL28" s="4"/>
      <c r="AM28" s="4"/>
      <c r="AN28" s="4"/>
      <c r="AO28" s="4"/>
      <c r="AP28" s="4"/>
      <c r="AQ28" s="4"/>
      <c r="AR28" s="4"/>
      <c r="AS28" s="97" t="str">
        <f>"COMMENT ON COLUMN "&amp;エンティティ一覧!$O$2&amp;"."&amp;D$8&amp;"."&amp;D28&amp;" IS '"&amp;C28&amp;"';"</f>
        <v>COMMENT ON COLUMN milscm_2023_010.azn_202310_base_merge_mml_fs_vitalsign.keisoku_tejun IS '計測手順';</v>
      </c>
    </row>
    <row r="29" spans="1:45" s="25" customFormat="1">
      <c r="A29" s="4"/>
      <c r="B29" s="21">
        <f t="shared" si="2"/>
        <v>17</v>
      </c>
      <c r="C29" s="13" t="s">
        <v>1690</v>
      </c>
      <c r="D29" s="13" t="s">
        <v>1691</v>
      </c>
      <c r="E29" s="7"/>
      <c r="F29" s="7" t="s">
        <v>863</v>
      </c>
      <c r="G29" s="7" t="str">
        <f t="shared" si="3"/>
        <v>text</v>
      </c>
      <c r="H29" s="58"/>
      <c r="I29" s="23"/>
      <c r="J29" s="24" t="s">
        <v>1708</v>
      </c>
      <c r="M29" s="4"/>
      <c r="N29" s="97"/>
      <c r="O29" s="97"/>
      <c r="P29" s="97" t="str">
        <f t="shared" si="4"/>
        <v>,keisoku_device</v>
      </c>
      <c r="Q29" s="97" t="str">
        <f t="shared" si="0"/>
        <v>TEXT</v>
      </c>
      <c r="R29" s="97" t="str">
        <f t="shared" si="1"/>
        <v/>
      </c>
      <c r="S29" s="97" t="str">
        <f t="shared" si="5"/>
        <v/>
      </c>
      <c r="T29" s="97" t="str">
        <f t="shared" si="6"/>
        <v>-- 計測器具</v>
      </c>
      <c r="U29" s="4"/>
      <c r="AA29" s="4"/>
      <c r="AB29" s="4"/>
      <c r="AC29" s="4"/>
      <c r="AD29" s="4"/>
      <c r="AE29" s="4"/>
      <c r="AF29" s="4"/>
      <c r="AG29" s="4"/>
      <c r="AH29" s="4"/>
      <c r="AI29" s="4"/>
      <c r="AJ29" s="97" t="str">
        <f>IF(E29="○",IF(COUNTA(E$13:E29)=1,"",",")&amp;D29,"")</f>
        <v/>
      </c>
      <c r="AK29" s="4"/>
      <c r="AL29" s="4"/>
      <c r="AM29" s="4"/>
      <c r="AN29" s="4"/>
      <c r="AO29" s="4"/>
      <c r="AP29" s="4"/>
      <c r="AQ29" s="4"/>
      <c r="AR29" s="4"/>
      <c r="AS29" s="97" t="str">
        <f>"COMMENT ON COLUMN "&amp;エンティティ一覧!$O$2&amp;"."&amp;D$8&amp;"."&amp;D29&amp;" IS '"&amp;C29&amp;"';"</f>
        <v>COMMENT ON COLUMN milscm_2023_010.azn_202310_base_merge_mml_fs_vitalsign.keisoku_device IS '計測器具';</v>
      </c>
    </row>
    <row r="30" spans="1:45" s="25" customFormat="1">
      <c r="A30" s="4"/>
      <c r="B30" s="21">
        <f t="shared" si="2"/>
        <v>18</v>
      </c>
      <c r="C30" s="13" t="s">
        <v>1692</v>
      </c>
      <c r="D30" s="13" t="s">
        <v>1693</v>
      </c>
      <c r="E30" s="7"/>
      <c r="F30" s="7" t="s">
        <v>863</v>
      </c>
      <c r="G30" s="7" t="str">
        <f t="shared" si="3"/>
        <v>text</v>
      </c>
      <c r="H30" s="58"/>
      <c r="I30" s="23"/>
      <c r="J30" s="24" t="s">
        <v>1709</v>
      </c>
      <c r="M30" s="4"/>
      <c r="N30" s="97"/>
      <c r="O30" s="97"/>
      <c r="P30" s="97" t="str">
        <f t="shared" si="4"/>
        <v>,keisoku_bui</v>
      </c>
      <c r="Q30" s="97" t="str">
        <f t="shared" si="0"/>
        <v>TEXT</v>
      </c>
      <c r="R30" s="97" t="str">
        <f t="shared" si="1"/>
        <v/>
      </c>
      <c r="S30" s="97" t="str">
        <f t="shared" si="5"/>
        <v/>
      </c>
      <c r="T30" s="97" t="str">
        <f t="shared" si="6"/>
        <v>-- 計測部位</v>
      </c>
      <c r="U30" s="4"/>
      <c r="AA30" s="4"/>
      <c r="AB30" s="4"/>
      <c r="AC30" s="4"/>
      <c r="AD30" s="4"/>
      <c r="AE30" s="4"/>
      <c r="AF30" s="4"/>
      <c r="AG30" s="4"/>
      <c r="AH30" s="4"/>
      <c r="AI30" s="4"/>
      <c r="AJ30" s="97" t="str">
        <f>IF(E30="○",IF(COUNTA(E$13:E30)=1,"",",")&amp;D30,"")</f>
        <v/>
      </c>
      <c r="AK30" s="4"/>
      <c r="AL30" s="4"/>
      <c r="AM30" s="4"/>
      <c r="AN30" s="4"/>
      <c r="AO30" s="4"/>
      <c r="AP30" s="4"/>
      <c r="AQ30" s="4"/>
      <c r="AR30" s="4"/>
      <c r="AS30" s="97" t="str">
        <f>"COMMENT ON COLUMN "&amp;エンティティ一覧!$O$2&amp;"."&amp;D$8&amp;"."&amp;D30&amp;" IS '"&amp;C30&amp;"';"</f>
        <v>COMMENT ON COLUMN milscm_2023_010.azn_202310_base_merge_mml_fs_vitalsign.keisoku_bui IS '計測部位';</v>
      </c>
    </row>
    <row r="31" spans="1:45" s="25" customFormat="1">
      <c r="A31" s="4"/>
      <c r="B31" s="21">
        <f t="shared" si="2"/>
        <v>19</v>
      </c>
      <c r="C31" s="13" t="s">
        <v>1694</v>
      </c>
      <c r="D31" s="13" t="s">
        <v>1695</v>
      </c>
      <c r="E31" s="7"/>
      <c r="F31" s="7" t="s">
        <v>863</v>
      </c>
      <c r="G31" s="7" t="str">
        <f t="shared" si="3"/>
        <v>text</v>
      </c>
      <c r="H31" s="58"/>
      <c r="I31" s="23"/>
      <c r="J31" s="24" t="s">
        <v>1710</v>
      </c>
      <c r="M31" s="4"/>
      <c r="N31" s="97"/>
      <c r="O31" s="97"/>
      <c r="P31" s="97" t="str">
        <f t="shared" si="4"/>
        <v>,keisoku_position</v>
      </c>
      <c r="Q31" s="97" t="str">
        <f t="shared" si="0"/>
        <v>TEXT</v>
      </c>
      <c r="R31" s="97" t="str">
        <f t="shared" si="1"/>
        <v/>
      </c>
      <c r="S31" s="97" t="str">
        <f t="shared" si="5"/>
        <v/>
      </c>
      <c r="T31" s="97" t="str">
        <f t="shared" si="6"/>
        <v>-- 計測時体位</v>
      </c>
      <c r="U31" s="4"/>
      <c r="AA31" s="4"/>
      <c r="AB31" s="4"/>
      <c r="AC31" s="4"/>
      <c r="AD31" s="4"/>
      <c r="AE31" s="4"/>
      <c r="AF31" s="4"/>
      <c r="AG31" s="4"/>
      <c r="AH31" s="4"/>
      <c r="AI31" s="4"/>
      <c r="AJ31" s="97" t="str">
        <f>IF(E31="○",IF(COUNTA(E$13:E31)=1,"",",")&amp;D31,"")</f>
        <v/>
      </c>
      <c r="AK31" s="4"/>
      <c r="AL31" s="4"/>
      <c r="AM31" s="4"/>
      <c r="AN31" s="4"/>
      <c r="AO31" s="4"/>
      <c r="AP31" s="4"/>
      <c r="AQ31" s="4"/>
      <c r="AR31" s="4"/>
      <c r="AS31" s="97" t="str">
        <f>"COMMENT ON COLUMN "&amp;エンティティ一覧!$O$2&amp;"."&amp;D$8&amp;"."&amp;D31&amp;" IS '"&amp;C31&amp;"';"</f>
        <v>COMMENT ON COLUMN milscm_2023_010.azn_202310_base_merge_mml_fs_vitalsign.keisoku_position IS '計測時体位';</v>
      </c>
    </row>
    <row r="32" spans="1:45" s="25" customFormat="1" ht="31.5">
      <c r="A32" s="4"/>
      <c r="B32" s="21">
        <f t="shared" si="2"/>
        <v>20</v>
      </c>
      <c r="C32" s="13" t="s">
        <v>1696</v>
      </c>
      <c r="D32" s="13" t="s">
        <v>1697</v>
      </c>
      <c r="E32" s="7"/>
      <c r="F32" s="7" t="s">
        <v>863</v>
      </c>
      <c r="G32" s="7" t="str">
        <f t="shared" si="3"/>
        <v>text</v>
      </c>
      <c r="H32" s="58"/>
      <c r="I32" s="23"/>
      <c r="J32" s="24" t="s">
        <v>1711</v>
      </c>
      <c r="M32" s="4"/>
      <c r="N32" s="97"/>
      <c r="O32" s="97"/>
      <c r="P32" s="97" t="str">
        <f t="shared" si="4"/>
        <v>,keisoku_method_comment</v>
      </c>
      <c r="Q32" s="97" t="str">
        <f t="shared" si="0"/>
        <v>TEXT</v>
      </c>
      <c r="R32" s="97" t="str">
        <f t="shared" si="1"/>
        <v/>
      </c>
      <c r="S32" s="97" t="str">
        <f t="shared" si="5"/>
        <v/>
      </c>
      <c r="T32" s="97" t="str">
        <f t="shared" si="6"/>
        <v>-- 計測方法コメント</v>
      </c>
      <c r="U32" s="4"/>
      <c r="AA32" s="4"/>
      <c r="AB32" s="4"/>
      <c r="AC32" s="4"/>
      <c r="AD32" s="4"/>
      <c r="AE32" s="4"/>
      <c r="AF32" s="4"/>
      <c r="AG32" s="4"/>
      <c r="AH32" s="4"/>
      <c r="AI32" s="4"/>
      <c r="AJ32" s="97" t="str">
        <f>IF(E32="○",IF(COUNTA(E$13:E32)=1,"",",")&amp;D32,"")</f>
        <v/>
      </c>
      <c r="AK32" s="4"/>
      <c r="AL32" s="4"/>
      <c r="AM32" s="4"/>
      <c r="AN32" s="4"/>
      <c r="AO32" s="4"/>
      <c r="AP32" s="4"/>
      <c r="AQ32" s="4"/>
      <c r="AR32" s="4"/>
      <c r="AS32" s="97" t="str">
        <f>"COMMENT ON COLUMN "&amp;エンティティ一覧!$O$2&amp;"."&amp;D$8&amp;"."&amp;D32&amp;" IS '"&amp;C32&amp;"';"</f>
        <v>COMMENT ON COLUMN milscm_2023_010.azn_202310_base_merge_mml_fs_vitalsign.keisoku_method_comment IS '計測方法コメント';</v>
      </c>
    </row>
    <row r="33" spans="1:52" s="25" customFormat="1" ht="19.5" thickBot="1">
      <c r="A33" s="4"/>
      <c r="B33" s="27">
        <f>ROW()-12</f>
        <v>21</v>
      </c>
      <c r="C33" s="57" t="s">
        <v>1698</v>
      </c>
      <c r="D33" s="57" t="s">
        <v>1699</v>
      </c>
      <c r="E33" s="56"/>
      <c r="F33" s="56" t="s">
        <v>863</v>
      </c>
      <c r="G33" s="56" t="str">
        <f t="shared" si="3"/>
        <v>text</v>
      </c>
      <c r="H33" s="59"/>
      <c r="I33" s="60"/>
      <c r="J33" s="63" t="s">
        <v>1712</v>
      </c>
      <c r="N33" s="97"/>
      <c r="O33" s="97"/>
      <c r="P33" s="97" t="str">
        <f t="shared" si="4"/>
        <v>,kiroku_comment</v>
      </c>
      <c r="Q33" s="97" t="str">
        <f t="shared" si="0"/>
        <v>TEXT</v>
      </c>
      <c r="R33" s="97" t="str">
        <f t="shared" si="1"/>
        <v/>
      </c>
      <c r="S33" s="97" t="str">
        <f t="shared" si="5"/>
        <v/>
      </c>
      <c r="T33" s="97" t="str">
        <f t="shared" si="6"/>
        <v>-- 記録コメント</v>
      </c>
      <c r="U33" s="4"/>
      <c r="AA33" s="4"/>
      <c r="AB33" s="4"/>
      <c r="AC33" s="4"/>
      <c r="AD33" s="4"/>
      <c r="AE33" s="4"/>
      <c r="AF33" s="4"/>
      <c r="AG33" s="4"/>
      <c r="AH33" s="4"/>
      <c r="AI33" s="4"/>
      <c r="AJ33" s="97" t="str">
        <f>IF(E33="○",IF(COUNTA(E$13:E33)=1,"",",")&amp;D33,"")</f>
        <v/>
      </c>
      <c r="AK33" s="4"/>
      <c r="AL33" s="4"/>
      <c r="AM33" s="4"/>
      <c r="AN33" s="4"/>
      <c r="AO33" s="4"/>
      <c r="AP33" s="4"/>
      <c r="AQ33" s="4"/>
      <c r="AR33" s="4"/>
      <c r="AS33" s="97" t="str">
        <f>"COMMENT ON COLUMN "&amp;エンティティ一覧!$O$2&amp;"."&amp;D$8&amp;"."&amp;D33&amp;" IS '"&amp;C33&amp;"';"</f>
        <v>COMMENT ON COLUMN milscm_2023_010.azn_202310_base_merge_mml_fs_vitalsign.kiroku_comment IS '記録コメント';</v>
      </c>
    </row>
    <row r="34" spans="1:52">
      <c r="L34" s="25"/>
      <c r="M34" s="25"/>
      <c r="N34" s="97" t="s">
        <v>142</v>
      </c>
      <c r="O34" s="97"/>
      <c r="P34" s="97"/>
      <c r="Q34" s="97"/>
      <c r="R34" s="97"/>
      <c r="S34" s="97"/>
      <c r="T34" s="97"/>
      <c r="V34" s="25"/>
      <c r="W34" s="25"/>
      <c r="X34" s="25"/>
      <c r="Y34" s="25"/>
      <c r="Z34" s="25"/>
      <c r="AJ34" s="97"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31</v>
      </c>
      <c r="E4" s="248"/>
      <c r="F4" s="248"/>
      <c r="G4" s="248"/>
      <c r="H4" s="248"/>
      <c r="I4" s="248"/>
      <c r="J4" s="249"/>
    </row>
    <row r="5" spans="1:45">
      <c r="B5" s="261" t="s">
        <v>3704</v>
      </c>
      <c r="C5" s="262"/>
      <c r="D5" s="271" t="str">
        <f>VLOOKUP(D7,エンティティ一覧!A1:'エンティティ一覧'!AM10203,7,FALSE)</f>
        <v>base</v>
      </c>
      <c r="E5" s="272"/>
      <c r="F5" s="272"/>
      <c r="G5" s="272"/>
      <c r="H5" s="272"/>
      <c r="I5" s="272"/>
      <c r="J5" s="273"/>
    </row>
    <row r="6" spans="1:45">
      <c r="B6" s="261" t="s">
        <v>3705</v>
      </c>
      <c r="C6" s="262"/>
      <c r="D6" s="271" t="str">
        <f>VLOOKUP(D7,エンティティ一覧!A1:'エンティティ一覧'!AM10203,15,FALSE)</f>
        <v>ENT_31_C4-41</v>
      </c>
      <c r="E6" s="272"/>
      <c r="F6" s="272"/>
      <c r="G6" s="272"/>
      <c r="H6" s="272"/>
      <c r="I6" s="272"/>
      <c r="J6" s="273"/>
    </row>
    <row r="7" spans="1:45">
      <c r="B7" s="261" t="s">
        <v>115</v>
      </c>
      <c r="C7" s="262"/>
      <c r="D7" s="263" t="s">
        <v>4089</v>
      </c>
      <c r="E7" s="264"/>
      <c r="F7" s="264"/>
      <c r="G7" s="264"/>
      <c r="H7" s="264"/>
      <c r="I7" s="264"/>
      <c r="J7" s="265"/>
    </row>
    <row r="8" spans="1:45">
      <c r="B8" s="261" t="s">
        <v>116</v>
      </c>
      <c r="C8" s="262"/>
      <c r="D8" s="263" t="str">
        <f>エンティティ一覧!AE2&amp;"_"&amp;D5&amp;"_merge_mml_fs_item"</f>
        <v>azn_202310_base_merge_mml_fs_item</v>
      </c>
      <c r="E8" s="264"/>
      <c r="F8" s="264"/>
      <c r="G8" s="264"/>
      <c r="H8" s="264"/>
      <c r="I8" s="264"/>
      <c r="J8" s="265"/>
    </row>
    <row r="9" spans="1:45" ht="19.5" customHeight="1" thickBot="1">
      <c r="B9" s="266" t="s">
        <v>117</v>
      </c>
      <c r="C9" s="267"/>
      <c r="D9" s="268" t="str">
        <f>"バックアップ_"&amp;SUBSTITUTE(D7,"ベース_","")&amp;"テーブルから対象患者で絞り込んだ結果を格納するテーブル"</f>
        <v>バックアップ_体温表モジュール_記録項目テーブルから対象患者で絞り込んだ結果を格納するテーブル</v>
      </c>
      <c r="E9" s="269"/>
      <c r="F9" s="269"/>
      <c r="G9" s="269"/>
      <c r="H9" s="269"/>
      <c r="I9" s="269"/>
      <c r="J9" s="270"/>
    </row>
    <row r="10" spans="1:45">
      <c r="B10" s="19"/>
      <c r="C10" s="19"/>
      <c r="D10" s="5"/>
      <c r="E10" s="5"/>
      <c r="F10" s="5"/>
      <c r="G10" s="5"/>
      <c r="H10" s="5"/>
      <c r="I10" s="5"/>
      <c r="J10" s="18"/>
      <c r="N10" s="97" t="str">
        <f>"--DROP TABLE  "&amp;エンティティ一覧!$O$2&amp;"."&amp;D$8&amp;";"</f>
        <v>--DROP TABLE  milscm_2023_010.azn_202310_base_merge_mml_fs_item;</v>
      </c>
      <c r="O10" s="97"/>
      <c r="P10" s="97"/>
      <c r="Q10" s="97"/>
      <c r="R10" s="97"/>
      <c r="S10" s="97"/>
      <c r="T10" s="97"/>
      <c r="AJ10" s="97" t="str">
        <f>"ALTER TABLE ONLY "&amp;エンティティ一覧!$O$2&amp;"."&amp;D$8</f>
        <v>ALTER TABLE ONLY milscm_2023_010.azn_202310_base_merge_mml_fs_item</v>
      </c>
      <c r="AS10" s="97" t="str">
        <f>"ALTER TABLE "&amp;エンティティ一覧!$O$2&amp;"."&amp;D$8&amp;" OWNER TO pgmisgrp1;"</f>
        <v>ALTER TABLE milscm_2023_010.azn_202310_base_merge_mml_fs_item OWNER TO pgmisgrp1;</v>
      </c>
    </row>
    <row r="11" spans="1:45" ht="19.5" thickBot="1">
      <c r="B11" s="20" t="s">
        <v>118</v>
      </c>
      <c r="C11" s="19"/>
      <c r="D11" s="5"/>
      <c r="E11" s="5"/>
      <c r="F11" s="5"/>
      <c r="G11" s="5"/>
      <c r="H11" s="5"/>
      <c r="I11" s="5"/>
      <c r="J11" s="18"/>
      <c r="N11" s="97" t="str">
        <f>"CREATE TABLE  "&amp;エンティティ一覧!$O$2&amp;"."&amp;D$8</f>
        <v>CREATE TABLE  milscm_2023_010.azn_202310_base_merge_mml_fs_item</v>
      </c>
      <c r="O11" s="97"/>
      <c r="P11" s="97"/>
      <c r="Q11" s="97"/>
      <c r="R11" s="97"/>
      <c r="S11" s="97"/>
      <c r="T11" s="97"/>
      <c r="AJ11" s="97" t="str">
        <f>"ADD CONSTRAINT "&amp;D$8&amp;"_pkey PRIMARY KEY"</f>
        <v>ADD CONSTRAINT azn_202310_base_merge_mml_fs_item_pkey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milscm_2023_010.azn_202310_base_merge_mml_fs_item IS 'ベース_体温表モジュール_記録項目';</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97"/>
      <c r="O13" s="97"/>
      <c r="P13" s="97" t="str">
        <f>IF(B13&lt;&gt;1,","&amp;D13,D13)</f>
        <v>torikomi_ym</v>
      </c>
      <c r="Q13" s="97" t="str">
        <f t="shared" ref="Q13:Q26" si="0">UPPER(G13)</f>
        <v>TEXT</v>
      </c>
      <c r="R13" s="97" t="str">
        <f t="shared" ref="R13:R26" si="1">IF(H13&lt;&gt;"","default "&amp;IF(G13="text","'"&amp;H13&amp;"'",H13),"")</f>
        <v/>
      </c>
      <c r="S13" s="97" t="str">
        <f>IF(I13="○","NOT NULL","")</f>
        <v>NOT NULL</v>
      </c>
      <c r="T13" s="97" t="str">
        <f>"-- "&amp;C13</f>
        <v>-- 取込年月</v>
      </c>
      <c r="U13" s="4"/>
      <c r="AA13" s="4"/>
      <c r="AB13" s="4"/>
      <c r="AC13" s="4"/>
      <c r="AD13" s="4"/>
      <c r="AE13" s="4"/>
      <c r="AF13" s="4"/>
      <c r="AG13" s="4"/>
      <c r="AH13" s="4"/>
      <c r="AI13" s="4"/>
      <c r="AJ13" s="97" t="str">
        <f>IF(E13="○",IF(COUNTA(E$13:E13)=1,"",",")&amp;D13,"")</f>
        <v/>
      </c>
      <c r="AK13" s="4"/>
      <c r="AL13" s="4"/>
      <c r="AM13" s="4"/>
      <c r="AN13" s="4"/>
      <c r="AO13" s="4"/>
      <c r="AP13" s="4"/>
      <c r="AQ13" s="4"/>
      <c r="AR13" s="4"/>
      <c r="AS13" s="97" t="str">
        <f>"COMMENT ON COLUMN "&amp;エンティティ一覧!$O$2&amp;"."&amp;D$8&amp;"."&amp;D13&amp;" IS '"&amp;C13&amp;"';"</f>
        <v>COMMENT ON COLUMN milscm_2023_010.azn_202310_base_merge_mml_fs_item.torikomi_ym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1280</v>
      </c>
      <c r="M14" s="4"/>
      <c r="N14" s="97"/>
      <c r="O14" s="97"/>
      <c r="P14" s="97" t="str">
        <f t="shared" ref="P14:P26" si="4">IF(B14&lt;&gt;1,","&amp;D14,D14)</f>
        <v>,mil_karute_id</v>
      </c>
      <c r="Q14" s="97" t="str">
        <f t="shared" si="0"/>
        <v>INTEGER</v>
      </c>
      <c r="R14" s="97" t="str">
        <f t="shared" si="1"/>
        <v/>
      </c>
      <c r="S14" s="97" t="str">
        <f>IF(I14="○","NOT NULL","")</f>
        <v/>
      </c>
      <c r="T14" s="97" t="str">
        <f>"-- "&amp;C14</f>
        <v>-- 千年カルテID</v>
      </c>
      <c r="U14" s="4"/>
      <c r="AA14" s="4"/>
      <c r="AB14" s="4"/>
      <c r="AC14" s="4"/>
      <c r="AD14" s="4"/>
      <c r="AE14" s="4"/>
      <c r="AF14" s="4"/>
      <c r="AG14" s="4"/>
      <c r="AH14" s="4"/>
      <c r="AI14" s="4"/>
      <c r="AJ14" s="97" t="str">
        <f>IF(E14="○",IF(COUNTA(E$13:E14)=1,"",",")&amp;D14,"")</f>
        <v/>
      </c>
      <c r="AK14" s="4"/>
      <c r="AL14" s="4"/>
      <c r="AM14" s="4"/>
      <c r="AN14" s="4"/>
      <c r="AO14" s="4"/>
      <c r="AP14" s="4"/>
      <c r="AQ14" s="4"/>
      <c r="AR14" s="4"/>
      <c r="AS14" s="97" t="str">
        <f>"COMMENT ON COLUMN "&amp;エンティティ一覧!$O$2&amp;"."&amp;D$8&amp;"."&amp;D14&amp;" IS '"&amp;C14&amp;"';"</f>
        <v>COMMENT ON COLUMN milscm_2023_010.azn_202310_base_merge_mml_fs_item.mil_karute_id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1281</v>
      </c>
      <c r="M15" s="4"/>
      <c r="N15" s="97"/>
      <c r="O15" s="97"/>
      <c r="P15" s="97" t="str">
        <f t="shared" si="4"/>
        <v>,facility_id</v>
      </c>
      <c r="Q15" s="97" t="str">
        <f t="shared" si="0"/>
        <v>TEXT</v>
      </c>
      <c r="R15" s="97" t="str">
        <f t="shared" si="1"/>
        <v/>
      </c>
      <c r="S15" s="97" t="str">
        <f t="shared" ref="S15:S26" si="5">IF(I15="○","NOT NULL","")</f>
        <v>NOT NULL</v>
      </c>
      <c r="T15" s="97" t="str">
        <f t="shared" ref="T15:T26" si="6">"-- "&amp;C15</f>
        <v>-- 施設ID</v>
      </c>
      <c r="U15" s="4"/>
      <c r="AA15" s="4"/>
      <c r="AB15" s="4"/>
      <c r="AC15" s="4"/>
      <c r="AD15" s="4"/>
      <c r="AE15" s="4"/>
      <c r="AF15" s="4"/>
      <c r="AG15" s="4"/>
      <c r="AH15" s="4"/>
      <c r="AI15" s="4"/>
      <c r="AJ15" s="97" t="str">
        <f>IF(E15="○",IF(COUNTA(E$13:E15)=1,"",",")&amp;D15,"")</f>
        <v>facility_id</v>
      </c>
      <c r="AK15" s="4"/>
      <c r="AL15" s="4"/>
      <c r="AM15" s="4"/>
      <c r="AN15" s="4"/>
      <c r="AO15" s="4"/>
      <c r="AP15" s="4"/>
      <c r="AQ15" s="4"/>
      <c r="AR15" s="4"/>
      <c r="AS15" s="97" t="str">
        <f>"COMMENT ON COLUMN "&amp;エンティティ一覧!$O$2&amp;"."&amp;D$8&amp;"."&amp;D15&amp;" IS '"&amp;C15&amp;"';"</f>
        <v>COMMENT ON COLUMN milscm_2023_010.azn_202310_base_merge_mml_fs_item.facility_id IS '施設ID';</v>
      </c>
    </row>
    <row r="16" spans="1:45" s="25" customFormat="1" ht="75">
      <c r="A16" s="4"/>
      <c r="B16" s="21">
        <f t="shared" si="2"/>
        <v>4</v>
      </c>
      <c r="C16" s="13" t="s">
        <v>1240</v>
      </c>
      <c r="D16" s="13" t="s">
        <v>1241</v>
      </c>
      <c r="E16" s="7"/>
      <c r="F16" s="7" t="s">
        <v>863</v>
      </c>
      <c r="G16" s="7" t="str">
        <f t="shared" si="3"/>
        <v>text</v>
      </c>
      <c r="H16" s="58"/>
      <c r="I16" s="23" t="s">
        <v>127</v>
      </c>
      <c r="J16" s="24" t="s">
        <v>1309</v>
      </c>
      <c r="M16" s="4"/>
      <c r="N16" s="97"/>
      <c r="O16" s="97"/>
      <c r="P16" s="97" t="str">
        <f t="shared" si="4"/>
        <v>,shinryo_ymd</v>
      </c>
      <c r="Q16" s="97" t="str">
        <f t="shared" si="0"/>
        <v>TEXT</v>
      </c>
      <c r="R16" s="97" t="str">
        <f t="shared" si="1"/>
        <v/>
      </c>
      <c r="S16" s="97" t="str">
        <f t="shared" si="5"/>
        <v>NOT NULL</v>
      </c>
      <c r="T16" s="97" t="str">
        <f t="shared" si="6"/>
        <v>-- 診療年月日</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"&amp;エンティティ一覧!$O$2&amp;"."&amp;D$8&amp;"."&amp;D16&amp;" IS '"&amp;C16&amp;"';"</f>
        <v>COMMENT ON COLUMN milscm_2023_010.azn_202310_base_merge_mml_fs_item.shinryo_ymd IS '診療年月日';</v>
      </c>
    </row>
    <row r="17" spans="1:52" s="25" customFormat="1">
      <c r="A17" s="4"/>
      <c r="B17" s="21">
        <f t="shared" si="2"/>
        <v>5</v>
      </c>
      <c r="C17" s="13" t="s">
        <v>1298</v>
      </c>
      <c r="D17" s="13" t="s">
        <v>207</v>
      </c>
      <c r="E17" s="7"/>
      <c r="F17" s="7" t="s">
        <v>863</v>
      </c>
      <c r="G17" s="7" t="str">
        <f t="shared" si="3"/>
        <v>text</v>
      </c>
      <c r="H17" s="58" t="s">
        <v>1283</v>
      </c>
      <c r="I17" s="23" t="s">
        <v>127</v>
      </c>
      <c r="J17" s="24" t="s">
        <v>1284</v>
      </c>
      <c r="M17" s="4"/>
      <c r="N17" s="97"/>
      <c r="O17" s="97"/>
      <c r="P17" s="97" t="str">
        <f t="shared" si="4"/>
        <v>,data_type</v>
      </c>
      <c r="Q17" s="97" t="str">
        <f t="shared" si="0"/>
        <v>TEXT</v>
      </c>
      <c r="R17" s="97" t="str">
        <f t="shared" si="1"/>
        <v>default 'MML'</v>
      </c>
      <c r="S17" s="97" t="str">
        <f t="shared" si="5"/>
        <v>NOT NULL</v>
      </c>
      <c r="T17" s="97" t="str">
        <f t="shared" si="6"/>
        <v>-- データ種別</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milscm_2023_010.azn_202310_base_merge_mml_fs_item.data_type IS 'データ種別';</v>
      </c>
    </row>
    <row r="18" spans="1:52" s="25" customFormat="1" ht="37.5">
      <c r="A18" s="4"/>
      <c r="B18" s="21">
        <f t="shared" si="2"/>
        <v>6</v>
      </c>
      <c r="C18" s="13" t="s">
        <v>1243</v>
      </c>
      <c r="D18" s="13" t="s">
        <v>1244</v>
      </c>
      <c r="E18" s="7" t="s">
        <v>127</v>
      </c>
      <c r="F18" s="7" t="s">
        <v>863</v>
      </c>
      <c r="G18" s="7" t="str">
        <f t="shared" si="3"/>
        <v>text</v>
      </c>
      <c r="H18" s="58"/>
      <c r="I18" s="23" t="s">
        <v>127</v>
      </c>
      <c r="J18" s="24" t="s">
        <v>1285</v>
      </c>
      <c r="M18" s="4"/>
      <c r="N18" s="97"/>
      <c r="O18" s="97"/>
      <c r="P18" s="97" t="str">
        <f t="shared" si="4"/>
        <v>,master_id</v>
      </c>
      <c r="Q18" s="97" t="str">
        <f t="shared" si="0"/>
        <v>TEXT</v>
      </c>
      <c r="R18" s="97" t="str">
        <f t="shared" si="1"/>
        <v/>
      </c>
      <c r="S18" s="97" t="str">
        <f t="shared" si="5"/>
        <v>NOT NULL</v>
      </c>
      <c r="T18" s="97" t="str">
        <f t="shared" si="6"/>
        <v>-- 患者ID</v>
      </c>
      <c r="U18" s="4"/>
      <c r="AA18" s="4"/>
      <c r="AB18" s="4"/>
      <c r="AC18" s="4"/>
      <c r="AD18" s="4"/>
      <c r="AE18" s="4"/>
      <c r="AF18" s="4"/>
      <c r="AG18" s="4"/>
      <c r="AH18" s="4"/>
      <c r="AI18" s="4"/>
      <c r="AJ18" s="97" t="str">
        <f>IF(E18="○",IF(COUNTA(E$13:E18)=1,"",",")&amp;D18,"")</f>
        <v>,master_id</v>
      </c>
      <c r="AK18" s="4"/>
      <c r="AL18" s="4"/>
      <c r="AM18" s="4"/>
      <c r="AN18" s="4"/>
      <c r="AO18" s="4"/>
      <c r="AP18" s="4"/>
      <c r="AQ18" s="4"/>
      <c r="AR18" s="4"/>
      <c r="AS18" s="97" t="str">
        <f>"COMMENT ON COLUMN "&amp;エンティティ一覧!$O$2&amp;"."&amp;D$8&amp;"."&amp;D18&amp;" IS '"&amp;C18&amp;"';"</f>
        <v>COMMENT ON COLUMN milscm_2023_010.azn_202310_base_merge_mml_fs_item.master_id IS '患者ID';</v>
      </c>
    </row>
    <row r="19" spans="1:52" s="25" customFormat="1" ht="37.5">
      <c r="A19" s="4"/>
      <c r="B19" s="21">
        <f t="shared" si="2"/>
        <v>7</v>
      </c>
      <c r="C19" s="13" t="s">
        <v>1245</v>
      </c>
      <c r="D19" s="13" t="s">
        <v>1246</v>
      </c>
      <c r="E19" s="7" t="s">
        <v>127</v>
      </c>
      <c r="F19" s="7" t="s">
        <v>863</v>
      </c>
      <c r="G19" s="7" t="str">
        <f t="shared" si="3"/>
        <v>text</v>
      </c>
      <c r="H19" s="58"/>
      <c r="I19" s="23" t="s">
        <v>127</v>
      </c>
      <c r="J19" s="24" t="s">
        <v>1286</v>
      </c>
      <c r="M19" s="4"/>
      <c r="N19" s="97"/>
      <c r="O19" s="97"/>
      <c r="P19" s="97" t="str">
        <f t="shared" si="4"/>
        <v>,uid</v>
      </c>
      <c r="Q19" s="97" t="str">
        <f t="shared" si="0"/>
        <v>TEXT</v>
      </c>
      <c r="R19" s="97" t="str">
        <f t="shared" si="1"/>
        <v/>
      </c>
      <c r="S19" s="97" t="str">
        <f t="shared" si="5"/>
        <v>NOT NULL</v>
      </c>
      <c r="T19" s="97" t="str">
        <f t="shared" si="6"/>
        <v>-- 文書ユニークID</v>
      </c>
      <c r="U19" s="4"/>
      <c r="AA19" s="4"/>
      <c r="AB19" s="4"/>
      <c r="AC19" s="4"/>
      <c r="AD19" s="4"/>
      <c r="AE19" s="4"/>
      <c r="AF19" s="4"/>
      <c r="AG19" s="4"/>
      <c r="AH19" s="4"/>
      <c r="AI19" s="4"/>
      <c r="AJ19" s="97" t="str">
        <f>IF(E19="○",IF(COUNTA(E$13:E19)=1,"",",")&amp;D19,"")</f>
        <v>,uid</v>
      </c>
      <c r="AK19" s="4"/>
      <c r="AL19" s="4"/>
      <c r="AM19" s="4"/>
      <c r="AN19" s="4"/>
      <c r="AO19" s="4"/>
      <c r="AP19" s="4"/>
      <c r="AQ19" s="4"/>
      <c r="AR19" s="4"/>
      <c r="AS19" s="97" t="str">
        <f>"COMMENT ON COLUMN "&amp;エンティティ一覧!$O$2&amp;"."&amp;D$8&amp;"."&amp;D19&amp;" IS '"&amp;C19&amp;"';"</f>
        <v>COMMENT ON COLUMN milscm_2023_010.azn_202310_base_merge_mml_fs_item.uid IS '文書ユニークID';</v>
      </c>
    </row>
    <row r="20" spans="1:52" s="25" customFormat="1">
      <c r="A20" s="4"/>
      <c r="B20" s="21">
        <f t="shared" si="2"/>
        <v>8</v>
      </c>
      <c r="C20" s="13" t="s">
        <v>1728</v>
      </c>
      <c r="D20" s="13" t="s">
        <v>1729</v>
      </c>
      <c r="E20" s="7" t="s">
        <v>127</v>
      </c>
      <c r="F20" s="7" t="s">
        <v>203</v>
      </c>
      <c r="G20" s="7" t="str">
        <f t="shared" si="3"/>
        <v>integer</v>
      </c>
      <c r="H20" s="58"/>
      <c r="I20" s="23" t="s">
        <v>127</v>
      </c>
      <c r="J20" s="24" t="s">
        <v>1730</v>
      </c>
      <c r="M20" s="4"/>
      <c r="N20" s="97"/>
      <c r="O20" s="97"/>
      <c r="P20" s="97" t="str">
        <f t="shared" si="4"/>
        <v>,taionhyo_seq</v>
      </c>
      <c r="Q20" s="97" t="str">
        <f t="shared" si="0"/>
        <v>INTEGER</v>
      </c>
      <c r="R20" s="97" t="str">
        <f t="shared" si="1"/>
        <v/>
      </c>
      <c r="S20" s="97" t="str">
        <f t="shared" si="5"/>
        <v>NOT NULL</v>
      </c>
      <c r="T20" s="97" t="str">
        <f t="shared" si="6"/>
        <v>-- 体温表SEQ</v>
      </c>
      <c r="U20" s="4"/>
      <c r="AA20" s="4"/>
      <c r="AB20" s="4"/>
      <c r="AC20" s="4"/>
      <c r="AD20" s="4"/>
      <c r="AE20" s="4"/>
      <c r="AF20" s="4"/>
      <c r="AG20" s="4"/>
      <c r="AH20" s="4"/>
      <c r="AI20" s="4"/>
      <c r="AJ20" s="97" t="str">
        <f>IF(E20="○",IF(COUNTA(E$13:E20)=1,"",",")&amp;D20,"")</f>
        <v>,taionhyo_seq</v>
      </c>
      <c r="AK20" s="4"/>
      <c r="AL20" s="4"/>
      <c r="AM20" s="4"/>
      <c r="AN20" s="4"/>
      <c r="AO20" s="4"/>
      <c r="AP20" s="4"/>
      <c r="AQ20" s="4"/>
      <c r="AR20" s="4"/>
      <c r="AS20" s="97" t="str">
        <f>"COMMENT ON COLUMN "&amp;エンティティ一覧!$O$2&amp;"."&amp;D$8&amp;"."&amp;D20&amp;" IS '"&amp;C20&amp;"';"</f>
        <v>COMMENT ON COLUMN milscm_2023_010.azn_202310_base_merge_mml_fs_item.taionhyo_seq IS '体温表SEQ';</v>
      </c>
    </row>
    <row r="21" spans="1:52" s="25" customFormat="1">
      <c r="A21" s="4"/>
      <c r="B21" s="21">
        <f t="shared" si="2"/>
        <v>9</v>
      </c>
      <c r="C21" s="13" t="s">
        <v>1677</v>
      </c>
      <c r="D21" s="13" t="s">
        <v>1678</v>
      </c>
      <c r="E21" s="7" t="s">
        <v>127</v>
      </c>
      <c r="F21" s="7" t="s">
        <v>203</v>
      </c>
      <c r="G21" s="7" t="str">
        <f t="shared" si="3"/>
        <v>integer</v>
      </c>
      <c r="H21" s="58"/>
      <c r="I21" s="23" t="s">
        <v>127</v>
      </c>
      <c r="J21" s="24" t="s">
        <v>1700</v>
      </c>
      <c r="M21" s="4"/>
      <c r="N21" s="97"/>
      <c r="O21" s="97"/>
      <c r="P21" s="97" t="str">
        <f t="shared" si="4"/>
        <v>,vital_seq</v>
      </c>
      <c r="Q21" s="97" t="str">
        <f t="shared" si="0"/>
        <v>INTEGER</v>
      </c>
      <c r="R21" s="97" t="str">
        <f t="shared" si="1"/>
        <v/>
      </c>
      <c r="S21" s="97" t="str">
        <f t="shared" si="5"/>
        <v>NOT NULL</v>
      </c>
      <c r="T21" s="97" t="str">
        <f t="shared" si="6"/>
        <v>-- バイタルSEQ</v>
      </c>
      <c r="U21" s="4"/>
      <c r="AA21" s="4"/>
      <c r="AB21" s="4"/>
      <c r="AC21" s="4"/>
      <c r="AD21" s="4"/>
      <c r="AE21" s="4"/>
      <c r="AF21" s="4"/>
      <c r="AG21" s="4"/>
      <c r="AH21" s="4"/>
      <c r="AI21" s="4"/>
      <c r="AJ21" s="97" t="str">
        <f>IF(E21="○",IF(COUNTA(E$13:E21)=1,"",",")&amp;D21,"")</f>
        <v>,vital_seq</v>
      </c>
      <c r="AK21" s="4"/>
      <c r="AL21" s="4"/>
      <c r="AM21" s="4"/>
      <c r="AN21" s="4"/>
      <c r="AO21" s="4"/>
      <c r="AP21" s="4"/>
      <c r="AQ21" s="4"/>
      <c r="AR21" s="4"/>
      <c r="AS21" s="97" t="str">
        <f>"COMMENT ON COLUMN "&amp;エンティティ一覧!$O$2&amp;"."&amp;D$8&amp;"."&amp;D21&amp;" IS '"&amp;C21&amp;"';"</f>
        <v>COMMENT ON COLUMN milscm_2023_010.azn_202310_base_merge_mml_fs_item.vital_seq IS 'バイタルSEQ';</v>
      </c>
    </row>
    <row r="22" spans="1:52" s="25" customFormat="1">
      <c r="A22" s="4"/>
      <c r="B22" s="21">
        <f t="shared" si="2"/>
        <v>10</v>
      </c>
      <c r="C22" s="13" t="s">
        <v>1732</v>
      </c>
      <c r="D22" s="13" t="s">
        <v>1715</v>
      </c>
      <c r="E22" s="7" t="s">
        <v>127</v>
      </c>
      <c r="F22" s="7" t="s">
        <v>203</v>
      </c>
      <c r="G22" s="7" t="str">
        <f t="shared" si="3"/>
        <v>integer</v>
      </c>
      <c r="H22" s="58"/>
      <c r="I22" s="23" t="s">
        <v>127</v>
      </c>
      <c r="J22" s="24"/>
      <c r="M22" s="4"/>
      <c r="N22" s="97"/>
      <c r="O22" s="97"/>
      <c r="P22" s="97" t="str">
        <f t="shared" si="4"/>
        <v>,item_seq</v>
      </c>
      <c r="Q22" s="97" t="str">
        <f t="shared" si="0"/>
        <v>INTEGER</v>
      </c>
      <c r="R22" s="97" t="str">
        <f t="shared" si="1"/>
        <v/>
      </c>
      <c r="S22" s="97" t="str">
        <f t="shared" si="5"/>
        <v>NOT NULL</v>
      </c>
      <c r="T22" s="97" t="str">
        <f t="shared" si="6"/>
        <v>-- 項目SEQ</v>
      </c>
      <c r="U22" s="4"/>
      <c r="AA22" s="4"/>
      <c r="AB22" s="4"/>
      <c r="AC22" s="4"/>
      <c r="AD22" s="4"/>
      <c r="AE22" s="4"/>
      <c r="AF22" s="4"/>
      <c r="AG22" s="4"/>
      <c r="AH22" s="4"/>
      <c r="AI22" s="4"/>
      <c r="AJ22" s="97" t="str">
        <f>IF(E22="○",IF(COUNTA(E$13:E22)=1,"",",")&amp;D22,"")</f>
        <v>,item_seq</v>
      </c>
      <c r="AK22" s="4"/>
      <c r="AL22" s="4"/>
      <c r="AM22" s="4"/>
      <c r="AN22" s="4"/>
      <c r="AO22" s="4"/>
      <c r="AP22" s="4"/>
      <c r="AQ22" s="4"/>
      <c r="AR22" s="4"/>
      <c r="AS22" s="97" t="str">
        <f>"COMMENT ON COLUMN "&amp;エンティティ一覧!$O$2&amp;"."&amp;D$8&amp;"."&amp;D22&amp;" IS '"&amp;C22&amp;"';"</f>
        <v>COMMENT ON COLUMN milscm_2023_010.azn_202310_base_merge_mml_fs_item.item_seq IS '項目SEQ';</v>
      </c>
    </row>
    <row r="23" spans="1:52" s="25" customFormat="1">
      <c r="A23" s="4"/>
      <c r="B23" s="21">
        <f t="shared" si="2"/>
        <v>11</v>
      </c>
      <c r="C23" s="13" t="s">
        <v>1621</v>
      </c>
      <c r="D23" s="13" t="s">
        <v>1622</v>
      </c>
      <c r="E23" s="7"/>
      <c r="F23" s="7" t="s">
        <v>863</v>
      </c>
      <c r="G23" s="7" t="str">
        <f t="shared" si="3"/>
        <v>text</v>
      </c>
      <c r="H23" s="58"/>
      <c r="I23" s="23"/>
      <c r="J23" s="24"/>
      <c r="M23" s="4"/>
      <c r="N23" s="97"/>
      <c r="O23" s="97"/>
      <c r="P23" s="97" t="str">
        <f t="shared" si="4"/>
        <v>,item_name</v>
      </c>
      <c r="Q23" s="97" t="str">
        <f t="shared" si="0"/>
        <v>TEXT</v>
      </c>
      <c r="R23" s="97" t="str">
        <f t="shared" si="1"/>
        <v/>
      </c>
      <c r="S23" s="97" t="str">
        <f t="shared" si="5"/>
        <v/>
      </c>
      <c r="T23" s="97" t="str">
        <f t="shared" si="6"/>
        <v>-- 項目名</v>
      </c>
      <c r="U23" s="4"/>
      <c r="AA23" s="4"/>
      <c r="AB23" s="4"/>
      <c r="AC23" s="4"/>
      <c r="AD23" s="4"/>
      <c r="AE23" s="4"/>
      <c r="AF23" s="4"/>
      <c r="AG23" s="4"/>
      <c r="AH23" s="4"/>
      <c r="AI23" s="4"/>
      <c r="AJ23" s="97" t="str">
        <f>IF(E23="○",IF(COUNTA(E$13:E23)=1,"",",")&amp;D23,"")</f>
        <v/>
      </c>
      <c r="AK23" s="4"/>
      <c r="AL23" s="4"/>
      <c r="AM23" s="4"/>
      <c r="AN23" s="4"/>
      <c r="AO23" s="4"/>
      <c r="AP23" s="4"/>
      <c r="AQ23" s="4"/>
      <c r="AR23" s="4"/>
      <c r="AS23" s="97" t="str">
        <f>"COMMENT ON COLUMN "&amp;エンティティ一覧!$O$2&amp;"."&amp;D$8&amp;"."&amp;D23&amp;" IS '"&amp;C23&amp;"';"</f>
        <v>COMMENT ON COLUMN milscm_2023_010.azn_202310_base_merge_mml_fs_item.item_name IS '項目名';</v>
      </c>
    </row>
    <row r="24" spans="1:52" s="25" customFormat="1" ht="31.5">
      <c r="A24" s="4"/>
      <c r="B24" s="21">
        <f t="shared" si="2"/>
        <v>12</v>
      </c>
      <c r="C24" s="13" t="s">
        <v>1716</v>
      </c>
      <c r="D24" s="13" t="s">
        <v>1717</v>
      </c>
      <c r="E24" s="7"/>
      <c r="F24" s="7" t="s">
        <v>863</v>
      </c>
      <c r="G24" s="7" t="str">
        <f t="shared" si="3"/>
        <v>text</v>
      </c>
      <c r="H24" s="58"/>
      <c r="I24" s="23"/>
      <c r="J24" s="24"/>
      <c r="M24" s="4"/>
      <c r="N24" s="97"/>
      <c r="O24" s="97"/>
      <c r="P24" s="97" t="str">
        <f t="shared" si="4"/>
        <v>,vital_sign_value</v>
      </c>
      <c r="Q24" s="97" t="str">
        <f t="shared" si="0"/>
        <v>TEXT</v>
      </c>
      <c r="R24" s="97" t="str">
        <f t="shared" si="1"/>
        <v/>
      </c>
      <c r="S24" s="97" t="str">
        <f t="shared" si="5"/>
        <v/>
      </c>
      <c r="T24" s="97" t="str">
        <f t="shared" si="6"/>
        <v>-- 文字列で表記されるバイタルサインの値</v>
      </c>
      <c r="U24" s="4"/>
      <c r="AA24" s="4"/>
      <c r="AB24" s="4"/>
      <c r="AC24" s="4"/>
      <c r="AD24" s="4"/>
      <c r="AE24" s="4"/>
      <c r="AF24" s="4"/>
      <c r="AG24" s="4"/>
      <c r="AH24" s="4"/>
      <c r="AI24" s="4"/>
      <c r="AJ24" s="97" t="str">
        <f>IF(E24="○",IF(COUNTA(E$13:E24)=1,"",",")&amp;D24,"")</f>
        <v/>
      </c>
      <c r="AK24" s="4"/>
      <c r="AL24" s="4"/>
      <c r="AM24" s="4"/>
      <c r="AN24" s="4"/>
      <c r="AO24" s="4"/>
      <c r="AP24" s="4"/>
      <c r="AQ24" s="4"/>
      <c r="AR24" s="4"/>
      <c r="AS24" s="97" t="str">
        <f>"COMMENT ON COLUMN "&amp;エンティティ一覧!$O$2&amp;"."&amp;D$8&amp;"."&amp;D24&amp;" IS '"&amp;C24&amp;"';"</f>
        <v>COMMENT ON COLUMN milscm_2023_010.azn_202310_base_merge_mml_fs_item.vital_sign_value IS '文字列で表記されるバイタルサインの値';</v>
      </c>
    </row>
    <row r="25" spans="1:52" s="25" customFormat="1">
      <c r="A25" s="4"/>
      <c r="B25" s="21">
        <f t="shared" si="2"/>
        <v>13</v>
      </c>
      <c r="C25" s="13" t="s">
        <v>1718</v>
      </c>
      <c r="D25" s="13" t="s">
        <v>1719</v>
      </c>
      <c r="E25" s="7"/>
      <c r="F25" s="7" t="s">
        <v>863</v>
      </c>
      <c r="G25" s="7" t="str">
        <f t="shared" si="3"/>
        <v>text</v>
      </c>
      <c r="H25" s="58"/>
      <c r="I25" s="23"/>
      <c r="J25" s="24"/>
      <c r="M25" s="4"/>
      <c r="N25" s="97"/>
      <c r="O25" s="97"/>
      <c r="P25" s="97" t="str">
        <f t="shared" si="4"/>
        <v>,vital_sign_num_value</v>
      </c>
      <c r="Q25" s="97" t="str">
        <f t="shared" si="0"/>
        <v>TEXT</v>
      </c>
      <c r="R25" s="97" t="str">
        <f t="shared" si="1"/>
        <v/>
      </c>
      <c r="S25" s="97" t="str">
        <f t="shared" si="5"/>
        <v/>
      </c>
      <c r="T25" s="97" t="str">
        <f t="shared" si="6"/>
        <v>-- 数値で表記されるバイタルサインの値</v>
      </c>
      <c r="U25" s="4"/>
      <c r="AA25" s="4"/>
      <c r="AB25" s="4"/>
      <c r="AC25" s="4"/>
      <c r="AD25" s="4"/>
      <c r="AE25" s="4"/>
      <c r="AF25" s="4"/>
      <c r="AG25" s="4"/>
      <c r="AH25" s="4"/>
      <c r="AI25" s="4"/>
      <c r="AJ25" s="97" t="str">
        <f>IF(E25="○",IF(COUNTA(E$13:E25)=1,"",",")&amp;D25,"")</f>
        <v/>
      </c>
      <c r="AK25" s="4"/>
      <c r="AL25" s="4"/>
      <c r="AM25" s="4"/>
      <c r="AN25" s="4"/>
      <c r="AO25" s="4"/>
      <c r="AP25" s="4"/>
      <c r="AQ25" s="4"/>
      <c r="AR25" s="4"/>
      <c r="AS25" s="97" t="str">
        <f>"COMMENT ON COLUMN "&amp;エンティティ一覧!$O$2&amp;"."&amp;D$8&amp;"."&amp;D25&amp;" IS '"&amp;C25&amp;"';"</f>
        <v>COMMENT ON COLUMN milscm_2023_010.azn_202310_base_merge_mml_fs_item.vital_sign_num_value IS '数値で表記されるバイタルサインの値';</v>
      </c>
    </row>
    <row r="26" spans="1:52" s="25" customFormat="1" ht="19.5" thickBot="1">
      <c r="A26" s="4"/>
      <c r="B26" s="27">
        <f>ROW()-12</f>
        <v>14</v>
      </c>
      <c r="C26" s="57" t="s">
        <v>1720</v>
      </c>
      <c r="D26" s="57" t="s">
        <v>1721</v>
      </c>
      <c r="E26" s="56"/>
      <c r="F26" s="56" t="s">
        <v>863</v>
      </c>
      <c r="G26" s="56" t="str">
        <f t="shared" si="3"/>
        <v>text</v>
      </c>
      <c r="H26" s="59"/>
      <c r="I26" s="60"/>
      <c r="J26" s="63"/>
      <c r="N26" s="97"/>
      <c r="O26" s="97"/>
      <c r="P26" s="97" t="str">
        <f t="shared" si="4"/>
        <v>,vital_sign_unit</v>
      </c>
      <c r="Q26" s="97" t="str">
        <f t="shared" si="0"/>
        <v>TEXT</v>
      </c>
      <c r="R26" s="97" t="str">
        <f t="shared" si="1"/>
        <v/>
      </c>
      <c r="S26" s="97" t="str">
        <f t="shared" si="5"/>
        <v/>
      </c>
      <c r="T26" s="97" t="str">
        <f t="shared" si="6"/>
        <v>-- バイタルサインの単位</v>
      </c>
      <c r="U26" s="4"/>
      <c r="AA26" s="4"/>
      <c r="AB26" s="4"/>
      <c r="AC26" s="4"/>
      <c r="AD26" s="4"/>
      <c r="AE26" s="4"/>
      <c r="AF26" s="4"/>
      <c r="AG26" s="4"/>
      <c r="AH26" s="4"/>
      <c r="AI26" s="4"/>
      <c r="AJ26" s="97" t="str">
        <f>IF(E26="○",IF(COUNTA(E$13:E26)=1,"",",")&amp;D26,"")</f>
        <v/>
      </c>
      <c r="AK26" s="4"/>
      <c r="AL26" s="4"/>
      <c r="AM26" s="4"/>
      <c r="AN26" s="4"/>
      <c r="AO26" s="4"/>
      <c r="AP26" s="4"/>
      <c r="AQ26" s="4"/>
      <c r="AR26" s="4"/>
      <c r="AS26" s="97" t="str">
        <f>"COMMENT ON COLUMN "&amp;エンティティ一覧!$O$2&amp;"."&amp;D$8&amp;"."&amp;D26&amp;" IS '"&amp;C26&amp;"';"</f>
        <v>COMMENT ON COLUMN milscm_2023_010.azn_202310_base_merge_mml_fs_item.vital_sign_unit IS 'バイタルサインの単位';</v>
      </c>
    </row>
    <row r="27" spans="1:52">
      <c r="L27" s="25"/>
      <c r="M27" s="25"/>
      <c r="N27" s="97" t="s">
        <v>142</v>
      </c>
      <c r="O27" s="97"/>
      <c r="P27" s="97"/>
      <c r="Q27" s="97"/>
      <c r="R27" s="97"/>
      <c r="S27" s="97"/>
      <c r="T27" s="97"/>
      <c r="V27" s="25"/>
      <c r="W27" s="25"/>
      <c r="X27" s="25"/>
      <c r="Y27" s="25"/>
      <c r="Z27" s="25"/>
      <c r="AJ27" s="97"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41</v>
      </c>
      <c r="E4" s="248"/>
      <c r="F4" s="248"/>
      <c r="G4" s="248"/>
      <c r="H4" s="248"/>
      <c r="I4" s="248"/>
      <c r="J4" s="249"/>
    </row>
    <row r="5" spans="1:45">
      <c r="B5" s="261" t="s">
        <v>3704</v>
      </c>
      <c r="C5" s="262"/>
      <c r="D5" s="271" t="str">
        <f>VLOOKUP(D7,エンティティ一覧!A1:'エンティティ一覧'!AM10203,7,FALSE)</f>
        <v>work</v>
      </c>
      <c r="E5" s="272"/>
      <c r="F5" s="272"/>
      <c r="G5" s="272"/>
      <c r="H5" s="272"/>
      <c r="I5" s="272"/>
      <c r="J5" s="273"/>
    </row>
    <row r="6" spans="1:45">
      <c r="B6" s="261" t="s">
        <v>3705</v>
      </c>
      <c r="C6" s="262"/>
      <c r="D6" s="271" t="str">
        <f>VLOOKUP(D7,エンティティ一覧!A1:'エンティティ一覧'!AM10203,15,FALSE)</f>
        <v>ENT_41_01</v>
      </c>
      <c r="E6" s="272"/>
      <c r="F6" s="272"/>
      <c r="G6" s="272"/>
      <c r="H6" s="272"/>
      <c r="I6" s="272"/>
      <c r="J6" s="273"/>
    </row>
    <row r="7" spans="1:45">
      <c r="B7" s="261" t="s">
        <v>115</v>
      </c>
      <c r="C7" s="262"/>
      <c r="D7" s="263" t="s">
        <v>4291</v>
      </c>
      <c r="E7" s="264"/>
      <c r="F7" s="264"/>
      <c r="G7" s="264"/>
      <c r="H7" s="264"/>
      <c r="I7" s="264"/>
      <c r="J7" s="265"/>
    </row>
    <row r="8" spans="1:45">
      <c r="B8" s="261" t="s">
        <v>116</v>
      </c>
      <c r="C8" s="262"/>
      <c r="D8" s="263" t="str">
        <f>エンティティ一覧!AE2&amp;"_"&amp;D5&amp;"_patient_basic"</f>
        <v>azn_202310_work_patient_basic</v>
      </c>
      <c r="E8" s="264"/>
      <c r="F8" s="264"/>
      <c r="G8" s="264"/>
      <c r="H8" s="264"/>
      <c r="I8" s="264"/>
      <c r="J8" s="265"/>
    </row>
    <row r="9" spans="1:45" ht="19.5" customHeight="1" thickBot="1">
      <c r="B9" s="266" t="s">
        <v>117</v>
      </c>
      <c r="C9" s="267"/>
      <c r="D9" s="268" t="s">
        <v>4151</v>
      </c>
      <c r="E9" s="269"/>
      <c r="F9" s="269"/>
      <c r="G9" s="269"/>
      <c r="H9" s="269"/>
      <c r="I9" s="269"/>
      <c r="J9" s="270"/>
    </row>
    <row r="10" spans="1:45">
      <c r="B10" s="19"/>
      <c r="C10" s="19"/>
      <c r="D10" s="5"/>
      <c r="E10" s="5"/>
      <c r="F10" s="5"/>
      <c r="G10" s="5"/>
      <c r="H10" s="5"/>
      <c r="I10" s="5"/>
      <c r="J10" s="18"/>
      <c r="N10" s="97" t="str">
        <f>"--DROP TABLE  "&amp;エンティティ一覧!$O$2&amp;"."&amp;D$8&amp;";"</f>
        <v>--DROP TABLE  milscm_2023_010.azn_202310_work_patient_basic;</v>
      </c>
      <c r="O10" s="97"/>
      <c r="P10" s="97"/>
      <c r="Q10" s="97"/>
      <c r="R10" s="97"/>
      <c r="S10" s="97"/>
      <c r="T10" s="97"/>
      <c r="AJ10" s="97" t="str">
        <f>"ALTER TABLE ONLY "&amp;エンティティ一覧!$O$2&amp;"."&amp;D$8</f>
        <v>ALTER TABLE ONLY milscm_2023_010.azn_202310_work_patient_basic</v>
      </c>
      <c r="AS10" s="97" t="str">
        <f>"ALTER TABLE "&amp;エンティティ一覧!$O$2&amp;"."&amp;D$8&amp;" OWNER TO pgmisgrp1;"</f>
        <v>ALTER TABLE milscm_2023_010.azn_202310_work_patient_basic OWNER TO pgmisgrp1;</v>
      </c>
    </row>
    <row r="11" spans="1:45" ht="19.5" thickBot="1">
      <c r="B11" s="20" t="s">
        <v>118</v>
      </c>
      <c r="C11" s="19"/>
      <c r="D11" s="5"/>
      <c r="E11" s="5"/>
      <c r="F11" s="5"/>
      <c r="G11" s="5"/>
      <c r="H11" s="5"/>
      <c r="I11" s="5"/>
      <c r="J11" s="18"/>
      <c r="N11" s="97" t="str">
        <f>"CREATE TABLE  "&amp;エンティティ一覧!$O$2&amp;"."&amp;D$8</f>
        <v>CREATE TABLE  milscm_2023_010.azn_202310_work_patient_basic</v>
      </c>
      <c r="O11" s="97"/>
      <c r="P11" s="97"/>
      <c r="Q11" s="97"/>
      <c r="R11" s="97"/>
      <c r="S11" s="97"/>
      <c r="T11" s="97"/>
      <c r="AJ11" s="97" t="str">
        <f>"ADD CONSTRAINT "&amp;D$8&amp;"_pkey PRIMARY KEY"</f>
        <v>ADD CONSTRAINT azn_202310_work_patient_basic_pkey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milscm_2023_010.azn_202310_work_patient_basic IS 'ワーク_患者基本データ';</v>
      </c>
    </row>
    <row r="13" spans="1:45" s="25" customFormat="1">
      <c r="A13" s="4"/>
      <c r="B13" s="21">
        <f>ROW()-12</f>
        <v>1</v>
      </c>
      <c r="C13" s="6" t="s">
        <v>1841</v>
      </c>
      <c r="D13" s="6" t="s">
        <v>128</v>
      </c>
      <c r="E13" s="8" t="s">
        <v>127</v>
      </c>
      <c r="F13" s="8" t="s">
        <v>1826</v>
      </c>
      <c r="G13" s="7" t="str">
        <f>IF(F13="フラグ","boolean",IF(F13="文字列","text",IF(F13="整数","integer",IF(F13="実数","numeric",""))))</f>
        <v>text</v>
      </c>
      <c r="H13" s="9"/>
      <c r="I13" s="10" t="s">
        <v>127</v>
      </c>
      <c r="J13" s="11"/>
      <c r="M13" s="4"/>
      <c r="N13" s="97"/>
      <c r="O13" s="97"/>
      <c r="P13" s="97" t="str">
        <f>IF(B13&lt;&gt;1,","&amp;D13,D13)</f>
        <v>facility_id</v>
      </c>
      <c r="Q13" s="97" t="str">
        <f t="shared" ref="Q13:Q17" si="0">UPPER(G13)</f>
        <v>TEXT</v>
      </c>
      <c r="R13" s="97" t="str">
        <f t="shared" ref="R13:R17" si="1">IF(H13&lt;&gt;"","default "&amp;IF(G13="text","'"&amp;H13&amp;"'",H13),"")</f>
        <v/>
      </c>
      <c r="S13" s="97" t="str">
        <f>IF(I13="○","NOT NULL","")</f>
        <v>NOT NULL</v>
      </c>
      <c r="T13" s="97" t="str">
        <f>"-- "&amp;C13</f>
        <v>-- 施設ID</v>
      </c>
      <c r="U13" s="4"/>
      <c r="AA13" s="4"/>
      <c r="AB13" s="4"/>
      <c r="AC13" s="4"/>
      <c r="AD13" s="4"/>
      <c r="AE13" s="4"/>
      <c r="AF13" s="4"/>
      <c r="AG13" s="4"/>
      <c r="AH13" s="4"/>
      <c r="AI13" s="4"/>
      <c r="AJ13" s="97" t="str">
        <f>IF(E13="○",IF(COUNTA(E$13:E13)=1,"",",")&amp;D13,"")</f>
        <v>facility_id</v>
      </c>
      <c r="AK13" s="4"/>
      <c r="AL13" s="4"/>
      <c r="AM13" s="4"/>
      <c r="AN13" s="4"/>
      <c r="AO13" s="4"/>
      <c r="AP13" s="4"/>
      <c r="AQ13" s="4"/>
      <c r="AR13" s="4"/>
      <c r="AS13" s="97" t="str">
        <f>"COMMENT ON COLUMN "&amp;エンティティ一覧!$O$2&amp;"."&amp;D$8&amp;"."&amp;D13&amp;" IS '"&amp;C13&amp;"';"</f>
        <v>COMMENT ON COLUMN milscm_2023_010.azn_202310_work_patient_basic.facility_id IS '施設ID';</v>
      </c>
    </row>
    <row r="14" spans="1:45" s="25" customFormat="1">
      <c r="A14" s="4"/>
      <c r="B14" s="21">
        <f t="shared" ref="B14:B17" si="2">ROW()-12</f>
        <v>2</v>
      </c>
      <c r="C14" s="6" t="s">
        <v>1842</v>
      </c>
      <c r="D14" s="6" t="s">
        <v>1843</v>
      </c>
      <c r="E14" s="8" t="s">
        <v>127</v>
      </c>
      <c r="F14" s="7" t="s">
        <v>1826</v>
      </c>
      <c r="G14" s="7" t="str">
        <f t="shared" ref="G14:G17" si="3">IF(F14="フラグ","boolean",IF(F14="文字列","text",IF(F14="整数","integer",IF(F14="実数","numeric",""))))</f>
        <v>text</v>
      </c>
      <c r="H14" s="26"/>
      <c r="I14" s="10" t="s">
        <v>127</v>
      </c>
      <c r="J14" s="11" t="s">
        <v>1844</v>
      </c>
      <c r="M14" s="4"/>
      <c r="N14" s="97"/>
      <c r="O14" s="97"/>
      <c r="P14" s="97" t="str">
        <f t="shared" ref="P14:P17" si="4">IF(B14&lt;&gt;1,","&amp;D14,D14)</f>
        <v>,himoduke_id</v>
      </c>
      <c r="Q14" s="97" t="str">
        <f t="shared" si="0"/>
        <v>TEXT</v>
      </c>
      <c r="R14" s="97" t="str">
        <f t="shared" si="1"/>
        <v/>
      </c>
      <c r="S14" s="97" t="str">
        <f t="shared" ref="S14:S17" si="5">IF(I14="○","NOT NULL","")</f>
        <v>NOT NULL</v>
      </c>
      <c r="T14" s="97" t="str">
        <f t="shared" ref="T14:T17" si="6">"-- "&amp;C14</f>
        <v>-- 紐付けID</v>
      </c>
      <c r="U14" s="4"/>
      <c r="AA14" s="4"/>
      <c r="AB14" s="4"/>
      <c r="AC14" s="4"/>
      <c r="AD14" s="4"/>
      <c r="AE14" s="4"/>
      <c r="AF14" s="4"/>
      <c r="AG14" s="4"/>
      <c r="AH14" s="4"/>
      <c r="AI14" s="4"/>
      <c r="AJ14" s="97" t="str">
        <f>IF(E14="○",IF(COUNTA(E$13:E14)=1,"",",")&amp;D14,"")</f>
        <v>,himoduke_id</v>
      </c>
      <c r="AK14" s="4"/>
      <c r="AL14" s="4"/>
      <c r="AM14" s="4"/>
      <c r="AN14" s="4"/>
      <c r="AO14" s="4"/>
      <c r="AP14" s="4"/>
      <c r="AQ14" s="4"/>
      <c r="AR14" s="4"/>
      <c r="AS14" s="97" t="str">
        <f>"COMMENT ON COLUMN "&amp;エンティティ一覧!$O$2&amp;"."&amp;D$8&amp;"."&amp;D14&amp;" IS '"&amp;C14&amp;"';"</f>
        <v>COMMENT ON COLUMN milscm_2023_010.azn_202310_work_patient_basic.himoduke_id IS '紐付けID';</v>
      </c>
    </row>
    <row r="15" spans="1:45" s="25" customFormat="1">
      <c r="A15" s="4"/>
      <c r="B15" s="21">
        <f t="shared" si="2"/>
        <v>3</v>
      </c>
      <c r="C15" s="6" t="s">
        <v>1818</v>
      </c>
      <c r="D15" s="6" t="s">
        <v>207</v>
      </c>
      <c r="E15" s="8" t="s">
        <v>127</v>
      </c>
      <c r="F15" s="7" t="s">
        <v>1819</v>
      </c>
      <c r="G15" s="7" t="str">
        <f t="shared" si="3"/>
        <v>text</v>
      </c>
      <c r="H15" s="26"/>
      <c r="I15" s="10" t="s">
        <v>127</v>
      </c>
      <c r="J15" s="11" t="s">
        <v>4152</v>
      </c>
      <c r="M15" s="4"/>
      <c r="N15" s="97"/>
      <c r="O15" s="97"/>
      <c r="P15" s="97" t="str">
        <f t="shared" si="4"/>
        <v>,data_type</v>
      </c>
      <c r="Q15" s="97" t="str">
        <f t="shared" si="0"/>
        <v>TEXT</v>
      </c>
      <c r="R15" s="97" t="str">
        <f t="shared" si="1"/>
        <v/>
      </c>
      <c r="S15" s="97" t="str">
        <f t="shared" si="5"/>
        <v>NOT NULL</v>
      </c>
      <c r="T15" s="97" t="str">
        <f t="shared" si="6"/>
        <v>-- データ種別</v>
      </c>
      <c r="U15" s="4"/>
      <c r="AA15" s="4"/>
      <c r="AB15" s="4"/>
      <c r="AC15" s="4"/>
      <c r="AD15" s="4"/>
      <c r="AE15" s="4"/>
      <c r="AF15" s="4"/>
      <c r="AG15" s="4"/>
      <c r="AH15" s="4"/>
      <c r="AI15" s="4"/>
      <c r="AJ15" s="97" t="str">
        <f>IF(E15="○",IF(COUNTA(E$13:E15)=1,"",",")&amp;D15,"")</f>
        <v>,data_type</v>
      </c>
      <c r="AK15" s="4"/>
      <c r="AL15" s="4"/>
      <c r="AM15" s="4"/>
      <c r="AN15" s="4"/>
      <c r="AO15" s="4"/>
      <c r="AP15" s="4"/>
      <c r="AQ15" s="4"/>
      <c r="AR15" s="4"/>
      <c r="AS15" s="97" t="str">
        <f>"COMMENT ON COLUMN "&amp;エンティティ一覧!$O$2&amp;"."&amp;D$8&amp;"."&amp;D15&amp;" IS '"&amp;C15&amp;"';"</f>
        <v>COMMENT ON COLUMN milscm_2023_010.azn_202310_work_patient_basic.data_type IS 'データ種別';</v>
      </c>
    </row>
    <row r="16" spans="1:45" s="25" customFormat="1">
      <c r="A16" s="4"/>
      <c r="B16" s="21">
        <f t="shared" si="2"/>
        <v>4</v>
      </c>
      <c r="C16" s="6" t="s">
        <v>1829</v>
      </c>
      <c r="D16" s="6" t="s">
        <v>943</v>
      </c>
      <c r="E16" s="8"/>
      <c r="F16" s="7" t="s">
        <v>1735</v>
      </c>
      <c r="G16" s="7" t="str">
        <f t="shared" si="3"/>
        <v>text</v>
      </c>
      <c r="H16" s="26"/>
      <c r="I16" s="10" t="s">
        <v>127</v>
      </c>
      <c r="J16" s="11" t="s">
        <v>1849</v>
      </c>
      <c r="M16" s="4"/>
      <c r="N16" s="97"/>
      <c r="O16" s="97"/>
      <c r="P16" s="97" t="str">
        <f t="shared" si="4"/>
        <v>,sex_kubun</v>
      </c>
      <c r="Q16" s="97" t="str">
        <f t="shared" si="0"/>
        <v>TEXT</v>
      </c>
      <c r="R16" s="97" t="str">
        <f t="shared" si="1"/>
        <v/>
      </c>
      <c r="S16" s="97" t="str">
        <f t="shared" si="5"/>
        <v>NOT NULL</v>
      </c>
      <c r="T16" s="97" t="str">
        <f t="shared" si="6"/>
        <v>-- 男女区分</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"&amp;エンティティ一覧!$O$2&amp;"."&amp;D$8&amp;"."&amp;D16&amp;" IS '"&amp;C16&amp;"';"</f>
        <v>COMMENT ON COLUMN milscm_2023_010.azn_202310_work_patient_basic.sex_kubun IS '男女区分';</v>
      </c>
    </row>
    <row r="17" spans="1:52" s="25" customFormat="1" ht="57" thickBot="1">
      <c r="A17" s="4"/>
      <c r="B17" s="65">
        <f t="shared" si="2"/>
        <v>5</v>
      </c>
      <c r="C17" s="28" t="s">
        <v>1830</v>
      </c>
      <c r="D17" s="28" t="s">
        <v>321</v>
      </c>
      <c r="E17" s="29"/>
      <c r="F17" s="56" t="s">
        <v>1735</v>
      </c>
      <c r="G17" s="56" t="str">
        <f t="shared" si="3"/>
        <v>text</v>
      </c>
      <c r="H17" s="30"/>
      <c r="I17" s="31" t="s">
        <v>127</v>
      </c>
      <c r="J17" s="68" t="s">
        <v>1850</v>
      </c>
      <c r="M17" s="4"/>
      <c r="N17" s="97"/>
      <c r="O17" s="97"/>
      <c r="P17" s="97" t="str">
        <f t="shared" si="4"/>
        <v>,birthday</v>
      </c>
      <c r="Q17" s="97" t="str">
        <f t="shared" si="0"/>
        <v>TEXT</v>
      </c>
      <c r="R17" s="97" t="str">
        <f t="shared" si="1"/>
        <v/>
      </c>
      <c r="S17" s="97" t="str">
        <f t="shared" si="5"/>
        <v>NOT NULL</v>
      </c>
      <c r="T17" s="97" t="str">
        <f t="shared" si="6"/>
        <v>-- 生年月日</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milscm_2023_010.azn_202310_work_patient_basic.birthday IS '生年月日';</v>
      </c>
    </row>
    <row r="18" spans="1:52">
      <c r="L18" s="25"/>
      <c r="M18" s="25"/>
      <c r="N18" s="97" t="s">
        <v>142</v>
      </c>
      <c r="O18" s="97"/>
      <c r="P18" s="97"/>
      <c r="Q18" s="97"/>
      <c r="R18" s="97"/>
      <c r="S18" s="97"/>
      <c r="T18" s="97"/>
      <c r="V18" s="25"/>
      <c r="W18" s="25"/>
      <c r="X18" s="25"/>
      <c r="Y18" s="25"/>
      <c r="Z18" s="25"/>
      <c r="AJ18" s="97"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50" t="s">
        <v>110</v>
      </c>
      <c r="C1" s="251"/>
      <c r="D1" s="254" t="s">
        <v>111</v>
      </c>
      <c r="E1" s="255"/>
      <c r="F1" s="255"/>
      <c r="G1" s="246"/>
      <c r="H1" s="254" t="s">
        <v>112</v>
      </c>
      <c r="I1" s="246"/>
      <c r="J1" s="15" t="s">
        <v>113</v>
      </c>
    </row>
    <row r="2" spans="1:52" ht="19.5" thickBot="1">
      <c r="B2" s="252"/>
      <c r="C2" s="253"/>
      <c r="D2" s="256" t="s">
        <v>114</v>
      </c>
      <c r="E2" s="257"/>
      <c r="F2" s="257"/>
      <c r="G2" s="258"/>
      <c r="H2" s="259"/>
      <c r="I2" s="260"/>
      <c r="J2" s="17"/>
    </row>
    <row r="3" spans="1:52" ht="19.5" thickBot="1">
      <c r="B3" s="5"/>
      <c r="C3" s="5"/>
      <c r="D3" s="5"/>
      <c r="E3" s="5"/>
      <c r="F3" s="5"/>
      <c r="G3" s="5"/>
      <c r="H3" s="5"/>
      <c r="I3" s="5"/>
      <c r="J3" s="18"/>
    </row>
    <row r="4" spans="1:52">
      <c r="B4" s="245" t="s">
        <v>3703</v>
      </c>
      <c r="C4" s="246"/>
      <c r="D4" s="247" t="str">
        <f>VLOOKUP(D7,エンティティ一覧!A1:'エンティティ一覧'!AM10203,2,FALSE)</f>
        <v>41</v>
      </c>
      <c r="E4" s="248"/>
      <c r="F4" s="248"/>
      <c r="G4" s="248"/>
      <c r="H4" s="248"/>
      <c r="I4" s="248"/>
      <c r="J4" s="249"/>
    </row>
    <row r="5" spans="1:52">
      <c r="B5" s="261" t="s">
        <v>3704</v>
      </c>
      <c r="C5" s="262"/>
      <c r="D5" s="271" t="str">
        <f>VLOOKUP(D7,エンティティ一覧!A1:'エンティティ一覧'!AM10203,7,FALSE)</f>
        <v>work</v>
      </c>
      <c r="E5" s="272"/>
      <c r="F5" s="272"/>
      <c r="G5" s="272"/>
      <c r="H5" s="272"/>
      <c r="I5" s="272"/>
      <c r="J5" s="273"/>
    </row>
    <row r="6" spans="1:52">
      <c r="B6" s="261" t="s">
        <v>3705</v>
      </c>
      <c r="C6" s="262"/>
      <c r="D6" s="271" t="str">
        <f>VLOOKUP(D7,エンティティ一覧!A1:'エンティティ一覧'!AM10203,15,FALSE)</f>
        <v>ENT_41_02</v>
      </c>
      <c r="E6" s="272"/>
      <c r="F6" s="272"/>
      <c r="G6" s="272"/>
      <c r="H6" s="272"/>
      <c r="I6" s="272"/>
      <c r="J6" s="273"/>
    </row>
    <row r="7" spans="1:52">
      <c r="B7" s="261" t="s">
        <v>115</v>
      </c>
      <c r="C7" s="262"/>
      <c r="D7" s="263" t="s">
        <v>4150</v>
      </c>
      <c r="E7" s="264"/>
      <c r="F7" s="264"/>
      <c r="G7" s="264"/>
      <c r="H7" s="264"/>
      <c r="I7" s="264"/>
      <c r="J7" s="265"/>
    </row>
    <row r="8" spans="1:52">
      <c r="B8" s="261" t="s">
        <v>116</v>
      </c>
      <c r="C8" s="262"/>
      <c r="D8" s="263" t="str">
        <f>エンティティ一覧!AE2&amp;"_"&amp;D5&amp;"_look_back"</f>
        <v>azn_202310_work_look_back</v>
      </c>
      <c r="E8" s="264"/>
      <c r="F8" s="264"/>
      <c r="G8" s="264"/>
      <c r="H8" s="264"/>
      <c r="I8" s="264"/>
      <c r="J8" s="265"/>
    </row>
    <row r="9" spans="1:52" ht="19.5" customHeight="1" thickBot="1">
      <c r="B9" s="266" t="s">
        <v>117</v>
      </c>
      <c r="C9" s="267"/>
      <c r="D9" s="268" t="s">
        <v>4155</v>
      </c>
      <c r="E9" s="269"/>
      <c r="F9" s="269"/>
      <c r="G9" s="269"/>
      <c r="H9" s="269"/>
      <c r="I9" s="269"/>
      <c r="J9" s="270"/>
    </row>
    <row r="10" spans="1:52">
      <c r="B10" s="19"/>
      <c r="C10" s="19"/>
      <c r="D10" s="5"/>
      <c r="E10" s="5"/>
      <c r="F10" s="5"/>
      <c r="G10" s="5"/>
      <c r="H10" s="5"/>
      <c r="I10" s="5"/>
      <c r="J10" s="18"/>
      <c r="N10" s="97" t="str">
        <f>"--DROP TABLE  "&amp;エンティティ一覧!$O$2&amp;"."&amp;D$8&amp;";"</f>
        <v>--DROP TABLE  milscm_2023_010.azn_202310_work_look_back;</v>
      </c>
      <c r="O10" s="97"/>
      <c r="P10" s="97"/>
      <c r="Q10" s="97"/>
      <c r="R10" s="97"/>
      <c r="S10" s="97"/>
      <c r="T10" s="97"/>
      <c r="AJ10" s="97" t="str">
        <f>"ALTER TABLE ONLY "&amp;エンティティ一覧!$O$2&amp;"."&amp;D$8</f>
        <v>ALTER TABLE ONLY milscm_2023_010.azn_202310_work_look_back</v>
      </c>
      <c r="AS10" s="97" t="str">
        <f>"ALTER TABLE "&amp;エンティティ一覧!$O$2&amp;"."&amp;D$8&amp;" OWNER TO pgmisgrp1;"</f>
        <v>ALTER TABLE milscm_2023_010.azn_202310_work_look_back OWNER TO pgmisgrp1;</v>
      </c>
    </row>
    <row r="11" spans="1:52" ht="19.5" thickBot="1">
      <c r="B11" s="20" t="s">
        <v>118</v>
      </c>
      <c r="C11" s="19"/>
      <c r="D11" s="5"/>
      <c r="E11" s="5"/>
      <c r="F11" s="5"/>
      <c r="G11" s="5"/>
      <c r="H11" s="5"/>
      <c r="I11" s="5"/>
      <c r="J11" s="18"/>
      <c r="N11" s="97" t="str">
        <f>"CREATE TABLE  "&amp;エンティティ一覧!$O$2&amp;"."&amp;D$8</f>
        <v>CREATE TABLE  milscm_2023_010.azn_202310_work_look_back</v>
      </c>
      <c r="O11" s="97"/>
      <c r="P11" s="97"/>
      <c r="Q11" s="97"/>
      <c r="R11" s="97"/>
      <c r="S11" s="97"/>
      <c r="T11" s="97"/>
      <c r="AJ11" s="97" t="str">
        <f>"ADD CONSTRAINT "&amp;D$8&amp;"_pkey PRIMARY KEY"</f>
        <v>ADD CONSTRAINT azn_202310_work_look_back_pkey PRIMARY KEY</v>
      </c>
      <c r="AS11" s="97"/>
    </row>
    <row r="12" spans="1:52">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milscm_2023_010.azn_202310_work_look_back IS 'ワーク_look_back';</v>
      </c>
    </row>
    <row r="13" spans="1:52" s="25" customFormat="1">
      <c r="A13" s="4"/>
      <c r="B13" s="21">
        <f>ROW()-12</f>
        <v>1</v>
      </c>
      <c r="C13" s="6" t="s">
        <v>1841</v>
      </c>
      <c r="D13" s="6" t="s">
        <v>128</v>
      </c>
      <c r="E13" s="8" t="s">
        <v>127</v>
      </c>
      <c r="F13" s="8" t="s">
        <v>1826</v>
      </c>
      <c r="G13" s="7" t="str">
        <f>IF(F13="フラグ","boolean",IF(F13="文字列","text",IF(F13="整数","integer",IF(F13="実数","numeric",""))))</f>
        <v>text</v>
      </c>
      <c r="H13" s="9"/>
      <c r="I13" s="10" t="s">
        <v>127</v>
      </c>
      <c r="J13" s="11"/>
      <c r="M13" s="4"/>
      <c r="N13" s="97"/>
      <c r="O13" s="97"/>
      <c r="P13" s="97" t="str">
        <f>IF(B13&lt;&gt;1,","&amp;D13,D13)</f>
        <v>facility_id</v>
      </c>
      <c r="Q13" s="97" t="str">
        <f t="shared" ref="Q13:Q14" si="0">UPPER(G13)</f>
        <v>TEXT</v>
      </c>
      <c r="R13" s="97" t="str">
        <f t="shared" ref="R13:R14" si="1">IF(H13&lt;&gt;"","default "&amp;IF(G13="text","'"&amp;H13&amp;"'",H13),"")</f>
        <v/>
      </c>
      <c r="S13" s="97" t="str">
        <f>IF(I13="○","NOT NULL","")</f>
        <v>NOT NULL</v>
      </c>
      <c r="T13" s="97" t="str">
        <f>"-- "&amp;C13</f>
        <v>-- 施設ID</v>
      </c>
      <c r="U13" s="4"/>
      <c r="AA13" s="4"/>
      <c r="AB13" s="4"/>
      <c r="AC13" s="4"/>
      <c r="AD13" s="4"/>
      <c r="AE13" s="4"/>
      <c r="AF13" s="4"/>
      <c r="AG13" s="4"/>
      <c r="AH13" s="4"/>
      <c r="AI13" s="4"/>
      <c r="AJ13" s="97" t="str">
        <f>IF(E13="○",IF(COUNTA(E$13:E13)=1,"",",")&amp;D13,"")</f>
        <v>facility_id</v>
      </c>
      <c r="AK13" s="4"/>
      <c r="AL13" s="4"/>
      <c r="AM13" s="4"/>
      <c r="AN13" s="4"/>
      <c r="AO13" s="4"/>
      <c r="AP13" s="4"/>
      <c r="AQ13" s="4"/>
      <c r="AR13" s="4"/>
      <c r="AS13" s="97" t="str">
        <f>"COMMENT ON COLUMN "&amp;エンティティ一覧!$O$2&amp;"."&amp;D$8&amp;"."&amp;D13&amp;" IS '"&amp;C13&amp;"';"</f>
        <v>COMMENT ON COLUMN milscm_2023_010.azn_202310_work_look_back.facility_id IS '施設ID';</v>
      </c>
    </row>
    <row r="14" spans="1:52" s="25" customFormat="1">
      <c r="A14" s="4"/>
      <c r="B14" s="21">
        <f t="shared" ref="B14:B15" si="2">ROW()-12</f>
        <v>2</v>
      </c>
      <c r="C14" s="6" t="s">
        <v>1842</v>
      </c>
      <c r="D14" s="6" t="s">
        <v>1843</v>
      </c>
      <c r="E14" s="8" t="s">
        <v>4013</v>
      </c>
      <c r="F14" s="7" t="s">
        <v>1826</v>
      </c>
      <c r="G14" s="7" t="str">
        <f t="shared" ref="G14" si="3">IF(F14="フラグ","boolean",IF(F14="文字列","text",IF(F14="整数","integer",IF(F14="実数","numeric",""))))</f>
        <v>text</v>
      </c>
      <c r="H14" s="26"/>
      <c r="I14" s="10" t="s">
        <v>127</v>
      </c>
      <c r="J14" s="11" t="s">
        <v>1844</v>
      </c>
      <c r="M14" s="4"/>
      <c r="N14" s="97"/>
      <c r="O14" s="97"/>
      <c r="P14" s="97" t="str">
        <f t="shared" ref="P14" si="4">IF(B14&lt;&gt;1,","&amp;D14,D14)</f>
        <v>,himoduke_id</v>
      </c>
      <c r="Q14" s="97" t="str">
        <f t="shared" si="0"/>
        <v>TEXT</v>
      </c>
      <c r="R14" s="97" t="str">
        <f t="shared" si="1"/>
        <v/>
      </c>
      <c r="S14" s="97" t="str">
        <f t="shared" ref="S14" si="5">IF(I14="○","NOT NULL","")</f>
        <v>NOT NULL</v>
      </c>
      <c r="T14" s="97" t="str">
        <f t="shared" ref="T14" si="6">"-- "&amp;C14</f>
        <v>-- 紐付けID</v>
      </c>
      <c r="U14" s="4"/>
      <c r="AA14" s="4"/>
      <c r="AB14" s="4"/>
      <c r="AC14" s="4"/>
      <c r="AD14" s="4"/>
      <c r="AE14" s="4"/>
      <c r="AF14" s="4"/>
      <c r="AG14" s="4"/>
      <c r="AH14" s="4"/>
      <c r="AI14" s="4"/>
      <c r="AJ14" s="97" t="str">
        <f>IF(E14="○",IF(COUNTA(E$13:E14)=1,"",",")&amp;D14,"")</f>
        <v>,himoduke_id</v>
      </c>
      <c r="AK14" s="4"/>
      <c r="AL14" s="4"/>
      <c r="AM14" s="4"/>
      <c r="AN14" s="4"/>
      <c r="AO14" s="4"/>
      <c r="AP14" s="4"/>
      <c r="AQ14" s="4"/>
      <c r="AR14" s="4"/>
      <c r="AS14" s="97" t="str">
        <f>"COMMENT ON COLUMN "&amp;エンティティ一覧!$O$2&amp;"."&amp;D$8&amp;"."&amp;D14&amp;" IS '"&amp;C14&amp;"';"</f>
        <v>COMMENT ON COLUMN milscm_2023_010.azn_202310_work_look_back.himoduke_id IS '紐付けID';</v>
      </c>
    </row>
    <row r="15" spans="1:52" s="25" customFormat="1" ht="38.25" thickBot="1">
      <c r="A15" s="4"/>
      <c r="B15" s="65">
        <f t="shared" si="2"/>
        <v>3</v>
      </c>
      <c r="C15" s="28" t="s">
        <v>4154</v>
      </c>
      <c r="D15" s="28" t="s">
        <v>4153</v>
      </c>
      <c r="E15" s="29" t="s">
        <v>4013</v>
      </c>
      <c r="F15" s="56" t="s">
        <v>1735</v>
      </c>
      <c r="G15" s="56" t="str">
        <f>IF(F15="フラグ","boolean",IF(F15="文字列","text",IF(F15="整数","integer",IF(F15="実数","numeric",""))))</f>
        <v>text</v>
      </c>
      <c r="H15" s="30"/>
      <c r="I15" s="31" t="s">
        <v>127</v>
      </c>
      <c r="J15" s="68" t="s">
        <v>4290</v>
      </c>
      <c r="M15" s="4"/>
      <c r="N15" s="97"/>
      <c r="O15" s="97"/>
      <c r="P15" s="97" t="str">
        <f>IF(B15&lt;&gt;1,","&amp;D15,D15)</f>
        <v>,min_jisshi_ymd</v>
      </c>
      <c r="Q15" s="97" t="str">
        <f>UPPER(G15)</f>
        <v>TEXT</v>
      </c>
      <c r="R15" s="97" t="str">
        <f>IF(H15&lt;&gt;"","default "&amp;IF(G15="text","'"&amp;H15&amp;"'",H15),"")</f>
        <v/>
      </c>
      <c r="S15" s="97" t="str">
        <f>IF(I15="○","NOT NULL","")</f>
        <v>NOT NULL</v>
      </c>
      <c r="T15" s="97" t="str">
        <f>"-- "&amp;C15</f>
        <v>-- 実施日(最小)</v>
      </c>
      <c r="U15" s="4"/>
      <c r="AA15" s="4"/>
      <c r="AB15" s="4"/>
      <c r="AC15" s="4"/>
      <c r="AD15" s="4"/>
      <c r="AE15" s="4"/>
      <c r="AF15" s="4"/>
      <c r="AG15" s="4"/>
      <c r="AH15" s="4"/>
      <c r="AI15" s="4"/>
      <c r="AJ15" s="97" t="str">
        <f>IF(E15="○",IF(COUNTA(E$13:E15)=1,"",",")&amp;D15,"")</f>
        <v>,min_jisshi_ymd</v>
      </c>
      <c r="AK15" s="4"/>
      <c r="AL15" s="4"/>
      <c r="AM15" s="4"/>
      <c r="AN15" s="4"/>
      <c r="AO15" s="4"/>
      <c r="AP15" s="4"/>
      <c r="AQ15" s="4"/>
      <c r="AR15" s="4"/>
      <c r="AS15" s="97" t="str">
        <f>"COMMENT ON COLUMN "&amp;エンティティ一覧!$O$2&amp;"."&amp;D$8&amp;"."&amp;D15&amp;" IS '"&amp;C15&amp;"';"</f>
        <v>COMMENT ON COLUMN milscm_2023_010.azn_202310_work_look_back.min_jisshi_ymd IS '実施日(最小)';</v>
      </c>
    </row>
    <row r="16" spans="1:52">
      <c r="L16" s="25"/>
      <c r="M16" s="25"/>
      <c r="N16" s="97" t="s">
        <v>142</v>
      </c>
      <c r="O16" s="97"/>
      <c r="P16" s="97"/>
      <c r="Q16" s="97"/>
      <c r="R16" s="97"/>
      <c r="S16" s="97"/>
      <c r="T16" s="97"/>
      <c r="V16" s="25"/>
      <c r="W16" s="25"/>
      <c r="X16" s="25"/>
      <c r="Y16" s="25"/>
      <c r="Z16" s="25"/>
      <c r="AJ16" s="97"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topLeftCell="D1" zoomScale="85" zoomScaleNormal="85" workbookViewId="0">
      <selection activeCell="AS10" sqref="AS10:AS17"/>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41</v>
      </c>
      <c r="E4" s="248"/>
      <c r="F4" s="248"/>
      <c r="G4" s="248"/>
      <c r="H4" s="248"/>
      <c r="I4" s="248"/>
      <c r="J4" s="249"/>
    </row>
    <row r="5" spans="1:45">
      <c r="B5" s="261" t="s">
        <v>3704</v>
      </c>
      <c r="C5" s="262"/>
      <c r="D5" s="271" t="str">
        <f>VLOOKUP(D7,エンティティ一覧!A1:'エンティティ一覧'!AM10203,7,FALSE)</f>
        <v>work</v>
      </c>
      <c r="E5" s="272"/>
      <c r="F5" s="272"/>
      <c r="G5" s="272"/>
      <c r="H5" s="272"/>
      <c r="I5" s="272"/>
      <c r="J5" s="273"/>
    </row>
    <row r="6" spans="1:45">
      <c r="B6" s="261" t="s">
        <v>3705</v>
      </c>
      <c r="C6" s="262"/>
      <c r="D6" s="271" t="str">
        <f>VLOOKUP(D7,エンティティ一覧!A1:'エンティティ一覧'!AM10203,15,FALSE)</f>
        <v>ENT_41_03</v>
      </c>
      <c r="E6" s="272"/>
      <c r="F6" s="272"/>
      <c r="G6" s="272"/>
      <c r="H6" s="272"/>
      <c r="I6" s="272"/>
      <c r="J6" s="273"/>
    </row>
    <row r="7" spans="1:45">
      <c r="B7" s="261" t="s">
        <v>115</v>
      </c>
      <c r="C7" s="262"/>
      <c r="D7" s="263" t="s">
        <v>4131</v>
      </c>
      <c r="E7" s="264"/>
      <c r="F7" s="264"/>
      <c r="G7" s="264"/>
      <c r="H7" s="264"/>
      <c r="I7" s="264"/>
      <c r="J7" s="265"/>
    </row>
    <row r="8" spans="1:45">
      <c r="B8" s="261" t="s">
        <v>116</v>
      </c>
      <c r="C8" s="262"/>
      <c r="D8" s="263" t="str">
        <f>エンティティ一覧!AE2&amp;"_"&amp;D5&amp;"_shikkan_dpc"</f>
        <v>azn_202310_work_shikkan_dpc</v>
      </c>
      <c r="E8" s="264"/>
      <c r="F8" s="264"/>
      <c r="G8" s="264"/>
      <c r="H8" s="264"/>
      <c r="I8" s="264"/>
      <c r="J8" s="265"/>
    </row>
    <row r="9" spans="1:45" ht="19.5" customHeight="1" thickBot="1">
      <c r="B9" s="266" t="s">
        <v>117</v>
      </c>
      <c r="C9" s="267"/>
      <c r="D9" s="268" t="s">
        <v>4157</v>
      </c>
      <c r="E9" s="269"/>
      <c r="F9" s="269"/>
      <c r="G9" s="269"/>
      <c r="H9" s="269"/>
      <c r="I9" s="269"/>
      <c r="J9" s="270"/>
    </row>
    <row r="10" spans="1:45">
      <c r="B10" s="19"/>
      <c r="C10" s="19"/>
      <c r="D10" s="5"/>
      <c r="E10" s="5"/>
      <c r="F10" s="5"/>
      <c r="G10" s="5"/>
      <c r="H10" s="5"/>
      <c r="I10" s="5"/>
      <c r="J10" s="18"/>
      <c r="N10" s="97" t="str">
        <f>"--DROP TABLE  "&amp;エンティティ一覧!$O$2&amp;"."&amp;D$8&amp;";"</f>
        <v>--DROP TABLE  milscm_2023_010.azn_202310_work_shikkan_dpc;</v>
      </c>
      <c r="O10" s="97"/>
      <c r="P10" s="97"/>
      <c r="Q10" s="97"/>
      <c r="R10" s="97"/>
      <c r="S10" s="97"/>
      <c r="T10" s="97"/>
      <c r="AJ10" s="97" t="str">
        <f>"ALTER TABLE ONLY "&amp;エンティティ一覧!$O$2&amp;"."&amp;D$8</f>
        <v>ALTER TABLE ONLY milscm_2023_010.azn_202310_work_shikkan_dpc</v>
      </c>
      <c r="AS10" s="97" t="str">
        <f>"ALTER TABLE "&amp;エンティティ一覧!$O$2&amp;"."&amp;D$8&amp;" OWNER TO pgmisgrp1;"</f>
        <v>ALTER TABLE milscm_2023_010.azn_202310_work_shikkan_dpc OWNER TO pgmisgrp1;</v>
      </c>
    </row>
    <row r="11" spans="1:45" ht="19.5" thickBot="1">
      <c r="B11" s="20" t="s">
        <v>118</v>
      </c>
      <c r="C11" s="19"/>
      <c r="D11" s="5"/>
      <c r="E11" s="5"/>
      <c r="F11" s="5"/>
      <c r="G11" s="5"/>
      <c r="H11" s="5"/>
      <c r="I11" s="5"/>
      <c r="J11" s="18"/>
      <c r="N11" s="97" t="str">
        <f>"CREATE TABLE  "&amp;エンティティ一覧!$O$2&amp;"."&amp;D$8</f>
        <v>CREATE TABLE  milscm_2023_010.azn_202310_work_shikkan_dpc</v>
      </c>
      <c r="O11" s="97"/>
      <c r="P11" s="97"/>
      <c r="Q11" s="97"/>
      <c r="R11" s="97"/>
      <c r="S11" s="97"/>
      <c r="T11" s="97"/>
      <c r="AJ11" s="97" t="str">
        <f>"ADD CONSTRAINT "&amp;D$8&amp;"_pkey PRIMARY KEY"</f>
        <v>ADD CONSTRAINT azn_202310_work_shikkan_dpc_pkey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milscm_2023_010.azn_202310_work_shikkan_dpc IS 'ワーク_疾患データ_DPC';</v>
      </c>
    </row>
    <row r="13" spans="1:45" s="25" customFormat="1">
      <c r="A13" s="4"/>
      <c r="B13" s="21">
        <f>ROW()-12</f>
        <v>1</v>
      </c>
      <c r="C13" s="6" t="s">
        <v>1841</v>
      </c>
      <c r="D13" s="6" t="s">
        <v>128</v>
      </c>
      <c r="E13" s="8" t="s">
        <v>127</v>
      </c>
      <c r="F13" s="8" t="s">
        <v>1826</v>
      </c>
      <c r="G13" s="7" t="str">
        <f>IF(F13="フラグ","boolean",IF(F13="文字列","text",IF(F13="整数","integer",IF(F13="実数","numeric",""))))</f>
        <v>text</v>
      </c>
      <c r="H13" s="9"/>
      <c r="I13" s="10" t="s">
        <v>127</v>
      </c>
      <c r="J13" s="11"/>
      <c r="M13" s="4"/>
      <c r="N13" s="97"/>
      <c r="O13" s="97"/>
      <c r="P13" s="97" t="str">
        <f>IF(B13&lt;&gt;1,","&amp;D13,D13)</f>
        <v>facility_id</v>
      </c>
      <c r="Q13" s="97" t="str">
        <f t="shared" ref="Q13:Q14" si="0">UPPER(G13)</f>
        <v>TEXT</v>
      </c>
      <c r="R13" s="97" t="str">
        <f t="shared" ref="R13:R14" si="1">IF(H13&lt;&gt;"","default "&amp;IF(G13="text","'"&amp;H13&amp;"'",H13),"")</f>
        <v/>
      </c>
      <c r="S13" s="97" t="str">
        <f>IF(I13="○","NOT NULL","")</f>
        <v>NOT NULL</v>
      </c>
      <c r="T13" s="97" t="str">
        <f>"-- "&amp;C13</f>
        <v>-- 施設ID</v>
      </c>
      <c r="U13" s="4"/>
      <c r="AA13" s="4"/>
      <c r="AB13" s="4"/>
      <c r="AC13" s="4"/>
      <c r="AD13" s="4"/>
      <c r="AE13" s="4"/>
      <c r="AF13" s="4"/>
      <c r="AG13" s="4"/>
      <c r="AH13" s="4"/>
      <c r="AI13" s="4"/>
      <c r="AJ13" s="97" t="str">
        <f>IF(E13="○",IF(COUNTA(E$13:E13)=1,"",",")&amp;D13,"")</f>
        <v>facility_id</v>
      </c>
      <c r="AK13" s="4"/>
      <c r="AL13" s="4"/>
      <c r="AM13" s="4"/>
      <c r="AN13" s="4"/>
      <c r="AO13" s="4"/>
      <c r="AP13" s="4"/>
      <c r="AQ13" s="4"/>
      <c r="AR13" s="4"/>
      <c r="AS13" s="97" t="str">
        <f>"COMMENT ON COLUMN "&amp;エンティティ一覧!$O$2&amp;"."&amp;D$8&amp;"."&amp;D13&amp;" IS '"&amp;C13&amp;"';"</f>
        <v>COMMENT ON COLUMN milscm_2023_010.azn_202310_work_shikkan_dpc.facility_id IS '施設ID';</v>
      </c>
    </row>
    <row r="14" spans="1:45" s="25" customFormat="1">
      <c r="A14" s="4"/>
      <c r="B14" s="21">
        <f t="shared" ref="B14" si="2">ROW()-12</f>
        <v>2</v>
      </c>
      <c r="C14" s="6" t="s">
        <v>1842</v>
      </c>
      <c r="D14" s="6" t="s">
        <v>1843</v>
      </c>
      <c r="E14" s="8" t="s">
        <v>4013</v>
      </c>
      <c r="F14" s="7" t="s">
        <v>1826</v>
      </c>
      <c r="G14" s="7" t="str">
        <f t="shared" ref="G14" si="3">IF(F14="フラグ","boolean",IF(F14="文字列","text",IF(F14="整数","integer",IF(F14="実数","numeric",""))))</f>
        <v>text</v>
      </c>
      <c r="H14" s="26"/>
      <c r="I14" s="10" t="s">
        <v>127</v>
      </c>
      <c r="J14" s="11" t="s">
        <v>1844</v>
      </c>
      <c r="M14" s="4"/>
      <c r="N14" s="97"/>
      <c r="O14" s="97"/>
      <c r="P14" s="97" t="str">
        <f t="shared" ref="P14" si="4">IF(B14&lt;&gt;1,","&amp;D14,D14)</f>
        <v>,himoduke_id</v>
      </c>
      <c r="Q14" s="97" t="str">
        <f t="shared" si="0"/>
        <v>TEXT</v>
      </c>
      <c r="R14" s="97" t="str">
        <f t="shared" si="1"/>
        <v/>
      </c>
      <c r="S14" s="97" t="str">
        <f t="shared" ref="S14" si="5">IF(I14="○","NOT NULL","")</f>
        <v>NOT NULL</v>
      </c>
      <c r="T14" s="97" t="str">
        <f t="shared" ref="T14" si="6">"-- "&amp;C14</f>
        <v>-- 紐付けID</v>
      </c>
      <c r="U14" s="4"/>
      <c r="AA14" s="4"/>
      <c r="AB14" s="4"/>
      <c r="AC14" s="4"/>
      <c r="AD14" s="4"/>
      <c r="AE14" s="4"/>
      <c r="AF14" s="4"/>
      <c r="AG14" s="4"/>
      <c r="AH14" s="4"/>
      <c r="AI14" s="4"/>
      <c r="AJ14" s="97" t="str">
        <f>IF(E14="○",IF(COUNTA(E$13:E14)=1,"",",")&amp;D14,"")</f>
        <v>,himoduke_id</v>
      </c>
      <c r="AK14" s="4"/>
      <c r="AL14" s="4"/>
      <c r="AM14" s="4"/>
      <c r="AN14" s="4"/>
      <c r="AO14" s="4"/>
      <c r="AP14" s="4"/>
      <c r="AQ14" s="4"/>
      <c r="AR14" s="4"/>
      <c r="AS14" s="97" t="str">
        <f>"COMMENT ON COLUMN "&amp;エンティティ一覧!$O$2&amp;"."&amp;D$8&amp;"."&amp;D14&amp;" IS '"&amp;C14&amp;"';"</f>
        <v>COMMENT ON COLUMN milscm_2023_010.azn_202310_work_shikkan_dpc.himoduke_id IS '紐付けID';</v>
      </c>
    </row>
    <row r="15" spans="1:45" s="25" customFormat="1">
      <c r="A15" s="4"/>
      <c r="B15" s="21">
        <f t="shared" ref="B15:B17" si="7">ROW()-12</f>
        <v>3</v>
      </c>
      <c r="C15" s="6" t="s">
        <v>663</v>
      </c>
      <c r="D15" s="6" t="s">
        <v>4158</v>
      </c>
      <c r="E15" s="8" t="s">
        <v>127</v>
      </c>
      <c r="F15" s="7" t="s">
        <v>1826</v>
      </c>
      <c r="G15" s="7" t="str">
        <f t="shared" ref="G15" si="8">IF(F15="フラグ","boolean",IF(F15="文字列","text",IF(F15="整数","integer",IF(F15="実数","numeric",""))))</f>
        <v>text</v>
      </c>
      <c r="H15" s="26"/>
      <c r="I15" s="10" t="s">
        <v>127</v>
      </c>
      <c r="J15" s="11"/>
      <c r="M15" s="4"/>
      <c r="N15" s="97"/>
      <c r="O15" s="97"/>
      <c r="P15" s="97" t="str">
        <f t="shared" ref="P15" si="9">IF(B15&lt;&gt;1,","&amp;D15,D15)</f>
        <v>,shobyo_code</v>
      </c>
      <c r="Q15" s="97" t="str">
        <f t="shared" ref="Q15" si="10">UPPER(G15)</f>
        <v>TEXT</v>
      </c>
      <c r="R15" s="97" t="str">
        <f t="shared" ref="R15" si="11">IF(H15&lt;&gt;"","default "&amp;IF(G15="text","'"&amp;H15&amp;"'",H15),"")</f>
        <v/>
      </c>
      <c r="S15" s="97" t="str">
        <f t="shared" ref="S15" si="12">IF(I15="○","NOT NULL","")</f>
        <v>NOT NULL</v>
      </c>
      <c r="T15" s="97" t="str">
        <f t="shared" ref="T15" si="13">"-- "&amp;C15</f>
        <v>-- 傷病名コード</v>
      </c>
      <c r="U15" s="4"/>
      <c r="AA15" s="4"/>
      <c r="AB15" s="4"/>
      <c r="AC15" s="4"/>
      <c r="AD15" s="4"/>
      <c r="AE15" s="4"/>
      <c r="AF15" s="4"/>
      <c r="AG15" s="4"/>
      <c r="AH15" s="4"/>
      <c r="AI15" s="4"/>
      <c r="AJ15" s="97" t="str">
        <f>IF(E15="○",IF(COUNTA(E$13:E15)=1,"",",")&amp;D15,"")</f>
        <v>,shobyo_code</v>
      </c>
      <c r="AK15" s="4"/>
      <c r="AL15" s="4"/>
      <c r="AM15" s="4"/>
      <c r="AN15" s="4"/>
      <c r="AO15" s="4"/>
      <c r="AP15" s="4"/>
      <c r="AQ15" s="4"/>
      <c r="AR15" s="4"/>
      <c r="AS15" s="97" t="str">
        <f>"COMMENT ON COLUMN "&amp;エンティティ一覧!$O$2&amp;"."&amp;D$8&amp;"."&amp;D15&amp;" IS '"&amp;C15&amp;"';"</f>
        <v>COMMENT ON COLUMN milscm_2023_010.azn_202310_work_shikkan_dpc.shobyo_code IS '傷病名コード';</v>
      </c>
    </row>
    <row r="16" spans="1:45" s="25" customFormat="1">
      <c r="A16" s="4"/>
      <c r="B16" s="21">
        <f t="shared" si="7"/>
        <v>4</v>
      </c>
      <c r="C16" s="6" t="s">
        <v>1070</v>
      </c>
      <c r="D16" s="6" t="s">
        <v>4159</v>
      </c>
      <c r="E16" s="8" t="s">
        <v>127</v>
      </c>
      <c r="F16" s="7" t="s">
        <v>1826</v>
      </c>
      <c r="G16" s="7" t="str">
        <f t="shared" ref="G16" si="14">IF(F16="フラグ","boolean",IF(F16="文字列","text",IF(F16="整数","integer",IF(F16="実数","numeric",""))))</f>
        <v>text</v>
      </c>
      <c r="H16" s="26"/>
      <c r="I16" s="10" t="s">
        <v>127</v>
      </c>
      <c r="J16" s="11"/>
      <c r="M16" s="4"/>
      <c r="N16" s="97"/>
      <c r="O16" s="97"/>
      <c r="P16" s="97" t="str">
        <f t="shared" ref="P16" si="15">IF(B16&lt;&gt;1,","&amp;D16,D16)</f>
        <v>,shinryo_start_date</v>
      </c>
      <c r="Q16" s="97" t="str">
        <f t="shared" ref="Q16" si="16">UPPER(G16)</f>
        <v>TEXT</v>
      </c>
      <c r="R16" s="97" t="str">
        <f t="shared" ref="R16" si="17">IF(H16&lt;&gt;"","default "&amp;IF(G16="text","'"&amp;H16&amp;"'",H16),"")</f>
        <v/>
      </c>
      <c r="S16" s="97" t="str">
        <f t="shared" ref="S16" si="18">IF(I16="○","NOT NULL","")</f>
        <v>NOT NULL</v>
      </c>
      <c r="T16" s="97" t="str">
        <f t="shared" ref="T16" si="19">"-- "&amp;C16</f>
        <v>-- 診療開始日</v>
      </c>
      <c r="U16" s="4"/>
      <c r="AA16" s="4"/>
      <c r="AB16" s="4"/>
      <c r="AC16" s="4"/>
      <c r="AD16" s="4"/>
      <c r="AE16" s="4"/>
      <c r="AF16" s="4"/>
      <c r="AG16" s="4"/>
      <c r="AH16" s="4"/>
      <c r="AI16" s="4"/>
      <c r="AJ16" s="97" t="str">
        <f>IF(E16="○",IF(COUNTA(E$13:E16)=1,"",",")&amp;D16,"")</f>
        <v>,shinryo_start_date</v>
      </c>
      <c r="AK16" s="4"/>
      <c r="AL16" s="4"/>
      <c r="AM16" s="4"/>
      <c r="AN16" s="4"/>
      <c r="AO16" s="4"/>
      <c r="AP16" s="4"/>
      <c r="AQ16" s="4"/>
      <c r="AR16" s="4"/>
      <c r="AS16" s="97" t="str">
        <f>"COMMENT ON COLUMN "&amp;エンティティ一覧!$O$2&amp;"."&amp;D$8&amp;"."&amp;D16&amp;" IS '"&amp;C16&amp;"';"</f>
        <v>COMMENT ON COLUMN milscm_2023_010.azn_202310_work_shikkan_dpc.shinryo_start_date IS '診療開始日';</v>
      </c>
    </row>
    <row r="17" spans="1:52" s="25" customFormat="1" ht="19.5" thickBot="1">
      <c r="A17" s="4"/>
      <c r="B17" s="65">
        <f t="shared" si="7"/>
        <v>5</v>
      </c>
      <c r="C17" s="28" t="s">
        <v>4000</v>
      </c>
      <c r="D17" s="28" t="s">
        <v>4186</v>
      </c>
      <c r="E17" s="29" t="s">
        <v>127</v>
      </c>
      <c r="F17" s="56" t="s">
        <v>1735</v>
      </c>
      <c r="G17" s="56" t="str">
        <f>IF(F17="フラグ","boolean",IF(F17="文字列","text",IF(F17="整数","integer",IF(F17="実数","numeric",""))))</f>
        <v>text</v>
      </c>
      <c r="H17" s="30"/>
      <c r="I17" s="31" t="s">
        <v>127</v>
      </c>
      <c r="J17" s="68"/>
      <c r="M17" s="4"/>
      <c r="N17" s="97"/>
      <c r="O17" s="97"/>
      <c r="P17" s="97" t="str">
        <f>IF(B17&lt;&gt;1,","&amp;D17,D17)</f>
        <v>,disp_name</v>
      </c>
      <c r="Q17" s="97" t="str">
        <f>UPPER(G17)</f>
        <v>TEXT</v>
      </c>
      <c r="R17" s="97" t="str">
        <f>IF(H17&lt;&gt;"","default "&amp;IF(G17="text","'"&amp;H17&amp;"'",H17),"")</f>
        <v/>
      </c>
      <c r="S17" s="97" t="str">
        <f>IF(I17="○","NOT NULL","")</f>
        <v>NOT NULL</v>
      </c>
      <c r="T17" s="97" t="str">
        <f>"-- "&amp;C17</f>
        <v>-- 表示名</v>
      </c>
      <c r="U17" s="4"/>
      <c r="AA17" s="4"/>
      <c r="AB17" s="4"/>
      <c r="AC17" s="4"/>
      <c r="AD17" s="4"/>
      <c r="AE17" s="4"/>
      <c r="AF17" s="4"/>
      <c r="AG17" s="4"/>
      <c r="AH17" s="4"/>
      <c r="AI17" s="4"/>
      <c r="AJ17" s="97" t="str">
        <f>IF(E17="○",IF(COUNTA(E$15:E17)=1,"",",")&amp;D17,"")</f>
        <v>,disp_name</v>
      </c>
      <c r="AK17" s="4"/>
      <c r="AL17" s="4"/>
      <c r="AM17" s="4"/>
      <c r="AN17" s="4"/>
      <c r="AO17" s="4"/>
      <c r="AP17" s="4"/>
      <c r="AQ17" s="4"/>
      <c r="AR17" s="4"/>
      <c r="AS17" s="97" t="str">
        <f>"COMMENT ON COLUMN "&amp;エンティティ一覧!$O$2&amp;"."&amp;D$8&amp;"."&amp;D17&amp;" IS '"&amp;C17&amp;"';"</f>
        <v>COMMENT ON COLUMN milscm_2023_010.azn_202310_work_shikkan_dpc.disp_name IS '表示名';</v>
      </c>
    </row>
    <row r="18" spans="1:52">
      <c r="L18" s="25"/>
      <c r="M18" s="25"/>
      <c r="N18" s="97" t="s">
        <v>142</v>
      </c>
      <c r="O18" s="97"/>
      <c r="P18" s="97"/>
      <c r="Q18" s="97"/>
      <c r="R18" s="97"/>
      <c r="S18" s="97"/>
      <c r="T18" s="97"/>
      <c r="V18" s="25"/>
      <c r="W18" s="25"/>
      <c r="X18" s="25"/>
      <c r="Y18" s="25"/>
      <c r="Z18" s="25"/>
      <c r="AJ18" s="97"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election activeCell="C14" sqref="C14:D14"/>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41</v>
      </c>
      <c r="E4" s="248"/>
      <c r="F4" s="248"/>
      <c r="G4" s="248"/>
      <c r="H4" s="248"/>
      <c r="I4" s="248"/>
      <c r="J4" s="249"/>
    </row>
    <row r="5" spans="1:45">
      <c r="B5" s="261" t="s">
        <v>3704</v>
      </c>
      <c r="C5" s="262"/>
      <c r="D5" s="271" t="str">
        <f>VLOOKUP(D7,エンティティ一覧!A1:'エンティティ一覧'!AM10203,7,FALSE)</f>
        <v>work</v>
      </c>
      <c r="E5" s="272"/>
      <c r="F5" s="272"/>
      <c r="G5" s="272"/>
      <c r="H5" s="272"/>
      <c r="I5" s="272"/>
      <c r="J5" s="273"/>
    </row>
    <row r="6" spans="1:45">
      <c r="B6" s="261" t="s">
        <v>3705</v>
      </c>
      <c r="C6" s="262"/>
      <c r="D6" s="271" t="str">
        <f>VLOOKUP(D7,エンティティ一覧!A1:'エンティティ一覧'!AM10203,15,FALSE)</f>
        <v>ENT_41_04</v>
      </c>
      <c r="E6" s="272"/>
      <c r="F6" s="272"/>
      <c r="G6" s="272"/>
      <c r="H6" s="272"/>
      <c r="I6" s="272"/>
      <c r="J6" s="273"/>
    </row>
    <row r="7" spans="1:45">
      <c r="B7" s="261" t="s">
        <v>115</v>
      </c>
      <c r="C7" s="262"/>
      <c r="D7" s="263" t="s">
        <v>4295</v>
      </c>
      <c r="E7" s="264"/>
      <c r="F7" s="264"/>
      <c r="G7" s="264"/>
      <c r="H7" s="264"/>
      <c r="I7" s="264"/>
      <c r="J7" s="265"/>
    </row>
    <row r="8" spans="1:45">
      <c r="B8" s="261" t="s">
        <v>116</v>
      </c>
      <c r="C8" s="262"/>
      <c r="D8" s="263" t="str">
        <f>エンティティ一覧!AE2&amp;"_"&amp;D5&amp;"_shohou"</f>
        <v>azn_202310_work_shohou</v>
      </c>
      <c r="E8" s="264"/>
      <c r="F8" s="264"/>
      <c r="G8" s="264"/>
      <c r="H8" s="264"/>
      <c r="I8" s="264"/>
      <c r="J8" s="265"/>
    </row>
    <row r="9" spans="1:45" ht="19.5" customHeight="1" thickBot="1">
      <c r="B9" s="266" t="s">
        <v>117</v>
      </c>
      <c r="C9" s="267"/>
      <c r="D9" s="268" t="s">
        <v>4160</v>
      </c>
      <c r="E9" s="269"/>
      <c r="F9" s="269"/>
      <c r="G9" s="269"/>
      <c r="H9" s="269"/>
      <c r="I9" s="269"/>
      <c r="J9" s="270"/>
    </row>
    <row r="10" spans="1:45">
      <c r="B10" s="19"/>
      <c r="C10" s="19"/>
      <c r="D10" s="5"/>
      <c r="E10" s="5"/>
      <c r="F10" s="5"/>
      <c r="G10" s="5"/>
      <c r="H10" s="5"/>
      <c r="I10" s="5"/>
      <c r="J10" s="18"/>
      <c r="N10" s="97" t="str">
        <f>"--DROP TABLE  "&amp;エンティティ一覧!$O$2&amp;"."&amp;D$8&amp;";"</f>
        <v>--DROP TABLE  milscm_2023_010.azn_202310_work_shohou;</v>
      </c>
      <c r="O10" s="97"/>
      <c r="P10" s="97"/>
      <c r="Q10" s="97"/>
      <c r="R10" s="97"/>
      <c r="S10" s="97"/>
      <c r="T10" s="97"/>
      <c r="AJ10" s="97" t="str">
        <f>"ALTER TABLE ONLY "&amp;エンティティ一覧!$O$2&amp;"."&amp;D$8</f>
        <v>ALTER TABLE ONLY milscm_2023_010.azn_202310_work_shohou</v>
      </c>
      <c r="AS10" s="97" t="str">
        <f>"ALTER TABLE "&amp;エンティティ一覧!$O$2&amp;"."&amp;D$8&amp;" OWNER TO pgmisgrp1;"</f>
        <v>ALTER TABLE milscm_2023_010.azn_202310_work_shohou OWNER TO pgmisgrp1;</v>
      </c>
    </row>
    <row r="11" spans="1:45" ht="19.5" thickBot="1">
      <c r="B11" s="20" t="s">
        <v>118</v>
      </c>
      <c r="C11" s="19"/>
      <c r="D11" s="5"/>
      <c r="E11" s="5"/>
      <c r="F11" s="5"/>
      <c r="G11" s="5"/>
      <c r="H11" s="5"/>
      <c r="I11" s="5"/>
      <c r="J11" s="18"/>
      <c r="N11" s="97" t="str">
        <f>"CREATE TABLE  "&amp;エンティティ一覧!$O$2&amp;"."&amp;D$8</f>
        <v>CREATE TABLE  milscm_2023_010.azn_202310_work_shohou</v>
      </c>
      <c r="O11" s="97"/>
      <c r="P11" s="97"/>
      <c r="Q11" s="97"/>
      <c r="R11" s="97"/>
      <c r="S11" s="97"/>
      <c r="T11" s="97"/>
      <c r="AJ11" s="97" t="str">
        <f>"ADD CONSTRAINT "&amp;D$8&amp;"_pkey PRIMARY KEY"</f>
        <v>ADD CONSTRAINT azn_202310_work_shohou_pkey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milscm_2023_010.azn_202310_work_shohou IS 'ワーク_処方データ';</v>
      </c>
    </row>
    <row r="13" spans="1:45" s="25" customFormat="1">
      <c r="A13" s="4"/>
      <c r="B13" s="21">
        <f>ROW()-12</f>
        <v>1</v>
      </c>
      <c r="C13" s="6" t="s">
        <v>137</v>
      </c>
      <c r="D13" s="6" t="s">
        <v>128</v>
      </c>
      <c r="E13" s="8" t="s">
        <v>4013</v>
      </c>
      <c r="F13" s="8" t="s">
        <v>1826</v>
      </c>
      <c r="G13" s="7" t="str">
        <f>IF(F13="フラグ","boolean",IF(F13="文字列","text",IF(F13="整数","integer",IF(F13="実数","numeric",""))))</f>
        <v>text</v>
      </c>
      <c r="H13" s="9"/>
      <c r="I13" s="10" t="s">
        <v>127</v>
      </c>
      <c r="J13" s="11"/>
      <c r="M13" s="4"/>
      <c r="N13" s="97"/>
      <c r="O13" s="97"/>
      <c r="P13" s="97" t="str">
        <f>IF(B13&lt;&gt;1,","&amp;D13,D13)</f>
        <v>facility_id</v>
      </c>
      <c r="Q13" s="97" t="str">
        <f t="shared" ref="Q13:Q19" si="0">UPPER(G13)</f>
        <v>TEXT</v>
      </c>
      <c r="R13" s="97" t="str">
        <f t="shared" ref="R13:R19" si="1">IF(H13&lt;&gt;"","default "&amp;IF(G13="text","'"&amp;H13&amp;"'",H13),"")</f>
        <v/>
      </c>
      <c r="S13" s="97" t="str">
        <f>IF(I13="○","NOT NULL","")</f>
        <v>NOT NULL</v>
      </c>
      <c r="T13" s="97" t="str">
        <f>"-- "&amp;C13</f>
        <v>-- 施設ID</v>
      </c>
      <c r="U13" s="4"/>
      <c r="AA13" s="4"/>
      <c r="AB13" s="4"/>
      <c r="AC13" s="4"/>
      <c r="AD13" s="4"/>
      <c r="AE13" s="4"/>
      <c r="AF13" s="4"/>
      <c r="AG13" s="4"/>
      <c r="AH13" s="4"/>
      <c r="AI13" s="4"/>
      <c r="AJ13" s="97" t="str">
        <f>IF(E13="○",IF(COUNTA(E$13:E13)=1,"",",")&amp;D13,"")</f>
        <v>facility_id</v>
      </c>
      <c r="AK13" s="4"/>
      <c r="AL13" s="4"/>
      <c r="AM13" s="4"/>
      <c r="AN13" s="4"/>
      <c r="AO13" s="4"/>
      <c r="AP13" s="4"/>
      <c r="AQ13" s="4"/>
      <c r="AR13" s="4"/>
      <c r="AS13" s="97" t="str">
        <f>"COMMENT ON COLUMN "&amp;エンティティ一覧!$O$2&amp;"."&amp;D$8&amp;"."&amp;D13&amp;" IS '"&amp;C13&amp;"';"</f>
        <v>COMMENT ON COLUMN milscm_2023_010.azn_202310_work_shohou.facility_id IS '施設ID';</v>
      </c>
    </row>
    <row r="14" spans="1:45" s="25" customFormat="1">
      <c r="A14" s="4"/>
      <c r="B14" s="21">
        <f t="shared" ref="B14:B20" si="2">ROW()-12</f>
        <v>2</v>
      </c>
      <c r="C14" s="6" t="s">
        <v>4015</v>
      </c>
      <c r="D14" s="6" t="s">
        <v>1843</v>
      </c>
      <c r="E14" s="8" t="s">
        <v>4013</v>
      </c>
      <c r="F14" s="7" t="s">
        <v>1826</v>
      </c>
      <c r="G14" s="7" t="str">
        <f t="shared" ref="G14:G19" si="3">IF(F14="フラグ","boolean",IF(F14="文字列","text",IF(F14="整数","integer",IF(F14="実数","numeric",""))))</f>
        <v>text</v>
      </c>
      <c r="H14" s="26"/>
      <c r="I14" s="10" t="s">
        <v>127</v>
      </c>
      <c r="J14" s="11"/>
      <c r="M14" s="4"/>
      <c r="N14" s="97"/>
      <c r="O14" s="97"/>
      <c r="P14" s="97" t="str">
        <f t="shared" ref="P14:P19" si="4">IF(B14&lt;&gt;1,","&amp;D14,D14)</f>
        <v>,himoduke_id</v>
      </c>
      <c r="Q14" s="97" t="str">
        <f t="shared" si="0"/>
        <v>TEXT</v>
      </c>
      <c r="R14" s="97" t="str">
        <f t="shared" si="1"/>
        <v/>
      </c>
      <c r="S14" s="97" t="str">
        <f t="shared" ref="S14:S19" si="5">IF(I14="○","NOT NULL","")</f>
        <v>NOT NULL</v>
      </c>
      <c r="T14" s="97" t="str">
        <f t="shared" ref="T14:T19" si="6">"-- "&amp;C14</f>
        <v>-- 紐付けID</v>
      </c>
      <c r="U14" s="4"/>
      <c r="AA14" s="4"/>
      <c r="AB14" s="4"/>
      <c r="AC14" s="4"/>
      <c r="AD14" s="4"/>
      <c r="AE14" s="4"/>
      <c r="AF14" s="4"/>
      <c r="AG14" s="4"/>
      <c r="AH14" s="4"/>
      <c r="AI14" s="4"/>
      <c r="AJ14" s="97" t="str">
        <f>IF(E14="○",IF(COUNTA(E$13:E14)=1,"",",")&amp;D14,"")</f>
        <v>,himoduke_id</v>
      </c>
      <c r="AK14" s="4"/>
      <c r="AL14" s="4"/>
      <c r="AM14" s="4"/>
      <c r="AN14" s="4"/>
      <c r="AO14" s="4"/>
      <c r="AP14" s="4"/>
      <c r="AQ14" s="4"/>
      <c r="AR14" s="4"/>
      <c r="AS14" s="97" t="str">
        <f>"COMMENT ON COLUMN "&amp;エンティティ一覧!$O$2&amp;"."&amp;D$8&amp;"."&amp;D14&amp;" IS '"&amp;C14&amp;"';"</f>
        <v>COMMENT ON COLUMN milscm_2023_010.azn_202310_work_shohou.himoduke_id IS '紐付けID';</v>
      </c>
    </row>
    <row r="15" spans="1:45" s="25" customFormat="1">
      <c r="A15" s="4"/>
      <c r="B15" s="21">
        <f t="shared" si="2"/>
        <v>3</v>
      </c>
      <c r="C15" s="6" t="s">
        <v>145</v>
      </c>
      <c r="D15" s="6" t="s">
        <v>4162</v>
      </c>
      <c r="E15" s="8" t="s">
        <v>4013</v>
      </c>
      <c r="F15" s="7" t="s">
        <v>1826</v>
      </c>
      <c r="G15" s="7" t="str">
        <f t="shared" si="3"/>
        <v>text</v>
      </c>
      <c r="H15" s="26"/>
      <c r="I15" s="10" t="s">
        <v>127</v>
      </c>
      <c r="J15" s="117"/>
      <c r="M15" s="4"/>
      <c r="N15" s="97"/>
      <c r="O15" s="97"/>
      <c r="P15" s="97" t="str">
        <f t="shared" si="4"/>
        <v>,receipt_densan_code</v>
      </c>
      <c r="Q15" s="97" t="str">
        <f t="shared" si="0"/>
        <v>TEXT</v>
      </c>
      <c r="R15" s="97" t="str">
        <f t="shared" si="1"/>
        <v/>
      </c>
      <c r="S15" s="97" t="str">
        <f t="shared" si="5"/>
        <v>NOT NULL</v>
      </c>
      <c r="T15" s="97" t="str">
        <f t="shared" si="6"/>
        <v>-- レセプト電算処理システム用コード</v>
      </c>
      <c r="U15" s="4"/>
      <c r="AA15" s="4"/>
      <c r="AB15" s="4"/>
      <c r="AC15" s="4"/>
      <c r="AD15" s="4"/>
      <c r="AE15" s="4"/>
      <c r="AF15" s="4"/>
      <c r="AG15" s="4"/>
      <c r="AH15" s="4"/>
      <c r="AI15" s="4"/>
      <c r="AJ15" s="97" t="str">
        <f>IF(E15="○",IF(COUNTA(E$13:E15)=1,"",",")&amp;D15,"")</f>
        <v>,receipt_densan_code</v>
      </c>
      <c r="AK15" s="4"/>
      <c r="AL15" s="4"/>
      <c r="AM15" s="4"/>
      <c r="AN15" s="4"/>
      <c r="AO15" s="4"/>
      <c r="AP15" s="4"/>
      <c r="AQ15" s="4"/>
      <c r="AR15" s="4"/>
      <c r="AS15" s="97" t="str">
        <f>"COMMENT ON COLUMN "&amp;エンティティ一覧!$O$2&amp;"."&amp;D$8&amp;"."&amp;D15&amp;" IS '"&amp;C15&amp;"';"</f>
        <v>COMMENT ON COLUMN milscm_2023_010.azn_202310_work_shohou.receipt_densan_code IS 'レセプト電算処理システム用コード';</v>
      </c>
    </row>
    <row r="16" spans="1:45" s="25" customFormat="1">
      <c r="A16" s="4"/>
      <c r="B16" s="21">
        <f t="shared" si="2"/>
        <v>4</v>
      </c>
      <c r="C16" s="6" t="s">
        <v>1741</v>
      </c>
      <c r="D16" s="6" t="s">
        <v>129</v>
      </c>
      <c r="E16" s="8"/>
      <c r="F16" s="7" t="s">
        <v>1742</v>
      </c>
      <c r="G16" s="7" t="str">
        <f t="shared" ref="G16:G18" si="7">IF(F16="フラグ","boolean",IF(F16="文字列","text",IF(F16="整数","integer",IF(F16="実数","numeric",""))))</f>
        <v>numeric</v>
      </c>
      <c r="H16" s="26"/>
      <c r="I16" s="10"/>
      <c r="J16" s="11"/>
      <c r="M16" s="4"/>
      <c r="N16" s="97"/>
      <c r="O16" s="97"/>
      <c r="P16" s="97" t="str">
        <f t="shared" ref="P16:P18" si="8">IF(B16&lt;&gt;1,","&amp;D16,D16)</f>
        <v>,shiyoryo</v>
      </c>
      <c r="Q16" s="97" t="str">
        <f t="shared" ref="Q16:Q18" si="9">UPPER(G16)</f>
        <v>NUMERIC</v>
      </c>
      <c r="R16" s="97" t="str">
        <f t="shared" ref="R16:R18" si="10">IF(H16&lt;&gt;"","default "&amp;IF(G16="text","'"&amp;H16&amp;"'",H16),"")</f>
        <v/>
      </c>
      <c r="S16" s="97" t="str">
        <f t="shared" ref="S16:S18" si="11">IF(I16="○","NOT NULL","")</f>
        <v/>
      </c>
      <c r="T16" s="97" t="str">
        <f t="shared" ref="T16:T18" si="12">"-- "&amp;C16</f>
        <v>-- 使用量</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"&amp;エンティティ一覧!$O$2&amp;"."&amp;D$8&amp;"."&amp;D16&amp;" IS '"&amp;C16&amp;"';"</f>
        <v>COMMENT ON COLUMN milscm_2023_010.azn_202310_work_shohou.shiyoryo IS '使用量';</v>
      </c>
    </row>
    <row r="17" spans="1:52" s="25" customFormat="1">
      <c r="A17" s="4"/>
      <c r="B17" s="21">
        <f t="shared" si="2"/>
        <v>5</v>
      </c>
      <c r="C17" s="6" t="s">
        <v>1743</v>
      </c>
      <c r="D17" s="6" t="s">
        <v>275</v>
      </c>
      <c r="E17" s="8"/>
      <c r="F17" s="7" t="s">
        <v>1735</v>
      </c>
      <c r="G17" s="7" t="str">
        <f t="shared" si="7"/>
        <v>text</v>
      </c>
      <c r="H17" s="26"/>
      <c r="I17" s="10"/>
      <c r="J17" s="11"/>
      <c r="M17" s="4"/>
      <c r="N17" s="97"/>
      <c r="O17" s="97"/>
      <c r="P17" s="97" t="str">
        <f t="shared" si="8"/>
        <v>,unit</v>
      </c>
      <c r="Q17" s="97" t="str">
        <f t="shared" si="9"/>
        <v>TEXT</v>
      </c>
      <c r="R17" s="97" t="str">
        <f t="shared" si="10"/>
        <v/>
      </c>
      <c r="S17" s="97" t="str">
        <f t="shared" si="11"/>
        <v/>
      </c>
      <c r="T17" s="97" t="str">
        <f t="shared" si="12"/>
        <v>-- 基準単位</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milscm_2023_010.azn_202310_work_shohou.unit IS '基準単位';</v>
      </c>
    </row>
    <row r="18" spans="1:52" s="25" customFormat="1">
      <c r="A18" s="4"/>
      <c r="B18" s="21">
        <f t="shared" si="2"/>
        <v>6</v>
      </c>
      <c r="C18" s="6" t="s">
        <v>148</v>
      </c>
      <c r="D18" s="6" t="s">
        <v>4163</v>
      </c>
      <c r="E18" s="8"/>
      <c r="F18" s="7" t="s">
        <v>4167</v>
      </c>
      <c r="G18" s="7" t="str">
        <f t="shared" si="7"/>
        <v>numeric</v>
      </c>
      <c r="H18" s="26"/>
      <c r="I18" s="10"/>
      <c r="J18" s="11"/>
      <c r="M18" s="4"/>
      <c r="N18" s="97"/>
      <c r="O18" s="97"/>
      <c r="P18" s="97" t="str">
        <f t="shared" si="8"/>
        <v>,koi_times</v>
      </c>
      <c r="Q18" s="97" t="str">
        <f t="shared" si="9"/>
        <v>NUMERIC</v>
      </c>
      <c r="R18" s="97" t="str">
        <f t="shared" si="10"/>
        <v/>
      </c>
      <c r="S18" s="97" t="str">
        <f t="shared" si="11"/>
        <v/>
      </c>
      <c r="T18" s="97" t="str">
        <f t="shared" si="12"/>
        <v>-- 行為回数</v>
      </c>
      <c r="U18" s="4"/>
      <c r="AA18" s="4"/>
      <c r="AB18" s="4"/>
      <c r="AC18" s="4"/>
      <c r="AD18" s="4"/>
      <c r="AE18" s="4"/>
      <c r="AF18" s="4"/>
      <c r="AG18" s="4"/>
      <c r="AH18" s="4"/>
      <c r="AI18" s="4"/>
      <c r="AJ18" s="97" t="str">
        <f>IF(E18="○",IF(COUNTA(E$13:E18)=1,"",",")&amp;D18,"")</f>
        <v/>
      </c>
      <c r="AK18" s="4"/>
      <c r="AL18" s="4"/>
      <c r="AM18" s="4"/>
      <c r="AN18" s="4"/>
      <c r="AO18" s="4"/>
      <c r="AP18" s="4"/>
      <c r="AQ18" s="4"/>
      <c r="AR18" s="4"/>
      <c r="AS18" s="97" t="str">
        <f>"COMMENT ON COLUMN "&amp;エンティティ一覧!$O$2&amp;"."&amp;D$8&amp;"."&amp;D18&amp;" IS '"&amp;C18&amp;"';"</f>
        <v>COMMENT ON COLUMN milscm_2023_010.azn_202310_work_shohou.koi_times IS '行為回数';</v>
      </c>
    </row>
    <row r="19" spans="1:52" s="25" customFormat="1">
      <c r="A19" s="4"/>
      <c r="B19" s="21">
        <f t="shared" si="2"/>
        <v>7</v>
      </c>
      <c r="C19" s="6" t="s">
        <v>149</v>
      </c>
      <c r="D19" s="6" t="s">
        <v>4164</v>
      </c>
      <c r="E19" s="8" t="s">
        <v>4013</v>
      </c>
      <c r="F19" s="7" t="s">
        <v>1826</v>
      </c>
      <c r="G19" s="7" t="str">
        <f t="shared" si="3"/>
        <v>text</v>
      </c>
      <c r="H19" s="26"/>
      <c r="I19" s="10" t="s">
        <v>127</v>
      </c>
      <c r="J19" s="11"/>
      <c r="M19" s="4"/>
      <c r="N19" s="97"/>
      <c r="O19" s="97"/>
      <c r="P19" s="97" t="str">
        <f t="shared" si="4"/>
        <v>,jisshi_ymd</v>
      </c>
      <c r="Q19" s="97" t="str">
        <f t="shared" si="0"/>
        <v>TEXT</v>
      </c>
      <c r="R19" s="97" t="str">
        <f t="shared" si="1"/>
        <v/>
      </c>
      <c r="S19" s="97" t="str">
        <f t="shared" si="5"/>
        <v>NOT NULL</v>
      </c>
      <c r="T19" s="97" t="str">
        <f t="shared" si="6"/>
        <v>-- 実施年月日</v>
      </c>
      <c r="U19" s="4"/>
      <c r="AA19" s="4"/>
      <c r="AB19" s="4"/>
      <c r="AC19" s="4"/>
      <c r="AD19" s="4"/>
      <c r="AE19" s="4"/>
      <c r="AF19" s="4"/>
      <c r="AG19" s="4"/>
      <c r="AH19" s="4"/>
      <c r="AI19" s="4"/>
      <c r="AJ19" s="97" t="str">
        <f>IF(E19="○",IF(COUNTA(E$13:E19)=1,"",",")&amp;D19,"")</f>
        <v>,jisshi_ymd</v>
      </c>
      <c r="AK19" s="4"/>
      <c r="AL19" s="4"/>
      <c r="AM19" s="4"/>
      <c r="AN19" s="4"/>
      <c r="AO19" s="4"/>
      <c r="AP19" s="4"/>
      <c r="AQ19" s="4"/>
      <c r="AR19" s="4"/>
      <c r="AS19" s="97" t="str">
        <f>"COMMENT ON COLUMN "&amp;エンティティ一覧!$O$2&amp;"."&amp;D$8&amp;"."&amp;D19&amp;" IS '"&amp;C19&amp;"';"</f>
        <v>COMMENT ON COLUMN milscm_2023_010.azn_202310_work_shohou.jisshi_ymd IS '実施年月日';</v>
      </c>
    </row>
    <row r="20" spans="1:52" s="25" customFormat="1" ht="19.5" thickBot="1">
      <c r="A20" s="4"/>
      <c r="B20" s="65">
        <f t="shared" si="2"/>
        <v>8</v>
      </c>
      <c r="C20" s="28" t="s">
        <v>4000</v>
      </c>
      <c r="D20" s="28" t="s">
        <v>4007</v>
      </c>
      <c r="E20" s="29"/>
      <c r="F20" s="56" t="s">
        <v>1735</v>
      </c>
      <c r="G20" s="56" t="str">
        <f>IF(F20="フラグ","boolean",IF(F20="文字列","text",IF(F20="整数","integer",IF(F20="実数","numeric",""))))</f>
        <v>text</v>
      </c>
      <c r="H20" s="30"/>
      <c r="I20" s="31"/>
      <c r="J20" s="61"/>
      <c r="M20" s="4"/>
      <c r="N20" s="97"/>
      <c r="O20" s="97"/>
      <c r="P20" s="97" t="str">
        <f>IF(B20&lt;&gt;1,","&amp;D20,D20)</f>
        <v>,disp_name</v>
      </c>
      <c r="Q20" s="97" t="str">
        <f>UPPER(G20)</f>
        <v>TEXT</v>
      </c>
      <c r="R20" s="97" t="str">
        <f>IF(H20&lt;&gt;"","default "&amp;IF(G20="text","'"&amp;H20&amp;"'",H20),"")</f>
        <v/>
      </c>
      <c r="S20" s="97" t="str">
        <f>IF(I20="○","NOT NULL","")</f>
        <v/>
      </c>
      <c r="T20" s="97" t="str">
        <f>"-- "&amp;C20</f>
        <v>-- 表示名</v>
      </c>
      <c r="U20" s="4"/>
      <c r="AA20" s="4"/>
      <c r="AB20" s="4"/>
      <c r="AC20" s="4"/>
      <c r="AD20" s="4"/>
      <c r="AE20" s="4"/>
      <c r="AF20" s="4"/>
      <c r="AG20" s="4"/>
      <c r="AH20" s="4"/>
      <c r="AI20" s="4"/>
      <c r="AJ20" s="97" t="str">
        <f>IF(E20="○",IF(COUNTA(E$13:E20)=1,"",",")&amp;D20,"")</f>
        <v/>
      </c>
      <c r="AK20" s="4"/>
      <c r="AL20" s="4"/>
      <c r="AM20" s="4"/>
      <c r="AN20" s="4"/>
      <c r="AO20" s="4"/>
      <c r="AP20" s="4"/>
      <c r="AQ20" s="4"/>
      <c r="AR20" s="4"/>
      <c r="AS20" s="97" t="str">
        <f>"COMMENT ON COLUMN "&amp;エンティティ一覧!$O$2&amp;"."&amp;D$8&amp;"."&amp;D20&amp;" IS '"&amp;C20&amp;"';"</f>
        <v>COMMENT ON COLUMN milscm_2023_010.azn_202310_work_shohou.disp_name IS '表示名';</v>
      </c>
    </row>
    <row r="21" spans="1:52">
      <c r="L21" s="25"/>
      <c r="M21" s="25"/>
      <c r="N21" s="97" t="s">
        <v>142</v>
      </c>
      <c r="O21" s="97"/>
      <c r="P21" s="97"/>
      <c r="Q21" s="97"/>
      <c r="R21" s="97"/>
      <c r="S21" s="97"/>
      <c r="T21" s="97"/>
      <c r="V21" s="25"/>
      <c r="W21" s="25"/>
      <c r="X21" s="25"/>
      <c r="Y21" s="25"/>
      <c r="Z21" s="25"/>
      <c r="AJ21" s="97"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41</v>
      </c>
      <c r="E4" s="248"/>
      <c r="F4" s="248"/>
      <c r="G4" s="248"/>
      <c r="H4" s="248"/>
      <c r="I4" s="248"/>
      <c r="J4" s="249"/>
    </row>
    <row r="5" spans="1:45">
      <c r="B5" s="261" t="s">
        <v>3704</v>
      </c>
      <c r="C5" s="262"/>
      <c r="D5" s="271" t="str">
        <f>VLOOKUP(D7,エンティティ一覧!A1:'エンティティ一覧'!AM10203,7,FALSE)</f>
        <v>work</v>
      </c>
      <c r="E5" s="272"/>
      <c r="F5" s="272"/>
      <c r="G5" s="272"/>
      <c r="H5" s="272"/>
      <c r="I5" s="272"/>
      <c r="J5" s="273"/>
    </row>
    <row r="6" spans="1:45">
      <c r="B6" s="261" t="s">
        <v>3705</v>
      </c>
      <c r="C6" s="262"/>
      <c r="D6" s="271" t="str">
        <f>VLOOKUP(D7,エンティティ一覧!A1:'エンティティ一覧'!AM10203,15,FALSE)</f>
        <v>ENT_41_05</v>
      </c>
      <c r="E6" s="272"/>
      <c r="F6" s="272"/>
      <c r="G6" s="272"/>
      <c r="H6" s="272"/>
      <c r="I6" s="272"/>
      <c r="J6" s="273"/>
    </row>
    <row r="7" spans="1:45">
      <c r="B7" s="261" t="s">
        <v>115</v>
      </c>
      <c r="C7" s="262"/>
      <c r="D7" s="263" t="s">
        <v>4103</v>
      </c>
      <c r="E7" s="264"/>
      <c r="F7" s="264"/>
      <c r="G7" s="264"/>
      <c r="H7" s="264"/>
      <c r="I7" s="264"/>
      <c r="J7" s="265"/>
    </row>
    <row r="8" spans="1:45">
      <c r="B8" s="261" t="s">
        <v>116</v>
      </c>
      <c r="C8" s="262"/>
      <c r="D8" s="263" t="str">
        <f>エンティティ一覧!AE2&amp;"_"&amp;D5&amp;"_vital_dpc"</f>
        <v>azn_202310_work_vital_dpc</v>
      </c>
      <c r="E8" s="264"/>
      <c r="F8" s="264"/>
      <c r="G8" s="264"/>
      <c r="H8" s="264"/>
      <c r="I8" s="264"/>
      <c r="J8" s="265"/>
    </row>
    <row r="9" spans="1:45" ht="19.5" customHeight="1" thickBot="1">
      <c r="B9" s="266" t="s">
        <v>117</v>
      </c>
      <c r="C9" s="267"/>
      <c r="D9" s="268" t="s">
        <v>4168</v>
      </c>
      <c r="E9" s="269"/>
      <c r="F9" s="269"/>
      <c r="G9" s="269"/>
      <c r="H9" s="269"/>
      <c r="I9" s="269"/>
      <c r="J9" s="270"/>
    </row>
    <row r="10" spans="1:45">
      <c r="B10" s="19"/>
      <c r="C10" s="19"/>
      <c r="D10" s="5"/>
      <c r="E10" s="5"/>
      <c r="F10" s="5"/>
      <c r="G10" s="5"/>
      <c r="H10" s="5"/>
      <c r="I10" s="5"/>
      <c r="J10" s="18"/>
      <c r="N10" s="97" t="str">
        <f>"--DROP TABLE  "&amp;エンティティ一覧!$O$2&amp;"."&amp;D$8&amp;";"</f>
        <v>--DROP TABLE  milscm_2023_010.azn_202310_work_vital_dpc;</v>
      </c>
      <c r="O10" s="97"/>
      <c r="P10" s="97"/>
      <c r="Q10" s="97"/>
      <c r="R10" s="97"/>
      <c r="S10" s="97"/>
      <c r="T10" s="97"/>
      <c r="AJ10" s="97" t="str">
        <f>"ALTER TABLE ONLY "&amp;エンティティ一覧!$O$2&amp;"."&amp;D$8</f>
        <v>ALTER TABLE ONLY milscm_2023_010.azn_202310_work_vital_dpc</v>
      </c>
      <c r="AS10" s="97" t="str">
        <f>"ALTER TABLE "&amp;エンティティ一覧!$O$2&amp;"."&amp;D$8&amp;" OWNER TO pgmisgrp1;"</f>
        <v>ALTER TABLE milscm_2023_010.azn_202310_work_vital_dpc OWNER TO pgmisgrp1;</v>
      </c>
    </row>
    <row r="11" spans="1:45" ht="19.5" thickBot="1">
      <c r="B11" s="20" t="s">
        <v>118</v>
      </c>
      <c r="C11" s="19"/>
      <c r="D11" s="5"/>
      <c r="E11" s="5"/>
      <c r="F11" s="5"/>
      <c r="G11" s="5"/>
      <c r="H11" s="5"/>
      <c r="I11" s="5"/>
      <c r="J11" s="18"/>
      <c r="N11" s="97" t="str">
        <f>"CREATE TABLE  "&amp;エンティティ一覧!$O$2&amp;"."&amp;D$8</f>
        <v>CREATE TABLE  milscm_2023_010.azn_202310_work_vital_dpc</v>
      </c>
      <c r="O11" s="97"/>
      <c r="P11" s="97"/>
      <c r="Q11" s="97"/>
      <c r="R11" s="97"/>
      <c r="S11" s="97"/>
      <c r="T11" s="97"/>
      <c r="AJ11" s="97" t="str">
        <f>"ADD CONSTRAINT "&amp;D$8&amp;"_pkey PRIMARY KEY"</f>
        <v>ADD CONSTRAINT azn_202310_work_vital_dpc_pkey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milscm_2023_010.azn_202310_work_vital_dpc IS 'ワーク_バイタル_DPC';</v>
      </c>
    </row>
    <row r="13" spans="1:45" s="25" customFormat="1">
      <c r="A13" s="4"/>
      <c r="B13" s="21">
        <f>ROW()-12</f>
        <v>1</v>
      </c>
      <c r="C13" s="6" t="s">
        <v>137</v>
      </c>
      <c r="D13" s="6" t="s">
        <v>128</v>
      </c>
      <c r="E13" s="8"/>
      <c r="F13" s="8" t="s">
        <v>1826</v>
      </c>
      <c r="G13" s="7" t="str">
        <f>IF(F13="フラグ","boolean",IF(F13="文字列","text",IF(F13="整数","integer",IF(F13="実数","numeric",""))))</f>
        <v>text</v>
      </c>
      <c r="H13" s="9"/>
      <c r="I13" s="10" t="s">
        <v>127</v>
      </c>
      <c r="J13" s="11"/>
      <c r="M13" s="4"/>
      <c r="N13" s="97"/>
      <c r="O13" s="97"/>
      <c r="P13" s="97" t="str">
        <f>IF(B13&lt;&gt;1,","&amp;D13,D13)</f>
        <v>facility_id</v>
      </c>
      <c r="Q13" s="97" t="str">
        <f t="shared" ref="Q13:Q16" si="0">UPPER(G13)</f>
        <v>TEXT</v>
      </c>
      <c r="R13" s="97" t="str">
        <f t="shared" ref="R13:R16" si="1">IF(H13&lt;&gt;"","default "&amp;IF(G13="text","'"&amp;H13&amp;"'",H13),"")</f>
        <v/>
      </c>
      <c r="S13" s="97" t="str">
        <f>IF(I13="○","NOT NULL","")</f>
        <v>NOT NULL</v>
      </c>
      <c r="T13" s="97" t="str">
        <f>"-- "&amp;C13</f>
        <v>-- 施設ID</v>
      </c>
      <c r="U13" s="4"/>
      <c r="AA13" s="4"/>
      <c r="AB13" s="4"/>
      <c r="AC13" s="4"/>
      <c r="AD13" s="4"/>
      <c r="AE13" s="4"/>
      <c r="AF13" s="4"/>
      <c r="AG13" s="4"/>
      <c r="AH13" s="4"/>
      <c r="AI13" s="4"/>
      <c r="AJ13" s="97" t="str">
        <f>IF(E13="○",IF(COUNTA(E$13:E13)=1,"",",")&amp;D13,"")</f>
        <v/>
      </c>
      <c r="AK13" s="4"/>
      <c r="AL13" s="4"/>
      <c r="AM13" s="4"/>
      <c r="AN13" s="4"/>
      <c r="AO13" s="4"/>
      <c r="AP13" s="4"/>
      <c r="AQ13" s="4"/>
      <c r="AR13" s="4"/>
      <c r="AS13" s="97" t="str">
        <f>"COMMENT ON TABLE "&amp;エンティティ一覧!$O$2&amp;"."&amp;D$8&amp;" IS '"&amp;D8&amp;"';"</f>
        <v>COMMENT ON TABLE milscm_2023_010.azn_202310_work_vital_dpc IS 'azn_202310_work_vital_dpc';</v>
      </c>
    </row>
    <row r="14" spans="1:45" s="25" customFormat="1">
      <c r="A14" s="4"/>
      <c r="B14" s="21">
        <f t="shared" ref="B14:B17" si="2">ROW()-12</f>
        <v>2</v>
      </c>
      <c r="C14" s="6" t="s">
        <v>4171</v>
      </c>
      <c r="D14" s="6" t="s">
        <v>883</v>
      </c>
      <c r="E14" s="8"/>
      <c r="F14" s="7" t="s">
        <v>1826</v>
      </c>
      <c r="G14" s="7" t="str">
        <f t="shared" ref="G14:G16" si="3">IF(F14="フラグ","boolean",IF(F14="文字列","text",IF(F14="整数","integer",IF(F14="実数","numeric",""))))</f>
        <v>text</v>
      </c>
      <c r="H14" s="26"/>
      <c r="I14" s="10" t="s">
        <v>127</v>
      </c>
      <c r="J14" s="11"/>
      <c r="M14" s="4"/>
      <c r="N14" s="97"/>
      <c r="O14" s="97"/>
      <c r="P14" s="97" t="str">
        <f t="shared" ref="P14:P16" si="4">IF(B14&lt;&gt;1,","&amp;D14,D14)</f>
        <v>,shikibetsu_no</v>
      </c>
      <c r="Q14" s="97" t="str">
        <f t="shared" si="0"/>
        <v>TEXT</v>
      </c>
      <c r="R14" s="97" t="str">
        <f t="shared" si="1"/>
        <v/>
      </c>
      <c r="S14" s="97" t="str">
        <f t="shared" ref="S14:S16" si="5">IF(I14="○","NOT NULL","")</f>
        <v>NOT NULL</v>
      </c>
      <c r="T14" s="97" t="str">
        <f t="shared" ref="T14:T16" si="6">"-- "&amp;C14</f>
        <v>-- データ識別番号</v>
      </c>
      <c r="U14" s="4"/>
      <c r="AA14" s="4"/>
      <c r="AB14" s="4"/>
      <c r="AC14" s="4"/>
      <c r="AD14" s="4"/>
      <c r="AE14" s="4"/>
      <c r="AF14" s="4"/>
      <c r="AG14" s="4"/>
      <c r="AH14" s="4"/>
      <c r="AI14" s="4"/>
      <c r="AJ14" s="97" t="str">
        <f>IF(E14="○",IF(COUNTA(E$13:E14)=1,"",",")&amp;D14,"")</f>
        <v/>
      </c>
      <c r="AK14" s="4"/>
      <c r="AL14" s="4"/>
      <c r="AM14" s="4"/>
      <c r="AN14" s="4"/>
      <c r="AO14" s="4"/>
      <c r="AP14" s="4"/>
      <c r="AQ14" s="4"/>
      <c r="AR14" s="4"/>
      <c r="AS14" s="97" t="str">
        <f>"COMMENT ON TABLE "&amp;エンティティ一覧!$O$2&amp;"."&amp;D$8&amp;" IS '"&amp;D9&amp;"';"</f>
        <v>COMMENT ON TABLE milscm_2023_010.azn_202310_work_vital_dpc IS 'DPCの患者データから身長、体重を抽出し、格納するテーブル';</v>
      </c>
    </row>
    <row r="15" spans="1:45" s="25" customFormat="1">
      <c r="A15" s="4"/>
      <c r="B15" s="21">
        <f t="shared" si="2"/>
        <v>3</v>
      </c>
      <c r="C15" s="6" t="s">
        <v>4172</v>
      </c>
      <c r="D15" s="6" t="s">
        <v>4169</v>
      </c>
      <c r="E15" s="8"/>
      <c r="F15" s="7" t="s">
        <v>1826</v>
      </c>
      <c r="G15" s="7" t="str">
        <f t="shared" si="3"/>
        <v>text</v>
      </c>
      <c r="H15" s="26"/>
      <c r="I15" s="10" t="s">
        <v>127</v>
      </c>
      <c r="J15" s="117" t="s">
        <v>4289</v>
      </c>
      <c r="M15" s="4"/>
      <c r="N15" s="97"/>
      <c r="O15" s="97"/>
      <c r="P15" s="97" t="str">
        <f t="shared" si="4"/>
        <v>,category</v>
      </c>
      <c r="Q15" s="97" t="str">
        <f t="shared" si="0"/>
        <v>TEXT</v>
      </c>
      <c r="R15" s="97" t="str">
        <f t="shared" si="1"/>
        <v/>
      </c>
      <c r="S15" s="97" t="str">
        <f t="shared" si="5"/>
        <v>NOT NULL</v>
      </c>
      <c r="T15" s="97" t="str">
        <f t="shared" si="6"/>
        <v>-- カテゴリ</v>
      </c>
      <c r="U15" s="4"/>
      <c r="AA15" s="4"/>
      <c r="AB15" s="4"/>
      <c r="AC15" s="4"/>
      <c r="AD15" s="4"/>
      <c r="AE15" s="4"/>
      <c r="AF15" s="4"/>
      <c r="AG15" s="4"/>
      <c r="AH15" s="4"/>
      <c r="AI15" s="4"/>
      <c r="AJ15" s="97" t="str">
        <f>IF(E15="○",IF(COUNTA(E$13:E15)=1,"",",")&amp;D15,"")</f>
        <v/>
      </c>
      <c r="AK15" s="4"/>
      <c r="AL15" s="4"/>
      <c r="AM15" s="4"/>
      <c r="AN15" s="4"/>
      <c r="AO15" s="4"/>
      <c r="AP15" s="4"/>
      <c r="AQ15" s="4"/>
      <c r="AR15" s="4"/>
      <c r="AS15" s="97" t="str">
        <f>"COMMENT ON TABLE "&amp;エンティティ一覧!$O$2&amp;"."&amp;D$8&amp;" IS '"&amp;D10&amp;"';"</f>
        <v>COMMENT ON TABLE milscm_2023_010.azn_202310_work_vital_dpc IS '';</v>
      </c>
    </row>
    <row r="16" spans="1:45" s="25" customFormat="1">
      <c r="A16" s="4"/>
      <c r="B16" s="21">
        <f t="shared" si="2"/>
        <v>4</v>
      </c>
      <c r="C16" s="6" t="s">
        <v>4173</v>
      </c>
      <c r="D16" s="6" t="s">
        <v>4170</v>
      </c>
      <c r="E16" s="8"/>
      <c r="F16" s="7" t="s">
        <v>1826</v>
      </c>
      <c r="G16" s="7" t="str">
        <f t="shared" si="3"/>
        <v>text</v>
      </c>
      <c r="H16" s="26"/>
      <c r="I16" s="10"/>
      <c r="J16" s="11"/>
      <c r="M16" s="4"/>
      <c r="N16" s="97"/>
      <c r="O16" s="97"/>
      <c r="P16" s="97" t="str">
        <f t="shared" si="4"/>
        <v>,value</v>
      </c>
      <c r="Q16" s="97" t="str">
        <f t="shared" si="0"/>
        <v>TEXT</v>
      </c>
      <c r="R16" s="97" t="str">
        <f t="shared" si="1"/>
        <v/>
      </c>
      <c r="S16" s="97" t="str">
        <f t="shared" si="5"/>
        <v/>
      </c>
      <c r="T16" s="97" t="str">
        <f t="shared" si="6"/>
        <v>-- 値</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TABLE "&amp;エンティティ一覧!$O$2&amp;"."&amp;D$8&amp;" IS '"&amp;D11&amp;"';"</f>
        <v>COMMENT ON TABLE milscm_2023_010.azn_202310_work_vital_dpc IS '';</v>
      </c>
    </row>
    <row r="17" spans="1:52" s="25" customFormat="1" ht="19.5" thickBot="1">
      <c r="A17" s="4"/>
      <c r="B17" s="65">
        <f t="shared" si="2"/>
        <v>5</v>
      </c>
      <c r="C17" s="28" t="s">
        <v>4174</v>
      </c>
      <c r="D17" s="28" t="s">
        <v>884</v>
      </c>
      <c r="E17" s="29"/>
      <c r="F17" s="56" t="s">
        <v>1735</v>
      </c>
      <c r="G17" s="56" t="str">
        <f>IF(F17="フラグ","boolean",IF(F17="文字列","text",IF(F17="整数","integer",IF(F17="実数","numeric",""))))</f>
        <v>text</v>
      </c>
      <c r="H17" s="30"/>
      <c r="I17" s="31"/>
      <c r="J17" s="61" t="s">
        <v>144</v>
      </c>
      <c r="M17" s="4"/>
      <c r="N17" s="97"/>
      <c r="O17" s="97"/>
      <c r="P17" s="97" t="str">
        <f>IF(B17&lt;&gt;1,","&amp;D17,D17)</f>
        <v>,nyuin_ymd</v>
      </c>
      <c r="Q17" s="97" t="str">
        <f>UPPER(G17)</f>
        <v>TEXT</v>
      </c>
      <c r="R17" s="97" t="str">
        <f>IF(H17&lt;&gt;"","default "&amp;IF(G17="text","'"&amp;H17&amp;"'",H17),"")</f>
        <v/>
      </c>
      <c r="S17" s="97" t="str">
        <f>IF(I17="○","NOT NULL","")</f>
        <v/>
      </c>
      <c r="T17" s="97" t="str">
        <f>"-- "&amp;C17</f>
        <v>-- 入院年月日</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TABLE "&amp;エンティティ一覧!$O$2&amp;"."&amp;D$8&amp;" IS '"&amp;D12&amp;"';"</f>
        <v>COMMENT ON TABLE milscm_2023_010.azn_202310_work_vital_dpc IS 'カラム名';</v>
      </c>
    </row>
    <row r="18" spans="1:52">
      <c r="L18" s="25"/>
      <c r="M18" s="25"/>
      <c r="N18" s="97" t="s">
        <v>142</v>
      </c>
      <c r="O18" s="97"/>
      <c r="P18" s="97"/>
      <c r="Q18" s="97"/>
      <c r="R18" s="97"/>
      <c r="S18" s="97"/>
      <c r="T18" s="97"/>
      <c r="V18" s="25"/>
      <c r="W18" s="25"/>
      <c r="X18" s="25"/>
      <c r="Y18" s="25"/>
      <c r="Z18" s="25"/>
      <c r="AJ18" s="97"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41</v>
      </c>
      <c r="E4" s="248"/>
      <c r="F4" s="248"/>
      <c r="G4" s="248"/>
      <c r="H4" s="248"/>
      <c r="I4" s="248"/>
      <c r="J4" s="249"/>
    </row>
    <row r="5" spans="1:45">
      <c r="B5" s="261" t="s">
        <v>3704</v>
      </c>
      <c r="C5" s="262"/>
      <c r="D5" s="271" t="str">
        <f>VLOOKUP(D7,エンティティ一覧!A1:'エンティティ一覧'!AM10203,7,FALSE)</f>
        <v>work</v>
      </c>
      <c r="E5" s="272"/>
      <c r="F5" s="272"/>
      <c r="G5" s="272"/>
      <c r="H5" s="272"/>
      <c r="I5" s="272"/>
      <c r="J5" s="273"/>
    </row>
    <row r="6" spans="1:45">
      <c r="B6" s="261" t="s">
        <v>3705</v>
      </c>
      <c r="C6" s="262"/>
      <c r="D6" s="271" t="str">
        <f>VLOOKUP(D7,エンティティ一覧!A1:'エンティティ一覧'!AM10203,15,FALSE)</f>
        <v>ENT_41_06</v>
      </c>
      <c r="E6" s="272"/>
      <c r="F6" s="272"/>
      <c r="G6" s="272"/>
      <c r="H6" s="272"/>
      <c r="I6" s="272"/>
      <c r="J6" s="273"/>
    </row>
    <row r="7" spans="1:45">
      <c r="B7" s="261" t="s">
        <v>115</v>
      </c>
      <c r="C7" s="262"/>
      <c r="D7" s="263" t="s">
        <v>4105</v>
      </c>
      <c r="E7" s="264"/>
      <c r="F7" s="264"/>
      <c r="G7" s="264"/>
      <c r="H7" s="264"/>
      <c r="I7" s="264"/>
      <c r="J7" s="265"/>
    </row>
    <row r="8" spans="1:45">
      <c r="B8" s="261" t="s">
        <v>116</v>
      </c>
      <c r="C8" s="262"/>
      <c r="D8" s="263" t="str">
        <f>エンティティ一覧!AE2&amp;"_"&amp;D5&amp;"_vital_mml"</f>
        <v>azn_202310_work_vital_mml</v>
      </c>
      <c r="E8" s="264"/>
      <c r="F8" s="264"/>
      <c r="G8" s="264"/>
      <c r="H8" s="264"/>
      <c r="I8" s="264"/>
      <c r="J8" s="265"/>
    </row>
    <row r="9" spans="1:45" ht="19.5" customHeight="1" thickBot="1">
      <c r="B9" s="266" t="s">
        <v>117</v>
      </c>
      <c r="C9" s="267"/>
      <c r="D9" s="268" t="s">
        <v>4182</v>
      </c>
      <c r="E9" s="269"/>
      <c r="F9" s="269"/>
      <c r="G9" s="269"/>
      <c r="H9" s="269"/>
      <c r="I9" s="269"/>
      <c r="J9" s="270"/>
    </row>
    <row r="10" spans="1:45">
      <c r="B10" s="19"/>
      <c r="C10" s="19"/>
      <c r="D10" s="5"/>
      <c r="E10" s="5"/>
      <c r="F10" s="5"/>
      <c r="G10" s="5"/>
      <c r="H10" s="5"/>
      <c r="I10" s="5"/>
      <c r="J10" s="18"/>
      <c r="N10" s="97" t="str">
        <f>"--DROP TABLE  "&amp;エンティティ一覧!$O$2&amp;"."&amp;D$8&amp;";"</f>
        <v>--DROP TABLE  milscm_2023_010.azn_202310_work_vital_mml;</v>
      </c>
      <c r="O10" s="97"/>
      <c r="P10" s="97"/>
      <c r="Q10" s="97"/>
      <c r="R10" s="97"/>
      <c r="S10" s="97"/>
      <c r="T10" s="97"/>
      <c r="AJ10" s="97" t="str">
        <f>"ALTER TABLE ONLY "&amp;エンティティ一覧!$O$2&amp;"."&amp;D$8</f>
        <v>ALTER TABLE ONLY milscm_2023_010.azn_202310_work_vital_mml</v>
      </c>
      <c r="AS10" s="97" t="str">
        <f>"ALTER TABLE "&amp;エンティティ一覧!$O$2&amp;"."&amp;D$8&amp;" OWNER TO pgmisgrp1;"</f>
        <v>ALTER TABLE milscm_2023_010.azn_202310_work_vital_mml OWNER TO pgmisgrp1;</v>
      </c>
    </row>
    <row r="11" spans="1:45" ht="19.5" thickBot="1">
      <c r="B11" s="20" t="s">
        <v>118</v>
      </c>
      <c r="C11" s="19"/>
      <c r="D11" s="5"/>
      <c r="E11" s="5"/>
      <c r="F11" s="5"/>
      <c r="G11" s="5"/>
      <c r="H11" s="5"/>
      <c r="I11" s="5"/>
      <c r="J11" s="18"/>
      <c r="N11" s="97" t="str">
        <f>"CREATE TABLE  "&amp;エンティティ一覧!$O$2&amp;"."&amp;D$8</f>
        <v>CREATE TABLE  milscm_2023_010.azn_202310_work_vital_mml</v>
      </c>
      <c r="O11" s="97"/>
      <c r="P11" s="97"/>
      <c r="Q11" s="97"/>
      <c r="R11" s="97"/>
      <c r="S11" s="97"/>
      <c r="T11" s="97"/>
      <c r="AJ11" s="97" t="str">
        <f>"ADD CONSTRAINT "&amp;D$8&amp;"_pkey PRIMARY KEY"</f>
        <v>ADD CONSTRAINT azn_202310_work_vital_mml_pkey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milscm_2023_010.azn_202310_work_vital_mml IS 'ワーク_バイタル_MML';</v>
      </c>
    </row>
    <row r="13" spans="1:45" s="25" customFormat="1">
      <c r="A13" s="4"/>
      <c r="B13" s="21">
        <f>ROW()-12</f>
        <v>1</v>
      </c>
      <c r="C13" s="6" t="s">
        <v>137</v>
      </c>
      <c r="D13" s="6" t="s">
        <v>128</v>
      </c>
      <c r="E13" s="8"/>
      <c r="F13" s="8" t="s">
        <v>1826</v>
      </c>
      <c r="G13" s="7" t="str">
        <f>IF(F13="フラグ","boolean",IF(F13="文字列","text",IF(F13="整数","integer",IF(F13="実数","numeric",""))))</f>
        <v>text</v>
      </c>
      <c r="H13" s="9"/>
      <c r="I13" s="10" t="s">
        <v>127</v>
      </c>
      <c r="J13" s="11"/>
      <c r="M13" s="4"/>
      <c r="N13" s="97"/>
      <c r="O13" s="97"/>
      <c r="P13" s="97" t="str">
        <f>IF(B13&lt;&gt;1,","&amp;D13,D13)</f>
        <v>facility_id</v>
      </c>
      <c r="Q13" s="97" t="str">
        <f t="shared" ref="Q13:Q16" si="0">UPPER(G13)</f>
        <v>TEXT</v>
      </c>
      <c r="R13" s="97" t="str">
        <f t="shared" ref="R13:R16" si="1">IF(H13&lt;&gt;"","default "&amp;IF(G13="text","'"&amp;H13&amp;"'",H13),"")</f>
        <v/>
      </c>
      <c r="S13" s="97" t="str">
        <f>IF(I13="○","NOT NULL","")</f>
        <v>NOT NULL</v>
      </c>
      <c r="T13" s="97" t="str">
        <f>"-- "&amp;C13</f>
        <v>-- 施設ID</v>
      </c>
      <c r="U13" s="4"/>
      <c r="AA13" s="4"/>
      <c r="AB13" s="4"/>
      <c r="AC13" s="4"/>
      <c r="AD13" s="4"/>
      <c r="AE13" s="4"/>
      <c r="AF13" s="4"/>
      <c r="AG13" s="4"/>
      <c r="AH13" s="4"/>
      <c r="AI13" s="4"/>
      <c r="AJ13" s="97" t="str">
        <f>IF(E13="○",IF(COUNTA(E$13:E13)=1,"",",")&amp;D13,"")</f>
        <v/>
      </c>
      <c r="AK13" s="4"/>
      <c r="AL13" s="4"/>
      <c r="AM13" s="4"/>
      <c r="AN13" s="4"/>
      <c r="AO13" s="4"/>
      <c r="AP13" s="4"/>
      <c r="AQ13" s="4"/>
      <c r="AR13" s="4"/>
      <c r="AS13" s="97" t="str">
        <f>"COMMENT ON TABLE "&amp;エンティティ一覧!$O$2&amp;"."&amp;D$8&amp;" IS '"&amp;D8&amp;"';"</f>
        <v>COMMENT ON TABLE milscm_2023_010.azn_202310_work_vital_mml IS 'azn_202310_work_vital_mml';</v>
      </c>
    </row>
    <row r="14" spans="1:45" s="25" customFormat="1">
      <c r="A14" s="4"/>
      <c r="B14" s="21">
        <f t="shared" ref="B14:B17" si="2">ROW()-12</f>
        <v>2</v>
      </c>
      <c r="C14" s="6" t="s">
        <v>4015</v>
      </c>
      <c r="D14" s="6" t="s">
        <v>1843</v>
      </c>
      <c r="E14" s="8"/>
      <c r="F14" s="7" t="s">
        <v>1826</v>
      </c>
      <c r="G14" s="7" t="str">
        <f t="shared" ref="G14:G16" si="3">IF(F14="フラグ","boolean",IF(F14="文字列","text",IF(F14="整数","integer",IF(F14="実数","numeric",""))))</f>
        <v>text</v>
      </c>
      <c r="H14" s="26"/>
      <c r="I14" s="10" t="s">
        <v>127</v>
      </c>
      <c r="J14" s="11"/>
      <c r="M14" s="4"/>
      <c r="N14" s="97"/>
      <c r="O14" s="97"/>
      <c r="P14" s="97" t="str">
        <f t="shared" ref="P14:P16" si="4">IF(B14&lt;&gt;1,","&amp;D14,D14)</f>
        <v>,himoduke_id</v>
      </c>
      <c r="Q14" s="97" t="str">
        <f t="shared" si="0"/>
        <v>TEXT</v>
      </c>
      <c r="R14" s="97" t="str">
        <f t="shared" si="1"/>
        <v/>
      </c>
      <c r="S14" s="97" t="str">
        <f t="shared" ref="S14:S16" si="5">IF(I14="○","NOT NULL","")</f>
        <v>NOT NULL</v>
      </c>
      <c r="T14" s="97" t="str">
        <f t="shared" ref="T14:T16" si="6">"-- "&amp;C14</f>
        <v>-- 紐付けID</v>
      </c>
      <c r="U14" s="4"/>
      <c r="AA14" s="4"/>
      <c r="AB14" s="4"/>
      <c r="AC14" s="4"/>
      <c r="AD14" s="4"/>
      <c r="AE14" s="4"/>
      <c r="AF14" s="4"/>
      <c r="AG14" s="4"/>
      <c r="AH14" s="4"/>
      <c r="AI14" s="4"/>
      <c r="AJ14" s="97" t="str">
        <f>IF(E14="○",IF(COUNTA(E$13:E14)=1,"",",")&amp;D14,"")</f>
        <v/>
      </c>
      <c r="AK14" s="4"/>
      <c r="AL14" s="4"/>
      <c r="AM14" s="4"/>
      <c r="AN14" s="4"/>
      <c r="AO14" s="4"/>
      <c r="AP14" s="4"/>
      <c r="AQ14" s="4"/>
      <c r="AR14" s="4"/>
      <c r="AS14" s="97" t="str">
        <f>"COMMENT ON TABLE "&amp;エンティティ一覧!$O$2&amp;"."&amp;D$8&amp;" IS '"&amp;D9&amp;"';"</f>
        <v>COMMENT ON TABLE milscm_2023_010.azn_202310_work_vital_mml IS 'MMLの患者データから身長、体重を抽出し、格納するテーブル';</v>
      </c>
    </row>
    <row r="15" spans="1:45" s="25" customFormat="1">
      <c r="A15" s="4"/>
      <c r="B15" s="21">
        <f t="shared" si="2"/>
        <v>3</v>
      </c>
      <c r="C15" s="6" t="s">
        <v>4179</v>
      </c>
      <c r="D15" s="6" t="s">
        <v>4050</v>
      </c>
      <c r="E15" s="8"/>
      <c r="F15" s="7" t="s">
        <v>1826</v>
      </c>
      <c r="G15" s="7" t="str">
        <f t="shared" si="3"/>
        <v>text</v>
      </c>
      <c r="H15" s="26"/>
      <c r="I15" s="10" t="s">
        <v>127</v>
      </c>
      <c r="J15" s="117" t="s">
        <v>4289</v>
      </c>
      <c r="M15" s="4"/>
      <c r="N15" s="97"/>
      <c r="O15" s="97"/>
      <c r="P15" s="97" t="str">
        <f t="shared" si="4"/>
        <v>,item_name</v>
      </c>
      <c r="Q15" s="97" t="str">
        <f t="shared" si="0"/>
        <v>TEXT</v>
      </c>
      <c r="R15" s="97" t="str">
        <f t="shared" si="1"/>
        <v/>
      </c>
      <c r="S15" s="97" t="str">
        <f t="shared" si="5"/>
        <v>NOT NULL</v>
      </c>
      <c r="T15" s="97" t="str">
        <f t="shared" si="6"/>
        <v>-- 項目名</v>
      </c>
      <c r="U15" s="4"/>
      <c r="AA15" s="4"/>
      <c r="AB15" s="4"/>
      <c r="AC15" s="4"/>
      <c r="AD15" s="4"/>
      <c r="AE15" s="4"/>
      <c r="AF15" s="4"/>
      <c r="AG15" s="4"/>
      <c r="AH15" s="4"/>
      <c r="AI15" s="4"/>
      <c r="AJ15" s="97" t="str">
        <f>IF(E15="○",IF(COUNTA(E$13:E15)=1,"",",")&amp;D15,"")</f>
        <v/>
      </c>
      <c r="AK15" s="4"/>
      <c r="AL15" s="4"/>
      <c r="AM15" s="4"/>
      <c r="AN15" s="4"/>
      <c r="AO15" s="4"/>
      <c r="AP15" s="4"/>
      <c r="AQ15" s="4"/>
      <c r="AR15" s="4"/>
      <c r="AS15" s="97" t="str">
        <f>"COMMENT ON TABLE "&amp;エンティティ一覧!$O$2&amp;"."&amp;D$8&amp;" IS '"&amp;D10&amp;"';"</f>
        <v>COMMENT ON TABLE milscm_2023_010.azn_202310_work_vital_mml IS '';</v>
      </c>
    </row>
    <row r="16" spans="1:45" s="25" customFormat="1">
      <c r="A16" s="4"/>
      <c r="B16" s="21">
        <f t="shared" si="2"/>
        <v>4</v>
      </c>
      <c r="C16" s="6" t="s">
        <v>4180</v>
      </c>
      <c r="D16" s="6" t="s">
        <v>4177</v>
      </c>
      <c r="E16" s="8"/>
      <c r="F16" s="7" t="s">
        <v>1826</v>
      </c>
      <c r="G16" s="7" t="str">
        <f t="shared" si="3"/>
        <v>text</v>
      </c>
      <c r="H16" s="26"/>
      <c r="I16" s="10"/>
      <c r="J16" s="11"/>
      <c r="M16" s="4"/>
      <c r="N16" s="97"/>
      <c r="O16" s="97"/>
      <c r="P16" s="97" t="str">
        <f t="shared" si="4"/>
        <v>,vital_sign_num_value</v>
      </c>
      <c r="Q16" s="97" t="str">
        <f t="shared" si="0"/>
        <v>TEXT</v>
      </c>
      <c r="R16" s="97" t="str">
        <f t="shared" si="1"/>
        <v/>
      </c>
      <c r="S16" s="97" t="str">
        <f t="shared" si="5"/>
        <v/>
      </c>
      <c r="T16" s="97" t="str">
        <f t="shared" si="6"/>
        <v>-- 数値で表記されるバイタルサインの値</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TABLE "&amp;エンティティ一覧!$O$2&amp;"."&amp;D$8&amp;" IS '"&amp;D11&amp;"';"</f>
        <v>COMMENT ON TABLE milscm_2023_010.azn_202310_work_vital_mml IS '';</v>
      </c>
    </row>
    <row r="17" spans="1:52" s="25" customFormat="1" ht="19.5" thickBot="1">
      <c r="A17" s="4"/>
      <c r="B17" s="65">
        <f t="shared" si="2"/>
        <v>5</v>
      </c>
      <c r="C17" s="28" t="s">
        <v>4181</v>
      </c>
      <c r="D17" s="28" t="s">
        <v>4178</v>
      </c>
      <c r="E17" s="29"/>
      <c r="F17" s="56" t="s">
        <v>1735</v>
      </c>
      <c r="G17" s="56" t="str">
        <f>IF(F17="フラグ","boolean",IF(F17="文字列","text",IF(F17="整数","integer",IF(F17="実数","numeric",""))))</f>
        <v>text</v>
      </c>
      <c r="H17" s="30"/>
      <c r="I17" s="31"/>
      <c r="J17" s="61" t="s">
        <v>144</v>
      </c>
      <c r="M17" s="4"/>
      <c r="N17" s="97"/>
      <c r="O17" s="97"/>
      <c r="P17" s="97" t="str">
        <f>IF(B17&lt;&gt;1,","&amp;D17,D17)</f>
        <v>,vital_sign_date</v>
      </c>
      <c r="Q17" s="97" t="str">
        <f>UPPER(G17)</f>
        <v>TEXT</v>
      </c>
      <c r="R17" s="97" t="str">
        <f>IF(H17&lt;&gt;"","default "&amp;IF(G17="text","'"&amp;H17&amp;"'",H17),"")</f>
        <v/>
      </c>
      <c r="S17" s="97" t="str">
        <f>IF(I17="○","NOT NULL","")</f>
        <v/>
      </c>
      <c r="T17" s="97" t="str">
        <f>"-- "&amp;C17</f>
        <v>-- バイタルサインの計測日</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TABLE "&amp;エンティティ一覧!$O$2&amp;"."&amp;D$8&amp;" IS '"&amp;D12&amp;"';"</f>
        <v>COMMENT ON TABLE milscm_2023_010.azn_202310_work_vital_mml IS 'カラム名';</v>
      </c>
    </row>
    <row r="18" spans="1:52">
      <c r="L18" s="25"/>
      <c r="M18" s="25"/>
      <c r="N18" s="97" t="s">
        <v>142</v>
      </c>
      <c r="O18" s="97"/>
      <c r="P18" s="97"/>
      <c r="Q18" s="97"/>
      <c r="R18" s="97"/>
      <c r="S18" s="97"/>
      <c r="T18" s="97"/>
      <c r="V18" s="25"/>
      <c r="W18" s="25"/>
      <c r="X18" s="25"/>
      <c r="Y18" s="25"/>
      <c r="Z18" s="25"/>
      <c r="AJ18" s="97"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41</v>
      </c>
      <c r="E4" s="248"/>
      <c r="F4" s="248"/>
      <c r="G4" s="248"/>
      <c r="H4" s="248"/>
      <c r="I4" s="248"/>
      <c r="J4" s="249"/>
    </row>
    <row r="5" spans="1:45">
      <c r="B5" s="261" t="s">
        <v>3704</v>
      </c>
      <c r="C5" s="262"/>
      <c r="D5" s="271" t="str">
        <f>VLOOKUP(D7,エンティティ一覧!A1:'エンティティ一覧'!AM10203,7,FALSE)</f>
        <v>work</v>
      </c>
      <c r="E5" s="272"/>
      <c r="F5" s="272"/>
      <c r="G5" s="272"/>
      <c r="H5" s="272"/>
      <c r="I5" s="272"/>
      <c r="J5" s="273"/>
    </row>
    <row r="6" spans="1:45">
      <c r="B6" s="261" t="s">
        <v>3705</v>
      </c>
      <c r="C6" s="262"/>
      <c r="D6" s="271" t="str">
        <f>VLOOKUP(D7,エンティティ一覧!A1:'エンティティ一覧'!AM10203,15,FALSE)</f>
        <v>ENT_41_07</v>
      </c>
      <c r="E6" s="272"/>
      <c r="F6" s="272"/>
      <c r="G6" s="272"/>
      <c r="H6" s="272"/>
      <c r="I6" s="272"/>
      <c r="J6" s="273"/>
    </row>
    <row r="7" spans="1:45">
      <c r="B7" s="261" t="s">
        <v>115</v>
      </c>
      <c r="C7" s="262"/>
      <c r="D7" s="263" t="s">
        <v>4107</v>
      </c>
      <c r="E7" s="264"/>
      <c r="F7" s="264"/>
      <c r="G7" s="264"/>
      <c r="H7" s="264"/>
      <c r="I7" s="264"/>
      <c r="J7" s="265"/>
    </row>
    <row r="8" spans="1:45">
      <c r="B8" s="261" t="s">
        <v>116</v>
      </c>
      <c r="C8" s="262"/>
      <c r="D8" s="263" t="str">
        <f>エンティティ一覧!AE2&amp;"_"&amp;D5&amp;"_vital"</f>
        <v>azn_202310_work_vital</v>
      </c>
      <c r="E8" s="264"/>
      <c r="F8" s="264"/>
      <c r="G8" s="264"/>
      <c r="H8" s="264"/>
      <c r="I8" s="264"/>
      <c r="J8" s="265"/>
    </row>
    <row r="9" spans="1:45" ht="19.5" customHeight="1" thickBot="1">
      <c r="B9" s="266" t="s">
        <v>117</v>
      </c>
      <c r="C9" s="267"/>
      <c r="D9" s="268" t="s">
        <v>4184</v>
      </c>
      <c r="E9" s="269"/>
      <c r="F9" s="269"/>
      <c r="G9" s="269"/>
      <c r="H9" s="269"/>
      <c r="I9" s="269"/>
      <c r="J9" s="270"/>
    </row>
    <row r="10" spans="1:45">
      <c r="B10" s="19"/>
      <c r="C10" s="19"/>
      <c r="D10" s="5"/>
      <c r="E10" s="5"/>
      <c r="F10" s="5"/>
      <c r="G10" s="5"/>
      <c r="H10" s="5"/>
      <c r="I10" s="5"/>
      <c r="J10" s="18"/>
      <c r="N10" s="97" t="str">
        <f>"--DROP TABLE  "&amp;エンティティ一覧!$O$2&amp;"."&amp;D$8&amp;";"</f>
        <v>--DROP TABLE  milscm_2023_010.azn_202310_work_vital;</v>
      </c>
      <c r="O10" s="97"/>
      <c r="P10" s="97"/>
      <c r="Q10" s="97"/>
      <c r="R10" s="97"/>
      <c r="S10" s="97"/>
      <c r="T10" s="97"/>
      <c r="AJ10" s="97" t="str">
        <f>"ALTER TABLE ONLY "&amp;エンティティ一覧!$O$2&amp;"."&amp;D$8</f>
        <v>ALTER TABLE ONLY milscm_2023_010.azn_202310_work_vital</v>
      </c>
      <c r="AS10" s="97" t="str">
        <f>"ALTER TABLE "&amp;エンティティ一覧!$O$2&amp;"."&amp;D$8&amp;" OWNER TO pgmisgrp1;"</f>
        <v>ALTER TABLE milscm_2023_010.azn_202310_work_vital OWNER TO pgmisgrp1;</v>
      </c>
    </row>
    <row r="11" spans="1:45" ht="19.5" thickBot="1">
      <c r="B11" s="20" t="s">
        <v>118</v>
      </c>
      <c r="C11" s="19"/>
      <c r="D11" s="5"/>
      <c r="E11" s="5"/>
      <c r="F11" s="5"/>
      <c r="G11" s="5"/>
      <c r="H11" s="5"/>
      <c r="I11" s="5"/>
      <c r="J11" s="18"/>
      <c r="N11" s="97" t="str">
        <f>"CREATE TABLE  "&amp;エンティティ一覧!$O$2&amp;"."&amp;D$8</f>
        <v>CREATE TABLE  milscm_2023_010.azn_202310_work_vital</v>
      </c>
      <c r="O11" s="97"/>
      <c r="P11" s="97"/>
      <c r="Q11" s="97"/>
      <c r="R11" s="97"/>
      <c r="S11" s="97"/>
      <c r="T11" s="97"/>
      <c r="AJ11" s="97" t="str">
        <f>"ADD CONSTRAINT "&amp;D$8&amp;"_pkey PRIMARY KEY"</f>
        <v>ADD CONSTRAINT azn_202310_work_vital_pkey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milscm_2023_010.azn_202310_work_vital IS 'ワーク_バイタル';</v>
      </c>
    </row>
    <row r="13" spans="1:45" s="25" customFormat="1">
      <c r="A13" s="4"/>
      <c r="B13" s="21">
        <f>ROW()-12</f>
        <v>1</v>
      </c>
      <c r="C13" s="6" t="s">
        <v>137</v>
      </c>
      <c r="D13" s="6" t="s">
        <v>128</v>
      </c>
      <c r="E13" s="8" t="s">
        <v>4013</v>
      </c>
      <c r="F13" s="8" t="s">
        <v>1826</v>
      </c>
      <c r="G13" s="7" t="str">
        <f>IF(F13="フラグ","boolean",IF(F13="文字列","text",IF(F13="整数","integer",IF(F13="実数","numeric",""))))</f>
        <v>text</v>
      </c>
      <c r="H13" s="9"/>
      <c r="I13" s="10" t="s">
        <v>127</v>
      </c>
      <c r="J13" s="11"/>
      <c r="M13" s="4"/>
      <c r="N13" s="97"/>
      <c r="O13" s="97"/>
      <c r="P13" s="97" t="str">
        <f>IF(B13&lt;&gt;1,","&amp;D13,D13)</f>
        <v>facility_id</v>
      </c>
      <c r="Q13" s="97" t="str">
        <f t="shared" ref="Q13:Q17" si="0">UPPER(G13)</f>
        <v>TEXT</v>
      </c>
      <c r="R13" s="97" t="str">
        <f t="shared" ref="R13:R17" si="1">IF(H13&lt;&gt;"","default "&amp;IF(G13="text","'"&amp;H13&amp;"'",H13),"")</f>
        <v/>
      </c>
      <c r="S13" s="97" t="str">
        <f>IF(I13="○","NOT NULL","")</f>
        <v>NOT NULL</v>
      </c>
      <c r="T13" s="97" t="str">
        <f>"-- "&amp;C13</f>
        <v>-- 施設ID</v>
      </c>
      <c r="U13" s="4"/>
      <c r="AA13" s="4"/>
      <c r="AB13" s="4"/>
      <c r="AC13" s="4"/>
      <c r="AD13" s="4"/>
      <c r="AE13" s="4"/>
      <c r="AF13" s="4"/>
      <c r="AG13" s="4"/>
      <c r="AH13" s="4"/>
      <c r="AI13" s="4"/>
      <c r="AJ13" s="97" t="str">
        <f>IF(E13="○",IF(COUNTA(E$13:E13)=1,"",",")&amp;D13,"")</f>
        <v>facility_id</v>
      </c>
      <c r="AK13" s="4"/>
      <c r="AL13" s="4"/>
      <c r="AM13" s="4"/>
      <c r="AN13" s="4"/>
      <c r="AO13" s="4"/>
      <c r="AP13" s="4"/>
      <c r="AQ13" s="4"/>
      <c r="AR13" s="4"/>
      <c r="AS13" s="97" t="str">
        <f>"COMMENT ON COLUMN "&amp;エンティティ一覧!$O$2&amp;"."&amp;D$8&amp;"."&amp;D13&amp;" IS '"&amp;C13&amp;"';"</f>
        <v>COMMENT ON COLUMN milscm_2023_010.azn_202310_work_vital.facility_id IS '施設ID';</v>
      </c>
    </row>
    <row r="14" spans="1:45" s="25" customFormat="1">
      <c r="A14" s="4"/>
      <c r="B14" s="21">
        <f t="shared" ref="B14:B18" si="2">ROW()-12</f>
        <v>2</v>
      </c>
      <c r="C14" s="6" t="s">
        <v>4015</v>
      </c>
      <c r="D14" s="6" t="s">
        <v>1843</v>
      </c>
      <c r="E14" s="8" t="s">
        <v>4013</v>
      </c>
      <c r="F14" s="7" t="s">
        <v>1826</v>
      </c>
      <c r="G14" s="7" t="str">
        <f t="shared" ref="G14:G17" si="3">IF(F14="フラグ","boolean",IF(F14="文字列","text",IF(F14="整数","integer",IF(F14="実数","numeric",""))))</f>
        <v>text</v>
      </c>
      <c r="H14" s="26"/>
      <c r="I14" s="10" t="s">
        <v>127</v>
      </c>
      <c r="J14" s="11"/>
      <c r="M14" s="4"/>
      <c r="N14" s="97"/>
      <c r="O14" s="97"/>
      <c r="P14" s="97" t="str">
        <f t="shared" ref="P14:P17" si="4">IF(B14&lt;&gt;1,","&amp;D14,D14)</f>
        <v>,himoduke_id</v>
      </c>
      <c r="Q14" s="97" t="str">
        <f t="shared" si="0"/>
        <v>TEXT</v>
      </c>
      <c r="R14" s="97" t="str">
        <f t="shared" si="1"/>
        <v/>
      </c>
      <c r="S14" s="97" t="str">
        <f t="shared" ref="S14:S17" si="5">IF(I14="○","NOT NULL","")</f>
        <v>NOT NULL</v>
      </c>
      <c r="T14" s="97" t="str">
        <f t="shared" ref="T14:T17" si="6">"-- "&amp;C14</f>
        <v>-- 紐付けID</v>
      </c>
      <c r="U14" s="4"/>
      <c r="AA14" s="4"/>
      <c r="AB14" s="4"/>
      <c r="AC14" s="4"/>
      <c r="AD14" s="4"/>
      <c r="AE14" s="4"/>
      <c r="AF14" s="4"/>
      <c r="AG14" s="4"/>
      <c r="AH14" s="4"/>
      <c r="AI14" s="4"/>
      <c r="AJ14" s="97" t="str">
        <f>IF(E14="○",IF(COUNTA(E$13:E14)=1,"",",")&amp;D14,"")</f>
        <v>,himoduke_id</v>
      </c>
      <c r="AK14" s="4"/>
      <c r="AL14" s="4"/>
      <c r="AM14" s="4"/>
      <c r="AN14" s="4"/>
      <c r="AO14" s="4"/>
      <c r="AP14" s="4"/>
      <c r="AQ14" s="4"/>
      <c r="AR14" s="4"/>
      <c r="AS14" s="97" t="str">
        <f>"COMMENT ON COLUMN "&amp;エンティティ一覧!$O$2&amp;"."&amp;D$8&amp;"."&amp;D14&amp;" IS '"&amp;C14&amp;"';"</f>
        <v>COMMENT ON COLUMN milscm_2023_010.azn_202310_work_vital.himoduke_id IS '紐付けID';</v>
      </c>
    </row>
    <row r="15" spans="1:45" s="25" customFormat="1">
      <c r="A15" s="4"/>
      <c r="B15" s="21">
        <f t="shared" si="2"/>
        <v>3</v>
      </c>
      <c r="C15" s="6" t="s">
        <v>4181</v>
      </c>
      <c r="D15" s="6" t="s">
        <v>4178</v>
      </c>
      <c r="E15" s="8" t="s">
        <v>4013</v>
      </c>
      <c r="F15" s="7" t="s">
        <v>1735</v>
      </c>
      <c r="G15" s="7" t="str">
        <f>IF(F15="フラグ","boolean",IF(F15="文字列","text",IF(F15="整数","integer",IF(F15="実数","numeric",""))))</f>
        <v>text</v>
      </c>
      <c r="H15" s="26"/>
      <c r="I15" s="10" t="s">
        <v>127</v>
      </c>
      <c r="J15" s="24" t="s">
        <v>144</v>
      </c>
      <c r="M15" s="4"/>
      <c r="N15" s="97"/>
      <c r="O15" s="97"/>
      <c r="P15" s="97" t="str">
        <f>IF(B15&lt;&gt;1,","&amp;D15,D15)</f>
        <v>,vital_sign_date</v>
      </c>
      <c r="Q15" s="97" t="str">
        <f>UPPER(G15)</f>
        <v>TEXT</v>
      </c>
      <c r="R15" s="97" t="str">
        <f>IF(H15&lt;&gt;"","default "&amp;IF(G15="text","'"&amp;H15&amp;"'",H15),"")</f>
        <v/>
      </c>
      <c r="S15" s="97" t="str">
        <f>IF(I15="○","NOT NULL","")</f>
        <v>NOT NULL</v>
      </c>
      <c r="T15" s="97" t="str">
        <f>"-- "&amp;C15</f>
        <v>-- バイタルサインの計測日</v>
      </c>
      <c r="U15" s="4"/>
      <c r="AA15" s="4"/>
      <c r="AB15" s="4"/>
      <c r="AC15" s="4"/>
      <c r="AD15" s="4"/>
      <c r="AE15" s="4"/>
      <c r="AF15" s="4"/>
      <c r="AG15" s="4"/>
      <c r="AH15" s="4"/>
      <c r="AI15" s="4"/>
      <c r="AJ15" s="97" t="str">
        <f>IF(E15="○",IF(COUNTA(E$13:E17)=1,"",",")&amp;D15,"")</f>
        <v>,vital_sign_date</v>
      </c>
      <c r="AK15" s="4"/>
      <c r="AL15" s="4"/>
      <c r="AM15" s="4"/>
      <c r="AN15" s="4"/>
      <c r="AO15" s="4"/>
      <c r="AP15" s="4"/>
      <c r="AQ15" s="4"/>
      <c r="AR15" s="4"/>
      <c r="AS15" s="97" t="str">
        <f>"COMMENT ON COLUMN "&amp;エンティティ一覧!$O$2&amp;"."&amp;D$8&amp;"."&amp;D15&amp;" IS '"&amp;C15&amp;"';"</f>
        <v>COMMENT ON COLUMN milscm_2023_010.azn_202310_work_vital.vital_sign_date IS 'バイタルサインの計測日';</v>
      </c>
    </row>
    <row r="16" spans="1:45" s="25" customFormat="1">
      <c r="A16" s="4"/>
      <c r="B16" s="21">
        <f t="shared" si="2"/>
        <v>4</v>
      </c>
      <c r="C16" s="6" t="s">
        <v>4179</v>
      </c>
      <c r="D16" s="6" t="s">
        <v>4050</v>
      </c>
      <c r="E16" s="8" t="s">
        <v>4013</v>
      </c>
      <c r="F16" s="7" t="s">
        <v>1826</v>
      </c>
      <c r="G16" s="7" t="str">
        <f t="shared" si="3"/>
        <v>text</v>
      </c>
      <c r="H16" s="26"/>
      <c r="I16" s="10" t="s">
        <v>127</v>
      </c>
      <c r="J16" s="117" t="s">
        <v>4289</v>
      </c>
      <c r="M16" s="4"/>
      <c r="N16" s="97"/>
      <c r="O16" s="97"/>
      <c r="P16" s="97" t="str">
        <f t="shared" si="4"/>
        <v>,item_name</v>
      </c>
      <c r="Q16" s="97" t="str">
        <f t="shared" si="0"/>
        <v>TEXT</v>
      </c>
      <c r="R16" s="97" t="str">
        <f t="shared" si="1"/>
        <v/>
      </c>
      <c r="S16" s="97" t="str">
        <f t="shared" si="5"/>
        <v>NOT NULL</v>
      </c>
      <c r="T16" s="97" t="str">
        <f t="shared" si="6"/>
        <v>-- 項目名</v>
      </c>
      <c r="U16" s="4"/>
      <c r="AA16" s="4"/>
      <c r="AB16" s="4"/>
      <c r="AC16" s="4"/>
      <c r="AD16" s="4"/>
      <c r="AE16" s="4"/>
      <c r="AF16" s="4"/>
      <c r="AG16" s="4"/>
      <c r="AH16" s="4"/>
      <c r="AI16" s="4"/>
      <c r="AJ16" s="97" t="str">
        <f>IF(E16="○",IF(COUNTA(E$13:E16)=1,"",",")&amp;D16,"")</f>
        <v>,item_name</v>
      </c>
      <c r="AK16" s="4"/>
      <c r="AL16" s="4"/>
      <c r="AM16" s="4"/>
      <c r="AN16" s="4"/>
      <c r="AO16" s="4"/>
      <c r="AP16" s="4"/>
      <c r="AQ16" s="4"/>
      <c r="AR16" s="4"/>
      <c r="AS16" s="97" t="str">
        <f>"COMMENT ON COLUMN "&amp;エンティティ一覧!$O$2&amp;"."&amp;D$8&amp;"."&amp;D16&amp;" IS '"&amp;C16&amp;"';"</f>
        <v>COMMENT ON COLUMN milscm_2023_010.azn_202310_work_vital.item_name IS '項目名';</v>
      </c>
    </row>
    <row r="17" spans="1:52" s="25" customFormat="1">
      <c r="A17" s="4"/>
      <c r="B17" s="21">
        <f t="shared" si="2"/>
        <v>5</v>
      </c>
      <c r="C17" s="6" t="s">
        <v>4180</v>
      </c>
      <c r="D17" s="6" t="s">
        <v>4177</v>
      </c>
      <c r="E17" s="8"/>
      <c r="F17" s="7" t="s">
        <v>1826</v>
      </c>
      <c r="G17" s="7" t="str">
        <f t="shared" si="3"/>
        <v>text</v>
      </c>
      <c r="H17" s="26"/>
      <c r="I17" s="10"/>
      <c r="J17" s="11"/>
      <c r="M17" s="4"/>
      <c r="N17" s="97"/>
      <c r="O17" s="97"/>
      <c r="P17" s="97" t="str">
        <f t="shared" si="4"/>
        <v>,vital_sign_num_value</v>
      </c>
      <c r="Q17" s="97" t="str">
        <f t="shared" si="0"/>
        <v>TEXT</v>
      </c>
      <c r="R17" s="97" t="str">
        <f t="shared" si="1"/>
        <v/>
      </c>
      <c r="S17" s="97" t="str">
        <f t="shared" si="5"/>
        <v/>
      </c>
      <c r="T17" s="97" t="str">
        <f t="shared" si="6"/>
        <v>-- 数値で表記されるバイタルサインの値</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milscm_2023_010.azn_202310_work_vital.vital_sign_num_value IS '数値で表記されるバイタルサインの値';</v>
      </c>
    </row>
    <row r="18" spans="1:52" s="25" customFormat="1" ht="57" thickBot="1">
      <c r="A18" s="4"/>
      <c r="B18" s="69">
        <f t="shared" si="2"/>
        <v>6</v>
      </c>
      <c r="C18" s="70" t="s">
        <v>4161</v>
      </c>
      <c r="D18" s="70" t="s">
        <v>4165</v>
      </c>
      <c r="E18" s="118" t="s">
        <v>127</v>
      </c>
      <c r="F18" s="71" t="s">
        <v>1845</v>
      </c>
      <c r="G18" s="71" t="str">
        <f>IF(F18="フラグ","boolean",IF(F18="文字列","text",IF(F18="整数","integer",IF(F18="実数","numeric",""))))</f>
        <v>integer</v>
      </c>
      <c r="H18" s="119"/>
      <c r="I18" s="120" t="s">
        <v>127</v>
      </c>
      <c r="J18" s="74" t="s">
        <v>4183</v>
      </c>
      <c r="M18" s="4"/>
      <c r="N18" s="97"/>
      <c r="O18" s="97"/>
      <c r="P18" s="97" t="str">
        <f>IF(B18&lt;&gt;1,","&amp;D18,D18)</f>
        <v>,row_no</v>
      </c>
      <c r="Q18" s="97" t="str">
        <f>UPPER(G18)</f>
        <v>INTEGER</v>
      </c>
      <c r="R18" s="97" t="str">
        <f>IF(H18&lt;&gt;"","default "&amp;IF(G18="text","'"&amp;H18&amp;"'",H18),"")</f>
        <v/>
      </c>
      <c r="S18" s="97" t="str">
        <f>IF(I18="○","NOT NULL","")</f>
        <v>NOT NULL</v>
      </c>
      <c r="T18" s="97" t="str">
        <f>"-- "&amp;C18</f>
        <v>-- 行番号</v>
      </c>
      <c r="U18" s="4"/>
      <c r="AA18" s="4"/>
      <c r="AB18" s="4"/>
      <c r="AC18" s="4"/>
      <c r="AD18" s="4"/>
      <c r="AE18" s="4"/>
      <c r="AF18" s="4"/>
      <c r="AG18" s="4"/>
      <c r="AH18" s="4"/>
      <c r="AI18" s="4"/>
      <c r="AJ18" s="97" t="str">
        <f>IF(E18="○",IF(COUNTA(E$13:E18)=1,"",",")&amp;D18,"")</f>
        <v>,row_no</v>
      </c>
      <c r="AK18" s="4"/>
      <c r="AL18" s="4"/>
      <c r="AM18" s="4"/>
      <c r="AN18" s="4"/>
      <c r="AO18" s="4"/>
      <c r="AP18" s="4"/>
      <c r="AQ18" s="4"/>
      <c r="AR18" s="4"/>
      <c r="AS18" s="97" t="str">
        <f>"COMMENT ON COLUMN "&amp;エンティティ一覧!$O$2&amp;"."&amp;D$8&amp;"."&amp;D18&amp;" IS '"&amp;C18&amp;"';"</f>
        <v>COMMENT ON COLUMN milscm_2023_010.azn_202310_work_vital.row_no IS '行番号';</v>
      </c>
    </row>
    <row r="19" spans="1:52">
      <c r="L19" s="25"/>
      <c r="M19" s="25"/>
      <c r="N19" s="97" t="s">
        <v>142</v>
      </c>
      <c r="O19" s="97"/>
      <c r="P19" s="97"/>
      <c r="Q19" s="97"/>
      <c r="R19" s="97"/>
      <c r="S19" s="97"/>
      <c r="T19" s="97"/>
      <c r="V19" s="25"/>
      <c r="W19" s="25"/>
      <c r="X19" s="25"/>
      <c r="Y19" s="25"/>
      <c r="Z19" s="25"/>
      <c r="AJ19" s="97"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V34" s="25"/>
      <c r="AW34" s="25"/>
      <c r="AX34" s="25"/>
      <c r="AY34" s="25"/>
      <c r="AZ34" s="25"/>
    </row>
    <row r="35" spans="12:52">
      <c r="M35" s="25"/>
    </row>
    <row r="36" spans="12:52">
      <c r="M36" s="25"/>
    </row>
    <row r="37" spans="12:52">
      <c r="M37" s="25"/>
    </row>
    <row r="38" spans="12:52">
      <c r="M38" s="25"/>
    </row>
    <row r="39" spans="12:52">
      <c r="M39" s="25"/>
    </row>
    <row r="40" spans="12:52">
      <c r="M4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41</v>
      </c>
      <c r="E4" s="248"/>
      <c r="F4" s="248"/>
      <c r="G4" s="248"/>
      <c r="H4" s="248"/>
      <c r="I4" s="248"/>
      <c r="J4" s="249"/>
    </row>
    <row r="5" spans="1:45">
      <c r="B5" s="261" t="s">
        <v>3704</v>
      </c>
      <c r="C5" s="262"/>
      <c r="D5" s="271" t="str">
        <f>VLOOKUP(D7,エンティティ一覧!A1:'エンティティ一覧'!AM10203,7,FALSE)</f>
        <v>work</v>
      </c>
      <c r="E5" s="272"/>
      <c r="F5" s="272"/>
      <c r="G5" s="272"/>
      <c r="H5" s="272"/>
      <c r="I5" s="272"/>
      <c r="J5" s="273"/>
    </row>
    <row r="6" spans="1:45">
      <c r="B6" s="261" t="s">
        <v>3705</v>
      </c>
      <c r="C6" s="262"/>
      <c r="D6" s="271" t="str">
        <f>VLOOKUP(D7,エンティティ一覧!A1:'エンティティ一覧'!AM10203,15,FALSE)</f>
        <v>ENT_41_08</v>
      </c>
      <c r="E6" s="272"/>
      <c r="F6" s="272"/>
      <c r="G6" s="272"/>
      <c r="H6" s="272"/>
      <c r="I6" s="272"/>
      <c r="J6" s="273"/>
    </row>
    <row r="7" spans="1:45">
      <c r="B7" s="261" t="s">
        <v>115</v>
      </c>
      <c r="C7" s="262"/>
      <c r="D7" s="263" t="s">
        <v>4108</v>
      </c>
      <c r="E7" s="264"/>
      <c r="F7" s="264"/>
      <c r="G7" s="264"/>
      <c r="H7" s="264"/>
      <c r="I7" s="264"/>
      <c r="J7" s="265"/>
    </row>
    <row r="8" spans="1:45">
      <c r="B8" s="261" t="s">
        <v>116</v>
      </c>
      <c r="C8" s="262"/>
      <c r="D8" s="263" t="str">
        <f>エンティティ一覧!AE2&amp;"_"&amp;D5&amp;"_shinryou_koui"</f>
        <v>azn_202310_work_shinryou_koui</v>
      </c>
      <c r="E8" s="264"/>
      <c r="F8" s="264"/>
      <c r="G8" s="264"/>
      <c r="H8" s="264"/>
      <c r="I8" s="264"/>
      <c r="J8" s="265"/>
    </row>
    <row r="9" spans="1:45" ht="19.5" customHeight="1" thickBot="1">
      <c r="B9" s="266" t="s">
        <v>117</v>
      </c>
      <c r="C9" s="267"/>
      <c r="D9" s="268" t="s">
        <v>4187</v>
      </c>
      <c r="E9" s="269"/>
      <c r="F9" s="269"/>
      <c r="G9" s="269"/>
      <c r="H9" s="269"/>
      <c r="I9" s="269"/>
      <c r="J9" s="270"/>
    </row>
    <row r="10" spans="1:45">
      <c r="B10" s="19"/>
      <c r="C10" s="19"/>
      <c r="D10" s="5"/>
      <c r="E10" s="5"/>
      <c r="F10" s="5"/>
      <c r="G10" s="5"/>
      <c r="H10" s="5"/>
      <c r="I10" s="5"/>
      <c r="J10" s="18"/>
      <c r="N10" s="97" t="str">
        <f>"--DROP TABLE  "&amp;エンティティ一覧!$O$2&amp;"."&amp;D$8&amp;";"</f>
        <v>--DROP TABLE  milscm_2023_010.azn_202310_work_shinryou_koui;</v>
      </c>
      <c r="O10" s="97"/>
      <c r="P10" s="97"/>
      <c r="Q10" s="97"/>
      <c r="R10" s="97"/>
      <c r="S10" s="97"/>
      <c r="T10" s="97"/>
      <c r="AJ10" s="97" t="str">
        <f>"ALTER TABLE ONLY "&amp;エンティティ一覧!$O$2&amp;"."&amp;D$8</f>
        <v>ALTER TABLE ONLY milscm_2023_010.azn_202310_work_shinryou_koui</v>
      </c>
      <c r="AS10" s="97" t="str">
        <f>"ALTER TABLE "&amp;エンティティ一覧!$O$2&amp;"."&amp;D$8&amp;" OWNER TO pgmisgrp1;"</f>
        <v>ALTER TABLE milscm_2023_010.azn_202310_work_shinryou_koui OWNER TO pgmisgrp1;</v>
      </c>
    </row>
    <row r="11" spans="1:45" ht="19.5" thickBot="1">
      <c r="B11" s="20" t="s">
        <v>118</v>
      </c>
      <c r="C11" s="19"/>
      <c r="D11" s="5"/>
      <c r="E11" s="5"/>
      <c r="F11" s="5"/>
      <c r="G11" s="5"/>
      <c r="H11" s="5"/>
      <c r="I11" s="5"/>
      <c r="J11" s="18"/>
      <c r="N11" s="97" t="str">
        <f>"CREATE TABLE  "&amp;エンティティ一覧!$O$2&amp;"."&amp;D$8</f>
        <v>CREATE TABLE  milscm_2023_010.azn_202310_work_shinryou_koui</v>
      </c>
      <c r="O11" s="97"/>
      <c r="P11" s="97"/>
      <c r="Q11" s="97"/>
      <c r="R11" s="97"/>
      <c r="S11" s="97"/>
      <c r="T11" s="97"/>
      <c r="AJ11" s="97" t="str">
        <f>"ADD CONSTRAINT "&amp;D$8&amp;"_pkey PRIMARY KEY"</f>
        <v>ADD CONSTRAINT azn_202310_work_shinryou_koui_pkey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milscm_2023_010.azn_202310_work_shinryou_koui IS 'ワーク_診療行為データ';</v>
      </c>
    </row>
    <row r="13" spans="1:45" s="25" customFormat="1">
      <c r="A13" s="4"/>
      <c r="B13" s="21">
        <f>ROW()-12</f>
        <v>1</v>
      </c>
      <c r="C13" s="6" t="s">
        <v>137</v>
      </c>
      <c r="D13" s="6" t="s">
        <v>128</v>
      </c>
      <c r="E13" s="8" t="s">
        <v>4013</v>
      </c>
      <c r="F13" s="8" t="s">
        <v>1826</v>
      </c>
      <c r="G13" s="7" t="str">
        <f>IF(F13="フラグ","boolean",IF(F13="文字列","text",IF(F13="整数","integer",IF(F13="実数","numeric",""))))</f>
        <v>text</v>
      </c>
      <c r="H13" s="9"/>
      <c r="I13" s="10" t="s">
        <v>127</v>
      </c>
      <c r="J13" s="11"/>
      <c r="M13" s="4"/>
      <c r="N13" s="97"/>
      <c r="O13" s="97"/>
      <c r="P13" s="97" t="str">
        <f>IF(B13&lt;&gt;1,","&amp;D13,D13)</f>
        <v>facility_id</v>
      </c>
      <c r="Q13" s="97" t="str">
        <f t="shared" ref="Q13:Q14" si="0">UPPER(G13)</f>
        <v>TEXT</v>
      </c>
      <c r="R13" s="97" t="str">
        <f t="shared" ref="R13:R14" si="1">IF(H13&lt;&gt;"","default "&amp;IF(G13="text","'"&amp;H13&amp;"'",H13),"")</f>
        <v/>
      </c>
      <c r="S13" s="97" t="str">
        <f>IF(I13="○","NOT NULL","")</f>
        <v>NOT NULL</v>
      </c>
      <c r="T13" s="97" t="str">
        <f>"-- "&amp;C13</f>
        <v>-- 施設ID</v>
      </c>
      <c r="U13" s="4"/>
      <c r="AA13" s="4"/>
      <c r="AB13" s="4"/>
      <c r="AC13" s="4"/>
      <c r="AD13" s="4"/>
      <c r="AE13" s="4"/>
      <c r="AF13" s="4"/>
      <c r="AG13" s="4"/>
      <c r="AH13" s="4"/>
      <c r="AI13" s="4"/>
      <c r="AJ13" s="97" t="str">
        <f>IF(E13="○",IF(COUNTA(E$13:E13)=1,"",",")&amp;D13,"")</f>
        <v>facility_id</v>
      </c>
      <c r="AK13" s="4"/>
      <c r="AL13" s="4"/>
      <c r="AM13" s="4"/>
      <c r="AN13" s="4"/>
      <c r="AO13" s="4"/>
      <c r="AP13" s="4"/>
      <c r="AQ13" s="4"/>
      <c r="AR13" s="4"/>
      <c r="AS13" s="97" t="str">
        <f>"COMMENT ON COLUMN "&amp;エンティティ一覧!$O$2&amp;"."&amp;D$8&amp;"."&amp;D13&amp;" IS '"&amp;C13&amp;"';"</f>
        <v>COMMENT ON COLUMN milscm_2023_010.azn_202310_work_shinryou_koui.facility_id IS '施設ID';</v>
      </c>
    </row>
    <row r="14" spans="1:45" s="25" customFormat="1">
      <c r="A14" s="4"/>
      <c r="B14" s="21">
        <f t="shared" ref="B14" si="2">ROW()-12</f>
        <v>2</v>
      </c>
      <c r="C14" s="6" t="s">
        <v>4015</v>
      </c>
      <c r="D14" s="6" t="s">
        <v>1843</v>
      </c>
      <c r="E14" s="8" t="s">
        <v>4013</v>
      </c>
      <c r="F14" s="7" t="s">
        <v>1826</v>
      </c>
      <c r="G14" s="7" t="str">
        <f t="shared" ref="G14" si="3">IF(F14="フラグ","boolean",IF(F14="文字列","text",IF(F14="整数","integer",IF(F14="実数","numeric",""))))</f>
        <v>text</v>
      </c>
      <c r="H14" s="26"/>
      <c r="I14" s="10" t="s">
        <v>127</v>
      </c>
      <c r="J14" s="11"/>
      <c r="M14" s="4"/>
      <c r="N14" s="97"/>
      <c r="O14" s="97"/>
      <c r="P14" s="97" t="str">
        <f t="shared" ref="P14" si="4">IF(B14&lt;&gt;1,","&amp;D14,D14)</f>
        <v>,himoduke_id</v>
      </c>
      <c r="Q14" s="97" t="str">
        <f t="shared" si="0"/>
        <v>TEXT</v>
      </c>
      <c r="R14" s="97" t="str">
        <f t="shared" si="1"/>
        <v/>
      </c>
      <c r="S14" s="97" t="str">
        <f t="shared" ref="S14" si="5">IF(I14="○","NOT NULL","")</f>
        <v>NOT NULL</v>
      </c>
      <c r="T14" s="97" t="str">
        <f t="shared" ref="T14" si="6">"-- "&amp;C14</f>
        <v>-- 紐付けID</v>
      </c>
      <c r="U14" s="4"/>
      <c r="AA14" s="4"/>
      <c r="AB14" s="4"/>
      <c r="AC14" s="4"/>
      <c r="AD14" s="4"/>
      <c r="AE14" s="4"/>
      <c r="AF14" s="4"/>
      <c r="AG14" s="4"/>
      <c r="AH14" s="4"/>
      <c r="AI14" s="4"/>
      <c r="AJ14" s="97" t="str">
        <f>IF(E14="○",IF(COUNTA(E$13:E14)=1,"",",")&amp;D14,"")</f>
        <v>,himoduke_id</v>
      </c>
      <c r="AK14" s="4"/>
      <c r="AL14" s="4"/>
      <c r="AM14" s="4"/>
      <c r="AN14" s="4"/>
      <c r="AO14" s="4"/>
      <c r="AP14" s="4"/>
      <c r="AQ14" s="4"/>
      <c r="AR14" s="4"/>
      <c r="AS14" s="97" t="str">
        <f>"COMMENT ON COLUMN "&amp;エンティティ一覧!$O$2&amp;"."&amp;D$8&amp;"."&amp;D14&amp;" IS '"&amp;C14&amp;"';"</f>
        <v>COMMENT ON COLUMN milscm_2023_010.azn_202310_work_shinryou_koui.himoduke_id IS '紐付けID';</v>
      </c>
    </row>
    <row r="15" spans="1:45" s="25" customFormat="1">
      <c r="A15" s="4"/>
      <c r="B15" s="21">
        <f t="shared" ref="B15:B16" si="7">ROW()-12</f>
        <v>3</v>
      </c>
      <c r="C15" s="6" t="s">
        <v>145</v>
      </c>
      <c r="D15" s="13" t="s">
        <v>154</v>
      </c>
      <c r="E15" s="8" t="s">
        <v>127</v>
      </c>
      <c r="F15" s="7" t="s">
        <v>1735</v>
      </c>
      <c r="G15" s="7" t="str">
        <f t="shared" ref="G15:G16" si="8">IF(F15="フラグ","boolean",IF(F15="文字列","text",IF(F15="整数","integer",IF(F15="実数","numeric",""))))</f>
        <v>text</v>
      </c>
      <c r="H15" s="26"/>
      <c r="I15" s="10" t="s">
        <v>127</v>
      </c>
      <c r="J15" s="11"/>
      <c r="M15" s="4"/>
      <c r="N15" s="97"/>
      <c r="O15" s="97"/>
      <c r="P15" s="97" t="str">
        <f t="shared" ref="P15:P16" si="9">IF(B15&lt;&gt;1,","&amp;D15,D15)</f>
        <v>,receipt_densan_code</v>
      </c>
      <c r="Q15" s="97" t="str">
        <f t="shared" ref="Q15:Q16" si="10">UPPER(G15)</f>
        <v>TEXT</v>
      </c>
      <c r="R15" s="97" t="str">
        <f t="shared" ref="R15:R16" si="11">IF(H15&lt;&gt;"","default "&amp;IF(G15="text","'"&amp;H15&amp;"'",H15),"")</f>
        <v/>
      </c>
      <c r="S15" s="97" t="str">
        <f>IF(I15="○","NOT NULL","")</f>
        <v>NOT NULL</v>
      </c>
      <c r="T15" s="97" t="str">
        <f>"-- "&amp;C15</f>
        <v>-- レセプト電算処理システム用コード</v>
      </c>
      <c r="U15" s="4"/>
      <c r="AA15" s="4"/>
      <c r="AB15" s="4"/>
      <c r="AC15" s="4"/>
      <c r="AD15" s="4"/>
      <c r="AE15" s="4"/>
      <c r="AF15" s="4"/>
      <c r="AG15" s="4"/>
      <c r="AH15" s="4"/>
      <c r="AI15" s="4"/>
      <c r="AJ15" s="97" t="str">
        <f>IF(E15="○",IF(COUNTA(E$13:E15)=1,"",",")&amp;D15,"")</f>
        <v>,receipt_densan_code</v>
      </c>
      <c r="AK15" s="4"/>
      <c r="AL15" s="4"/>
      <c r="AM15" s="4"/>
      <c r="AN15" s="4"/>
      <c r="AO15" s="4"/>
      <c r="AP15" s="4"/>
      <c r="AQ15" s="4"/>
      <c r="AR15" s="4"/>
      <c r="AS15" s="97" t="str">
        <f>"COMMENT ON COLUMN "&amp;エンティティ一覧!$O$2&amp;"."&amp;D$8&amp;"."&amp;D15&amp;" IS '"&amp;C15&amp;"';"</f>
        <v>COMMENT ON COLUMN milscm_2023_010.azn_202310_work_shinryou_koui.receipt_densan_code IS 'レセプト電算処理システム用コード';</v>
      </c>
    </row>
    <row r="16" spans="1:45" s="25" customFormat="1" ht="19.5" thickBot="1">
      <c r="A16" s="4"/>
      <c r="B16" s="65">
        <f t="shared" si="7"/>
        <v>4</v>
      </c>
      <c r="C16" s="57" t="s">
        <v>1749</v>
      </c>
      <c r="D16" s="57" t="s">
        <v>155</v>
      </c>
      <c r="E16" s="56" t="s">
        <v>127</v>
      </c>
      <c r="F16" s="56" t="s">
        <v>1735</v>
      </c>
      <c r="G16" s="56" t="str">
        <f t="shared" si="8"/>
        <v>text</v>
      </c>
      <c r="H16" s="59"/>
      <c r="I16" s="60" t="s">
        <v>127</v>
      </c>
      <c r="J16" s="61"/>
      <c r="M16" s="4"/>
      <c r="N16" s="97"/>
      <c r="O16" s="97"/>
      <c r="P16" s="97" t="str">
        <f t="shared" si="9"/>
        <v>,jisshi_ymd</v>
      </c>
      <c r="Q16" s="97" t="str">
        <f t="shared" si="10"/>
        <v>TEXT</v>
      </c>
      <c r="R16" s="97" t="str">
        <f t="shared" si="11"/>
        <v/>
      </c>
      <c r="S16" s="97" t="str">
        <f t="shared" ref="S16" si="12">IF(I16="○","NOT NULL","")</f>
        <v>NOT NULL</v>
      </c>
      <c r="T16" s="97" t="str">
        <f t="shared" ref="T16" si="13">"-- "&amp;C16</f>
        <v>-- 実施年月日</v>
      </c>
      <c r="U16" s="4"/>
      <c r="AA16" s="4"/>
      <c r="AB16" s="4"/>
      <c r="AC16" s="4"/>
      <c r="AD16" s="4"/>
      <c r="AE16" s="4"/>
      <c r="AF16" s="4"/>
      <c r="AG16" s="4"/>
      <c r="AH16" s="4"/>
      <c r="AI16" s="4"/>
      <c r="AJ16" s="97" t="str">
        <f>IF(E16="○",IF(COUNTA(E$13:E16)=1,"",",")&amp;D16,"")</f>
        <v>,jisshi_ymd</v>
      </c>
      <c r="AK16" s="4"/>
      <c r="AL16" s="4"/>
      <c r="AM16" s="4"/>
      <c r="AN16" s="4"/>
      <c r="AO16" s="4"/>
      <c r="AP16" s="4"/>
      <c r="AQ16" s="4"/>
      <c r="AR16" s="4"/>
      <c r="AS16" s="97" t="str">
        <f>"COMMENT ON COLUMN "&amp;エンティティ一覧!$O$2&amp;"."&amp;D$8&amp;"."&amp;D16&amp;" IS '"&amp;C16&amp;"';"</f>
        <v>COMMENT ON COLUMN milscm_2023_010.azn_202310_work_shinryou_koui.jisshi_ymd IS '実施年月日';</v>
      </c>
    </row>
    <row r="17" spans="12:52">
      <c r="L17" s="25"/>
      <c r="M17" s="25"/>
      <c r="N17" s="97" t="s">
        <v>142</v>
      </c>
      <c r="O17" s="97"/>
      <c r="P17" s="97"/>
      <c r="Q17" s="97"/>
      <c r="R17" s="97"/>
      <c r="S17" s="97"/>
      <c r="T17" s="97"/>
      <c r="V17" s="25"/>
      <c r="W17" s="25"/>
      <c r="X17" s="25"/>
      <c r="Y17" s="25"/>
      <c r="Z17" s="25"/>
      <c r="AJ17" s="97"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election activeCell="D20" sqref="D20"/>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41</v>
      </c>
      <c r="E4" s="248"/>
      <c r="F4" s="248"/>
      <c r="G4" s="248"/>
      <c r="H4" s="248"/>
      <c r="I4" s="248"/>
      <c r="J4" s="249"/>
    </row>
    <row r="5" spans="1:45">
      <c r="B5" s="261" t="s">
        <v>3704</v>
      </c>
      <c r="C5" s="262"/>
      <c r="D5" s="271" t="str">
        <f>VLOOKUP(D7,エンティティ一覧!A1:'エンティティ一覧'!AM10203,7,FALSE)</f>
        <v>work</v>
      </c>
      <c r="E5" s="272"/>
      <c r="F5" s="272"/>
      <c r="G5" s="272"/>
      <c r="H5" s="272"/>
      <c r="I5" s="272"/>
      <c r="J5" s="273"/>
    </row>
    <row r="6" spans="1:45">
      <c r="B6" s="261" t="s">
        <v>3705</v>
      </c>
      <c r="C6" s="262"/>
      <c r="D6" s="271" t="str">
        <f>VLOOKUP(D7,エンティティ一覧!A1:'エンティティ一覧'!AM10203,15,FALSE)</f>
        <v>ENT_41_09</v>
      </c>
      <c r="E6" s="272"/>
      <c r="F6" s="272"/>
      <c r="G6" s="272"/>
      <c r="H6" s="272"/>
      <c r="I6" s="272"/>
      <c r="J6" s="273"/>
    </row>
    <row r="7" spans="1:45">
      <c r="B7" s="261" t="s">
        <v>115</v>
      </c>
      <c r="C7" s="262"/>
      <c r="D7" s="263" t="s">
        <v>4193</v>
      </c>
      <c r="E7" s="264"/>
      <c r="F7" s="264"/>
      <c r="G7" s="264"/>
      <c r="H7" s="264"/>
      <c r="I7" s="264"/>
      <c r="J7" s="265"/>
    </row>
    <row r="8" spans="1:45">
      <c r="B8" s="261" t="s">
        <v>116</v>
      </c>
      <c r="C8" s="262"/>
      <c r="D8" s="263" t="str">
        <f>エンティティ一覧!AE2&amp;"_"&amp;D5&amp;"_kensa_scm2"</f>
        <v>azn_202310_work_kensa_scm2</v>
      </c>
      <c r="E8" s="264"/>
      <c r="F8" s="264"/>
      <c r="G8" s="264"/>
      <c r="H8" s="264"/>
      <c r="I8" s="264"/>
      <c r="J8" s="265"/>
    </row>
    <row r="9" spans="1:45" ht="19.5" customHeight="1" thickBot="1">
      <c r="B9" s="266" t="s">
        <v>117</v>
      </c>
      <c r="C9" s="267"/>
      <c r="D9" s="268" t="s">
        <v>4192</v>
      </c>
      <c r="E9" s="269"/>
      <c r="F9" s="269"/>
      <c r="G9" s="269"/>
      <c r="H9" s="269"/>
      <c r="I9" s="269"/>
      <c r="J9" s="270"/>
    </row>
    <row r="10" spans="1:45">
      <c r="B10" s="19"/>
      <c r="C10" s="19"/>
      <c r="D10" s="5"/>
      <c r="E10" s="5"/>
      <c r="F10" s="5"/>
      <c r="G10" s="5"/>
      <c r="H10" s="5"/>
      <c r="I10" s="5"/>
      <c r="J10" s="18"/>
      <c r="N10" s="97" t="str">
        <f>"--DROP TABLE  "&amp;エンティティ一覧!$O$2&amp;"."&amp;D$8&amp;";"</f>
        <v>--DROP TABLE  milscm_2023_010.azn_202310_work_kensa_scm2;</v>
      </c>
      <c r="O10" s="97"/>
      <c r="P10" s="97"/>
      <c r="Q10" s="97"/>
      <c r="R10" s="97"/>
      <c r="S10" s="97"/>
      <c r="T10" s="97"/>
      <c r="AJ10" s="97" t="str">
        <f>"ALTER TABLE ONLY "&amp;エンティティ一覧!$O$2&amp;"."&amp;D$8</f>
        <v>ALTER TABLE ONLY milscm_2023_010.azn_202310_work_kensa_scm2</v>
      </c>
      <c r="AS10" s="97" t="str">
        <f>"ALTER TABLE "&amp;エンティティ一覧!$O$2&amp;"."&amp;D$8&amp;" OWNER TO pgmisgrp1;"</f>
        <v>ALTER TABLE milscm_2023_010.azn_202310_work_kensa_scm2 OWNER TO pgmisgrp1;</v>
      </c>
    </row>
    <row r="11" spans="1:45" ht="19.5" thickBot="1">
      <c r="B11" s="20" t="s">
        <v>118</v>
      </c>
      <c r="C11" s="19"/>
      <c r="D11" s="5"/>
      <c r="E11" s="5"/>
      <c r="F11" s="5"/>
      <c r="G11" s="5"/>
      <c r="H11" s="5"/>
      <c r="I11" s="5"/>
      <c r="J11" s="18"/>
      <c r="N11" s="97" t="str">
        <f>"CREATE TABLE  "&amp;エンティティ一覧!$O$2&amp;"."&amp;D$8</f>
        <v>CREATE TABLE  milscm_2023_010.azn_202310_work_kensa_scm2</v>
      </c>
      <c r="O11" s="97"/>
      <c r="P11" s="97"/>
      <c r="Q11" s="97"/>
      <c r="R11" s="97"/>
      <c r="S11" s="97"/>
      <c r="T11" s="97"/>
      <c r="AJ11" s="97" t="str">
        <f>"ADD CONSTRAINT "&amp;D$8&amp;"_pkey PRIMARY KEY"</f>
        <v>ADD CONSTRAINT azn_202310_work_kensa_scm2_pkey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milscm_2023_010.azn_202310_work_kensa_scm2 IS 'ワーク_検体検査データ_スキーマ2';</v>
      </c>
    </row>
    <row r="13" spans="1:45" s="25" customFormat="1">
      <c r="A13" s="4"/>
      <c r="B13" s="21">
        <f>ROW()-12</f>
        <v>1</v>
      </c>
      <c r="C13" s="6" t="s">
        <v>137</v>
      </c>
      <c r="D13" s="6" t="s">
        <v>128</v>
      </c>
      <c r="E13" s="8" t="s">
        <v>4013</v>
      </c>
      <c r="F13" s="8" t="s">
        <v>1826</v>
      </c>
      <c r="G13" s="7" t="str">
        <f>IF(F13="フラグ","boolean",IF(F13="文字列","text",IF(F13="整数","integer",IF(F13="実数","numeric",""))))</f>
        <v>text</v>
      </c>
      <c r="H13" s="9"/>
      <c r="I13" s="10" t="s">
        <v>127</v>
      </c>
      <c r="J13" s="11"/>
      <c r="M13" s="4"/>
      <c r="N13" s="97"/>
      <c r="O13" s="97"/>
      <c r="P13" s="97" t="str">
        <f>IF(B13&lt;&gt;1,","&amp;D13,D13)</f>
        <v>facility_id</v>
      </c>
      <c r="Q13" s="97" t="str">
        <f t="shared" ref="Q13:Q14" si="0">UPPER(G13)</f>
        <v>TEXT</v>
      </c>
      <c r="R13" s="97" t="str">
        <f t="shared" ref="R13:R14" si="1">IF(H13&lt;&gt;"","default "&amp;IF(G13="text","'"&amp;H13&amp;"'",H13),"")</f>
        <v/>
      </c>
      <c r="S13" s="97" t="str">
        <f>IF(I13="○","NOT NULL","")</f>
        <v>NOT NULL</v>
      </c>
      <c r="T13" s="97" t="str">
        <f>"-- "&amp;C13</f>
        <v>-- 施設ID</v>
      </c>
      <c r="U13" s="4"/>
      <c r="AA13" s="4"/>
      <c r="AB13" s="4"/>
      <c r="AC13" s="4"/>
      <c r="AD13" s="4"/>
      <c r="AE13" s="4"/>
      <c r="AF13" s="4"/>
      <c r="AG13" s="4"/>
      <c r="AH13" s="4"/>
      <c r="AI13" s="4"/>
      <c r="AJ13" s="97" t="str">
        <f>IF(E13="○",IF(COUNTA(E$13:E13)=1,"",",")&amp;D13,"")</f>
        <v>facility_id</v>
      </c>
      <c r="AK13" s="4"/>
      <c r="AL13" s="4"/>
      <c r="AM13" s="4"/>
      <c r="AN13" s="4"/>
      <c r="AO13" s="4"/>
      <c r="AP13" s="4"/>
      <c r="AQ13" s="4"/>
      <c r="AR13" s="4"/>
      <c r="AS13" s="97" t="str">
        <f>"COMMENT ON COLUMN "&amp;エンティティ一覧!$O$2&amp;"."&amp;D$8&amp;"."&amp;D13&amp;" IS '"&amp;C13&amp;"';"</f>
        <v>COMMENT ON COLUMN milscm_2023_010.azn_202310_work_kensa_scm2.facility_id IS '施設ID';</v>
      </c>
    </row>
    <row r="14" spans="1:45" s="25" customFormat="1">
      <c r="A14" s="4"/>
      <c r="B14" s="21">
        <f t="shared" ref="B14" si="2">ROW()-12</f>
        <v>2</v>
      </c>
      <c r="C14" s="6" t="s">
        <v>4015</v>
      </c>
      <c r="D14" s="6" t="s">
        <v>1843</v>
      </c>
      <c r="E14" s="8" t="s">
        <v>4013</v>
      </c>
      <c r="F14" s="7" t="s">
        <v>1826</v>
      </c>
      <c r="G14" s="7" t="str">
        <f t="shared" ref="G14" si="3">IF(F14="フラグ","boolean",IF(F14="文字列","text",IF(F14="整数","integer",IF(F14="実数","numeric",""))))</f>
        <v>text</v>
      </c>
      <c r="H14" s="26"/>
      <c r="I14" s="10" t="s">
        <v>127</v>
      </c>
      <c r="J14" s="11"/>
      <c r="M14" s="4"/>
      <c r="N14" s="97"/>
      <c r="O14" s="97"/>
      <c r="P14" s="97" t="str">
        <f t="shared" ref="P14" si="4">IF(B14&lt;&gt;1,","&amp;D14,D14)</f>
        <v>,himoduke_id</v>
      </c>
      <c r="Q14" s="97" t="str">
        <f t="shared" si="0"/>
        <v>TEXT</v>
      </c>
      <c r="R14" s="97" t="str">
        <f t="shared" si="1"/>
        <v/>
      </c>
      <c r="S14" s="97" t="str">
        <f t="shared" ref="S14" si="5">IF(I14="○","NOT NULL","")</f>
        <v>NOT NULL</v>
      </c>
      <c r="T14" s="97" t="str">
        <f t="shared" ref="T14" si="6">"-- "&amp;C14</f>
        <v>-- 紐付けID</v>
      </c>
      <c r="U14" s="4"/>
      <c r="AA14" s="4"/>
      <c r="AB14" s="4"/>
      <c r="AC14" s="4"/>
      <c r="AD14" s="4"/>
      <c r="AE14" s="4"/>
      <c r="AF14" s="4"/>
      <c r="AG14" s="4"/>
      <c r="AH14" s="4"/>
      <c r="AI14" s="4"/>
      <c r="AJ14" s="97" t="str">
        <f>IF(E14="○",IF(COUNTA(E$13:E14)=1,"",",")&amp;D14,"")</f>
        <v>,himoduke_id</v>
      </c>
      <c r="AK14" s="4"/>
      <c r="AL14" s="4"/>
      <c r="AM14" s="4"/>
      <c r="AN14" s="4"/>
      <c r="AO14" s="4"/>
      <c r="AP14" s="4"/>
      <c r="AQ14" s="4"/>
      <c r="AR14" s="4"/>
      <c r="AS14" s="97" t="str">
        <f>"COMMENT ON COLUMN "&amp;エンティティ一覧!$O$2&amp;"."&amp;D$8&amp;"."&amp;D14&amp;" IS '"&amp;C14&amp;"';"</f>
        <v>COMMENT ON COLUMN milscm_2023_010.azn_202310_work_kensa_scm2.himoduke_id IS '紐付けID';</v>
      </c>
    </row>
    <row r="15" spans="1:45" s="25" customFormat="1">
      <c r="A15" s="4"/>
      <c r="B15" s="21">
        <f t="shared" ref="B15:B22" si="7">ROW()-12</f>
        <v>3</v>
      </c>
      <c r="C15" s="6" t="s">
        <v>1604</v>
      </c>
      <c r="D15" s="13" t="s">
        <v>4048</v>
      </c>
      <c r="E15" s="8" t="s">
        <v>127</v>
      </c>
      <c r="F15" s="7" t="s">
        <v>1735</v>
      </c>
      <c r="G15" s="7" t="str">
        <f t="shared" ref="G15:G22" si="8">IF(F15="フラグ","boolean",IF(F15="文字列","text",IF(F15="整数","integer",IF(F15="実数","numeric",""))))</f>
        <v>text</v>
      </c>
      <c r="H15" s="26"/>
      <c r="I15" s="10" t="s">
        <v>127</v>
      </c>
      <c r="J15" s="11"/>
      <c r="M15" s="4"/>
      <c r="N15" s="97"/>
      <c r="O15" s="97"/>
      <c r="P15" s="97" t="str">
        <f t="shared" ref="P15:P22" si="9">IF(B15&lt;&gt;1,","&amp;D15,D15)</f>
        <v>,specimen_name</v>
      </c>
      <c r="Q15" s="97" t="str">
        <f t="shared" ref="Q15:Q22" si="10">UPPER(G15)</f>
        <v>TEXT</v>
      </c>
      <c r="R15" s="97" t="str">
        <f t="shared" ref="R15:R22" si="11">IF(H15&lt;&gt;"","default "&amp;IF(G15="text","'"&amp;H15&amp;"'",H15),"")</f>
        <v/>
      </c>
      <c r="S15" s="97" t="str">
        <f t="shared" ref="S15:S22" si="12">IF(I15="○","NOT NULL","")</f>
        <v>NOT NULL</v>
      </c>
      <c r="T15" s="97" t="str">
        <f t="shared" ref="T15:T22" si="13">"-- "&amp;C15</f>
        <v>-- 検体材料</v>
      </c>
      <c r="U15" s="4"/>
      <c r="AA15" s="4"/>
      <c r="AB15" s="4"/>
      <c r="AC15" s="4"/>
      <c r="AD15" s="4"/>
      <c r="AE15" s="4"/>
      <c r="AF15" s="4"/>
      <c r="AG15" s="4"/>
      <c r="AH15" s="4"/>
      <c r="AI15" s="4"/>
      <c r="AJ15" s="97" t="str">
        <f>IF(E15="○",IF(COUNTA(E$13:E15)=1,"",",")&amp;D15,"")</f>
        <v>,specimen_name</v>
      </c>
      <c r="AK15" s="4"/>
      <c r="AL15" s="4"/>
      <c r="AM15" s="4"/>
      <c r="AN15" s="4"/>
      <c r="AO15" s="4"/>
      <c r="AP15" s="4"/>
      <c r="AQ15" s="4"/>
      <c r="AR15" s="4"/>
      <c r="AS15" s="97" t="str">
        <f>"COMMENT ON COLUMN "&amp;エンティティ一覧!$O$2&amp;"."&amp;D$8&amp;"."&amp;D15&amp;" IS '"&amp;C15&amp;"';"</f>
        <v>COMMENT ON COLUMN milscm_2023_010.azn_202310_work_kensa_scm2.specimen_name IS '検体材料';</v>
      </c>
    </row>
    <row r="16" spans="1:45" s="25" customFormat="1">
      <c r="A16" s="4"/>
      <c r="B16" s="21">
        <f t="shared" si="7"/>
        <v>4</v>
      </c>
      <c r="C16" s="6" t="s">
        <v>1606</v>
      </c>
      <c r="D16" s="13" t="s">
        <v>4049</v>
      </c>
      <c r="E16" s="8" t="s">
        <v>127</v>
      </c>
      <c r="F16" s="7" t="s">
        <v>1735</v>
      </c>
      <c r="G16" s="7" t="str">
        <f t="shared" si="8"/>
        <v>text</v>
      </c>
      <c r="H16" s="26"/>
      <c r="I16" s="10" t="s">
        <v>127</v>
      </c>
      <c r="J16" s="11"/>
      <c r="M16" s="4"/>
      <c r="N16" s="97"/>
      <c r="O16" s="97"/>
      <c r="P16" s="97" t="str">
        <f t="shared" si="9"/>
        <v>,sp_code</v>
      </c>
      <c r="Q16" s="97" t="str">
        <f t="shared" si="10"/>
        <v>TEXT</v>
      </c>
      <c r="R16" s="97" t="str">
        <f t="shared" si="11"/>
        <v/>
      </c>
      <c r="S16" s="97" t="str">
        <f t="shared" si="12"/>
        <v>NOT NULL</v>
      </c>
      <c r="T16" s="97" t="str">
        <f t="shared" si="13"/>
        <v>-- 検体材料コード</v>
      </c>
      <c r="U16" s="4"/>
      <c r="AA16" s="4"/>
      <c r="AB16" s="4"/>
      <c r="AC16" s="4"/>
      <c r="AD16" s="4"/>
      <c r="AE16" s="4"/>
      <c r="AF16" s="4"/>
      <c r="AG16" s="4"/>
      <c r="AH16" s="4"/>
      <c r="AI16" s="4"/>
      <c r="AJ16" s="97" t="str">
        <f>IF(E16="○",IF(COUNTA(E$13:E16)=1,"",",")&amp;D16,"")</f>
        <v>,sp_code</v>
      </c>
      <c r="AK16" s="4"/>
      <c r="AL16" s="4"/>
      <c r="AM16" s="4"/>
      <c r="AN16" s="4"/>
      <c r="AO16" s="4"/>
      <c r="AP16" s="4"/>
      <c r="AQ16" s="4"/>
      <c r="AR16" s="4"/>
      <c r="AS16" s="97" t="str">
        <f>"COMMENT ON COLUMN "&amp;エンティティ一覧!$O$2&amp;"."&amp;D$8&amp;"."&amp;D16&amp;" IS '"&amp;C16&amp;"';"</f>
        <v>COMMENT ON COLUMN milscm_2023_010.azn_202310_work_kensa_scm2.sp_code IS '検体材料コード';</v>
      </c>
    </row>
    <row r="17" spans="1:52" s="25" customFormat="1">
      <c r="A17" s="4"/>
      <c r="B17" s="21">
        <f t="shared" si="7"/>
        <v>5</v>
      </c>
      <c r="C17" s="6" t="s">
        <v>1621</v>
      </c>
      <c r="D17" s="13" t="s">
        <v>4050</v>
      </c>
      <c r="E17" s="8" t="s">
        <v>127</v>
      </c>
      <c r="F17" s="7" t="s">
        <v>1735</v>
      </c>
      <c r="G17" s="7" t="str">
        <f t="shared" si="8"/>
        <v>text</v>
      </c>
      <c r="H17" s="26"/>
      <c r="I17" s="10" t="s">
        <v>127</v>
      </c>
      <c r="J17" s="11"/>
      <c r="M17" s="4"/>
      <c r="N17" s="97"/>
      <c r="O17" s="97"/>
      <c r="P17" s="97" t="str">
        <f t="shared" si="9"/>
        <v>,item_name</v>
      </c>
      <c r="Q17" s="97" t="str">
        <f t="shared" si="10"/>
        <v>TEXT</v>
      </c>
      <c r="R17" s="97" t="str">
        <f t="shared" si="11"/>
        <v/>
      </c>
      <c r="S17" s="97" t="str">
        <f t="shared" si="12"/>
        <v>NOT NULL</v>
      </c>
      <c r="T17" s="97" t="str">
        <f t="shared" si="13"/>
        <v>-- 項目名</v>
      </c>
      <c r="U17" s="4"/>
      <c r="AA17" s="4"/>
      <c r="AB17" s="4"/>
      <c r="AC17" s="4"/>
      <c r="AD17" s="4"/>
      <c r="AE17" s="4"/>
      <c r="AF17" s="4"/>
      <c r="AG17" s="4"/>
      <c r="AH17" s="4"/>
      <c r="AI17" s="4"/>
      <c r="AJ17" s="97" t="str">
        <f>IF(E17="○",IF(COUNTA(E$13:E17)=1,"",",")&amp;D17,"")</f>
        <v>,item_name</v>
      </c>
      <c r="AK17" s="4"/>
      <c r="AL17" s="4"/>
      <c r="AM17" s="4"/>
      <c r="AN17" s="4"/>
      <c r="AO17" s="4"/>
      <c r="AP17" s="4"/>
      <c r="AQ17" s="4"/>
      <c r="AR17" s="4"/>
      <c r="AS17" s="97" t="str">
        <f>"COMMENT ON COLUMN "&amp;エンティティ一覧!$O$2&amp;"."&amp;D$8&amp;"."&amp;D17&amp;" IS '"&amp;C17&amp;"';"</f>
        <v>COMMENT ON COLUMN milscm_2023_010.azn_202310_work_kensa_scm2.item_name IS '項目名';</v>
      </c>
    </row>
    <row r="18" spans="1:52" s="25" customFormat="1">
      <c r="A18" s="4"/>
      <c r="B18" s="21">
        <f t="shared" si="7"/>
        <v>6</v>
      </c>
      <c r="C18" s="6" t="s">
        <v>1623</v>
      </c>
      <c r="D18" s="13" t="s">
        <v>4189</v>
      </c>
      <c r="E18" s="8" t="s">
        <v>127</v>
      </c>
      <c r="F18" s="7" t="s">
        <v>1735</v>
      </c>
      <c r="G18" s="7" t="str">
        <f t="shared" si="8"/>
        <v>text</v>
      </c>
      <c r="H18" s="26"/>
      <c r="I18" s="10" t="s">
        <v>127</v>
      </c>
      <c r="J18" s="11"/>
      <c r="M18" s="4"/>
      <c r="N18" s="97"/>
      <c r="O18" s="97"/>
      <c r="P18" s="97" t="str">
        <f t="shared" si="9"/>
        <v>,facility_it_code</v>
      </c>
      <c r="Q18" s="97" t="str">
        <f t="shared" si="10"/>
        <v>TEXT</v>
      </c>
      <c r="R18" s="97" t="str">
        <f t="shared" si="11"/>
        <v/>
      </c>
      <c r="S18" s="97" t="str">
        <f t="shared" si="12"/>
        <v>NOT NULL</v>
      </c>
      <c r="T18" s="97" t="str">
        <f t="shared" si="13"/>
        <v>-- 施設固有コード</v>
      </c>
      <c r="U18" s="4"/>
      <c r="AA18" s="4"/>
      <c r="AB18" s="4"/>
      <c r="AC18" s="4"/>
      <c r="AD18" s="4"/>
      <c r="AE18" s="4"/>
      <c r="AF18" s="4"/>
      <c r="AG18" s="4"/>
      <c r="AH18" s="4"/>
      <c r="AI18" s="4"/>
      <c r="AJ18" s="97" t="str">
        <f>IF(E18="○",IF(COUNTA(E$13:E18)=1,"",",")&amp;D18,"")</f>
        <v>,facility_it_code</v>
      </c>
      <c r="AK18" s="4"/>
      <c r="AL18" s="4"/>
      <c r="AM18" s="4"/>
      <c r="AN18" s="4"/>
      <c r="AO18" s="4"/>
      <c r="AP18" s="4"/>
      <c r="AQ18" s="4"/>
      <c r="AR18" s="4"/>
      <c r="AS18" s="97" t="str">
        <f>"COMMENT ON COLUMN "&amp;エンティティ一覧!$O$2&amp;"."&amp;D$8&amp;"."&amp;D18&amp;" IS '"&amp;C18&amp;"';"</f>
        <v>COMMENT ON COLUMN milscm_2023_010.azn_202310_work_kensa_scm2.facility_it_code IS '施設固有コード';</v>
      </c>
    </row>
    <row r="19" spans="1:52" s="25" customFormat="1">
      <c r="A19" s="4"/>
      <c r="B19" s="21">
        <f t="shared" si="7"/>
        <v>7</v>
      </c>
      <c r="C19" s="6" t="s">
        <v>1649</v>
      </c>
      <c r="D19" s="13" t="s">
        <v>4185</v>
      </c>
      <c r="E19" s="8" t="s">
        <v>127</v>
      </c>
      <c r="F19" s="7" t="s">
        <v>1735</v>
      </c>
      <c r="G19" s="7" t="str">
        <f t="shared" si="8"/>
        <v>text</v>
      </c>
      <c r="H19" s="26"/>
      <c r="I19" s="10" t="s">
        <v>127</v>
      </c>
      <c r="J19" s="11"/>
      <c r="M19" s="4"/>
      <c r="N19" s="97"/>
      <c r="O19" s="97"/>
      <c r="P19" s="97" t="str">
        <f t="shared" si="9"/>
        <v>,unit</v>
      </c>
      <c r="Q19" s="97" t="str">
        <f t="shared" si="10"/>
        <v>TEXT</v>
      </c>
      <c r="R19" s="97" t="str">
        <f t="shared" si="11"/>
        <v/>
      </c>
      <c r="S19" s="97" t="str">
        <f t="shared" si="12"/>
        <v>NOT NULL</v>
      </c>
      <c r="T19" s="97" t="str">
        <f t="shared" si="13"/>
        <v>-- 単位</v>
      </c>
      <c r="U19" s="4"/>
      <c r="AA19" s="4"/>
      <c r="AB19" s="4"/>
      <c r="AC19" s="4"/>
      <c r="AD19" s="4"/>
      <c r="AE19" s="4"/>
      <c r="AF19" s="4"/>
      <c r="AG19" s="4"/>
      <c r="AH19" s="4"/>
      <c r="AI19" s="4"/>
      <c r="AJ19" s="97" t="str">
        <f>IF(E19="○",IF(COUNTA(E$13:E19)=1,"",",")&amp;D19,"")</f>
        <v>,unit</v>
      </c>
      <c r="AK19" s="4"/>
      <c r="AL19" s="4"/>
      <c r="AM19" s="4"/>
      <c r="AN19" s="4"/>
      <c r="AO19" s="4"/>
      <c r="AP19" s="4"/>
      <c r="AQ19" s="4"/>
      <c r="AR19" s="4"/>
      <c r="AS19" s="97" t="str">
        <f>"COMMENT ON COLUMN "&amp;エンティティ一覧!$O$2&amp;"."&amp;D$8&amp;"."&amp;D19&amp;" IS '"&amp;C19&amp;"';"</f>
        <v>COMMENT ON COLUMN milscm_2023_010.azn_202310_work_kensa_scm2.unit IS '単位';</v>
      </c>
    </row>
    <row r="20" spans="1:52" s="25" customFormat="1">
      <c r="A20" s="4"/>
      <c r="B20" s="21">
        <f t="shared" si="7"/>
        <v>8</v>
      </c>
      <c r="C20" s="6" t="s">
        <v>1546</v>
      </c>
      <c r="D20" s="13" t="s">
        <v>4190</v>
      </c>
      <c r="E20" s="8" t="s">
        <v>127</v>
      </c>
      <c r="F20" s="7" t="s">
        <v>1735</v>
      </c>
      <c r="G20" s="7" t="str">
        <f t="shared" si="8"/>
        <v>text</v>
      </c>
      <c r="H20" s="26"/>
      <c r="I20" s="10" t="s">
        <v>127</v>
      </c>
      <c r="J20" s="11"/>
      <c r="M20" s="4"/>
      <c r="N20" s="97"/>
      <c r="O20" s="97"/>
      <c r="P20" s="97" t="str">
        <f t="shared" si="9"/>
        <v>,sample_time</v>
      </c>
      <c r="Q20" s="97" t="str">
        <f t="shared" si="10"/>
        <v>TEXT</v>
      </c>
      <c r="R20" s="97" t="str">
        <f t="shared" si="11"/>
        <v/>
      </c>
      <c r="S20" s="97" t="str">
        <f t="shared" si="12"/>
        <v>NOT NULL</v>
      </c>
      <c r="T20" s="97" t="str">
        <f t="shared" si="13"/>
        <v>-- 採取日時</v>
      </c>
      <c r="U20" s="4"/>
      <c r="AA20" s="4"/>
      <c r="AB20" s="4"/>
      <c r="AC20" s="4"/>
      <c r="AD20" s="4"/>
      <c r="AE20" s="4"/>
      <c r="AF20" s="4"/>
      <c r="AG20" s="4"/>
      <c r="AH20" s="4"/>
      <c r="AI20" s="4"/>
      <c r="AJ20" s="97" t="str">
        <f>IF(E20="○",IF(COUNTA(E$13:E20)=1,"",",")&amp;D20,"")</f>
        <v>,sample_time</v>
      </c>
      <c r="AK20" s="4"/>
      <c r="AL20" s="4"/>
      <c r="AM20" s="4"/>
      <c r="AN20" s="4"/>
      <c r="AO20" s="4"/>
      <c r="AP20" s="4"/>
      <c r="AQ20" s="4"/>
      <c r="AR20" s="4"/>
      <c r="AS20" s="97" t="str">
        <f>"COMMENT ON COLUMN "&amp;エンティティ一覧!$O$2&amp;"."&amp;D$8&amp;"."&amp;D20&amp;" IS '"&amp;C20&amp;"';"</f>
        <v>COMMENT ON COLUMN milscm_2023_010.azn_202310_work_kensa_scm2.sample_time IS '採取日時';</v>
      </c>
    </row>
    <row r="21" spans="1:52" s="25" customFormat="1">
      <c r="A21" s="4"/>
      <c r="B21" s="21">
        <f t="shared" si="7"/>
        <v>9</v>
      </c>
      <c r="C21" s="6" t="s">
        <v>1637</v>
      </c>
      <c r="D21" s="13" t="s">
        <v>4170</v>
      </c>
      <c r="E21" s="8"/>
      <c r="F21" s="7" t="s">
        <v>1735</v>
      </c>
      <c r="G21" s="7" t="str">
        <f t="shared" si="8"/>
        <v>text</v>
      </c>
      <c r="H21" s="26"/>
      <c r="I21" s="10"/>
      <c r="J21" s="11"/>
      <c r="M21" s="4"/>
      <c r="N21" s="97"/>
      <c r="O21" s="97"/>
      <c r="P21" s="97" t="str">
        <f t="shared" si="9"/>
        <v>,value</v>
      </c>
      <c r="Q21" s="97" t="str">
        <f t="shared" si="10"/>
        <v>TEXT</v>
      </c>
      <c r="R21" s="97" t="str">
        <f t="shared" si="11"/>
        <v/>
      </c>
      <c r="S21" s="97" t="str">
        <f t="shared" si="12"/>
        <v/>
      </c>
      <c r="T21" s="97" t="str">
        <f t="shared" si="13"/>
        <v>-- 検査結果値</v>
      </c>
      <c r="U21" s="4"/>
      <c r="AA21" s="4"/>
      <c r="AB21" s="4"/>
      <c r="AC21" s="4"/>
      <c r="AD21" s="4"/>
      <c r="AE21" s="4"/>
      <c r="AF21" s="4"/>
      <c r="AG21" s="4"/>
      <c r="AH21" s="4"/>
      <c r="AI21" s="4"/>
      <c r="AJ21" s="97" t="str">
        <f>IF(E21="○",IF(COUNTA(E$13:E21)=1,"",",")&amp;D21,"")</f>
        <v/>
      </c>
      <c r="AK21" s="4"/>
      <c r="AL21" s="4"/>
      <c r="AM21" s="4"/>
      <c r="AN21" s="4"/>
      <c r="AO21" s="4"/>
      <c r="AP21" s="4"/>
      <c r="AQ21" s="4"/>
      <c r="AR21" s="4"/>
      <c r="AS21" s="97" t="str">
        <f>"COMMENT ON COLUMN "&amp;エンティティ一覧!$O$2&amp;"."&amp;D$8&amp;"."&amp;D21&amp;" IS '"&amp;C21&amp;"';"</f>
        <v>COMMENT ON COLUMN milscm_2023_010.azn_202310_work_kensa_scm2.value IS '検査結果値';</v>
      </c>
    </row>
    <row r="22" spans="1:52" s="25" customFormat="1">
      <c r="A22" s="4"/>
      <c r="B22" s="21">
        <f t="shared" si="7"/>
        <v>10</v>
      </c>
      <c r="C22" s="6" t="s">
        <v>4188</v>
      </c>
      <c r="D22" s="13" t="s">
        <v>4191</v>
      </c>
      <c r="E22" s="8"/>
      <c r="F22" s="7" t="s">
        <v>1735</v>
      </c>
      <c r="G22" s="7" t="str">
        <f t="shared" si="8"/>
        <v>text</v>
      </c>
      <c r="H22" s="26"/>
      <c r="I22" s="10"/>
      <c r="J22" s="11"/>
      <c r="M22" s="4"/>
      <c r="N22" s="97"/>
      <c r="O22" s="97"/>
      <c r="P22" s="97" t="str">
        <f t="shared" si="9"/>
        <v>,num_value</v>
      </c>
      <c r="Q22" s="97" t="str">
        <f t="shared" si="10"/>
        <v>TEXT</v>
      </c>
      <c r="R22" s="97" t="str">
        <f t="shared" si="11"/>
        <v/>
      </c>
      <c r="S22" s="97" t="str">
        <f t="shared" si="12"/>
        <v/>
      </c>
      <c r="T22" s="97" t="str">
        <f t="shared" si="13"/>
        <v>-- 数値結果</v>
      </c>
      <c r="U22" s="4"/>
      <c r="AA22" s="4"/>
      <c r="AB22" s="4"/>
      <c r="AC22" s="4"/>
      <c r="AD22" s="4"/>
      <c r="AE22" s="4"/>
      <c r="AF22" s="4"/>
      <c r="AG22" s="4"/>
      <c r="AH22" s="4"/>
      <c r="AI22" s="4"/>
      <c r="AJ22" s="97" t="str">
        <f>IF(E22="○",IF(COUNTA(E$13:E22)=1,"",",")&amp;D22,"")</f>
        <v/>
      </c>
      <c r="AK22" s="4"/>
      <c r="AL22" s="4"/>
      <c r="AM22" s="4"/>
      <c r="AN22" s="4"/>
      <c r="AO22" s="4"/>
      <c r="AP22" s="4"/>
      <c r="AQ22" s="4"/>
      <c r="AR22" s="4"/>
      <c r="AS22" s="97" t="str">
        <f>"COMMENT ON COLUMN "&amp;エンティティ一覧!$O$2&amp;"."&amp;D$8&amp;"."&amp;D22&amp;" IS '"&amp;C22&amp;"';"</f>
        <v>COMMENT ON COLUMN milscm_2023_010.azn_202310_work_kensa_scm2.num_value IS '数値結果';</v>
      </c>
    </row>
    <row r="23" spans="1:52" s="25" customFormat="1" ht="19.5" thickBot="1">
      <c r="A23" s="4"/>
      <c r="B23" s="65">
        <f t="shared" ref="B23" si="14">ROW()-12</f>
        <v>11</v>
      </c>
      <c r="C23" s="57" t="s">
        <v>4161</v>
      </c>
      <c r="D23" s="57" t="s">
        <v>4166</v>
      </c>
      <c r="E23" s="56" t="s">
        <v>127</v>
      </c>
      <c r="F23" s="56" t="s">
        <v>1845</v>
      </c>
      <c r="G23" s="56" t="str">
        <f t="shared" ref="G23" si="15">IF(F23="フラグ","boolean",IF(F23="文字列","text",IF(F23="整数","integer",IF(F23="実数","numeric",""))))</f>
        <v>integer</v>
      </c>
      <c r="H23" s="59"/>
      <c r="I23" s="60"/>
      <c r="J23" s="61" t="s">
        <v>4296</v>
      </c>
      <c r="M23" s="4"/>
      <c r="N23" s="97"/>
      <c r="O23" s="97"/>
      <c r="P23" s="97" t="str">
        <f t="shared" ref="P23" si="16">IF(B23&lt;&gt;1,","&amp;D23,D23)</f>
        <v>,row_no</v>
      </c>
      <c r="Q23" s="97" t="str">
        <f t="shared" ref="Q23" si="17">UPPER(G23)</f>
        <v>INTEGER</v>
      </c>
      <c r="R23" s="97" t="str">
        <f t="shared" ref="R23" si="18">IF(H23&lt;&gt;"","default "&amp;IF(G23="text","'"&amp;H23&amp;"'",H23),"")</f>
        <v/>
      </c>
      <c r="S23" s="97" t="str">
        <f t="shared" ref="S23" si="19">IF(I23="○","NOT NULL","")</f>
        <v/>
      </c>
      <c r="T23" s="97" t="str">
        <f t="shared" ref="T23" si="20">"-- "&amp;C23</f>
        <v>-- 行番号</v>
      </c>
      <c r="U23" s="4"/>
      <c r="AA23" s="4"/>
      <c r="AB23" s="4"/>
      <c r="AC23" s="4"/>
      <c r="AD23" s="4"/>
      <c r="AE23" s="4"/>
      <c r="AF23" s="4"/>
      <c r="AG23" s="4"/>
      <c r="AH23" s="4"/>
      <c r="AI23" s="4"/>
      <c r="AJ23" s="97" t="str">
        <f>IF(E23="○",IF(COUNTA(E$13:E23)=1,"",",")&amp;D23,"")</f>
        <v>,row_no</v>
      </c>
      <c r="AK23" s="4"/>
      <c r="AL23" s="4"/>
      <c r="AM23" s="4"/>
      <c r="AN23" s="4"/>
      <c r="AO23" s="4"/>
      <c r="AP23" s="4"/>
      <c r="AQ23" s="4"/>
      <c r="AR23" s="4"/>
      <c r="AS23" s="97" t="str">
        <f>"COMMENT ON COLUMN "&amp;エンティティ一覧!$O$2&amp;"."&amp;D$8&amp;"."&amp;D23&amp;" IS '"&amp;C23&amp;"';"</f>
        <v>COMMENT ON COLUMN milscm_2023_010.azn_202310_work_kensa_scm2.row_no IS '行番号';</v>
      </c>
    </row>
    <row r="24" spans="1:52">
      <c r="L24" s="25"/>
      <c r="M24" s="25"/>
      <c r="N24" s="97" t="s">
        <v>142</v>
      </c>
      <c r="O24" s="97"/>
      <c r="P24" s="97"/>
      <c r="Q24" s="97"/>
      <c r="R24" s="97"/>
      <c r="S24" s="97"/>
      <c r="T24" s="97"/>
      <c r="V24" s="25"/>
      <c r="W24" s="25"/>
      <c r="X24" s="25"/>
      <c r="Y24" s="25"/>
      <c r="Z24" s="25"/>
      <c r="AJ24" s="97"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41</v>
      </c>
      <c r="E4" s="248"/>
      <c r="F4" s="248"/>
      <c r="G4" s="248"/>
      <c r="H4" s="248"/>
      <c r="I4" s="248"/>
      <c r="J4" s="249"/>
    </row>
    <row r="5" spans="1:45">
      <c r="B5" s="261" t="s">
        <v>3704</v>
      </c>
      <c r="C5" s="262"/>
      <c r="D5" s="271" t="str">
        <f>VLOOKUP(D7,エンティティ一覧!A1:'エンティティ一覧'!AM10203,7,FALSE)</f>
        <v>work</v>
      </c>
      <c r="E5" s="272"/>
      <c r="F5" s="272"/>
      <c r="G5" s="272"/>
      <c r="H5" s="272"/>
      <c r="I5" s="272"/>
      <c r="J5" s="273"/>
    </row>
    <row r="6" spans="1:45">
      <c r="B6" s="261" t="s">
        <v>3705</v>
      </c>
      <c r="C6" s="262"/>
      <c r="D6" s="271" t="str">
        <f>VLOOKUP(D7,エンティティ一覧!A1:'エンティティ一覧'!AM10203,15,FALSE)</f>
        <v>ENT_41_10</v>
      </c>
      <c r="E6" s="272"/>
      <c r="F6" s="272"/>
      <c r="G6" s="272"/>
      <c r="H6" s="272"/>
      <c r="I6" s="272"/>
      <c r="J6" s="273"/>
    </row>
    <row r="7" spans="1:45">
      <c r="B7" s="261" t="s">
        <v>115</v>
      </c>
      <c r="C7" s="262"/>
      <c r="D7" s="263" t="s">
        <v>4194</v>
      </c>
      <c r="E7" s="264"/>
      <c r="F7" s="264"/>
      <c r="G7" s="264"/>
      <c r="H7" s="264"/>
      <c r="I7" s="264"/>
      <c r="J7" s="265"/>
    </row>
    <row r="8" spans="1:45">
      <c r="B8" s="261" t="s">
        <v>116</v>
      </c>
      <c r="C8" s="262"/>
      <c r="D8" s="263" t="str">
        <f>エンティティ一覧!AE2&amp;"_"&amp;D5&amp;"_kensa_scm4"</f>
        <v>azn_202310_work_kensa_scm4</v>
      </c>
      <c r="E8" s="264"/>
      <c r="F8" s="264"/>
      <c r="G8" s="264"/>
      <c r="H8" s="264"/>
      <c r="I8" s="264"/>
      <c r="J8" s="265"/>
    </row>
    <row r="9" spans="1:45" ht="19.5" customHeight="1" thickBot="1">
      <c r="B9" s="266" t="s">
        <v>117</v>
      </c>
      <c r="C9" s="267"/>
      <c r="D9" s="268" t="s">
        <v>4195</v>
      </c>
      <c r="E9" s="269"/>
      <c r="F9" s="269"/>
      <c r="G9" s="269"/>
      <c r="H9" s="269"/>
      <c r="I9" s="269"/>
      <c r="J9" s="270"/>
    </row>
    <row r="10" spans="1:45">
      <c r="B10" s="19"/>
      <c r="C10" s="19"/>
      <c r="D10" s="5"/>
      <c r="E10" s="5"/>
      <c r="F10" s="5"/>
      <c r="G10" s="5"/>
      <c r="H10" s="5"/>
      <c r="I10" s="5"/>
      <c r="J10" s="18"/>
      <c r="N10" s="97" t="str">
        <f>"--DROP TABLE  "&amp;エンティティ一覧!$O$2&amp;"."&amp;D$8&amp;";"</f>
        <v>--DROP TABLE  milscm_2023_010.azn_202310_work_kensa_scm4;</v>
      </c>
      <c r="O10" s="97"/>
      <c r="P10" s="97"/>
      <c r="Q10" s="97"/>
      <c r="R10" s="97"/>
      <c r="S10" s="97"/>
      <c r="T10" s="97"/>
      <c r="AJ10" s="97" t="str">
        <f>"ALTER TABLE ONLY "&amp;エンティティ一覧!$O$2&amp;"."&amp;D$8</f>
        <v>ALTER TABLE ONLY milscm_2023_010.azn_202310_work_kensa_scm4</v>
      </c>
      <c r="AS10" s="97" t="str">
        <f>"ALTER TABLE "&amp;エンティティ一覧!$O$2&amp;"."&amp;D$8&amp;" OWNER TO pgmisgrp1;"</f>
        <v>ALTER TABLE milscm_2023_010.azn_202310_work_kensa_scm4 OWNER TO pgmisgrp1;</v>
      </c>
    </row>
    <row r="11" spans="1:45" ht="19.5" thickBot="1">
      <c r="B11" s="20" t="s">
        <v>118</v>
      </c>
      <c r="C11" s="19"/>
      <c r="D11" s="5"/>
      <c r="E11" s="5"/>
      <c r="F11" s="5"/>
      <c r="G11" s="5"/>
      <c r="H11" s="5"/>
      <c r="I11" s="5"/>
      <c r="J11" s="18"/>
      <c r="N11" s="97" t="str">
        <f>"CREATE TABLE  "&amp;エンティティ一覧!$O$2&amp;"."&amp;D$8</f>
        <v>CREATE TABLE  milscm_2023_010.azn_202310_work_kensa_scm4</v>
      </c>
      <c r="O11" s="97"/>
      <c r="P11" s="97"/>
      <c r="Q11" s="97"/>
      <c r="R11" s="97"/>
      <c r="S11" s="97"/>
      <c r="T11" s="97"/>
      <c r="AJ11" s="97" t="str">
        <f>"ADD CONSTRAINT "&amp;D$8&amp;"_pkey PRIMARY KEY"</f>
        <v>ADD CONSTRAINT azn_202310_work_kensa_scm4_pkey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milscm_2023_010.azn_202310_work_kensa_scm4 IS 'ワーク_検体検査データ_スキーマ4';</v>
      </c>
    </row>
    <row r="13" spans="1:45" s="25" customFormat="1">
      <c r="A13" s="4"/>
      <c r="B13" s="21">
        <f>ROW()-12</f>
        <v>1</v>
      </c>
      <c r="C13" s="6" t="s">
        <v>137</v>
      </c>
      <c r="D13" s="6" t="s">
        <v>128</v>
      </c>
      <c r="E13" s="8" t="s">
        <v>4013</v>
      </c>
      <c r="F13" s="8" t="s">
        <v>1826</v>
      </c>
      <c r="G13" s="7" t="str">
        <f>IF(F13="フラグ","boolean",IF(F13="文字列","text",IF(F13="整数","integer",IF(F13="実数","numeric",""))))</f>
        <v>text</v>
      </c>
      <c r="H13" s="9"/>
      <c r="I13" s="10" t="s">
        <v>127</v>
      </c>
      <c r="J13" s="11"/>
      <c r="M13" s="4"/>
      <c r="N13" s="97"/>
      <c r="O13" s="97"/>
      <c r="P13" s="97" t="str">
        <f>IF(B13&lt;&gt;1,","&amp;D13,D13)</f>
        <v>facility_id</v>
      </c>
      <c r="Q13" s="97" t="str">
        <f t="shared" ref="Q13:Q14" si="0">UPPER(G13)</f>
        <v>TEXT</v>
      </c>
      <c r="R13" s="97" t="str">
        <f t="shared" ref="R13:R14" si="1">IF(H13&lt;&gt;"","default "&amp;IF(G13="text","'"&amp;H13&amp;"'",H13),"")</f>
        <v/>
      </c>
      <c r="S13" s="97" t="str">
        <f>IF(I13="○","NOT NULL","")</f>
        <v>NOT NULL</v>
      </c>
      <c r="T13" s="97" t="str">
        <f>"-- "&amp;C13</f>
        <v>-- 施設ID</v>
      </c>
      <c r="U13" s="4"/>
      <c r="AA13" s="4"/>
      <c r="AB13" s="4"/>
      <c r="AC13" s="4"/>
      <c r="AD13" s="4"/>
      <c r="AE13" s="4"/>
      <c r="AF13" s="4"/>
      <c r="AG13" s="4"/>
      <c r="AH13" s="4"/>
      <c r="AI13" s="4"/>
      <c r="AJ13" s="97" t="str">
        <f>IF(E13="○",IF(COUNTA(E$13:E13)=1,"",",")&amp;D13,"")</f>
        <v>facility_id</v>
      </c>
      <c r="AK13" s="4"/>
      <c r="AL13" s="4"/>
      <c r="AM13" s="4"/>
      <c r="AN13" s="4"/>
      <c r="AO13" s="4"/>
      <c r="AP13" s="4"/>
      <c r="AQ13" s="4"/>
      <c r="AR13" s="4"/>
      <c r="AS13" s="97" t="str">
        <f>"COMMENT ON COLUMN "&amp;エンティティ一覧!$O$2&amp;"."&amp;D$8&amp;"."&amp;D13&amp;" IS '"&amp;C13&amp;"';"</f>
        <v>COMMENT ON COLUMN milscm_2023_010.azn_202310_work_kensa_scm4.facility_id IS '施設ID';</v>
      </c>
    </row>
    <row r="14" spans="1:45" s="25" customFormat="1">
      <c r="A14" s="4"/>
      <c r="B14" s="21">
        <f t="shared" ref="B14" si="2">ROW()-12</f>
        <v>2</v>
      </c>
      <c r="C14" s="6" t="s">
        <v>4015</v>
      </c>
      <c r="D14" s="6" t="s">
        <v>1843</v>
      </c>
      <c r="E14" s="8" t="s">
        <v>4013</v>
      </c>
      <c r="F14" s="7" t="s">
        <v>1826</v>
      </c>
      <c r="G14" s="7" t="str">
        <f t="shared" ref="G14" si="3">IF(F14="フラグ","boolean",IF(F14="文字列","text",IF(F14="整数","integer",IF(F14="実数","numeric",""))))</f>
        <v>text</v>
      </c>
      <c r="H14" s="26"/>
      <c r="I14" s="10" t="s">
        <v>127</v>
      </c>
      <c r="J14" s="11"/>
      <c r="M14" s="4"/>
      <c r="N14" s="97"/>
      <c r="O14" s="97"/>
      <c r="P14" s="97" t="str">
        <f t="shared" ref="P14" si="4">IF(B14&lt;&gt;1,","&amp;D14,D14)</f>
        <v>,himoduke_id</v>
      </c>
      <c r="Q14" s="97" t="str">
        <f t="shared" si="0"/>
        <v>TEXT</v>
      </c>
      <c r="R14" s="97" t="str">
        <f t="shared" si="1"/>
        <v/>
      </c>
      <c r="S14" s="97" t="str">
        <f t="shared" ref="S14" si="5">IF(I14="○","NOT NULL","")</f>
        <v>NOT NULL</v>
      </c>
      <c r="T14" s="97" t="str">
        <f t="shared" ref="T14" si="6">"-- "&amp;C14</f>
        <v>-- 紐付けID</v>
      </c>
      <c r="U14" s="4"/>
      <c r="AA14" s="4"/>
      <c r="AB14" s="4"/>
      <c r="AC14" s="4"/>
      <c r="AD14" s="4"/>
      <c r="AE14" s="4"/>
      <c r="AF14" s="4"/>
      <c r="AG14" s="4"/>
      <c r="AH14" s="4"/>
      <c r="AI14" s="4"/>
      <c r="AJ14" s="97" t="str">
        <f>IF(E14="○",IF(COUNTA(E$13:E14)=1,"",",")&amp;D14,"")</f>
        <v>,himoduke_id</v>
      </c>
      <c r="AK14" s="4"/>
      <c r="AL14" s="4"/>
      <c r="AM14" s="4"/>
      <c r="AN14" s="4"/>
      <c r="AO14" s="4"/>
      <c r="AP14" s="4"/>
      <c r="AQ14" s="4"/>
      <c r="AR14" s="4"/>
      <c r="AS14" s="97" t="str">
        <f>"COMMENT ON COLUMN "&amp;エンティティ一覧!$O$2&amp;"."&amp;D$8&amp;"."&amp;D14&amp;" IS '"&amp;C14&amp;"';"</f>
        <v>COMMENT ON COLUMN milscm_2023_010.azn_202310_work_kensa_scm4.himoduke_id IS '紐付けID';</v>
      </c>
    </row>
    <row r="15" spans="1:45" s="25" customFormat="1">
      <c r="A15" s="4"/>
      <c r="B15" s="21">
        <f t="shared" ref="B15:B23" si="7">ROW()-12</f>
        <v>3</v>
      </c>
      <c r="C15" s="6" t="s">
        <v>1604</v>
      </c>
      <c r="D15" s="13" t="s">
        <v>4048</v>
      </c>
      <c r="E15" s="8" t="s">
        <v>127</v>
      </c>
      <c r="F15" s="7" t="s">
        <v>1735</v>
      </c>
      <c r="G15" s="7" t="str">
        <f t="shared" ref="G15:G23" si="8">IF(F15="フラグ","boolean",IF(F15="文字列","text",IF(F15="整数","integer",IF(F15="実数","numeric",""))))</f>
        <v>text</v>
      </c>
      <c r="H15" s="26"/>
      <c r="I15" s="10" t="s">
        <v>127</v>
      </c>
      <c r="J15" s="11"/>
      <c r="M15" s="4"/>
      <c r="N15" s="97"/>
      <c r="O15" s="97"/>
      <c r="P15" s="97" t="str">
        <f t="shared" ref="P15:P23" si="9">IF(B15&lt;&gt;1,","&amp;D15,D15)</f>
        <v>,specimen_name</v>
      </c>
      <c r="Q15" s="97" t="str">
        <f t="shared" ref="Q15:Q23" si="10">UPPER(G15)</f>
        <v>TEXT</v>
      </c>
      <c r="R15" s="97" t="str">
        <f t="shared" ref="R15:R23" si="11">IF(H15&lt;&gt;"","default "&amp;IF(G15="text","'"&amp;H15&amp;"'",H15),"")</f>
        <v/>
      </c>
      <c r="S15" s="97" t="str">
        <f t="shared" ref="S15:S23" si="12">IF(I15="○","NOT NULL","")</f>
        <v>NOT NULL</v>
      </c>
      <c r="T15" s="97" t="str">
        <f t="shared" ref="T15:T23" si="13">"-- "&amp;C15</f>
        <v>-- 検体材料</v>
      </c>
      <c r="U15" s="4"/>
      <c r="AA15" s="4"/>
      <c r="AB15" s="4"/>
      <c r="AC15" s="4"/>
      <c r="AD15" s="4"/>
      <c r="AE15" s="4"/>
      <c r="AF15" s="4"/>
      <c r="AG15" s="4"/>
      <c r="AH15" s="4"/>
      <c r="AI15" s="4"/>
      <c r="AJ15" s="97" t="str">
        <f>IF(E15="○",IF(COUNTA(E$13:E15)=1,"",",")&amp;D15,"")</f>
        <v>,specimen_name</v>
      </c>
      <c r="AK15" s="4"/>
      <c r="AL15" s="4"/>
      <c r="AM15" s="4"/>
      <c r="AN15" s="4"/>
      <c r="AO15" s="4"/>
      <c r="AP15" s="4"/>
      <c r="AQ15" s="4"/>
      <c r="AR15" s="4"/>
      <c r="AS15" s="97" t="str">
        <f>"COMMENT ON COLUMN "&amp;エンティティ一覧!$O$2&amp;"."&amp;D$8&amp;"."&amp;D15&amp;" IS '"&amp;C15&amp;"';"</f>
        <v>COMMENT ON COLUMN milscm_2023_010.azn_202310_work_kensa_scm4.specimen_name IS '検体材料';</v>
      </c>
    </row>
    <row r="16" spans="1:45" s="25" customFormat="1">
      <c r="A16" s="4"/>
      <c r="B16" s="21">
        <f t="shared" si="7"/>
        <v>4</v>
      </c>
      <c r="C16" s="6" t="s">
        <v>1606</v>
      </c>
      <c r="D16" s="13" t="s">
        <v>4049</v>
      </c>
      <c r="E16" s="8" t="s">
        <v>127</v>
      </c>
      <c r="F16" s="7" t="s">
        <v>1735</v>
      </c>
      <c r="G16" s="7" t="str">
        <f t="shared" si="8"/>
        <v>text</v>
      </c>
      <c r="H16" s="26"/>
      <c r="I16" s="10" t="s">
        <v>127</v>
      </c>
      <c r="J16" s="11"/>
      <c r="M16" s="4"/>
      <c r="N16" s="97"/>
      <c r="O16" s="97"/>
      <c r="P16" s="97" t="str">
        <f t="shared" si="9"/>
        <v>,sp_code</v>
      </c>
      <c r="Q16" s="97" t="str">
        <f t="shared" si="10"/>
        <v>TEXT</v>
      </c>
      <c r="R16" s="97" t="str">
        <f t="shared" si="11"/>
        <v/>
      </c>
      <c r="S16" s="97" t="str">
        <f t="shared" si="12"/>
        <v>NOT NULL</v>
      </c>
      <c r="T16" s="97" t="str">
        <f t="shared" si="13"/>
        <v>-- 検体材料コード</v>
      </c>
      <c r="U16" s="4"/>
      <c r="AA16" s="4"/>
      <c r="AB16" s="4"/>
      <c r="AC16" s="4"/>
      <c r="AD16" s="4"/>
      <c r="AE16" s="4"/>
      <c r="AF16" s="4"/>
      <c r="AG16" s="4"/>
      <c r="AH16" s="4"/>
      <c r="AI16" s="4"/>
      <c r="AJ16" s="97" t="str">
        <f>IF(E16="○",IF(COUNTA(E$13:E16)=1,"",",")&amp;D16,"")</f>
        <v>,sp_code</v>
      </c>
      <c r="AK16" s="4"/>
      <c r="AL16" s="4"/>
      <c r="AM16" s="4"/>
      <c r="AN16" s="4"/>
      <c r="AO16" s="4"/>
      <c r="AP16" s="4"/>
      <c r="AQ16" s="4"/>
      <c r="AR16" s="4"/>
      <c r="AS16" s="97" t="str">
        <f>"COMMENT ON COLUMN "&amp;エンティティ一覧!$O$2&amp;"."&amp;D$8&amp;"."&amp;D16&amp;" IS '"&amp;C16&amp;"';"</f>
        <v>COMMENT ON COLUMN milscm_2023_010.azn_202310_work_kensa_scm4.sp_code IS '検体材料コード';</v>
      </c>
    </row>
    <row r="17" spans="1:52" s="25" customFormat="1">
      <c r="A17" s="4"/>
      <c r="B17" s="21">
        <f t="shared" si="7"/>
        <v>5</v>
      </c>
      <c r="C17" s="6" t="s">
        <v>1621</v>
      </c>
      <c r="D17" s="13" t="s">
        <v>4050</v>
      </c>
      <c r="E17" s="8" t="s">
        <v>127</v>
      </c>
      <c r="F17" s="7" t="s">
        <v>1735</v>
      </c>
      <c r="G17" s="7" t="str">
        <f t="shared" si="8"/>
        <v>text</v>
      </c>
      <c r="H17" s="26"/>
      <c r="I17" s="10" t="s">
        <v>127</v>
      </c>
      <c r="J17" s="11"/>
      <c r="M17" s="4"/>
      <c r="N17" s="97"/>
      <c r="O17" s="97"/>
      <c r="P17" s="97" t="str">
        <f t="shared" si="9"/>
        <v>,item_name</v>
      </c>
      <c r="Q17" s="97" t="str">
        <f t="shared" si="10"/>
        <v>TEXT</v>
      </c>
      <c r="R17" s="97" t="str">
        <f t="shared" si="11"/>
        <v/>
      </c>
      <c r="S17" s="97" t="str">
        <f t="shared" si="12"/>
        <v>NOT NULL</v>
      </c>
      <c r="T17" s="97" t="str">
        <f t="shared" si="13"/>
        <v>-- 項目名</v>
      </c>
      <c r="U17" s="4"/>
      <c r="AA17" s="4"/>
      <c r="AB17" s="4"/>
      <c r="AC17" s="4"/>
      <c r="AD17" s="4"/>
      <c r="AE17" s="4"/>
      <c r="AF17" s="4"/>
      <c r="AG17" s="4"/>
      <c r="AH17" s="4"/>
      <c r="AI17" s="4"/>
      <c r="AJ17" s="97" t="str">
        <f>IF(E17="○",IF(COUNTA(E$13:E17)=1,"",",")&amp;D17,"")</f>
        <v>,item_name</v>
      </c>
      <c r="AK17" s="4"/>
      <c r="AL17" s="4"/>
      <c r="AM17" s="4"/>
      <c r="AN17" s="4"/>
      <c r="AO17" s="4"/>
      <c r="AP17" s="4"/>
      <c r="AQ17" s="4"/>
      <c r="AR17" s="4"/>
      <c r="AS17" s="97" t="str">
        <f>"COMMENT ON COLUMN "&amp;エンティティ一覧!$O$2&amp;"."&amp;D$8&amp;"."&amp;D17&amp;" IS '"&amp;C17&amp;"';"</f>
        <v>COMMENT ON COLUMN milscm_2023_010.azn_202310_work_kensa_scm4.item_name IS '項目名';</v>
      </c>
    </row>
    <row r="18" spans="1:52" s="25" customFormat="1">
      <c r="A18" s="4"/>
      <c r="B18" s="21">
        <f t="shared" si="7"/>
        <v>6</v>
      </c>
      <c r="C18" s="6" t="s">
        <v>1623</v>
      </c>
      <c r="D18" s="13" t="s">
        <v>4189</v>
      </c>
      <c r="E18" s="8" t="s">
        <v>127</v>
      </c>
      <c r="F18" s="7" t="s">
        <v>1735</v>
      </c>
      <c r="G18" s="7" t="str">
        <f t="shared" si="8"/>
        <v>text</v>
      </c>
      <c r="H18" s="26"/>
      <c r="I18" s="10" t="s">
        <v>127</v>
      </c>
      <c r="J18" s="11"/>
      <c r="M18" s="4"/>
      <c r="N18" s="97"/>
      <c r="O18" s="97"/>
      <c r="P18" s="97" t="str">
        <f t="shared" si="9"/>
        <v>,facility_it_code</v>
      </c>
      <c r="Q18" s="97" t="str">
        <f t="shared" si="10"/>
        <v>TEXT</v>
      </c>
      <c r="R18" s="97" t="str">
        <f t="shared" si="11"/>
        <v/>
      </c>
      <c r="S18" s="97" t="str">
        <f t="shared" si="12"/>
        <v>NOT NULL</v>
      </c>
      <c r="T18" s="97" t="str">
        <f t="shared" si="13"/>
        <v>-- 施設固有コード</v>
      </c>
      <c r="U18" s="4"/>
      <c r="AA18" s="4"/>
      <c r="AB18" s="4"/>
      <c r="AC18" s="4"/>
      <c r="AD18" s="4"/>
      <c r="AE18" s="4"/>
      <c r="AF18" s="4"/>
      <c r="AG18" s="4"/>
      <c r="AH18" s="4"/>
      <c r="AI18" s="4"/>
      <c r="AJ18" s="97" t="str">
        <f>IF(E18="○",IF(COUNTA(E$13:E18)=1,"",",")&amp;D18,"")</f>
        <v>,facility_it_code</v>
      </c>
      <c r="AK18" s="4"/>
      <c r="AL18" s="4"/>
      <c r="AM18" s="4"/>
      <c r="AN18" s="4"/>
      <c r="AO18" s="4"/>
      <c r="AP18" s="4"/>
      <c r="AQ18" s="4"/>
      <c r="AR18" s="4"/>
      <c r="AS18" s="97" t="str">
        <f>"COMMENT ON COLUMN "&amp;エンティティ一覧!$O$2&amp;"."&amp;D$8&amp;"."&amp;D18&amp;" IS '"&amp;C18&amp;"';"</f>
        <v>COMMENT ON COLUMN milscm_2023_010.azn_202310_work_kensa_scm4.facility_it_code IS '施設固有コード';</v>
      </c>
    </row>
    <row r="19" spans="1:52" s="25" customFormat="1">
      <c r="A19" s="4"/>
      <c r="B19" s="21">
        <f t="shared" si="7"/>
        <v>7</v>
      </c>
      <c r="C19" s="6" t="s">
        <v>1649</v>
      </c>
      <c r="D19" s="13" t="s">
        <v>4185</v>
      </c>
      <c r="E19" s="8" t="s">
        <v>127</v>
      </c>
      <c r="F19" s="7" t="s">
        <v>1735</v>
      </c>
      <c r="G19" s="7" t="str">
        <f t="shared" si="8"/>
        <v>text</v>
      </c>
      <c r="H19" s="26"/>
      <c r="I19" s="10" t="s">
        <v>127</v>
      </c>
      <c r="J19" s="11"/>
      <c r="M19" s="4"/>
      <c r="N19" s="97"/>
      <c r="O19" s="97"/>
      <c r="P19" s="97" t="str">
        <f t="shared" si="9"/>
        <v>,unit</v>
      </c>
      <c r="Q19" s="97" t="str">
        <f t="shared" si="10"/>
        <v>TEXT</v>
      </c>
      <c r="R19" s="97" t="str">
        <f t="shared" si="11"/>
        <v/>
      </c>
      <c r="S19" s="97" t="str">
        <f t="shared" si="12"/>
        <v>NOT NULL</v>
      </c>
      <c r="T19" s="97" t="str">
        <f t="shared" si="13"/>
        <v>-- 単位</v>
      </c>
      <c r="U19" s="4"/>
      <c r="AA19" s="4"/>
      <c r="AB19" s="4"/>
      <c r="AC19" s="4"/>
      <c r="AD19" s="4"/>
      <c r="AE19" s="4"/>
      <c r="AF19" s="4"/>
      <c r="AG19" s="4"/>
      <c r="AH19" s="4"/>
      <c r="AI19" s="4"/>
      <c r="AJ19" s="97" t="str">
        <f>IF(E19="○",IF(COUNTA(E$13:E19)=1,"",",")&amp;D19,"")</f>
        <v>,unit</v>
      </c>
      <c r="AK19" s="4"/>
      <c r="AL19" s="4"/>
      <c r="AM19" s="4"/>
      <c r="AN19" s="4"/>
      <c r="AO19" s="4"/>
      <c r="AP19" s="4"/>
      <c r="AQ19" s="4"/>
      <c r="AR19" s="4"/>
      <c r="AS19" s="97" t="str">
        <f>"COMMENT ON COLUMN "&amp;エンティティ一覧!$O$2&amp;"."&amp;D$8&amp;"."&amp;D19&amp;" IS '"&amp;C19&amp;"';"</f>
        <v>COMMENT ON COLUMN milscm_2023_010.azn_202310_work_kensa_scm4.unit IS '単位';</v>
      </c>
    </row>
    <row r="20" spans="1:52" s="25" customFormat="1">
      <c r="A20" s="4"/>
      <c r="B20" s="21">
        <f t="shared" si="7"/>
        <v>8</v>
      </c>
      <c r="C20" s="6" t="s">
        <v>1546</v>
      </c>
      <c r="D20" s="13" t="s">
        <v>4190</v>
      </c>
      <c r="E20" s="8" t="s">
        <v>127</v>
      </c>
      <c r="F20" s="7" t="s">
        <v>1735</v>
      </c>
      <c r="G20" s="7" t="str">
        <f t="shared" si="8"/>
        <v>text</v>
      </c>
      <c r="H20" s="26"/>
      <c r="I20" s="10" t="s">
        <v>127</v>
      </c>
      <c r="J20" s="11"/>
      <c r="M20" s="4"/>
      <c r="N20" s="97"/>
      <c r="O20" s="97"/>
      <c r="P20" s="97" t="str">
        <f t="shared" si="9"/>
        <v>,sample_time</v>
      </c>
      <c r="Q20" s="97" t="str">
        <f t="shared" si="10"/>
        <v>TEXT</v>
      </c>
      <c r="R20" s="97" t="str">
        <f t="shared" si="11"/>
        <v/>
      </c>
      <c r="S20" s="97" t="str">
        <f t="shared" si="12"/>
        <v>NOT NULL</v>
      </c>
      <c r="T20" s="97" t="str">
        <f t="shared" si="13"/>
        <v>-- 採取日時</v>
      </c>
      <c r="U20" s="4"/>
      <c r="AA20" s="4"/>
      <c r="AB20" s="4"/>
      <c r="AC20" s="4"/>
      <c r="AD20" s="4"/>
      <c r="AE20" s="4"/>
      <c r="AF20" s="4"/>
      <c r="AG20" s="4"/>
      <c r="AH20" s="4"/>
      <c r="AI20" s="4"/>
      <c r="AJ20" s="97" t="str">
        <f>IF(E20="○",IF(COUNTA(E$13:E20)=1,"",",")&amp;D20,"")</f>
        <v>,sample_time</v>
      </c>
      <c r="AK20" s="4"/>
      <c r="AL20" s="4"/>
      <c r="AM20" s="4"/>
      <c r="AN20" s="4"/>
      <c r="AO20" s="4"/>
      <c r="AP20" s="4"/>
      <c r="AQ20" s="4"/>
      <c r="AR20" s="4"/>
      <c r="AS20" s="97" t="str">
        <f>"COMMENT ON COLUMN "&amp;エンティティ一覧!$O$2&amp;"."&amp;D$8&amp;"."&amp;D20&amp;" IS '"&amp;C20&amp;"';"</f>
        <v>COMMENT ON COLUMN milscm_2023_010.azn_202310_work_kensa_scm4.sample_time IS '採取日時';</v>
      </c>
    </row>
    <row r="21" spans="1:52" s="25" customFormat="1">
      <c r="A21" s="4"/>
      <c r="B21" s="21">
        <f t="shared" si="7"/>
        <v>9</v>
      </c>
      <c r="C21" s="6" t="s">
        <v>1637</v>
      </c>
      <c r="D21" s="13" t="s">
        <v>4170</v>
      </c>
      <c r="E21" s="8"/>
      <c r="F21" s="7" t="s">
        <v>1735</v>
      </c>
      <c r="G21" s="7" t="str">
        <f t="shared" si="8"/>
        <v>text</v>
      </c>
      <c r="H21" s="26"/>
      <c r="I21" s="10"/>
      <c r="J21" s="11"/>
      <c r="M21" s="4"/>
      <c r="N21" s="97"/>
      <c r="O21" s="97"/>
      <c r="P21" s="97" t="str">
        <f t="shared" si="9"/>
        <v>,value</v>
      </c>
      <c r="Q21" s="97" t="str">
        <f t="shared" si="10"/>
        <v>TEXT</v>
      </c>
      <c r="R21" s="97" t="str">
        <f t="shared" si="11"/>
        <v/>
      </c>
      <c r="S21" s="97" t="str">
        <f t="shared" si="12"/>
        <v/>
      </c>
      <c r="T21" s="97" t="str">
        <f t="shared" si="13"/>
        <v>-- 検査結果値</v>
      </c>
      <c r="U21" s="4"/>
      <c r="AA21" s="4"/>
      <c r="AB21" s="4"/>
      <c r="AC21" s="4"/>
      <c r="AD21" s="4"/>
      <c r="AE21" s="4"/>
      <c r="AF21" s="4"/>
      <c r="AG21" s="4"/>
      <c r="AH21" s="4"/>
      <c r="AI21" s="4"/>
      <c r="AJ21" s="97" t="str">
        <f>IF(E21="○",IF(COUNTA(E$13:E21)=1,"",",")&amp;D21,"")</f>
        <v/>
      </c>
      <c r="AK21" s="4"/>
      <c r="AL21" s="4"/>
      <c r="AM21" s="4"/>
      <c r="AN21" s="4"/>
      <c r="AO21" s="4"/>
      <c r="AP21" s="4"/>
      <c r="AQ21" s="4"/>
      <c r="AR21" s="4"/>
      <c r="AS21" s="97" t="str">
        <f>"COMMENT ON COLUMN "&amp;エンティティ一覧!$O$2&amp;"."&amp;D$8&amp;"."&amp;D21&amp;" IS '"&amp;C21&amp;"';"</f>
        <v>COMMENT ON COLUMN milscm_2023_010.azn_202310_work_kensa_scm4.value IS '検査結果値';</v>
      </c>
    </row>
    <row r="22" spans="1:52" s="25" customFormat="1">
      <c r="A22" s="4"/>
      <c r="B22" s="21">
        <f t="shared" si="7"/>
        <v>10</v>
      </c>
      <c r="C22" s="6" t="s">
        <v>4188</v>
      </c>
      <c r="D22" s="13" t="s">
        <v>4191</v>
      </c>
      <c r="E22" s="8"/>
      <c r="F22" s="7" t="s">
        <v>1735</v>
      </c>
      <c r="G22" s="7" t="str">
        <f t="shared" si="8"/>
        <v>text</v>
      </c>
      <c r="H22" s="26"/>
      <c r="I22" s="10"/>
      <c r="J22" s="11"/>
      <c r="M22" s="4"/>
      <c r="N22" s="97"/>
      <c r="O22" s="97"/>
      <c r="P22" s="97" t="str">
        <f t="shared" si="9"/>
        <v>,num_value</v>
      </c>
      <c r="Q22" s="97" t="str">
        <f t="shared" si="10"/>
        <v>TEXT</v>
      </c>
      <c r="R22" s="97" t="str">
        <f t="shared" si="11"/>
        <v/>
      </c>
      <c r="S22" s="97" t="str">
        <f t="shared" si="12"/>
        <v/>
      </c>
      <c r="T22" s="97" t="str">
        <f t="shared" si="13"/>
        <v>-- 数値結果</v>
      </c>
      <c r="U22" s="4"/>
      <c r="AA22" s="4"/>
      <c r="AB22" s="4"/>
      <c r="AC22" s="4"/>
      <c r="AD22" s="4"/>
      <c r="AE22" s="4"/>
      <c r="AF22" s="4"/>
      <c r="AG22" s="4"/>
      <c r="AH22" s="4"/>
      <c r="AI22" s="4"/>
      <c r="AJ22" s="97" t="str">
        <f>IF(E22="○",IF(COUNTA(E$13:E22)=1,"",",")&amp;D22,"")</f>
        <v/>
      </c>
      <c r="AK22" s="4"/>
      <c r="AL22" s="4"/>
      <c r="AM22" s="4"/>
      <c r="AN22" s="4"/>
      <c r="AO22" s="4"/>
      <c r="AP22" s="4"/>
      <c r="AQ22" s="4"/>
      <c r="AR22" s="4"/>
      <c r="AS22" s="97" t="str">
        <f>"COMMENT ON COLUMN "&amp;エンティティ一覧!$O$2&amp;"."&amp;D$8&amp;"."&amp;D22&amp;" IS '"&amp;C22&amp;"';"</f>
        <v>COMMENT ON COLUMN milscm_2023_010.azn_202310_work_kensa_scm4.num_value IS '数値結果';</v>
      </c>
    </row>
    <row r="23" spans="1:52" s="25" customFormat="1" ht="19.5" thickBot="1">
      <c r="A23" s="4"/>
      <c r="B23" s="65">
        <f t="shared" si="7"/>
        <v>11</v>
      </c>
      <c r="C23" s="57" t="s">
        <v>4161</v>
      </c>
      <c r="D23" s="57" t="s">
        <v>4166</v>
      </c>
      <c r="E23" s="56" t="s">
        <v>127</v>
      </c>
      <c r="F23" s="56" t="s">
        <v>1845</v>
      </c>
      <c r="G23" s="56" t="str">
        <f t="shared" si="8"/>
        <v>integer</v>
      </c>
      <c r="H23" s="59"/>
      <c r="I23" s="60"/>
      <c r="J23" s="61" t="s">
        <v>4296</v>
      </c>
      <c r="M23" s="4"/>
      <c r="N23" s="97"/>
      <c r="O23" s="97"/>
      <c r="P23" s="97" t="str">
        <f t="shared" si="9"/>
        <v>,row_no</v>
      </c>
      <c r="Q23" s="97" t="str">
        <f t="shared" si="10"/>
        <v>INTEGER</v>
      </c>
      <c r="R23" s="97" t="str">
        <f t="shared" si="11"/>
        <v/>
      </c>
      <c r="S23" s="97" t="str">
        <f t="shared" si="12"/>
        <v/>
      </c>
      <c r="T23" s="97" t="str">
        <f t="shared" si="13"/>
        <v>-- 行番号</v>
      </c>
      <c r="U23" s="4"/>
      <c r="AA23" s="4"/>
      <c r="AB23" s="4"/>
      <c r="AC23" s="4"/>
      <c r="AD23" s="4"/>
      <c r="AE23" s="4"/>
      <c r="AF23" s="4"/>
      <c r="AG23" s="4"/>
      <c r="AH23" s="4"/>
      <c r="AI23" s="4"/>
      <c r="AJ23" s="97" t="str">
        <f>IF(E23="○",IF(COUNTA(E$13:E23)=1,"",",")&amp;D23,"")</f>
        <v>,row_no</v>
      </c>
      <c r="AK23" s="4"/>
      <c r="AL23" s="4"/>
      <c r="AM23" s="4"/>
      <c r="AN23" s="4"/>
      <c r="AO23" s="4"/>
      <c r="AP23" s="4"/>
      <c r="AQ23" s="4"/>
      <c r="AR23" s="4"/>
      <c r="AS23" s="97" t="str">
        <f>"COMMENT ON COLUMN "&amp;エンティティ一覧!$O$2&amp;"."&amp;D$8&amp;"."&amp;D23&amp;" IS '"&amp;C23&amp;"';"</f>
        <v>COMMENT ON COLUMN milscm_2023_010.azn_202310_work_kensa_scm4.row_no IS '行番号';</v>
      </c>
    </row>
    <row r="24" spans="1:52">
      <c r="L24" s="25"/>
      <c r="M24" s="25"/>
      <c r="N24" s="97" t="s">
        <v>142</v>
      </c>
      <c r="O24" s="97"/>
      <c r="P24" s="97"/>
      <c r="Q24" s="97"/>
      <c r="R24" s="97"/>
      <c r="S24" s="97"/>
      <c r="T24" s="97"/>
      <c r="V24" s="25"/>
      <c r="W24" s="25"/>
      <c r="X24" s="25"/>
      <c r="Y24" s="25"/>
      <c r="Z24" s="25"/>
      <c r="AJ24" s="97"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41</v>
      </c>
      <c r="E4" s="248"/>
      <c r="F4" s="248"/>
      <c r="G4" s="248"/>
      <c r="H4" s="248"/>
      <c r="I4" s="248"/>
      <c r="J4" s="249"/>
    </row>
    <row r="5" spans="1:45">
      <c r="B5" s="261" t="s">
        <v>3704</v>
      </c>
      <c r="C5" s="262"/>
      <c r="D5" s="271" t="str">
        <f>VLOOKUP(D7,エンティティ一覧!A1:'エンティティ一覧'!AM10203,7,FALSE)</f>
        <v>work</v>
      </c>
      <c r="E5" s="272"/>
      <c r="F5" s="272"/>
      <c r="G5" s="272"/>
      <c r="H5" s="272"/>
      <c r="I5" s="272"/>
      <c r="J5" s="273"/>
    </row>
    <row r="6" spans="1:45">
      <c r="B6" s="261" t="s">
        <v>3705</v>
      </c>
      <c r="C6" s="262"/>
      <c r="D6" s="271" t="str">
        <f>VLOOKUP(D7,エンティティ一覧!A1:'エンティティ一覧'!AM10203,15,FALSE)</f>
        <v>ENT_41_11</v>
      </c>
      <c r="E6" s="272"/>
      <c r="F6" s="272"/>
      <c r="G6" s="272"/>
      <c r="H6" s="272"/>
      <c r="I6" s="272"/>
      <c r="J6" s="273"/>
    </row>
    <row r="7" spans="1:45">
      <c r="B7" s="261" t="s">
        <v>115</v>
      </c>
      <c r="C7" s="262"/>
      <c r="D7" s="263" t="s">
        <v>4196</v>
      </c>
      <c r="E7" s="264"/>
      <c r="F7" s="264"/>
      <c r="G7" s="264"/>
      <c r="H7" s="264"/>
      <c r="I7" s="264"/>
      <c r="J7" s="265"/>
    </row>
    <row r="8" spans="1:45">
      <c r="B8" s="261" t="s">
        <v>116</v>
      </c>
      <c r="C8" s="262"/>
      <c r="D8" s="263" t="str">
        <f>エンティティ一覧!AE2&amp;"_"&amp;D5&amp;"_kensa"</f>
        <v>azn_202310_work_kensa</v>
      </c>
      <c r="E8" s="264"/>
      <c r="F8" s="264"/>
      <c r="G8" s="264"/>
      <c r="H8" s="264"/>
      <c r="I8" s="264"/>
      <c r="J8" s="265"/>
    </row>
    <row r="9" spans="1:45" ht="19.5" customHeight="1" thickBot="1">
      <c r="B9" s="266" t="s">
        <v>117</v>
      </c>
      <c r="C9" s="267"/>
      <c r="D9" s="268" t="s">
        <v>4192</v>
      </c>
      <c r="E9" s="269"/>
      <c r="F9" s="269"/>
      <c r="G9" s="269"/>
      <c r="H9" s="269"/>
      <c r="I9" s="269"/>
      <c r="J9" s="270"/>
    </row>
    <row r="10" spans="1:45">
      <c r="B10" s="19"/>
      <c r="C10" s="19"/>
      <c r="D10" s="5"/>
      <c r="E10" s="5"/>
      <c r="F10" s="5"/>
      <c r="G10" s="5"/>
      <c r="H10" s="5"/>
      <c r="I10" s="5"/>
      <c r="J10" s="18"/>
      <c r="N10" s="97" t="str">
        <f>"--DROP TABLE  "&amp;エンティティ一覧!$O$2&amp;"."&amp;D$8&amp;";"</f>
        <v>--DROP TABLE  milscm_2023_010.azn_202310_work_kensa;</v>
      </c>
      <c r="O10" s="97"/>
      <c r="P10" s="97"/>
      <c r="Q10" s="97"/>
      <c r="R10" s="97"/>
      <c r="S10" s="97"/>
      <c r="T10" s="97"/>
      <c r="AJ10" s="97" t="str">
        <f>"ALTER TABLE ONLY "&amp;エンティティ一覧!$O$2&amp;"."&amp;D$8</f>
        <v>ALTER TABLE ONLY milscm_2023_010.azn_202310_work_kensa</v>
      </c>
      <c r="AS10" s="97" t="str">
        <f>"ALTER TABLE "&amp;エンティティ一覧!$O$2&amp;"."&amp;D$8&amp;" OWNER TO pgmisgrp1;"</f>
        <v>ALTER TABLE milscm_2023_010.azn_202310_work_kensa OWNER TO pgmisgrp1;</v>
      </c>
    </row>
    <row r="11" spans="1:45" ht="19.5" thickBot="1">
      <c r="B11" s="20" t="s">
        <v>118</v>
      </c>
      <c r="C11" s="19"/>
      <c r="D11" s="5"/>
      <c r="E11" s="5"/>
      <c r="F11" s="5"/>
      <c r="G11" s="5"/>
      <c r="H11" s="5"/>
      <c r="I11" s="5"/>
      <c r="J11" s="18"/>
      <c r="N11" s="97" t="str">
        <f>"CREATE TABLE  "&amp;エンティティ一覧!$O$2&amp;"."&amp;D$8</f>
        <v>CREATE TABLE  milscm_2023_010.azn_202310_work_kensa</v>
      </c>
      <c r="O11" s="97"/>
      <c r="P11" s="97"/>
      <c r="Q11" s="97"/>
      <c r="R11" s="97"/>
      <c r="S11" s="97"/>
      <c r="T11" s="97"/>
      <c r="AJ11" s="97" t="str">
        <f>"ADD CONSTRAINT "&amp;D$8&amp;"_pkey PRIMARY KEY"</f>
        <v>ADD CONSTRAINT azn_202310_work_kensa_pkey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milscm_2023_010.azn_202310_work_kensa IS 'ワーク_検体検査データ';</v>
      </c>
    </row>
    <row r="13" spans="1:45" s="25" customFormat="1">
      <c r="A13" s="4"/>
      <c r="B13" s="21">
        <f>ROW()-12</f>
        <v>1</v>
      </c>
      <c r="C13" s="6" t="s">
        <v>137</v>
      </c>
      <c r="D13" s="6" t="s">
        <v>128</v>
      </c>
      <c r="E13" s="8" t="s">
        <v>4013</v>
      </c>
      <c r="F13" s="8" t="s">
        <v>1826</v>
      </c>
      <c r="G13" s="7" t="str">
        <f>IF(F13="フラグ","boolean",IF(F13="文字列","text",IF(F13="整数","integer",IF(F13="実数","numeric",""))))</f>
        <v>text</v>
      </c>
      <c r="H13" s="9"/>
      <c r="I13" s="10" t="s">
        <v>127</v>
      </c>
      <c r="J13" s="11"/>
      <c r="M13" s="4"/>
      <c r="N13" s="97"/>
      <c r="O13" s="97"/>
      <c r="P13" s="97" t="str">
        <f>IF(B13&lt;&gt;1,","&amp;D13,D13)</f>
        <v>facility_id</v>
      </c>
      <c r="Q13" s="97" t="str">
        <f t="shared" ref="Q13:Q14" si="0">UPPER(G13)</f>
        <v>TEXT</v>
      </c>
      <c r="R13" s="97" t="str">
        <f t="shared" ref="R13:R14" si="1">IF(H13&lt;&gt;"","default "&amp;IF(G13="text","'"&amp;H13&amp;"'",H13),"")</f>
        <v/>
      </c>
      <c r="S13" s="97" t="str">
        <f>IF(I13="○","NOT NULL","")</f>
        <v>NOT NULL</v>
      </c>
      <c r="T13" s="97" t="str">
        <f>"-- "&amp;C13</f>
        <v>-- 施設ID</v>
      </c>
      <c r="U13" s="4"/>
      <c r="AA13" s="4"/>
      <c r="AB13" s="4"/>
      <c r="AC13" s="4"/>
      <c r="AD13" s="4"/>
      <c r="AE13" s="4"/>
      <c r="AF13" s="4"/>
      <c r="AG13" s="4"/>
      <c r="AH13" s="4"/>
      <c r="AI13" s="4"/>
      <c r="AJ13" s="97" t="str">
        <f>IF(E13="○",IF(COUNTA(E$13:E13)=1,"",",")&amp;D13,"")</f>
        <v>facility_id</v>
      </c>
      <c r="AK13" s="4"/>
      <c r="AL13" s="4"/>
      <c r="AM13" s="4"/>
      <c r="AN13" s="4"/>
      <c r="AO13" s="4"/>
      <c r="AP13" s="4"/>
      <c r="AQ13" s="4"/>
      <c r="AR13" s="4"/>
      <c r="AS13" s="97" t="str">
        <f>"COMMENT ON COLUMN "&amp;エンティティ一覧!$O$2&amp;"."&amp;D$8&amp;"."&amp;D13&amp;" IS '"&amp;C13&amp;"';"</f>
        <v>COMMENT ON COLUMN milscm_2023_010.azn_202310_work_kensa.facility_id IS '施設ID';</v>
      </c>
    </row>
    <row r="14" spans="1:45" s="25" customFormat="1">
      <c r="A14" s="4"/>
      <c r="B14" s="21">
        <f t="shared" ref="B14" si="2">ROW()-12</f>
        <v>2</v>
      </c>
      <c r="C14" s="6" t="s">
        <v>4015</v>
      </c>
      <c r="D14" s="6" t="s">
        <v>1843</v>
      </c>
      <c r="E14" s="8" t="s">
        <v>4013</v>
      </c>
      <c r="F14" s="7" t="s">
        <v>1826</v>
      </c>
      <c r="G14" s="7" t="str">
        <f t="shared" ref="G14" si="3">IF(F14="フラグ","boolean",IF(F14="文字列","text",IF(F14="整数","integer",IF(F14="実数","numeric",""))))</f>
        <v>text</v>
      </c>
      <c r="H14" s="26"/>
      <c r="I14" s="10" t="s">
        <v>127</v>
      </c>
      <c r="J14" s="11"/>
      <c r="M14" s="4"/>
      <c r="N14" s="97"/>
      <c r="O14" s="97"/>
      <c r="P14" s="97" t="str">
        <f t="shared" ref="P14" si="4">IF(B14&lt;&gt;1,","&amp;D14,D14)</f>
        <v>,himoduke_id</v>
      </c>
      <c r="Q14" s="97" t="str">
        <f t="shared" si="0"/>
        <v>TEXT</v>
      </c>
      <c r="R14" s="97" t="str">
        <f t="shared" si="1"/>
        <v/>
      </c>
      <c r="S14" s="97" t="str">
        <f t="shared" ref="S14" si="5">IF(I14="○","NOT NULL","")</f>
        <v>NOT NULL</v>
      </c>
      <c r="T14" s="97" t="str">
        <f t="shared" ref="T14" si="6">"-- "&amp;C14</f>
        <v>-- 紐付けID</v>
      </c>
      <c r="U14" s="4"/>
      <c r="AA14" s="4"/>
      <c r="AB14" s="4"/>
      <c r="AC14" s="4"/>
      <c r="AD14" s="4"/>
      <c r="AE14" s="4"/>
      <c r="AF14" s="4"/>
      <c r="AG14" s="4"/>
      <c r="AH14" s="4"/>
      <c r="AI14" s="4"/>
      <c r="AJ14" s="97" t="str">
        <f>IF(E14="○",IF(COUNTA(E$13:E14)=1,"",",")&amp;D14,"")</f>
        <v>,himoduke_id</v>
      </c>
      <c r="AK14" s="4"/>
      <c r="AL14" s="4"/>
      <c r="AM14" s="4"/>
      <c r="AN14" s="4"/>
      <c r="AO14" s="4"/>
      <c r="AP14" s="4"/>
      <c r="AQ14" s="4"/>
      <c r="AR14" s="4"/>
      <c r="AS14" s="97" t="str">
        <f>"COMMENT ON COLUMN "&amp;エンティティ一覧!$O$2&amp;"."&amp;D$8&amp;"."&amp;D14&amp;" IS '"&amp;C14&amp;"';"</f>
        <v>COMMENT ON COLUMN milscm_2023_010.azn_202310_work_kensa.himoduke_id IS '紐付けID';</v>
      </c>
    </row>
    <row r="15" spans="1:45" s="25" customFormat="1">
      <c r="A15" s="4"/>
      <c r="B15" s="21">
        <f t="shared" ref="B15:B23" si="7">ROW()-12</f>
        <v>3</v>
      </c>
      <c r="C15" s="6" t="s">
        <v>1604</v>
      </c>
      <c r="D15" s="13" t="s">
        <v>4048</v>
      </c>
      <c r="E15" s="8" t="s">
        <v>127</v>
      </c>
      <c r="F15" s="7" t="s">
        <v>1735</v>
      </c>
      <c r="G15" s="7" t="str">
        <f t="shared" ref="G15:G23" si="8">IF(F15="フラグ","boolean",IF(F15="文字列","text",IF(F15="整数","integer",IF(F15="実数","numeric",""))))</f>
        <v>text</v>
      </c>
      <c r="H15" s="26"/>
      <c r="I15" s="10" t="s">
        <v>127</v>
      </c>
      <c r="J15" s="11"/>
      <c r="M15" s="4"/>
      <c r="N15" s="97"/>
      <c r="O15" s="97"/>
      <c r="P15" s="97" t="str">
        <f t="shared" ref="P15:P23" si="9">IF(B15&lt;&gt;1,","&amp;D15,D15)</f>
        <v>,specimen_name</v>
      </c>
      <c r="Q15" s="97" t="str">
        <f t="shared" ref="Q15:Q23" si="10">UPPER(G15)</f>
        <v>TEXT</v>
      </c>
      <c r="R15" s="97" t="str">
        <f t="shared" ref="R15:R23" si="11">IF(H15&lt;&gt;"","default "&amp;IF(G15="text","'"&amp;H15&amp;"'",H15),"")</f>
        <v/>
      </c>
      <c r="S15" s="97" t="str">
        <f t="shared" ref="S15:S23" si="12">IF(I15="○","NOT NULL","")</f>
        <v>NOT NULL</v>
      </c>
      <c r="T15" s="97" t="str">
        <f t="shared" ref="T15:T23" si="13">"-- "&amp;C15</f>
        <v>-- 検体材料</v>
      </c>
      <c r="U15" s="4"/>
      <c r="AA15" s="4"/>
      <c r="AB15" s="4"/>
      <c r="AC15" s="4"/>
      <c r="AD15" s="4"/>
      <c r="AE15" s="4"/>
      <c r="AF15" s="4"/>
      <c r="AG15" s="4"/>
      <c r="AH15" s="4"/>
      <c r="AI15" s="4"/>
      <c r="AJ15" s="97" t="str">
        <f>IF(E15="○",IF(COUNTA(E$13:E15)=1,"",",")&amp;D15,"")</f>
        <v>,specimen_name</v>
      </c>
      <c r="AK15" s="4"/>
      <c r="AL15" s="4"/>
      <c r="AM15" s="4"/>
      <c r="AN15" s="4"/>
      <c r="AO15" s="4"/>
      <c r="AP15" s="4"/>
      <c r="AQ15" s="4"/>
      <c r="AR15" s="4"/>
      <c r="AS15" s="97" t="str">
        <f>"COMMENT ON COLUMN "&amp;エンティティ一覧!$O$2&amp;"."&amp;D$8&amp;"."&amp;D15&amp;" IS '"&amp;C15&amp;"';"</f>
        <v>COMMENT ON COLUMN milscm_2023_010.azn_202310_work_kensa.specimen_name IS '検体材料';</v>
      </c>
    </row>
    <row r="16" spans="1:45" s="25" customFormat="1">
      <c r="A16" s="4"/>
      <c r="B16" s="21">
        <f t="shared" si="7"/>
        <v>4</v>
      </c>
      <c r="C16" s="6" t="s">
        <v>1606</v>
      </c>
      <c r="D16" s="13" t="s">
        <v>4049</v>
      </c>
      <c r="E16" s="8" t="s">
        <v>127</v>
      </c>
      <c r="F16" s="7" t="s">
        <v>1735</v>
      </c>
      <c r="G16" s="7" t="str">
        <f t="shared" si="8"/>
        <v>text</v>
      </c>
      <c r="H16" s="26"/>
      <c r="I16" s="10" t="s">
        <v>127</v>
      </c>
      <c r="J16" s="11"/>
      <c r="M16" s="4"/>
      <c r="N16" s="97"/>
      <c r="O16" s="97"/>
      <c r="P16" s="97" t="str">
        <f t="shared" si="9"/>
        <v>,sp_code</v>
      </c>
      <c r="Q16" s="97" t="str">
        <f t="shared" si="10"/>
        <v>TEXT</v>
      </c>
      <c r="R16" s="97" t="str">
        <f t="shared" si="11"/>
        <v/>
      </c>
      <c r="S16" s="97" t="str">
        <f t="shared" si="12"/>
        <v>NOT NULL</v>
      </c>
      <c r="T16" s="97" t="str">
        <f t="shared" si="13"/>
        <v>-- 検体材料コード</v>
      </c>
      <c r="U16" s="4"/>
      <c r="AA16" s="4"/>
      <c r="AB16" s="4"/>
      <c r="AC16" s="4"/>
      <c r="AD16" s="4"/>
      <c r="AE16" s="4"/>
      <c r="AF16" s="4"/>
      <c r="AG16" s="4"/>
      <c r="AH16" s="4"/>
      <c r="AI16" s="4"/>
      <c r="AJ16" s="97" t="str">
        <f>IF(E16="○",IF(COUNTA(E$13:E16)=1,"",",")&amp;D16,"")</f>
        <v>,sp_code</v>
      </c>
      <c r="AK16" s="4"/>
      <c r="AL16" s="4"/>
      <c r="AM16" s="4"/>
      <c r="AN16" s="4"/>
      <c r="AO16" s="4"/>
      <c r="AP16" s="4"/>
      <c r="AQ16" s="4"/>
      <c r="AR16" s="4"/>
      <c r="AS16" s="97" t="str">
        <f>"COMMENT ON COLUMN "&amp;エンティティ一覧!$O$2&amp;"."&amp;D$8&amp;"."&amp;D16&amp;" IS '"&amp;C16&amp;"';"</f>
        <v>COMMENT ON COLUMN milscm_2023_010.azn_202310_work_kensa.sp_code IS '検体材料コード';</v>
      </c>
    </row>
    <row r="17" spans="1:52" s="25" customFormat="1">
      <c r="A17" s="4"/>
      <c r="B17" s="21">
        <f t="shared" si="7"/>
        <v>5</v>
      </c>
      <c r="C17" s="6" t="s">
        <v>1621</v>
      </c>
      <c r="D17" s="13" t="s">
        <v>4050</v>
      </c>
      <c r="E17" s="8" t="s">
        <v>127</v>
      </c>
      <c r="F17" s="7" t="s">
        <v>1735</v>
      </c>
      <c r="G17" s="7" t="str">
        <f t="shared" si="8"/>
        <v>text</v>
      </c>
      <c r="H17" s="26"/>
      <c r="I17" s="10" t="s">
        <v>127</v>
      </c>
      <c r="J17" s="11"/>
      <c r="M17" s="4"/>
      <c r="N17" s="97"/>
      <c r="O17" s="97"/>
      <c r="P17" s="97" t="str">
        <f t="shared" si="9"/>
        <v>,item_name</v>
      </c>
      <c r="Q17" s="97" t="str">
        <f t="shared" si="10"/>
        <v>TEXT</v>
      </c>
      <c r="R17" s="97" t="str">
        <f t="shared" si="11"/>
        <v/>
      </c>
      <c r="S17" s="97" t="str">
        <f t="shared" si="12"/>
        <v>NOT NULL</v>
      </c>
      <c r="T17" s="97" t="str">
        <f t="shared" si="13"/>
        <v>-- 項目名</v>
      </c>
      <c r="U17" s="4"/>
      <c r="AA17" s="4"/>
      <c r="AB17" s="4"/>
      <c r="AC17" s="4"/>
      <c r="AD17" s="4"/>
      <c r="AE17" s="4"/>
      <c r="AF17" s="4"/>
      <c r="AG17" s="4"/>
      <c r="AH17" s="4"/>
      <c r="AI17" s="4"/>
      <c r="AJ17" s="97" t="str">
        <f>IF(E17="○",IF(COUNTA(E$13:E17)=1,"",",")&amp;D17,"")</f>
        <v>,item_name</v>
      </c>
      <c r="AK17" s="4"/>
      <c r="AL17" s="4"/>
      <c r="AM17" s="4"/>
      <c r="AN17" s="4"/>
      <c r="AO17" s="4"/>
      <c r="AP17" s="4"/>
      <c r="AQ17" s="4"/>
      <c r="AR17" s="4"/>
      <c r="AS17" s="97" t="str">
        <f>"COMMENT ON COLUMN "&amp;エンティティ一覧!$O$2&amp;"."&amp;D$8&amp;"."&amp;D17&amp;" IS '"&amp;C17&amp;"';"</f>
        <v>COMMENT ON COLUMN milscm_2023_010.azn_202310_work_kensa.item_name IS '項目名';</v>
      </c>
    </row>
    <row r="18" spans="1:52" s="25" customFormat="1">
      <c r="A18" s="4"/>
      <c r="B18" s="21">
        <f t="shared" si="7"/>
        <v>6</v>
      </c>
      <c r="C18" s="6" t="s">
        <v>1623</v>
      </c>
      <c r="D18" s="13" t="s">
        <v>4189</v>
      </c>
      <c r="E18" s="8" t="s">
        <v>127</v>
      </c>
      <c r="F18" s="7" t="s">
        <v>1735</v>
      </c>
      <c r="G18" s="7" t="str">
        <f t="shared" si="8"/>
        <v>text</v>
      </c>
      <c r="H18" s="26"/>
      <c r="I18" s="10" t="s">
        <v>127</v>
      </c>
      <c r="J18" s="11"/>
      <c r="M18" s="4"/>
      <c r="N18" s="97"/>
      <c r="O18" s="97"/>
      <c r="P18" s="97" t="str">
        <f t="shared" si="9"/>
        <v>,facility_it_code</v>
      </c>
      <c r="Q18" s="97" t="str">
        <f t="shared" si="10"/>
        <v>TEXT</v>
      </c>
      <c r="R18" s="97" t="str">
        <f t="shared" si="11"/>
        <v/>
      </c>
      <c r="S18" s="97" t="str">
        <f t="shared" si="12"/>
        <v>NOT NULL</v>
      </c>
      <c r="T18" s="97" t="str">
        <f t="shared" si="13"/>
        <v>-- 施設固有コード</v>
      </c>
      <c r="U18" s="4"/>
      <c r="AA18" s="4"/>
      <c r="AB18" s="4"/>
      <c r="AC18" s="4"/>
      <c r="AD18" s="4"/>
      <c r="AE18" s="4"/>
      <c r="AF18" s="4"/>
      <c r="AG18" s="4"/>
      <c r="AH18" s="4"/>
      <c r="AI18" s="4"/>
      <c r="AJ18" s="97" t="str">
        <f>IF(E18="○",IF(COUNTA(E$13:E18)=1,"",",")&amp;D18,"")</f>
        <v>,facility_it_code</v>
      </c>
      <c r="AK18" s="4"/>
      <c r="AL18" s="4"/>
      <c r="AM18" s="4"/>
      <c r="AN18" s="4"/>
      <c r="AO18" s="4"/>
      <c r="AP18" s="4"/>
      <c r="AQ18" s="4"/>
      <c r="AR18" s="4"/>
      <c r="AS18" s="97" t="str">
        <f>"COMMENT ON COLUMN "&amp;エンティティ一覧!$O$2&amp;"."&amp;D$8&amp;"."&amp;D18&amp;" IS '"&amp;C18&amp;"';"</f>
        <v>COMMENT ON COLUMN milscm_2023_010.azn_202310_work_kensa.facility_it_code IS '施設固有コード';</v>
      </c>
    </row>
    <row r="19" spans="1:52" s="25" customFormat="1">
      <c r="A19" s="4"/>
      <c r="B19" s="21">
        <f t="shared" si="7"/>
        <v>7</v>
      </c>
      <c r="C19" s="6" t="s">
        <v>1649</v>
      </c>
      <c r="D19" s="13" t="s">
        <v>4185</v>
      </c>
      <c r="E19" s="8" t="s">
        <v>127</v>
      </c>
      <c r="F19" s="7" t="s">
        <v>1735</v>
      </c>
      <c r="G19" s="7" t="str">
        <f t="shared" si="8"/>
        <v>text</v>
      </c>
      <c r="H19" s="26"/>
      <c r="I19" s="10" t="s">
        <v>127</v>
      </c>
      <c r="J19" s="11"/>
      <c r="M19" s="4"/>
      <c r="N19" s="97"/>
      <c r="O19" s="97"/>
      <c r="P19" s="97" t="str">
        <f t="shared" si="9"/>
        <v>,unit</v>
      </c>
      <c r="Q19" s="97" t="str">
        <f t="shared" si="10"/>
        <v>TEXT</v>
      </c>
      <c r="R19" s="97" t="str">
        <f t="shared" si="11"/>
        <v/>
      </c>
      <c r="S19" s="97" t="str">
        <f t="shared" si="12"/>
        <v>NOT NULL</v>
      </c>
      <c r="T19" s="97" t="str">
        <f t="shared" si="13"/>
        <v>-- 単位</v>
      </c>
      <c r="U19" s="4"/>
      <c r="AA19" s="4"/>
      <c r="AB19" s="4"/>
      <c r="AC19" s="4"/>
      <c r="AD19" s="4"/>
      <c r="AE19" s="4"/>
      <c r="AF19" s="4"/>
      <c r="AG19" s="4"/>
      <c r="AH19" s="4"/>
      <c r="AI19" s="4"/>
      <c r="AJ19" s="97" t="str">
        <f>IF(E19="○",IF(COUNTA(E$13:E19)=1,"",",")&amp;D19,"")</f>
        <v>,unit</v>
      </c>
      <c r="AK19" s="4"/>
      <c r="AL19" s="4"/>
      <c r="AM19" s="4"/>
      <c r="AN19" s="4"/>
      <c r="AO19" s="4"/>
      <c r="AP19" s="4"/>
      <c r="AQ19" s="4"/>
      <c r="AR19" s="4"/>
      <c r="AS19" s="97" t="str">
        <f>"COMMENT ON COLUMN "&amp;エンティティ一覧!$O$2&amp;"."&amp;D$8&amp;"."&amp;D19&amp;" IS '"&amp;C19&amp;"';"</f>
        <v>COMMENT ON COLUMN milscm_2023_010.azn_202310_work_kensa.unit IS '単位';</v>
      </c>
    </row>
    <row r="20" spans="1:52" s="25" customFormat="1">
      <c r="A20" s="4"/>
      <c r="B20" s="21">
        <f t="shared" si="7"/>
        <v>8</v>
      </c>
      <c r="C20" s="6" t="s">
        <v>1546</v>
      </c>
      <c r="D20" s="13" t="s">
        <v>4190</v>
      </c>
      <c r="E20" s="8" t="s">
        <v>127</v>
      </c>
      <c r="F20" s="7" t="s">
        <v>1735</v>
      </c>
      <c r="G20" s="7" t="str">
        <f t="shared" si="8"/>
        <v>text</v>
      </c>
      <c r="H20" s="26"/>
      <c r="I20" s="10" t="s">
        <v>127</v>
      </c>
      <c r="J20" s="11"/>
      <c r="M20" s="4"/>
      <c r="N20" s="97"/>
      <c r="O20" s="97"/>
      <c r="P20" s="97" t="str">
        <f t="shared" si="9"/>
        <v>,sample_time</v>
      </c>
      <c r="Q20" s="97" t="str">
        <f t="shared" si="10"/>
        <v>TEXT</v>
      </c>
      <c r="R20" s="97" t="str">
        <f t="shared" si="11"/>
        <v/>
      </c>
      <c r="S20" s="97" t="str">
        <f t="shared" si="12"/>
        <v>NOT NULL</v>
      </c>
      <c r="T20" s="97" t="str">
        <f t="shared" si="13"/>
        <v>-- 採取日時</v>
      </c>
      <c r="U20" s="4"/>
      <c r="AA20" s="4"/>
      <c r="AB20" s="4"/>
      <c r="AC20" s="4"/>
      <c r="AD20" s="4"/>
      <c r="AE20" s="4"/>
      <c r="AF20" s="4"/>
      <c r="AG20" s="4"/>
      <c r="AH20" s="4"/>
      <c r="AI20" s="4"/>
      <c r="AJ20" s="97" t="str">
        <f>IF(E20="○",IF(COUNTA(E$13:E20)=1,"",",")&amp;D20,"")</f>
        <v>,sample_time</v>
      </c>
      <c r="AK20" s="4"/>
      <c r="AL20" s="4"/>
      <c r="AM20" s="4"/>
      <c r="AN20" s="4"/>
      <c r="AO20" s="4"/>
      <c r="AP20" s="4"/>
      <c r="AQ20" s="4"/>
      <c r="AR20" s="4"/>
      <c r="AS20" s="97" t="str">
        <f>"COMMENT ON COLUMN "&amp;エンティティ一覧!$O$2&amp;"."&amp;D$8&amp;"."&amp;D20&amp;" IS '"&amp;C20&amp;"';"</f>
        <v>COMMENT ON COLUMN milscm_2023_010.azn_202310_work_kensa.sample_time IS '採取日時';</v>
      </c>
    </row>
    <row r="21" spans="1:52" s="25" customFormat="1">
      <c r="A21" s="4"/>
      <c r="B21" s="21">
        <f t="shared" si="7"/>
        <v>9</v>
      </c>
      <c r="C21" s="6" t="s">
        <v>1637</v>
      </c>
      <c r="D21" s="13" t="s">
        <v>4170</v>
      </c>
      <c r="E21" s="8"/>
      <c r="F21" s="7" t="s">
        <v>1735</v>
      </c>
      <c r="G21" s="7" t="str">
        <f t="shared" si="8"/>
        <v>text</v>
      </c>
      <c r="H21" s="26"/>
      <c r="I21" s="10"/>
      <c r="J21" s="11"/>
      <c r="M21" s="4"/>
      <c r="N21" s="97"/>
      <c r="O21" s="97"/>
      <c r="P21" s="97" t="str">
        <f t="shared" si="9"/>
        <v>,value</v>
      </c>
      <c r="Q21" s="97" t="str">
        <f t="shared" si="10"/>
        <v>TEXT</v>
      </c>
      <c r="R21" s="97" t="str">
        <f t="shared" si="11"/>
        <v/>
      </c>
      <c r="S21" s="97" t="str">
        <f t="shared" si="12"/>
        <v/>
      </c>
      <c r="T21" s="97" t="str">
        <f t="shared" si="13"/>
        <v>-- 検査結果値</v>
      </c>
      <c r="U21" s="4"/>
      <c r="AA21" s="4"/>
      <c r="AB21" s="4"/>
      <c r="AC21" s="4"/>
      <c r="AD21" s="4"/>
      <c r="AE21" s="4"/>
      <c r="AF21" s="4"/>
      <c r="AG21" s="4"/>
      <c r="AH21" s="4"/>
      <c r="AI21" s="4"/>
      <c r="AJ21" s="97" t="str">
        <f>IF(E21="○",IF(COUNTA(E$13:E21)=1,"",",")&amp;D21,"")</f>
        <v/>
      </c>
      <c r="AK21" s="4"/>
      <c r="AL21" s="4"/>
      <c r="AM21" s="4"/>
      <c r="AN21" s="4"/>
      <c r="AO21" s="4"/>
      <c r="AP21" s="4"/>
      <c r="AQ21" s="4"/>
      <c r="AR21" s="4"/>
      <c r="AS21" s="97" t="str">
        <f>"COMMENT ON COLUMN "&amp;エンティティ一覧!$O$2&amp;"."&amp;D$8&amp;"."&amp;D21&amp;" IS '"&amp;C21&amp;"';"</f>
        <v>COMMENT ON COLUMN milscm_2023_010.azn_202310_work_kensa.value IS '検査結果値';</v>
      </c>
    </row>
    <row r="22" spans="1:52" s="25" customFormat="1">
      <c r="A22" s="4"/>
      <c r="B22" s="21">
        <f t="shared" si="7"/>
        <v>10</v>
      </c>
      <c r="C22" s="6" t="s">
        <v>4188</v>
      </c>
      <c r="D22" s="13" t="s">
        <v>4191</v>
      </c>
      <c r="E22" s="8"/>
      <c r="F22" s="7" t="s">
        <v>1735</v>
      </c>
      <c r="G22" s="7" t="str">
        <f t="shared" si="8"/>
        <v>text</v>
      </c>
      <c r="H22" s="26"/>
      <c r="I22" s="10"/>
      <c r="J22" s="11"/>
      <c r="M22" s="4"/>
      <c r="N22" s="97"/>
      <c r="O22" s="97"/>
      <c r="P22" s="97" t="str">
        <f t="shared" si="9"/>
        <v>,num_value</v>
      </c>
      <c r="Q22" s="97" t="str">
        <f t="shared" si="10"/>
        <v>TEXT</v>
      </c>
      <c r="R22" s="97" t="str">
        <f t="shared" si="11"/>
        <v/>
      </c>
      <c r="S22" s="97" t="str">
        <f t="shared" si="12"/>
        <v/>
      </c>
      <c r="T22" s="97" t="str">
        <f t="shared" si="13"/>
        <v>-- 数値結果</v>
      </c>
      <c r="U22" s="4"/>
      <c r="AA22" s="4"/>
      <c r="AB22" s="4"/>
      <c r="AC22" s="4"/>
      <c r="AD22" s="4"/>
      <c r="AE22" s="4"/>
      <c r="AF22" s="4"/>
      <c r="AG22" s="4"/>
      <c r="AH22" s="4"/>
      <c r="AI22" s="4"/>
      <c r="AJ22" s="97" t="str">
        <f>IF(E22="○",IF(COUNTA(E$13:E22)=1,"",",")&amp;D22,"")</f>
        <v/>
      </c>
      <c r="AK22" s="4"/>
      <c r="AL22" s="4"/>
      <c r="AM22" s="4"/>
      <c r="AN22" s="4"/>
      <c r="AO22" s="4"/>
      <c r="AP22" s="4"/>
      <c r="AQ22" s="4"/>
      <c r="AR22" s="4"/>
      <c r="AS22" s="97" t="str">
        <f>"COMMENT ON COLUMN "&amp;エンティティ一覧!$O$2&amp;"."&amp;D$8&amp;"."&amp;D22&amp;" IS '"&amp;C22&amp;"';"</f>
        <v>COMMENT ON COLUMN milscm_2023_010.azn_202310_work_kensa.num_value IS '数値結果';</v>
      </c>
    </row>
    <row r="23" spans="1:52" s="25" customFormat="1" ht="38.25" thickBot="1">
      <c r="A23" s="4"/>
      <c r="B23" s="65">
        <f t="shared" si="7"/>
        <v>11</v>
      </c>
      <c r="C23" s="57" t="s">
        <v>4161</v>
      </c>
      <c r="D23" s="57" t="s">
        <v>4166</v>
      </c>
      <c r="E23" s="56" t="s">
        <v>127</v>
      </c>
      <c r="F23" s="56" t="s">
        <v>1845</v>
      </c>
      <c r="G23" s="56" t="str">
        <f t="shared" si="8"/>
        <v>integer</v>
      </c>
      <c r="H23" s="59"/>
      <c r="I23" s="60"/>
      <c r="J23" s="61" t="s">
        <v>4297</v>
      </c>
      <c r="M23" s="4"/>
      <c r="N23" s="97"/>
      <c r="O23" s="97"/>
      <c r="P23" s="97" t="str">
        <f t="shared" si="9"/>
        <v>,row_no</v>
      </c>
      <c r="Q23" s="97" t="str">
        <f t="shared" si="10"/>
        <v>INTEGER</v>
      </c>
      <c r="R23" s="97" t="str">
        <f t="shared" si="11"/>
        <v/>
      </c>
      <c r="S23" s="97" t="str">
        <f t="shared" si="12"/>
        <v/>
      </c>
      <c r="T23" s="97" t="str">
        <f t="shared" si="13"/>
        <v>-- 行番号</v>
      </c>
      <c r="U23" s="4"/>
      <c r="AA23" s="4"/>
      <c r="AB23" s="4"/>
      <c r="AC23" s="4"/>
      <c r="AD23" s="4"/>
      <c r="AE23" s="4"/>
      <c r="AF23" s="4"/>
      <c r="AG23" s="4"/>
      <c r="AH23" s="4"/>
      <c r="AI23" s="4"/>
      <c r="AJ23" s="97" t="str">
        <f>IF(E23="○",IF(COUNTA(E$13:E23)=1,"",",")&amp;D23,"")</f>
        <v>,row_no</v>
      </c>
      <c r="AK23" s="4"/>
      <c r="AL23" s="4"/>
      <c r="AM23" s="4"/>
      <c r="AN23" s="4"/>
      <c r="AO23" s="4"/>
      <c r="AP23" s="4"/>
      <c r="AQ23" s="4"/>
      <c r="AR23" s="4"/>
      <c r="AS23" s="97" t="str">
        <f>"COMMENT ON COLUMN "&amp;エンティティ一覧!$O$2&amp;"."&amp;D$8&amp;"."&amp;D23&amp;" IS '"&amp;C23&amp;"';"</f>
        <v>COMMENT ON COLUMN milscm_2023_010.azn_202310_work_kensa.row_no IS '行番号';</v>
      </c>
    </row>
    <row r="24" spans="1:52">
      <c r="L24" s="25"/>
      <c r="M24" s="25"/>
      <c r="N24" s="97" t="s">
        <v>142</v>
      </c>
      <c r="O24" s="97"/>
      <c r="P24" s="97"/>
      <c r="Q24" s="97"/>
      <c r="R24" s="97"/>
      <c r="S24" s="97"/>
      <c r="T24" s="97"/>
      <c r="V24" s="25"/>
      <c r="W24" s="25"/>
      <c r="X24" s="25"/>
      <c r="Y24" s="25"/>
      <c r="Z24" s="25"/>
      <c r="AJ24" s="97"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41</v>
      </c>
      <c r="E4" s="248"/>
      <c r="F4" s="248"/>
      <c r="G4" s="248"/>
      <c r="H4" s="248"/>
      <c r="I4" s="248"/>
      <c r="J4" s="249"/>
    </row>
    <row r="5" spans="1:45">
      <c r="B5" s="261" t="s">
        <v>3704</v>
      </c>
      <c r="C5" s="262"/>
      <c r="D5" s="271" t="str">
        <f>VLOOKUP(D7,エンティティ一覧!A1:'エンティティ一覧'!AM10203,7,FALSE)</f>
        <v>work</v>
      </c>
      <c r="E5" s="272"/>
      <c r="F5" s="272"/>
      <c r="G5" s="272"/>
      <c r="H5" s="272"/>
      <c r="I5" s="272"/>
      <c r="J5" s="273"/>
    </row>
    <row r="6" spans="1:45">
      <c r="B6" s="261" t="s">
        <v>3705</v>
      </c>
      <c r="C6" s="262"/>
      <c r="D6" s="271" t="str">
        <f>VLOOKUP(D7,エンティティ一覧!A1:'エンティティ一覧'!AM10203,15,FALSE)</f>
        <v>ENT_41_12</v>
      </c>
      <c r="E6" s="272"/>
      <c r="F6" s="272"/>
      <c r="G6" s="272"/>
      <c r="H6" s="272"/>
      <c r="I6" s="272"/>
      <c r="J6" s="273"/>
    </row>
    <row r="7" spans="1:45">
      <c r="B7" s="261" t="s">
        <v>115</v>
      </c>
      <c r="C7" s="262"/>
      <c r="D7" s="263" t="s">
        <v>4197</v>
      </c>
      <c r="E7" s="264"/>
      <c r="F7" s="264"/>
      <c r="G7" s="264"/>
      <c r="H7" s="264"/>
      <c r="I7" s="264"/>
      <c r="J7" s="265"/>
    </row>
    <row r="8" spans="1:45">
      <c r="B8" s="261" t="s">
        <v>116</v>
      </c>
      <c r="C8" s="262"/>
      <c r="D8" s="263" t="str">
        <f>エンティティ一覧!AE2&amp;"_"&amp;D5&amp;"_text_temp"</f>
        <v>azn_202310_work_text_temp</v>
      </c>
      <c r="E8" s="264"/>
      <c r="F8" s="264"/>
      <c r="G8" s="264"/>
      <c r="H8" s="264"/>
      <c r="I8" s="264"/>
      <c r="J8" s="265"/>
    </row>
    <row r="9" spans="1:45" ht="19.5" customHeight="1" thickBot="1">
      <c r="B9" s="266" t="s">
        <v>117</v>
      </c>
      <c r="C9" s="267"/>
      <c r="D9" s="268" t="s">
        <v>4198</v>
      </c>
      <c r="E9" s="269"/>
      <c r="F9" s="269"/>
      <c r="G9" s="269"/>
      <c r="H9" s="269"/>
      <c r="I9" s="269"/>
      <c r="J9" s="270"/>
    </row>
    <row r="10" spans="1:45">
      <c r="B10" s="19"/>
      <c r="C10" s="19"/>
      <c r="D10" s="5"/>
      <c r="E10" s="5"/>
      <c r="F10" s="5"/>
      <c r="G10" s="5"/>
      <c r="H10" s="5"/>
      <c r="I10" s="5"/>
      <c r="J10" s="18"/>
      <c r="N10" s="97" t="str">
        <f>"--DROP TABLE  "&amp;エンティティ一覧!$O$2&amp;"."&amp;D$8&amp;";"</f>
        <v>--DROP TABLE  milscm_2023_010.azn_202310_work_text_temp;</v>
      </c>
      <c r="O10" s="97"/>
      <c r="P10" s="97"/>
      <c r="Q10" s="97"/>
      <c r="R10" s="97"/>
      <c r="S10" s="97"/>
      <c r="T10" s="97"/>
      <c r="AJ10" s="97" t="str">
        <f>"ALTER TABLE ONLY "&amp;エンティティ一覧!$O$2&amp;"."&amp;D$8</f>
        <v>ALTER TABLE ONLY milscm_2023_010.azn_202310_work_text_temp</v>
      </c>
      <c r="AS10" s="97" t="str">
        <f>"ALTER TABLE "&amp;エンティティ一覧!$O$2&amp;"."&amp;D$8&amp;" OWNER TO pgmisgrp1;"</f>
        <v>ALTER TABLE milscm_2023_010.azn_202310_work_text_temp OWNER TO pgmisgrp1;</v>
      </c>
    </row>
    <row r="11" spans="1:45" ht="19.5" thickBot="1">
      <c r="B11" s="20" t="s">
        <v>118</v>
      </c>
      <c r="C11" s="19"/>
      <c r="D11" s="5"/>
      <c r="E11" s="5"/>
      <c r="F11" s="5"/>
      <c r="G11" s="5"/>
      <c r="H11" s="5"/>
      <c r="I11" s="5"/>
      <c r="J11" s="18"/>
      <c r="N11" s="97" t="str">
        <f>"CREATE TABLE  "&amp;エンティティ一覧!$O$2&amp;"."&amp;D$8</f>
        <v>CREATE TABLE  milscm_2023_010.azn_202310_work_text_temp</v>
      </c>
      <c r="O11" s="97"/>
      <c r="P11" s="97"/>
      <c r="Q11" s="97"/>
      <c r="R11" s="97"/>
      <c r="S11" s="97"/>
      <c r="T11" s="97"/>
      <c r="AJ11" s="97" t="str">
        <f>"ADD CONSTRAINT "&amp;D$8&amp;"_pkey PRIMARY KEY"</f>
        <v>ADD CONSTRAINT azn_202310_work_text_temp_pkey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milscm_2023_010.azn_202310_work_text_temp IS 'ワーク_テキスト情報_一時';</v>
      </c>
    </row>
    <row r="13" spans="1:45" s="25" customFormat="1">
      <c r="A13" s="4"/>
      <c r="B13" s="21">
        <f>ROW()-12</f>
        <v>1</v>
      </c>
      <c r="C13" s="6" t="s">
        <v>137</v>
      </c>
      <c r="D13" s="6" t="s">
        <v>128</v>
      </c>
      <c r="E13" s="8" t="s">
        <v>127</v>
      </c>
      <c r="F13" s="8" t="s">
        <v>3792</v>
      </c>
      <c r="G13" s="7" t="str">
        <f>IF(F13="フラグ","boolean",IF(F13="文字列","text",IF(F13="整数","integer",IF(F13="実数","numeric",""))))</f>
        <v>text</v>
      </c>
      <c r="H13" s="9"/>
      <c r="I13" s="10" t="s">
        <v>127</v>
      </c>
      <c r="J13" s="11"/>
      <c r="M13" s="4"/>
      <c r="N13" s="97"/>
      <c r="O13" s="97"/>
      <c r="P13" s="97" t="str">
        <f>IF(B13&lt;&gt;1,","&amp;D13,D13)</f>
        <v>facility_id</v>
      </c>
      <c r="Q13" s="97" t="str">
        <f t="shared" ref="Q13:Q27" si="0">UPPER(G13)</f>
        <v>TEXT</v>
      </c>
      <c r="R13" s="97" t="str">
        <f t="shared" ref="R13:R27" si="1">IF(H13&lt;&gt;"","default "&amp;IF(G13="text","'"&amp;H13&amp;"'",H13),"")</f>
        <v/>
      </c>
      <c r="S13" s="97" t="str">
        <f>IF(I13="○","NOT NULL","")</f>
        <v>NOT NULL</v>
      </c>
      <c r="T13" s="97" t="str">
        <f>"-- "&amp;C13</f>
        <v>-- 施設ID</v>
      </c>
      <c r="U13" s="4"/>
      <c r="AA13" s="4"/>
      <c r="AB13" s="4"/>
      <c r="AC13" s="4"/>
      <c r="AD13" s="4"/>
      <c r="AE13" s="4"/>
      <c r="AF13" s="4"/>
      <c r="AG13" s="4"/>
      <c r="AH13" s="4"/>
      <c r="AI13" s="4"/>
      <c r="AJ13" s="97" t="str">
        <f>IF(E13="○",IF(COUNTA(E$13:E13)=1,"",",")&amp;D13,"")</f>
        <v>facility_id</v>
      </c>
      <c r="AK13" s="4"/>
      <c r="AL13" s="4"/>
      <c r="AM13" s="4"/>
      <c r="AN13" s="4"/>
      <c r="AO13" s="4"/>
      <c r="AP13" s="4"/>
      <c r="AQ13" s="4"/>
      <c r="AR13" s="4"/>
      <c r="AS13" s="97" t="str">
        <f>"COMMENT ON COLUMN "&amp;エンティティ一覧!$O$2&amp;"."&amp;D$8&amp;"."&amp;D13&amp;" IS '"&amp;C13&amp;"';"</f>
        <v>COMMENT ON COLUMN milscm_2023_010.azn_202310_work_text_temp.facility_id IS '施設ID';</v>
      </c>
    </row>
    <row r="14" spans="1:45" s="25" customFormat="1">
      <c r="A14" s="4"/>
      <c r="B14" s="21">
        <f t="shared" ref="B14:B29" si="2">ROW()-12</f>
        <v>2</v>
      </c>
      <c r="C14" s="6" t="s">
        <v>2786</v>
      </c>
      <c r="D14" s="6" t="s">
        <v>1244</v>
      </c>
      <c r="E14" s="8" t="s">
        <v>127</v>
      </c>
      <c r="F14" s="7" t="s">
        <v>1819</v>
      </c>
      <c r="G14" s="7" t="str">
        <f t="shared" ref="G14:G27" si="3">IF(F14="フラグ","boolean",IF(F14="文字列","text",IF(F14="整数","integer",IF(F14="実数","numeric",""))))</f>
        <v>text</v>
      </c>
      <c r="H14" s="26"/>
      <c r="I14" s="10" t="s">
        <v>127</v>
      </c>
      <c r="J14" s="11"/>
      <c r="M14" s="4"/>
      <c r="N14" s="97"/>
      <c r="O14" s="97"/>
      <c r="P14" s="97" t="str">
        <f t="shared" ref="P14:P27" si="4">IF(B14&lt;&gt;1,","&amp;D14,D14)</f>
        <v>,master_id</v>
      </c>
      <c r="Q14" s="97" t="str">
        <f t="shared" si="0"/>
        <v>TEXT</v>
      </c>
      <c r="R14" s="97" t="str">
        <f t="shared" si="1"/>
        <v/>
      </c>
      <c r="S14" s="97" t="str">
        <f t="shared" ref="S14:S27" si="5">IF(I14="○","NOT NULL","")</f>
        <v>NOT NULL</v>
      </c>
      <c r="T14" s="97" t="str">
        <f t="shared" ref="T14:T27" si="6">"-- "&amp;C14</f>
        <v>-- 患者ID</v>
      </c>
      <c r="U14" s="4"/>
      <c r="AA14" s="4"/>
      <c r="AB14" s="4"/>
      <c r="AC14" s="4"/>
      <c r="AD14" s="4"/>
      <c r="AE14" s="4"/>
      <c r="AF14" s="4"/>
      <c r="AG14" s="4"/>
      <c r="AH14" s="4"/>
      <c r="AI14" s="4"/>
      <c r="AJ14" s="97" t="str">
        <f>IF(E14="○",IF(COUNTA(E$13:E14)=1,"",",")&amp;D14,"")</f>
        <v>,master_id</v>
      </c>
      <c r="AK14" s="4"/>
      <c r="AL14" s="4"/>
      <c r="AM14" s="4"/>
      <c r="AN14" s="4"/>
      <c r="AO14" s="4"/>
      <c r="AP14" s="4"/>
      <c r="AQ14" s="4"/>
      <c r="AR14" s="4"/>
      <c r="AS14" s="97" t="str">
        <f>"COMMENT ON COLUMN "&amp;エンティティ一覧!$O$2&amp;"."&amp;D$8&amp;"."&amp;D14&amp;" IS '"&amp;C14&amp;"';"</f>
        <v>COMMENT ON COLUMN milscm_2023_010.azn_202310_work_text_temp.master_id IS '患者ID';</v>
      </c>
    </row>
    <row r="15" spans="1:45" s="25" customFormat="1">
      <c r="A15" s="4"/>
      <c r="B15" s="21">
        <f t="shared" si="2"/>
        <v>3</v>
      </c>
      <c r="C15" s="6" t="s">
        <v>1245</v>
      </c>
      <c r="D15" s="6" t="s">
        <v>1246</v>
      </c>
      <c r="E15" s="8" t="s">
        <v>127</v>
      </c>
      <c r="F15" s="7" t="s">
        <v>863</v>
      </c>
      <c r="G15" s="7" t="str">
        <f t="shared" ref="G15:G25" si="7">IF(F15="フラグ","boolean",IF(F15="文字列","text",IF(F15="整数","integer",IF(F15="実数","numeric",""))))</f>
        <v>text</v>
      </c>
      <c r="H15" s="26"/>
      <c r="I15" s="10" t="s">
        <v>127</v>
      </c>
      <c r="J15" s="117"/>
      <c r="M15" s="4"/>
      <c r="N15" s="97"/>
      <c r="O15" s="97"/>
      <c r="P15" s="97" t="str">
        <f t="shared" ref="P15:P25" si="8">IF(B15&lt;&gt;1,","&amp;D15,D15)</f>
        <v>,uid</v>
      </c>
      <c r="Q15" s="97" t="str">
        <f t="shared" ref="Q15:Q25" si="9">UPPER(G15)</f>
        <v>TEXT</v>
      </c>
      <c r="R15" s="97" t="str">
        <f t="shared" ref="R15:R25" si="10">IF(H15&lt;&gt;"","default "&amp;IF(G15="text","'"&amp;H15&amp;"'",H15),"")</f>
        <v/>
      </c>
      <c r="S15" s="97" t="str">
        <f t="shared" ref="S15:S25" si="11">IF(I15="○","NOT NULL","")</f>
        <v>NOT NULL</v>
      </c>
      <c r="T15" s="97" t="str">
        <f t="shared" ref="T15:T25" si="12">"-- "&amp;C15</f>
        <v>-- 文書ユニークID</v>
      </c>
      <c r="U15" s="4"/>
      <c r="AA15" s="4"/>
      <c r="AB15" s="4"/>
      <c r="AC15" s="4"/>
      <c r="AD15" s="4"/>
      <c r="AE15" s="4"/>
      <c r="AF15" s="4"/>
      <c r="AG15" s="4"/>
      <c r="AH15" s="4"/>
      <c r="AI15" s="4"/>
      <c r="AJ15" s="97" t="str">
        <f>IF(E15="○",IF(COUNTA(E$13:E15)=1,"",",")&amp;D15,"")</f>
        <v>,uid</v>
      </c>
      <c r="AK15" s="4"/>
      <c r="AL15" s="4"/>
      <c r="AM15" s="4"/>
      <c r="AN15" s="4"/>
      <c r="AO15" s="4"/>
      <c r="AP15" s="4"/>
      <c r="AQ15" s="4"/>
      <c r="AR15" s="4"/>
      <c r="AS15" s="97" t="str">
        <f>"COMMENT ON COLUMN "&amp;エンティティ一覧!$O$2&amp;"."&amp;D$8&amp;"."&amp;D15&amp;" IS '"&amp;C15&amp;"';"</f>
        <v>COMMENT ON COLUMN milscm_2023_010.azn_202310_work_text_temp.uid IS '文書ユニークID';</v>
      </c>
    </row>
    <row r="16" spans="1:45" s="25" customFormat="1" ht="56.25">
      <c r="A16" s="4"/>
      <c r="B16" s="21">
        <f t="shared" si="2"/>
        <v>4</v>
      </c>
      <c r="C16" s="6" t="s">
        <v>4199</v>
      </c>
      <c r="D16" s="6" t="s">
        <v>4207</v>
      </c>
      <c r="E16" s="8" t="s">
        <v>127</v>
      </c>
      <c r="F16" s="7" t="s">
        <v>203</v>
      </c>
      <c r="G16" s="7" t="str">
        <f t="shared" si="7"/>
        <v>integer</v>
      </c>
      <c r="H16" s="26"/>
      <c r="I16" s="10" t="s">
        <v>127</v>
      </c>
      <c r="J16" s="117" t="s">
        <v>4219</v>
      </c>
      <c r="M16" s="4"/>
      <c r="N16" s="97"/>
      <c r="O16" s="97"/>
      <c r="P16" s="97" t="str">
        <f t="shared" si="8"/>
        <v>,module_seq</v>
      </c>
      <c r="Q16" s="97" t="str">
        <f t="shared" si="9"/>
        <v>INTEGER</v>
      </c>
      <c r="R16" s="97" t="str">
        <f t="shared" si="10"/>
        <v/>
      </c>
      <c r="S16" s="97" t="str">
        <f t="shared" si="11"/>
        <v>NOT NULL</v>
      </c>
      <c r="T16" s="97" t="str">
        <f t="shared" si="12"/>
        <v>-- モジュールSEQ</v>
      </c>
      <c r="U16" s="4"/>
      <c r="AA16" s="4"/>
      <c r="AB16" s="4"/>
      <c r="AC16" s="4"/>
      <c r="AD16" s="4"/>
      <c r="AE16" s="4"/>
      <c r="AF16" s="4"/>
      <c r="AG16" s="4"/>
      <c r="AH16" s="4"/>
      <c r="AI16" s="4"/>
      <c r="AJ16" s="97" t="str">
        <f>IF(E16="○",IF(COUNTA(E$13:E16)=1,"",",")&amp;D16,"")</f>
        <v>,module_seq</v>
      </c>
      <c r="AK16" s="4"/>
      <c r="AL16" s="4"/>
      <c r="AM16" s="4"/>
      <c r="AN16" s="4"/>
      <c r="AO16" s="4"/>
      <c r="AP16" s="4"/>
      <c r="AQ16" s="4"/>
      <c r="AR16" s="4"/>
      <c r="AS16" s="97" t="str">
        <f>"COMMENT ON COLUMN "&amp;エンティティ一覧!$O$2&amp;"."&amp;D$8&amp;"."&amp;D16&amp;" IS '"&amp;C16&amp;"';"</f>
        <v>COMMENT ON COLUMN milscm_2023_010.azn_202310_work_text_temp.module_seq IS 'モジュールSEQ';</v>
      </c>
    </row>
    <row r="17" spans="1:52" s="25" customFormat="1">
      <c r="A17" s="4"/>
      <c r="B17" s="21">
        <f t="shared" si="2"/>
        <v>5</v>
      </c>
      <c r="C17" s="6" t="s">
        <v>1350</v>
      </c>
      <c r="D17" s="6" t="s">
        <v>1351</v>
      </c>
      <c r="E17" s="8" t="s">
        <v>127</v>
      </c>
      <c r="F17" s="7" t="s">
        <v>203</v>
      </c>
      <c r="G17" s="7" t="str">
        <f t="shared" si="7"/>
        <v>integer</v>
      </c>
      <c r="H17" s="26"/>
      <c r="I17" s="10" t="s">
        <v>127</v>
      </c>
      <c r="J17" s="117" t="s">
        <v>1374</v>
      </c>
      <c r="M17" s="4"/>
      <c r="N17" s="97"/>
      <c r="O17" s="97"/>
      <c r="P17" s="97" t="str">
        <f t="shared" si="8"/>
        <v>,problem_seq</v>
      </c>
      <c r="Q17" s="97" t="str">
        <f t="shared" si="9"/>
        <v>INTEGER</v>
      </c>
      <c r="R17" s="97" t="str">
        <f t="shared" si="10"/>
        <v/>
      </c>
      <c r="S17" s="97" t="str">
        <f t="shared" si="11"/>
        <v>NOT NULL</v>
      </c>
      <c r="T17" s="97" t="str">
        <f t="shared" si="12"/>
        <v>-- プロブレムSEQ</v>
      </c>
      <c r="U17" s="4"/>
      <c r="AA17" s="4"/>
      <c r="AB17" s="4"/>
      <c r="AC17" s="4"/>
      <c r="AD17" s="4"/>
      <c r="AE17" s="4"/>
      <c r="AF17" s="4"/>
      <c r="AG17" s="4"/>
      <c r="AH17" s="4"/>
      <c r="AI17" s="4"/>
      <c r="AJ17" s="97" t="str">
        <f>IF(E17="○",IF(COUNTA(E$13:E17)=1,"",",")&amp;D17,"")</f>
        <v>,problem_seq</v>
      </c>
      <c r="AK17" s="4"/>
      <c r="AL17" s="4"/>
      <c r="AM17" s="4"/>
      <c r="AN17" s="4"/>
      <c r="AO17" s="4"/>
      <c r="AP17" s="4"/>
      <c r="AQ17" s="4"/>
      <c r="AR17" s="4"/>
      <c r="AS17" s="97" t="str">
        <f>"COMMENT ON COLUMN "&amp;エンティティ一覧!$O$2&amp;"."&amp;D$8&amp;"."&amp;D17&amp;" IS '"&amp;C17&amp;"';"</f>
        <v>COMMENT ON COLUMN milscm_2023_010.azn_202310_work_text_temp.problem_seq IS 'プロブレムSEQ';</v>
      </c>
    </row>
    <row r="18" spans="1:52" s="25" customFormat="1">
      <c r="A18" s="4"/>
      <c r="B18" s="21">
        <f t="shared" si="2"/>
        <v>6</v>
      </c>
      <c r="C18" s="6" t="s">
        <v>1402</v>
      </c>
      <c r="D18" s="6" t="s">
        <v>1403</v>
      </c>
      <c r="E18" s="8" t="s">
        <v>127</v>
      </c>
      <c r="F18" s="7" t="s">
        <v>203</v>
      </c>
      <c r="G18" s="7" t="str">
        <f t="shared" si="7"/>
        <v>integer</v>
      </c>
      <c r="H18" s="26"/>
      <c r="I18" s="10" t="s">
        <v>127</v>
      </c>
      <c r="J18" s="117" t="s">
        <v>1406</v>
      </c>
      <c r="M18" s="4"/>
      <c r="N18" s="97"/>
      <c r="O18" s="97"/>
      <c r="P18" s="97" t="str">
        <f t="shared" si="8"/>
        <v>,assessment_item_seq</v>
      </c>
      <c r="Q18" s="97" t="str">
        <f t="shared" si="9"/>
        <v>INTEGER</v>
      </c>
      <c r="R18" s="97" t="str">
        <f t="shared" si="10"/>
        <v/>
      </c>
      <c r="S18" s="97" t="str">
        <f t="shared" si="11"/>
        <v>NOT NULL</v>
      </c>
      <c r="T18" s="97" t="str">
        <f t="shared" si="12"/>
        <v>-- アセスメントSEQ</v>
      </c>
      <c r="U18" s="4"/>
      <c r="AA18" s="4"/>
      <c r="AB18" s="4"/>
      <c r="AC18" s="4"/>
      <c r="AD18" s="4"/>
      <c r="AE18" s="4"/>
      <c r="AF18" s="4"/>
      <c r="AG18" s="4"/>
      <c r="AH18" s="4"/>
      <c r="AI18" s="4"/>
      <c r="AJ18" s="97" t="str">
        <f>IF(E18="○",IF(COUNTA(E$13:E18)=1,"",",")&amp;D18,"")</f>
        <v>,assessment_item_seq</v>
      </c>
      <c r="AK18" s="4"/>
      <c r="AL18" s="4"/>
      <c r="AM18" s="4"/>
      <c r="AN18" s="4"/>
      <c r="AO18" s="4"/>
      <c r="AP18" s="4"/>
      <c r="AQ18" s="4"/>
      <c r="AR18" s="4"/>
      <c r="AS18" s="97" t="str">
        <f>"COMMENT ON COLUMN "&amp;エンティティ一覧!$O$2&amp;"."&amp;D$8&amp;"."&amp;D18&amp;" IS '"&amp;C18&amp;"';"</f>
        <v>COMMENT ON COLUMN milscm_2023_010.azn_202310_work_text_temp.assessment_item_seq IS 'アセスメントSEQ';</v>
      </c>
    </row>
    <row r="19" spans="1:52" s="25" customFormat="1">
      <c r="A19" s="4"/>
      <c r="B19" s="21">
        <f t="shared" si="2"/>
        <v>7</v>
      </c>
      <c r="C19" s="6" t="s">
        <v>4200</v>
      </c>
      <c r="D19" s="6" t="s">
        <v>1413</v>
      </c>
      <c r="E19" s="8" t="s">
        <v>127</v>
      </c>
      <c r="F19" s="7" t="s">
        <v>203</v>
      </c>
      <c r="G19" s="7" t="str">
        <f t="shared" si="7"/>
        <v>integer</v>
      </c>
      <c r="H19" s="26"/>
      <c r="I19" s="10" t="s">
        <v>127</v>
      </c>
      <c r="J19" s="117" t="s">
        <v>1425</v>
      </c>
      <c r="M19" s="4"/>
      <c r="N19" s="97"/>
      <c r="O19" s="97"/>
      <c r="P19" s="97" t="str">
        <f t="shared" si="8"/>
        <v>,gaibu_sansyo_seq</v>
      </c>
      <c r="Q19" s="97" t="str">
        <f t="shared" si="9"/>
        <v>INTEGER</v>
      </c>
      <c r="R19" s="97" t="str">
        <f t="shared" si="10"/>
        <v/>
      </c>
      <c r="S19" s="97" t="str">
        <f t="shared" si="11"/>
        <v>NOT NULL</v>
      </c>
      <c r="T19" s="97" t="str">
        <f t="shared" si="12"/>
        <v>-- 外部参照SEQ</v>
      </c>
      <c r="U19" s="4"/>
      <c r="AA19" s="4"/>
      <c r="AB19" s="4"/>
      <c r="AC19" s="4"/>
      <c r="AD19" s="4"/>
      <c r="AE19" s="4"/>
      <c r="AF19" s="4"/>
      <c r="AG19" s="4"/>
      <c r="AH19" s="4"/>
      <c r="AI19" s="4"/>
      <c r="AJ19" s="97" t="str">
        <f>IF(E19="○",IF(COUNTA(E$13:E19)=1,"",",")&amp;D19,"")</f>
        <v>,gaibu_sansyo_seq</v>
      </c>
      <c r="AK19" s="4"/>
      <c r="AL19" s="4"/>
      <c r="AM19" s="4"/>
      <c r="AN19" s="4"/>
      <c r="AO19" s="4"/>
      <c r="AP19" s="4"/>
      <c r="AQ19" s="4"/>
      <c r="AR19" s="4"/>
      <c r="AS19" s="97" t="str">
        <f>"COMMENT ON COLUMN "&amp;エンティティ一覧!$O$2&amp;"."&amp;D$8&amp;"."&amp;D19&amp;" IS '"&amp;C19&amp;"';"</f>
        <v>COMMENT ON COLUMN milscm_2023_010.azn_202310_work_text_temp.gaibu_sansyo_seq IS '外部参照SEQ';</v>
      </c>
    </row>
    <row r="20" spans="1:52" s="25" customFormat="1">
      <c r="A20" s="4"/>
      <c r="B20" s="21">
        <f t="shared" si="2"/>
        <v>8</v>
      </c>
      <c r="C20" s="6" t="s">
        <v>1342</v>
      </c>
      <c r="D20" s="6" t="s">
        <v>1343</v>
      </c>
      <c r="E20" s="8" t="s">
        <v>127</v>
      </c>
      <c r="F20" s="7" t="s">
        <v>203</v>
      </c>
      <c r="G20" s="7" t="str">
        <f t="shared" si="7"/>
        <v>integer</v>
      </c>
      <c r="H20" s="26"/>
      <c r="I20" s="10" t="s">
        <v>127</v>
      </c>
      <c r="J20" s="117" t="s">
        <v>1526</v>
      </c>
      <c r="M20" s="4"/>
      <c r="N20" s="97"/>
      <c r="O20" s="97"/>
      <c r="P20" s="97" t="str">
        <f t="shared" si="8"/>
        <v>,keika_seq</v>
      </c>
      <c r="Q20" s="97" t="str">
        <f t="shared" si="9"/>
        <v>INTEGER</v>
      </c>
      <c r="R20" s="97" t="str">
        <f t="shared" si="10"/>
        <v/>
      </c>
      <c r="S20" s="97" t="str">
        <f t="shared" si="11"/>
        <v>NOT NULL</v>
      </c>
      <c r="T20" s="97" t="str">
        <f t="shared" si="12"/>
        <v>-- 経過記録SEQ</v>
      </c>
      <c r="U20" s="4"/>
      <c r="AA20" s="4"/>
      <c r="AB20" s="4"/>
      <c r="AC20" s="4"/>
      <c r="AD20" s="4"/>
      <c r="AE20" s="4"/>
      <c r="AF20" s="4"/>
      <c r="AG20" s="4"/>
      <c r="AH20" s="4"/>
      <c r="AI20" s="4"/>
      <c r="AJ20" s="97" t="str">
        <f>IF(E20="○",IF(COUNTA(E$13:E20)=1,"",",")&amp;D20,"")</f>
        <v>,keika_seq</v>
      </c>
      <c r="AK20" s="4"/>
      <c r="AL20" s="4"/>
      <c r="AM20" s="4"/>
      <c r="AN20" s="4"/>
      <c r="AO20" s="4"/>
      <c r="AP20" s="4"/>
      <c r="AQ20" s="4"/>
      <c r="AR20" s="4"/>
      <c r="AS20" s="97" t="str">
        <f>"COMMENT ON COLUMN "&amp;エンティティ一覧!$O$2&amp;"."&amp;D$8&amp;"."&amp;D20&amp;" IS '"&amp;C20&amp;"';"</f>
        <v>COMMENT ON COLUMN milscm_2023_010.azn_202310_work_text_temp.keika_seq IS '経過記録SEQ';</v>
      </c>
    </row>
    <row r="21" spans="1:52" s="25" customFormat="1">
      <c r="A21" s="4"/>
      <c r="B21" s="21">
        <f t="shared" si="2"/>
        <v>9</v>
      </c>
      <c r="C21" s="6" t="s">
        <v>4201</v>
      </c>
      <c r="D21" s="6" t="s">
        <v>4208</v>
      </c>
      <c r="E21" s="8"/>
      <c r="F21" s="7" t="s">
        <v>1778</v>
      </c>
      <c r="G21" s="7" t="str">
        <f t="shared" si="7"/>
        <v>text</v>
      </c>
      <c r="H21" s="26"/>
      <c r="I21" s="10" t="s">
        <v>127</v>
      </c>
      <c r="J21" s="117" t="s">
        <v>4212</v>
      </c>
      <c r="M21" s="4"/>
      <c r="N21" s="97"/>
      <c r="O21" s="97"/>
      <c r="P21" s="97" t="str">
        <f t="shared" si="8"/>
        <v>,source_module</v>
      </c>
      <c r="Q21" s="97" t="str">
        <f t="shared" si="9"/>
        <v>TEXT</v>
      </c>
      <c r="R21" s="97" t="str">
        <f t="shared" si="10"/>
        <v/>
      </c>
      <c r="S21" s="97" t="str">
        <f t="shared" si="11"/>
        <v>NOT NULL</v>
      </c>
      <c r="T21" s="97" t="str">
        <f t="shared" si="12"/>
        <v>-- モジュール名</v>
      </c>
      <c r="U21" s="4"/>
      <c r="AA21" s="4"/>
      <c r="AB21" s="4"/>
      <c r="AC21" s="4"/>
      <c r="AD21" s="4"/>
      <c r="AE21" s="4"/>
      <c r="AF21" s="4"/>
      <c r="AG21" s="4"/>
      <c r="AH21" s="4"/>
      <c r="AI21" s="4"/>
      <c r="AJ21" s="97" t="str">
        <f>IF(E21="○",IF(COUNTA(E$13:E21)=1,"",",")&amp;D21,"")</f>
        <v/>
      </c>
      <c r="AK21" s="4"/>
      <c r="AL21" s="4"/>
      <c r="AM21" s="4"/>
      <c r="AN21" s="4"/>
      <c r="AO21" s="4"/>
      <c r="AP21" s="4"/>
      <c r="AQ21" s="4"/>
      <c r="AR21" s="4"/>
      <c r="AS21" s="97" t="str">
        <f>"COMMENT ON COLUMN "&amp;エンティティ一覧!$O$2&amp;"."&amp;D$8&amp;"."&amp;D21&amp;" IS '"&amp;C21&amp;"';"</f>
        <v>COMMENT ON COLUMN milscm_2023_010.azn_202310_work_text_temp.source_module IS 'モジュール名';</v>
      </c>
    </row>
    <row r="22" spans="1:52" s="25" customFormat="1" ht="93.75">
      <c r="A22" s="4"/>
      <c r="B22" s="21">
        <f t="shared" si="2"/>
        <v>10</v>
      </c>
      <c r="C22" s="6" t="s">
        <v>4202</v>
      </c>
      <c r="D22" s="6" t="s">
        <v>4209</v>
      </c>
      <c r="E22" s="8"/>
      <c r="F22" s="7" t="s">
        <v>1778</v>
      </c>
      <c r="G22" s="7" t="str">
        <f t="shared" si="7"/>
        <v>text</v>
      </c>
      <c r="H22" s="26"/>
      <c r="I22" s="10" t="s">
        <v>127</v>
      </c>
      <c r="J22" s="117" t="s">
        <v>4213</v>
      </c>
      <c r="M22" s="4"/>
      <c r="N22" s="97"/>
      <c r="O22" s="97"/>
      <c r="P22" s="97" t="str">
        <f t="shared" si="8"/>
        <v>,source_table</v>
      </c>
      <c r="Q22" s="97" t="str">
        <f t="shared" si="9"/>
        <v>TEXT</v>
      </c>
      <c r="R22" s="97" t="str">
        <f t="shared" si="10"/>
        <v/>
      </c>
      <c r="S22" s="97" t="str">
        <f t="shared" si="11"/>
        <v>NOT NULL</v>
      </c>
      <c r="T22" s="97" t="str">
        <f t="shared" si="12"/>
        <v>-- 取得元テーブル名</v>
      </c>
      <c r="U22" s="4"/>
      <c r="AA22" s="4"/>
      <c r="AB22" s="4"/>
      <c r="AC22" s="4"/>
      <c r="AD22" s="4"/>
      <c r="AE22" s="4"/>
      <c r="AF22" s="4"/>
      <c r="AG22" s="4"/>
      <c r="AH22" s="4"/>
      <c r="AI22" s="4"/>
      <c r="AJ22" s="97" t="str">
        <f>IF(E22="○",IF(COUNTA(E$13:E22)=1,"",",")&amp;D22,"")</f>
        <v/>
      </c>
      <c r="AK22" s="4"/>
      <c r="AL22" s="4"/>
      <c r="AM22" s="4"/>
      <c r="AN22" s="4"/>
      <c r="AO22" s="4"/>
      <c r="AP22" s="4"/>
      <c r="AQ22" s="4"/>
      <c r="AR22" s="4"/>
      <c r="AS22" s="97" t="str">
        <f>"COMMENT ON COLUMN "&amp;エンティティ一覧!$O$2&amp;"."&amp;D$8&amp;"."&amp;D22&amp;" IS '"&amp;C22&amp;"';"</f>
        <v>COMMENT ON COLUMN milscm_2023_010.azn_202310_work_text_temp.source_table IS '取得元テーブル名';</v>
      </c>
    </row>
    <row r="23" spans="1:52" s="25" customFormat="1" ht="150">
      <c r="A23" s="4"/>
      <c r="B23" s="21">
        <f t="shared" si="2"/>
        <v>11</v>
      </c>
      <c r="C23" s="6" t="s">
        <v>4203</v>
      </c>
      <c r="D23" s="6" t="s">
        <v>4210</v>
      </c>
      <c r="E23" s="8" t="s">
        <v>127</v>
      </c>
      <c r="F23" s="7" t="s">
        <v>1778</v>
      </c>
      <c r="G23" s="7" t="str">
        <f t="shared" ref="G23" si="13">IF(F23="フラグ","boolean",IF(F23="文字列","text",IF(F23="整数","integer",IF(F23="実数","numeric",""))))</f>
        <v>text</v>
      </c>
      <c r="H23" s="26"/>
      <c r="I23" s="10" t="s">
        <v>127</v>
      </c>
      <c r="J23" s="117" t="s">
        <v>4214</v>
      </c>
      <c r="M23" s="4"/>
      <c r="N23" s="97"/>
      <c r="O23" s="97"/>
      <c r="P23" s="97" t="str">
        <f t="shared" ref="P23" si="14">IF(B23&lt;&gt;1,","&amp;D23,D23)</f>
        <v>,source_column</v>
      </c>
      <c r="Q23" s="97" t="str">
        <f t="shared" ref="Q23" si="15">UPPER(G23)</f>
        <v>TEXT</v>
      </c>
      <c r="R23" s="97" t="str">
        <f t="shared" ref="R23" si="16">IF(H23&lt;&gt;"","default "&amp;IF(G23="text","'"&amp;H23&amp;"'",H23),"")</f>
        <v/>
      </c>
      <c r="S23" s="97" t="str">
        <f t="shared" ref="S23" si="17">IF(I23="○","NOT NULL","")</f>
        <v>NOT NULL</v>
      </c>
      <c r="T23" s="97" t="str">
        <f t="shared" ref="T23" si="18">"-- "&amp;C23</f>
        <v>-- 取得元カラム名</v>
      </c>
      <c r="U23" s="4"/>
      <c r="AA23" s="4"/>
      <c r="AB23" s="4"/>
      <c r="AC23" s="4"/>
      <c r="AD23" s="4"/>
      <c r="AE23" s="4"/>
      <c r="AF23" s="4"/>
      <c r="AG23" s="4"/>
      <c r="AH23" s="4"/>
      <c r="AI23" s="4"/>
      <c r="AJ23" s="97" t="str">
        <f>IF(E23="○",IF(COUNTA(E$13:E23)=1,"",",")&amp;D23,"")</f>
        <v>,source_column</v>
      </c>
      <c r="AK23" s="4"/>
      <c r="AL23" s="4"/>
      <c r="AM23" s="4"/>
      <c r="AN23" s="4"/>
      <c r="AO23" s="4"/>
      <c r="AP23" s="4"/>
      <c r="AQ23" s="4"/>
      <c r="AR23" s="4"/>
      <c r="AS23" s="97" t="str">
        <f>"COMMENT ON COLUMN "&amp;エンティティ一覧!$O$2&amp;"."&amp;D$8&amp;"."&amp;D23&amp;" IS '"&amp;C23&amp;"';"</f>
        <v>COMMENT ON COLUMN milscm_2023_010.azn_202310_work_text_temp.source_column IS '取得元カラム名';</v>
      </c>
    </row>
    <row r="24" spans="1:52" s="25" customFormat="1">
      <c r="A24" s="4"/>
      <c r="B24" s="21">
        <f t="shared" si="2"/>
        <v>12</v>
      </c>
      <c r="C24" s="6" t="s">
        <v>3262</v>
      </c>
      <c r="D24" s="6" t="s">
        <v>3263</v>
      </c>
      <c r="E24" s="8"/>
      <c r="F24" s="7" t="s">
        <v>1778</v>
      </c>
      <c r="G24" s="7" t="str">
        <f t="shared" si="7"/>
        <v>text</v>
      </c>
      <c r="H24" s="26"/>
      <c r="I24" s="10" t="s">
        <v>127</v>
      </c>
      <c r="J24" s="117"/>
      <c r="M24" s="4"/>
      <c r="N24" s="97"/>
      <c r="O24" s="97"/>
      <c r="P24" s="97" t="str">
        <f t="shared" si="8"/>
        <v>,comfirm_date</v>
      </c>
      <c r="Q24" s="97" t="str">
        <f t="shared" si="9"/>
        <v>TEXT</v>
      </c>
      <c r="R24" s="97" t="str">
        <f t="shared" si="10"/>
        <v/>
      </c>
      <c r="S24" s="97" t="str">
        <f t="shared" si="11"/>
        <v>NOT NULL</v>
      </c>
      <c r="T24" s="97" t="str">
        <f t="shared" si="12"/>
        <v>-- 記載確定日</v>
      </c>
      <c r="U24" s="4"/>
      <c r="AA24" s="4"/>
      <c r="AB24" s="4"/>
      <c r="AC24" s="4"/>
      <c r="AD24" s="4"/>
      <c r="AE24" s="4"/>
      <c r="AF24" s="4"/>
      <c r="AG24" s="4"/>
      <c r="AH24" s="4"/>
      <c r="AI24" s="4"/>
      <c r="AJ24" s="97" t="str">
        <f>IF(E24="○",IF(COUNTA(E$13:E24)=1,"",",")&amp;D24,"")</f>
        <v/>
      </c>
      <c r="AK24" s="4"/>
      <c r="AL24" s="4"/>
      <c r="AM24" s="4"/>
      <c r="AN24" s="4"/>
      <c r="AO24" s="4"/>
      <c r="AP24" s="4"/>
      <c r="AQ24" s="4"/>
      <c r="AR24" s="4"/>
      <c r="AS24" s="97" t="str">
        <f>"COMMENT ON COLUMN "&amp;エンティティ一覧!$O$2&amp;"."&amp;D$8&amp;"."&amp;D24&amp;" IS '"&amp;C24&amp;"';"</f>
        <v>COMMENT ON COLUMN milscm_2023_010.azn_202310_work_text_temp.comfirm_date IS '記載確定日';</v>
      </c>
    </row>
    <row r="25" spans="1:52" s="25" customFormat="1">
      <c r="A25" s="4"/>
      <c r="B25" s="21">
        <f t="shared" si="2"/>
        <v>13</v>
      </c>
      <c r="C25" s="6" t="s">
        <v>1520</v>
      </c>
      <c r="D25" s="6" t="s">
        <v>1521</v>
      </c>
      <c r="E25" s="8"/>
      <c r="F25" s="7" t="s">
        <v>1778</v>
      </c>
      <c r="G25" s="7" t="str">
        <f t="shared" si="7"/>
        <v>text</v>
      </c>
      <c r="H25" s="26"/>
      <c r="I25" s="10"/>
      <c r="J25" s="117" t="s">
        <v>4215</v>
      </c>
      <c r="M25" s="4"/>
      <c r="N25" s="97"/>
      <c r="O25" s="97"/>
      <c r="P25" s="97" t="str">
        <f t="shared" si="8"/>
        <v>,event_date</v>
      </c>
      <c r="Q25" s="97" t="str">
        <f t="shared" si="9"/>
        <v>TEXT</v>
      </c>
      <c r="R25" s="97" t="str">
        <f t="shared" si="10"/>
        <v/>
      </c>
      <c r="S25" s="97" t="str">
        <f t="shared" si="11"/>
        <v/>
      </c>
      <c r="T25" s="97" t="str">
        <f t="shared" si="12"/>
        <v>-- イベント発生日時</v>
      </c>
      <c r="U25" s="4"/>
      <c r="AA25" s="4"/>
      <c r="AB25" s="4"/>
      <c r="AC25" s="4"/>
      <c r="AD25" s="4"/>
      <c r="AE25" s="4"/>
      <c r="AF25" s="4"/>
      <c r="AG25" s="4"/>
      <c r="AH25" s="4"/>
      <c r="AI25" s="4"/>
      <c r="AJ25" s="97" t="str">
        <f>IF(E25="○",IF(COUNTA(E$13:E25)=1,"",",")&amp;D25,"")</f>
        <v/>
      </c>
      <c r="AK25" s="4"/>
      <c r="AL25" s="4"/>
      <c r="AM25" s="4"/>
      <c r="AN25" s="4"/>
      <c r="AO25" s="4"/>
      <c r="AP25" s="4"/>
      <c r="AQ25" s="4"/>
      <c r="AR25" s="4"/>
      <c r="AS25" s="97" t="str">
        <f>"COMMENT ON COLUMN "&amp;エンティティ一覧!$O$2&amp;"."&amp;D$8&amp;"."&amp;D25&amp;" IS '"&amp;C25&amp;"';"</f>
        <v>COMMENT ON COLUMN milscm_2023_010.azn_202310_work_text_temp.event_date IS 'イベント発生日時';</v>
      </c>
    </row>
    <row r="26" spans="1:52" s="25" customFormat="1">
      <c r="A26" s="4"/>
      <c r="B26" s="21">
        <f t="shared" si="2"/>
        <v>14</v>
      </c>
      <c r="C26" s="6" t="s">
        <v>4204</v>
      </c>
      <c r="D26" s="6" t="s">
        <v>1436</v>
      </c>
      <c r="E26" s="8"/>
      <c r="F26" s="7" t="s">
        <v>1778</v>
      </c>
      <c r="G26" s="7" t="str">
        <f t="shared" si="3"/>
        <v>text</v>
      </c>
      <c r="H26" s="26"/>
      <c r="I26" s="10"/>
      <c r="J26" s="117" t="s">
        <v>4216</v>
      </c>
      <c r="M26" s="4"/>
      <c r="N26" s="97"/>
      <c r="O26" s="97"/>
      <c r="P26" s="97" t="str">
        <f t="shared" si="4"/>
        <v>,history_start_ymd</v>
      </c>
      <c r="Q26" s="97" t="str">
        <f t="shared" si="0"/>
        <v>TEXT</v>
      </c>
      <c r="R26" s="97" t="str">
        <f t="shared" si="1"/>
        <v/>
      </c>
      <c r="S26" s="97" t="str">
        <f t="shared" si="5"/>
        <v/>
      </c>
      <c r="T26" s="97" t="str">
        <f t="shared" si="6"/>
        <v>-- サマリ対象期間の開始日</v>
      </c>
      <c r="U26" s="4"/>
      <c r="AA26" s="4"/>
      <c r="AB26" s="4"/>
      <c r="AC26" s="4"/>
      <c r="AD26" s="4"/>
      <c r="AE26" s="4"/>
      <c r="AF26" s="4"/>
      <c r="AG26" s="4"/>
      <c r="AH26" s="4"/>
      <c r="AI26" s="4"/>
      <c r="AJ26" s="97" t="str">
        <f>IF(E26="○",IF(COUNTA(E$13:E26)=1,"",",")&amp;D26,"")</f>
        <v/>
      </c>
      <c r="AK26" s="4"/>
      <c r="AL26" s="4"/>
      <c r="AM26" s="4"/>
      <c r="AN26" s="4"/>
      <c r="AO26" s="4"/>
      <c r="AP26" s="4"/>
      <c r="AQ26" s="4"/>
      <c r="AR26" s="4"/>
      <c r="AS26" s="97" t="str">
        <f>"COMMENT ON COLUMN "&amp;エンティティ一覧!$O$2&amp;"."&amp;D$8&amp;"."&amp;D26&amp;" IS '"&amp;C26&amp;"';"</f>
        <v>COMMENT ON COLUMN milscm_2023_010.azn_202310_work_text_temp.history_start_ymd IS 'サマリ対象期間の開始日';</v>
      </c>
    </row>
    <row r="27" spans="1:52" s="25" customFormat="1">
      <c r="A27" s="4"/>
      <c r="B27" s="21">
        <f t="shared" si="2"/>
        <v>15</v>
      </c>
      <c r="C27" s="6" t="s">
        <v>4205</v>
      </c>
      <c r="D27" s="6" t="s">
        <v>1438</v>
      </c>
      <c r="E27" s="8"/>
      <c r="F27" s="7" t="s">
        <v>1778</v>
      </c>
      <c r="G27" s="7" t="str">
        <f t="shared" si="3"/>
        <v>text</v>
      </c>
      <c r="H27" s="26"/>
      <c r="I27" s="10"/>
      <c r="J27" s="11" t="s">
        <v>4217</v>
      </c>
      <c r="M27" s="4"/>
      <c r="N27" s="97"/>
      <c r="O27" s="97"/>
      <c r="P27" s="97" t="str">
        <f t="shared" si="4"/>
        <v>,history_end_ymd</v>
      </c>
      <c r="Q27" s="97" t="str">
        <f t="shared" si="0"/>
        <v>TEXT</v>
      </c>
      <c r="R27" s="97" t="str">
        <f t="shared" si="1"/>
        <v/>
      </c>
      <c r="S27" s="97" t="str">
        <f t="shared" si="5"/>
        <v/>
      </c>
      <c r="T27" s="97" t="str">
        <f t="shared" si="6"/>
        <v>-- サマリ対象期間の終了日</v>
      </c>
      <c r="U27" s="4"/>
      <c r="AA27" s="4"/>
      <c r="AB27" s="4"/>
      <c r="AC27" s="4"/>
      <c r="AD27" s="4"/>
      <c r="AE27" s="4"/>
      <c r="AF27" s="4"/>
      <c r="AG27" s="4"/>
      <c r="AH27" s="4"/>
      <c r="AI27" s="4"/>
      <c r="AJ27" s="97" t="str">
        <f>IF(E27="○",IF(COUNTA(E$13:E27)=1,"",",")&amp;D27,"")</f>
        <v/>
      </c>
      <c r="AK27" s="4"/>
      <c r="AL27" s="4"/>
      <c r="AM27" s="4"/>
      <c r="AN27" s="4"/>
      <c r="AO27" s="4"/>
      <c r="AP27" s="4"/>
      <c r="AQ27" s="4"/>
      <c r="AR27" s="4"/>
      <c r="AS27" s="97" t="str">
        <f>"COMMENT ON COLUMN "&amp;エンティティ一覧!$O$2&amp;"."&amp;D$8&amp;"."&amp;D27&amp;" IS '"&amp;C27&amp;"';"</f>
        <v>COMMENT ON COLUMN milscm_2023_010.azn_202310_work_text_temp.history_end_ymd IS 'サマリ対象期間の終了日';</v>
      </c>
    </row>
    <row r="28" spans="1:52" s="25" customFormat="1">
      <c r="A28" s="4"/>
      <c r="B28" s="21">
        <f t="shared" si="2"/>
        <v>16</v>
      </c>
      <c r="C28" s="6" t="s">
        <v>4206</v>
      </c>
      <c r="D28" s="6" t="s">
        <v>4211</v>
      </c>
      <c r="E28" s="8"/>
      <c r="F28" s="7" t="s">
        <v>3792</v>
      </c>
      <c r="G28" s="7" t="str">
        <f t="shared" ref="G28" si="19">IF(F28="フラグ","boolean",IF(F28="文字列","text",IF(F28="整数","integer",IF(F28="実数","numeric",""))))</f>
        <v>text</v>
      </c>
      <c r="H28" s="26"/>
      <c r="I28" s="10" t="s">
        <v>127</v>
      </c>
      <c r="J28" s="11" t="s">
        <v>4218</v>
      </c>
      <c r="M28" s="4"/>
      <c r="N28" s="97"/>
      <c r="O28" s="97"/>
      <c r="P28" s="97" t="str">
        <f t="shared" ref="P28" si="20">IF(B28&lt;&gt;1,","&amp;D28,D28)</f>
        <v>,original_text</v>
      </c>
      <c r="Q28" s="97" t="str">
        <f t="shared" ref="Q28" si="21">UPPER(G28)</f>
        <v>TEXT</v>
      </c>
      <c r="R28" s="97" t="str">
        <f t="shared" ref="R28" si="22">IF(H28&lt;&gt;"","default "&amp;IF(G28="text","'"&amp;H28&amp;"'",H28),"")</f>
        <v/>
      </c>
      <c r="S28" s="97" t="str">
        <f t="shared" ref="S28" si="23">IF(I28="○","NOT NULL","")</f>
        <v>NOT NULL</v>
      </c>
      <c r="T28" s="97" t="str">
        <f t="shared" ref="T28" si="24">"-- "&amp;C28</f>
        <v>-- オリジナルテキスト</v>
      </c>
      <c r="U28" s="4"/>
      <c r="AA28" s="4"/>
      <c r="AB28" s="4"/>
      <c r="AC28" s="4"/>
      <c r="AD28" s="4"/>
      <c r="AE28" s="4"/>
      <c r="AF28" s="4"/>
      <c r="AG28" s="4"/>
      <c r="AH28" s="4"/>
      <c r="AI28" s="4"/>
      <c r="AJ28" s="97" t="str">
        <f>IF(E28="○",IF(COUNTA(E$13:E28)=1,"",",")&amp;D28,"")</f>
        <v/>
      </c>
      <c r="AK28" s="4"/>
      <c r="AL28" s="4"/>
      <c r="AM28" s="4"/>
      <c r="AN28" s="4"/>
      <c r="AO28" s="4"/>
      <c r="AP28" s="4"/>
      <c r="AQ28" s="4"/>
      <c r="AR28" s="4"/>
      <c r="AS28" s="97" t="str">
        <f>"COMMENT ON COLUMN "&amp;エンティティ一覧!$O$2&amp;"."&amp;D$8&amp;"."&amp;D28&amp;" IS '"&amp;C28&amp;"';"</f>
        <v>COMMENT ON COLUMN milscm_2023_010.azn_202310_work_text_temp.original_text IS 'オリジナルテキスト';</v>
      </c>
    </row>
    <row r="29" spans="1:52" s="25" customFormat="1" ht="132" thickBot="1">
      <c r="A29" s="4"/>
      <c r="B29" s="65">
        <f t="shared" si="2"/>
        <v>17</v>
      </c>
      <c r="C29" s="28" t="s">
        <v>4316</v>
      </c>
      <c r="D29" s="28" t="s">
        <v>4318</v>
      </c>
      <c r="E29" s="29"/>
      <c r="F29" s="56" t="s">
        <v>4319</v>
      </c>
      <c r="G29" s="56" t="str">
        <f>IF(F29="フラグ","boolean",IF(F29="文字列","text",IF(F29="整数","integer",IF(F29="実数","numeric",""))))</f>
        <v>integer</v>
      </c>
      <c r="H29" s="30"/>
      <c r="I29" s="31" t="s">
        <v>127</v>
      </c>
      <c r="J29" s="61" t="s">
        <v>4483</v>
      </c>
      <c r="M29" s="4"/>
      <c r="N29" s="97"/>
      <c r="O29" s="97"/>
      <c r="P29" s="97" t="str">
        <f>IF(B29&lt;&gt;1,","&amp;D29,D29)</f>
        <v>,chief_complaint_f</v>
      </c>
      <c r="Q29" s="97" t="str">
        <f>UPPER(G29)</f>
        <v>INTEGER</v>
      </c>
      <c r="R29" s="97" t="str">
        <f>IF(H29&lt;&gt;"","default "&amp;IF(G29="text","'"&amp;H29&amp;"'",H29),"")</f>
        <v/>
      </c>
      <c r="S29" s="97" t="str">
        <f>IF(I29="○","NOT NULL","")</f>
        <v>NOT NULL</v>
      </c>
      <c r="T29" s="97" t="str">
        <f>"-- "&amp;C29</f>
        <v>-- 主訴フラグ</v>
      </c>
      <c r="U29" s="4"/>
      <c r="AA29" s="4"/>
      <c r="AB29" s="4"/>
      <c r="AC29" s="4"/>
      <c r="AD29" s="4"/>
      <c r="AE29" s="4"/>
      <c r="AF29" s="4"/>
      <c r="AG29" s="4"/>
      <c r="AH29" s="4"/>
      <c r="AI29" s="4"/>
      <c r="AJ29" s="97" t="str">
        <f>IF(E29="○",IF(COUNTA(E$13:E29)=1,"",",")&amp;D29,"")</f>
        <v/>
      </c>
      <c r="AK29" s="4"/>
      <c r="AL29" s="4"/>
      <c r="AM29" s="4"/>
      <c r="AN29" s="4"/>
      <c r="AO29" s="4"/>
      <c r="AP29" s="4"/>
      <c r="AQ29" s="4"/>
      <c r="AR29" s="4"/>
      <c r="AS29" s="97" t="str">
        <f>"COMMENT ON COLUMN "&amp;エンティティ一覧!$O$2&amp;"."&amp;D$8&amp;"."&amp;D29&amp;" IS '"&amp;C29&amp;"';"</f>
        <v>COMMENT ON COLUMN milscm_2023_010.azn_202310_work_text_temp.chief_complaint_f IS '主訴フラグ';</v>
      </c>
    </row>
    <row r="30" spans="1:52">
      <c r="L30" s="25"/>
      <c r="M30" s="25"/>
      <c r="N30" s="97" t="s">
        <v>142</v>
      </c>
      <c r="O30" s="97"/>
      <c r="P30" s="97"/>
      <c r="Q30" s="97"/>
      <c r="R30" s="97"/>
      <c r="S30" s="97"/>
      <c r="T30" s="97"/>
      <c r="V30" s="25"/>
      <c r="W30" s="25"/>
      <c r="X30" s="25"/>
      <c r="Y30" s="25"/>
      <c r="Z30" s="25"/>
      <c r="AJ30" s="97"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41</v>
      </c>
      <c r="E4" s="248"/>
      <c r="F4" s="248"/>
      <c r="G4" s="248"/>
      <c r="H4" s="248"/>
      <c r="I4" s="248"/>
      <c r="J4" s="249"/>
    </row>
    <row r="5" spans="1:45">
      <c r="B5" s="261" t="s">
        <v>3704</v>
      </c>
      <c r="C5" s="262"/>
      <c r="D5" s="271" t="str">
        <f>VLOOKUP(D7,エンティティ一覧!A1:'エンティティ一覧'!AM10203,7,FALSE)</f>
        <v>work</v>
      </c>
      <c r="E5" s="272"/>
      <c r="F5" s="272"/>
      <c r="G5" s="272"/>
      <c r="H5" s="272"/>
      <c r="I5" s="272"/>
      <c r="J5" s="273"/>
    </row>
    <row r="6" spans="1:45">
      <c r="B6" s="261" t="s">
        <v>3705</v>
      </c>
      <c r="C6" s="262"/>
      <c r="D6" s="271" t="str">
        <f>VLOOKUP(D7,エンティティ一覧!A1:'エンティティ一覧'!AM10203,15,FALSE)</f>
        <v>ENT_41_13</v>
      </c>
      <c r="E6" s="272"/>
      <c r="F6" s="272"/>
      <c r="G6" s="272"/>
      <c r="H6" s="272"/>
      <c r="I6" s="272"/>
      <c r="J6" s="273"/>
    </row>
    <row r="7" spans="1:45">
      <c r="B7" s="261" t="s">
        <v>115</v>
      </c>
      <c r="C7" s="262"/>
      <c r="D7" s="263" t="s">
        <v>4220</v>
      </c>
      <c r="E7" s="264"/>
      <c r="F7" s="264"/>
      <c r="G7" s="264"/>
      <c r="H7" s="264"/>
      <c r="I7" s="264"/>
      <c r="J7" s="265"/>
    </row>
    <row r="8" spans="1:45">
      <c r="B8" s="261" t="s">
        <v>116</v>
      </c>
      <c r="C8" s="262"/>
      <c r="D8" s="263" t="str">
        <f>エンティティ一覧!AE2&amp;"_"&amp;D5&amp;"_text"</f>
        <v>azn_202310_work_text</v>
      </c>
      <c r="E8" s="264"/>
      <c r="F8" s="264"/>
      <c r="G8" s="264"/>
      <c r="H8" s="264"/>
      <c r="I8" s="264"/>
      <c r="J8" s="265"/>
    </row>
    <row r="9" spans="1:45" ht="19.5" customHeight="1" thickBot="1">
      <c r="B9" s="266" t="s">
        <v>117</v>
      </c>
      <c r="C9" s="267"/>
      <c r="D9" s="268" t="s">
        <v>4221</v>
      </c>
      <c r="E9" s="269"/>
      <c r="F9" s="269"/>
      <c r="G9" s="269"/>
      <c r="H9" s="269"/>
      <c r="I9" s="269"/>
      <c r="J9" s="270"/>
    </row>
    <row r="10" spans="1:45">
      <c r="B10" s="19"/>
      <c r="C10" s="19"/>
      <c r="D10" s="5"/>
      <c r="E10" s="5"/>
      <c r="F10" s="5"/>
      <c r="G10" s="5"/>
      <c r="H10" s="5"/>
      <c r="I10" s="5"/>
      <c r="J10" s="18"/>
      <c r="N10" s="97" t="str">
        <f>"--DROP TABLE  "&amp;エンティティ一覧!$O$2&amp;"."&amp;D$8&amp;";"</f>
        <v>--DROP TABLE  milscm_2023_010.azn_202310_work_text;</v>
      </c>
      <c r="O10" s="97"/>
      <c r="P10" s="97"/>
      <c r="Q10" s="97"/>
      <c r="R10" s="97"/>
      <c r="S10" s="97"/>
      <c r="T10" s="97"/>
      <c r="AJ10" s="97" t="str">
        <f>"ALTER TABLE ONLY "&amp;エンティティ一覧!$O$2&amp;"."&amp;D$8</f>
        <v>ALTER TABLE ONLY milscm_2023_010.azn_202310_work_text</v>
      </c>
      <c r="AS10" s="97" t="str">
        <f>"ALTER TABLE "&amp;エンティティ一覧!$O$2&amp;"."&amp;D$8&amp;" OWNER TO pgmisgrp1;"</f>
        <v>ALTER TABLE milscm_2023_010.azn_202310_work_text OWNER TO pgmisgrp1;</v>
      </c>
    </row>
    <row r="11" spans="1:45" ht="19.5" thickBot="1">
      <c r="B11" s="20" t="s">
        <v>118</v>
      </c>
      <c r="C11" s="19"/>
      <c r="D11" s="5"/>
      <c r="E11" s="5"/>
      <c r="F11" s="5"/>
      <c r="G11" s="5"/>
      <c r="H11" s="5"/>
      <c r="I11" s="5"/>
      <c r="J11" s="18"/>
      <c r="N11" s="97" t="str">
        <f>"CREATE TABLE  "&amp;エンティティ一覧!$O$2&amp;"."&amp;D$8</f>
        <v>CREATE TABLE  milscm_2023_010.azn_202310_work_text</v>
      </c>
      <c r="O11" s="97"/>
      <c r="P11" s="97"/>
      <c r="Q11" s="97"/>
      <c r="R11" s="97"/>
      <c r="S11" s="97"/>
      <c r="T11" s="97"/>
      <c r="AJ11" s="97" t="str">
        <f>"ADD CONSTRAINT "&amp;D$8&amp;"_pkey PRIMARY KEY"</f>
        <v>ADD CONSTRAINT azn_202310_work_text_pkey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milscm_2023_010.azn_202310_work_text IS 'ワーク_テキスト情報';</v>
      </c>
    </row>
    <row r="13" spans="1:45" s="25" customFormat="1">
      <c r="A13" s="4"/>
      <c r="B13" s="21">
        <f>ROW()-12</f>
        <v>1</v>
      </c>
      <c r="C13" s="6" t="s">
        <v>137</v>
      </c>
      <c r="D13" s="6" t="s">
        <v>4336</v>
      </c>
      <c r="E13" s="8" t="s">
        <v>127</v>
      </c>
      <c r="F13" s="8" t="s">
        <v>3792</v>
      </c>
      <c r="G13" s="7" t="str">
        <f>IF(F13="フラグ","boolean",IF(F13="文字列","text",IF(F13="整数","integer",IF(F13="実数","numeric",""))))</f>
        <v>text</v>
      </c>
      <c r="H13" s="9"/>
      <c r="I13" s="10" t="s">
        <v>127</v>
      </c>
      <c r="J13" s="11"/>
      <c r="M13" s="4"/>
      <c r="N13" s="97"/>
      <c r="O13" s="97"/>
      <c r="P13" s="97" t="str">
        <f>IF(B13&lt;&gt;1,","&amp;D13,D13)</f>
        <v>facility_id</v>
      </c>
      <c r="Q13" s="97" t="str">
        <f t="shared" ref="Q13:Q14" si="0">UPPER(G13)</f>
        <v>TEXT</v>
      </c>
      <c r="R13" s="97" t="str">
        <f t="shared" ref="R13:R14" si="1">IF(H13&lt;&gt;"","default "&amp;IF(G13="text","'"&amp;H13&amp;"'",H13),"")</f>
        <v/>
      </c>
      <c r="S13" s="97" t="str">
        <f>IF(I13="○","NOT NULL","")</f>
        <v>NOT NULL</v>
      </c>
      <c r="T13" s="97" t="str">
        <f>"-- "&amp;C13</f>
        <v>-- 施設ID</v>
      </c>
      <c r="U13" s="4"/>
      <c r="AA13" s="4"/>
      <c r="AB13" s="4"/>
      <c r="AC13" s="4"/>
      <c r="AD13" s="4"/>
      <c r="AE13" s="4"/>
      <c r="AF13" s="4"/>
      <c r="AG13" s="4"/>
      <c r="AH13" s="4"/>
      <c r="AI13" s="4"/>
      <c r="AJ13" s="97" t="str">
        <f>IF(E13="○",IF(COUNTA(E$13:E13)=1,"",",")&amp;D13,"")</f>
        <v>facility_id</v>
      </c>
      <c r="AK13" s="4"/>
      <c r="AL13" s="4"/>
      <c r="AM13" s="4"/>
      <c r="AN13" s="4"/>
      <c r="AO13" s="4"/>
      <c r="AP13" s="4"/>
      <c r="AQ13" s="4"/>
      <c r="AR13" s="4"/>
      <c r="AS13" s="97" t="str">
        <f>"COMMENT ON COLUMN "&amp;エンティティ一覧!$O$2&amp;"."&amp;D$8&amp;"."&amp;D13&amp;" IS '"&amp;C13&amp;"';"</f>
        <v>COMMENT ON COLUMN milscm_2023_010.azn_202310_work_text.facility_id IS '施設ID';</v>
      </c>
    </row>
    <row r="14" spans="1:45" s="25" customFormat="1">
      <c r="A14" s="4"/>
      <c r="B14" s="21">
        <f t="shared" ref="B14" si="2">ROW()-12</f>
        <v>2</v>
      </c>
      <c r="C14" s="6" t="s">
        <v>4015</v>
      </c>
      <c r="D14" s="6" t="s">
        <v>4337</v>
      </c>
      <c r="E14" s="8" t="s">
        <v>127</v>
      </c>
      <c r="F14" s="7" t="s">
        <v>1819</v>
      </c>
      <c r="G14" s="7" t="str">
        <f t="shared" ref="G14" si="3">IF(F14="フラグ","boolean",IF(F14="文字列","text",IF(F14="整数","integer",IF(F14="実数","numeric",""))))</f>
        <v>text</v>
      </c>
      <c r="H14" s="26"/>
      <c r="I14" s="10" t="s">
        <v>127</v>
      </c>
      <c r="J14" s="11"/>
      <c r="M14" s="4"/>
      <c r="N14" s="97"/>
      <c r="O14" s="97"/>
      <c r="P14" s="97" t="str">
        <f t="shared" ref="P14" si="4">IF(B14&lt;&gt;1,","&amp;D14,D14)</f>
        <v>,himoduke_id</v>
      </c>
      <c r="Q14" s="97" t="str">
        <f t="shared" si="0"/>
        <v>TEXT</v>
      </c>
      <c r="R14" s="97" t="str">
        <f t="shared" si="1"/>
        <v/>
      </c>
      <c r="S14" s="97" t="str">
        <f t="shared" ref="S14" si="5">IF(I14="○","NOT NULL","")</f>
        <v>NOT NULL</v>
      </c>
      <c r="T14" s="97" t="str">
        <f t="shared" ref="T14" si="6">"-- "&amp;C14</f>
        <v>-- 紐付けID</v>
      </c>
      <c r="U14" s="4"/>
      <c r="AA14" s="4"/>
      <c r="AB14" s="4"/>
      <c r="AC14" s="4"/>
      <c r="AD14" s="4"/>
      <c r="AE14" s="4"/>
      <c r="AF14" s="4"/>
      <c r="AG14" s="4"/>
      <c r="AH14" s="4"/>
      <c r="AI14" s="4"/>
      <c r="AJ14" s="97" t="str">
        <f>IF(E14="○",IF(COUNTA(E$13:E14)=1,"",",")&amp;D14,"")</f>
        <v>,himoduke_id</v>
      </c>
      <c r="AK14" s="4"/>
      <c r="AL14" s="4"/>
      <c r="AM14" s="4"/>
      <c r="AN14" s="4"/>
      <c r="AO14" s="4"/>
      <c r="AP14" s="4"/>
      <c r="AQ14" s="4"/>
      <c r="AR14" s="4"/>
      <c r="AS14" s="97" t="str">
        <f>"COMMENT ON COLUMN "&amp;エンティティ一覧!$O$2&amp;"."&amp;D$8&amp;"."&amp;D14&amp;" IS '"&amp;C14&amp;"';"</f>
        <v>COMMENT ON COLUMN milscm_2023_010.azn_202310_work_text.himoduke_id IS '紐付けID';</v>
      </c>
    </row>
    <row r="15" spans="1:45" s="25" customFormat="1" ht="37.5">
      <c r="A15" s="4"/>
      <c r="B15" s="21">
        <f t="shared" ref="B15:B31" si="7">ROW()-12</f>
        <v>3</v>
      </c>
      <c r="C15" s="6" t="s">
        <v>4222</v>
      </c>
      <c r="D15" s="6" t="s">
        <v>4223</v>
      </c>
      <c r="E15" s="8"/>
      <c r="F15" s="7" t="s">
        <v>1819</v>
      </c>
      <c r="G15" s="7" t="str">
        <f t="shared" ref="G15:G29" si="8">IF(F15="フラグ","boolean",IF(F15="文字列","text",IF(F15="整数","integer",IF(F15="実数","numeric",""))))</f>
        <v>text</v>
      </c>
      <c r="H15" s="26"/>
      <c r="I15" s="10" t="s">
        <v>127</v>
      </c>
      <c r="J15" s="11" t="s">
        <v>4340</v>
      </c>
      <c r="M15" s="4"/>
      <c r="N15" s="97"/>
      <c r="O15" s="97"/>
      <c r="P15" s="97" t="str">
        <f t="shared" ref="P15:P29" si="9">IF(B15&lt;&gt;1,","&amp;D15,D15)</f>
        <v>,link_no</v>
      </c>
      <c r="Q15" s="97" t="str">
        <f t="shared" ref="Q15:Q29" si="10">UPPER(G15)</f>
        <v>TEXT</v>
      </c>
      <c r="R15" s="97" t="str">
        <f t="shared" ref="R15:R29" si="11">IF(H15&lt;&gt;"","default "&amp;IF(G15="text","'"&amp;H15&amp;"'",H15),"")</f>
        <v/>
      </c>
      <c r="S15" s="97" t="str">
        <f t="shared" ref="S15:S29" si="12">IF(I15="○","NOT NULL","")</f>
        <v>NOT NULL</v>
      </c>
      <c r="T15" s="97" t="str">
        <f t="shared" ref="T15:T29" si="13">"-- "&amp;C15</f>
        <v>-- テキスト連結番号</v>
      </c>
      <c r="U15" s="4"/>
      <c r="AA15" s="4"/>
      <c r="AB15" s="4"/>
      <c r="AC15" s="4"/>
      <c r="AD15" s="4"/>
      <c r="AE15" s="4"/>
      <c r="AF15" s="4"/>
      <c r="AG15" s="4"/>
      <c r="AH15" s="4"/>
      <c r="AI15" s="4"/>
      <c r="AJ15" s="97" t="str">
        <f>IF(E15="○",IF(COUNTA(E$13:E15)=1,"",",")&amp;D15,"")</f>
        <v/>
      </c>
      <c r="AK15" s="4"/>
      <c r="AL15" s="4"/>
      <c r="AM15" s="4"/>
      <c r="AN15" s="4"/>
      <c r="AO15" s="4"/>
      <c r="AP15" s="4"/>
      <c r="AQ15" s="4"/>
      <c r="AR15" s="4"/>
      <c r="AS15" s="97" t="str">
        <f>"COMMENT ON COLUMN "&amp;エンティティ一覧!$O$2&amp;"."&amp;D$8&amp;"."&amp;D15&amp;" IS '"&amp;C15&amp;"';"</f>
        <v>COMMENT ON COLUMN milscm_2023_010.azn_202310_work_text.link_no IS 'テキスト連結番号';</v>
      </c>
    </row>
    <row r="16" spans="1:45" s="25" customFormat="1">
      <c r="A16" s="4"/>
      <c r="B16" s="21">
        <f t="shared" si="7"/>
        <v>4</v>
      </c>
      <c r="C16" s="6" t="s">
        <v>1245</v>
      </c>
      <c r="D16" s="6" t="s">
        <v>1246</v>
      </c>
      <c r="E16" s="8" t="s">
        <v>127</v>
      </c>
      <c r="F16" s="7" t="s">
        <v>863</v>
      </c>
      <c r="G16" s="7" t="str">
        <f t="shared" si="8"/>
        <v>text</v>
      </c>
      <c r="H16" s="26"/>
      <c r="I16" s="10" t="s">
        <v>127</v>
      </c>
      <c r="J16" s="117"/>
      <c r="M16" s="4"/>
      <c r="N16" s="97"/>
      <c r="O16" s="97"/>
      <c r="P16" s="97" t="str">
        <f t="shared" si="9"/>
        <v>,uid</v>
      </c>
      <c r="Q16" s="97" t="str">
        <f t="shared" si="10"/>
        <v>TEXT</v>
      </c>
      <c r="R16" s="97" t="str">
        <f t="shared" si="11"/>
        <v/>
      </c>
      <c r="S16" s="97" t="str">
        <f t="shared" si="12"/>
        <v>NOT NULL</v>
      </c>
      <c r="T16" s="97" t="str">
        <f t="shared" si="13"/>
        <v>-- 文書ユニークID</v>
      </c>
      <c r="U16" s="4"/>
      <c r="AA16" s="4"/>
      <c r="AB16" s="4"/>
      <c r="AC16" s="4"/>
      <c r="AD16" s="4"/>
      <c r="AE16" s="4"/>
      <c r="AF16" s="4"/>
      <c r="AG16" s="4"/>
      <c r="AH16" s="4"/>
      <c r="AI16" s="4"/>
      <c r="AJ16" s="97" t="str">
        <f>IF(E16="○",IF(COUNTA(E$13:E16)=1,"",",")&amp;D16,"")</f>
        <v>,uid</v>
      </c>
      <c r="AK16" s="4"/>
      <c r="AL16" s="4"/>
      <c r="AM16" s="4"/>
      <c r="AN16" s="4"/>
      <c r="AO16" s="4"/>
      <c r="AP16" s="4"/>
      <c r="AQ16" s="4"/>
      <c r="AR16" s="4"/>
      <c r="AS16" s="97" t="str">
        <f>"COMMENT ON COLUMN "&amp;エンティティ一覧!$O$2&amp;"."&amp;D$8&amp;"."&amp;D16&amp;" IS '"&amp;C16&amp;"';"</f>
        <v>COMMENT ON COLUMN milscm_2023_010.azn_202310_work_text.uid IS '文書ユニークID';</v>
      </c>
    </row>
    <row r="17" spans="1:52" s="25" customFormat="1">
      <c r="A17" s="4"/>
      <c r="B17" s="21">
        <f t="shared" si="7"/>
        <v>5</v>
      </c>
      <c r="C17" s="6" t="s">
        <v>4199</v>
      </c>
      <c r="D17" s="6" t="s">
        <v>4207</v>
      </c>
      <c r="E17" s="8" t="s">
        <v>127</v>
      </c>
      <c r="F17" s="7" t="s">
        <v>203</v>
      </c>
      <c r="G17" s="7" t="str">
        <f t="shared" si="8"/>
        <v>integer</v>
      </c>
      <c r="H17" s="26"/>
      <c r="I17" s="10" t="s">
        <v>127</v>
      </c>
      <c r="J17" s="117"/>
      <c r="M17" s="4"/>
      <c r="N17" s="97"/>
      <c r="O17" s="97"/>
      <c r="P17" s="97" t="str">
        <f t="shared" si="9"/>
        <v>,module_seq</v>
      </c>
      <c r="Q17" s="97" t="str">
        <f t="shared" si="10"/>
        <v>INTEGER</v>
      </c>
      <c r="R17" s="97" t="str">
        <f t="shared" si="11"/>
        <v/>
      </c>
      <c r="S17" s="97" t="str">
        <f t="shared" si="12"/>
        <v>NOT NULL</v>
      </c>
      <c r="T17" s="97" t="str">
        <f t="shared" si="13"/>
        <v>-- モジュールSEQ</v>
      </c>
      <c r="U17" s="4"/>
      <c r="AA17" s="4"/>
      <c r="AB17" s="4"/>
      <c r="AC17" s="4"/>
      <c r="AD17" s="4"/>
      <c r="AE17" s="4"/>
      <c r="AF17" s="4"/>
      <c r="AG17" s="4"/>
      <c r="AH17" s="4"/>
      <c r="AI17" s="4"/>
      <c r="AJ17" s="97" t="str">
        <f>IF(E17="○",IF(COUNTA(E$13:E17)=1,"",",")&amp;D17,"")</f>
        <v>,module_seq</v>
      </c>
      <c r="AK17" s="4"/>
      <c r="AL17" s="4"/>
      <c r="AM17" s="4"/>
      <c r="AN17" s="4"/>
      <c r="AO17" s="4"/>
      <c r="AP17" s="4"/>
      <c r="AQ17" s="4"/>
      <c r="AR17" s="4"/>
      <c r="AS17" s="97" t="str">
        <f>"COMMENT ON COLUMN "&amp;エンティティ一覧!$O$2&amp;"."&amp;D$8&amp;"."&amp;D17&amp;" IS '"&amp;C17&amp;"';"</f>
        <v>COMMENT ON COLUMN milscm_2023_010.azn_202310_work_text.module_seq IS 'モジュールSEQ';</v>
      </c>
    </row>
    <row r="18" spans="1:52" s="25" customFormat="1">
      <c r="A18" s="4"/>
      <c r="B18" s="21">
        <f t="shared" si="7"/>
        <v>6</v>
      </c>
      <c r="C18" s="6" t="s">
        <v>1350</v>
      </c>
      <c r="D18" s="6" t="s">
        <v>1351</v>
      </c>
      <c r="E18" s="8" t="s">
        <v>127</v>
      </c>
      <c r="F18" s="7" t="s">
        <v>203</v>
      </c>
      <c r="G18" s="7" t="str">
        <f t="shared" si="8"/>
        <v>integer</v>
      </c>
      <c r="H18" s="26"/>
      <c r="I18" s="10" t="s">
        <v>127</v>
      </c>
      <c r="J18" s="117"/>
      <c r="M18" s="4"/>
      <c r="N18" s="97"/>
      <c r="O18" s="97"/>
      <c r="P18" s="97" t="str">
        <f t="shared" si="9"/>
        <v>,problem_seq</v>
      </c>
      <c r="Q18" s="97" t="str">
        <f t="shared" si="10"/>
        <v>INTEGER</v>
      </c>
      <c r="R18" s="97" t="str">
        <f t="shared" si="11"/>
        <v/>
      </c>
      <c r="S18" s="97" t="str">
        <f t="shared" si="12"/>
        <v>NOT NULL</v>
      </c>
      <c r="T18" s="97" t="str">
        <f t="shared" si="13"/>
        <v>-- プロブレムSEQ</v>
      </c>
      <c r="U18" s="4"/>
      <c r="AA18" s="4"/>
      <c r="AB18" s="4"/>
      <c r="AC18" s="4"/>
      <c r="AD18" s="4"/>
      <c r="AE18" s="4"/>
      <c r="AF18" s="4"/>
      <c r="AG18" s="4"/>
      <c r="AH18" s="4"/>
      <c r="AI18" s="4"/>
      <c r="AJ18" s="97" t="str">
        <f>IF(E18="○",IF(COUNTA(E$13:E18)=1,"",",")&amp;D18,"")</f>
        <v>,problem_seq</v>
      </c>
      <c r="AK18" s="4"/>
      <c r="AL18" s="4"/>
      <c r="AM18" s="4"/>
      <c r="AN18" s="4"/>
      <c r="AO18" s="4"/>
      <c r="AP18" s="4"/>
      <c r="AQ18" s="4"/>
      <c r="AR18" s="4"/>
      <c r="AS18" s="97" t="str">
        <f>"COMMENT ON COLUMN "&amp;エンティティ一覧!$O$2&amp;"."&amp;D$8&amp;"."&amp;D18&amp;" IS '"&amp;C18&amp;"';"</f>
        <v>COMMENT ON COLUMN milscm_2023_010.azn_202310_work_text.problem_seq IS 'プロブレムSEQ';</v>
      </c>
    </row>
    <row r="19" spans="1:52" s="25" customFormat="1">
      <c r="A19" s="4"/>
      <c r="B19" s="21">
        <f t="shared" si="7"/>
        <v>7</v>
      </c>
      <c r="C19" s="6" t="s">
        <v>1402</v>
      </c>
      <c r="D19" s="6" t="s">
        <v>1403</v>
      </c>
      <c r="E19" s="8" t="s">
        <v>127</v>
      </c>
      <c r="F19" s="7" t="s">
        <v>203</v>
      </c>
      <c r="G19" s="7" t="str">
        <f t="shared" si="8"/>
        <v>integer</v>
      </c>
      <c r="H19" s="26"/>
      <c r="I19" s="10" t="s">
        <v>127</v>
      </c>
      <c r="J19" s="117"/>
      <c r="M19" s="4"/>
      <c r="N19" s="97"/>
      <c r="O19" s="97"/>
      <c r="P19" s="97" t="str">
        <f t="shared" si="9"/>
        <v>,assessment_item_seq</v>
      </c>
      <c r="Q19" s="97" t="str">
        <f t="shared" si="10"/>
        <v>INTEGER</v>
      </c>
      <c r="R19" s="97" t="str">
        <f t="shared" si="11"/>
        <v/>
      </c>
      <c r="S19" s="97" t="str">
        <f t="shared" si="12"/>
        <v>NOT NULL</v>
      </c>
      <c r="T19" s="97" t="str">
        <f t="shared" si="13"/>
        <v>-- アセスメントSEQ</v>
      </c>
      <c r="U19" s="4"/>
      <c r="AA19" s="4"/>
      <c r="AB19" s="4"/>
      <c r="AC19" s="4"/>
      <c r="AD19" s="4"/>
      <c r="AE19" s="4"/>
      <c r="AF19" s="4"/>
      <c r="AG19" s="4"/>
      <c r="AH19" s="4"/>
      <c r="AI19" s="4"/>
      <c r="AJ19" s="97" t="str">
        <f>IF(E19="○",IF(COUNTA(E$13:E19)=1,"",",")&amp;D19,"")</f>
        <v>,assessment_item_seq</v>
      </c>
      <c r="AK19" s="4"/>
      <c r="AL19" s="4"/>
      <c r="AM19" s="4"/>
      <c r="AN19" s="4"/>
      <c r="AO19" s="4"/>
      <c r="AP19" s="4"/>
      <c r="AQ19" s="4"/>
      <c r="AR19" s="4"/>
      <c r="AS19" s="97" t="str">
        <f>"COMMENT ON COLUMN "&amp;エンティティ一覧!$O$2&amp;"."&amp;D$8&amp;"."&amp;D19&amp;" IS '"&amp;C19&amp;"';"</f>
        <v>COMMENT ON COLUMN milscm_2023_010.azn_202310_work_text.assessment_item_seq IS 'アセスメントSEQ';</v>
      </c>
    </row>
    <row r="20" spans="1:52" s="25" customFormat="1">
      <c r="A20" s="4"/>
      <c r="B20" s="21">
        <f t="shared" si="7"/>
        <v>8</v>
      </c>
      <c r="C20" s="6" t="s">
        <v>1412</v>
      </c>
      <c r="D20" s="6" t="s">
        <v>1413</v>
      </c>
      <c r="E20" s="8" t="s">
        <v>127</v>
      </c>
      <c r="F20" s="7" t="s">
        <v>203</v>
      </c>
      <c r="G20" s="7" t="str">
        <f t="shared" si="8"/>
        <v>integer</v>
      </c>
      <c r="H20" s="26"/>
      <c r="I20" s="10" t="s">
        <v>127</v>
      </c>
      <c r="J20" s="117"/>
      <c r="M20" s="4"/>
      <c r="N20" s="97"/>
      <c r="O20" s="97"/>
      <c r="P20" s="97" t="str">
        <f t="shared" si="9"/>
        <v>,gaibu_sansyo_seq</v>
      </c>
      <c r="Q20" s="97" t="str">
        <f t="shared" si="10"/>
        <v>INTEGER</v>
      </c>
      <c r="R20" s="97" t="str">
        <f t="shared" si="11"/>
        <v/>
      </c>
      <c r="S20" s="97" t="str">
        <f t="shared" si="12"/>
        <v>NOT NULL</v>
      </c>
      <c r="T20" s="97" t="str">
        <f t="shared" si="13"/>
        <v>-- 外部参照SEQ</v>
      </c>
      <c r="U20" s="4"/>
      <c r="AA20" s="4"/>
      <c r="AB20" s="4"/>
      <c r="AC20" s="4"/>
      <c r="AD20" s="4"/>
      <c r="AE20" s="4"/>
      <c r="AF20" s="4"/>
      <c r="AG20" s="4"/>
      <c r="AH20" s="4"/>
      <c r="AI20" s="4"/>
      <c r="AJ20" s="97" t="str">
        <f>IF(E20="○",IF(COUNTA(E$13:E20)=1,"",",")&amp;D20,"")</f>
        <v>,gaibu_sansyo_seq</v>
      </c>
      <c r="AK20" s="4"/>
      <c r="AL20" s="4"/>
      <c r="AM20" s="4"/>
      <c r="AN20" s="4"/>
      <c r="AO20" s="4"/>
      <c r="AP20" s="4"/>
      <c r="AQ20" s="4"/>
      <c r="AR20" s="4"/>
      <c r="AS20" s="97" t="str">
        <f>"COMMENT ON COLUMN "&amp;エンティティ一覧!$O$2&amp;"."&amp;D$8&amp;"."&amp;D20&amp;" IS '"&amp;C20&amp;"';"</f>
        <v>COMMENT ON COLUMN milscm_2023_010.azn_202310_work_text.gaibu_sansyo_seq IS '外部参照SEQ';</v>
      </c>
    </row>
    <row r="21" spans="1:52" s="25" customFormat="1">
      <c r="A21" s="4"/>
      <c r="B21" s="21">
        <f t="shared" si="7"/>
        <v>9</v>
      </c>
      <c r="C21" s="6" t="s">
        <v>1342</v>
      </c>
      <c r="D21" s="6" t="s">
        <v>1343</v>
      </c>
      <c r="E21" s="8" t="s">
        <v>127</v>
      </c>
      <c r="F21" s="7" t="s">
        <v>203</v>
      </c>
      <c r="G21" s="7" t="str">
        <f t="shared" si="8"/>
        <v>integer</v>
      </c>
      <c r="H21" s="26"/>
      <c r="I21" s="10" t="s">
        <v>127</v>
      </c>
      <c r="J21" s="117"/>
      <c r="M21" s="4"/>
      <c r="N21" s="97"/>
      <c r="O21" s="97"/>
      <c r="P21" s="97" t="str">
        <f t="shared" si="9"/>
        <v>,keika_seq</v>
      </c>
      <c r="Q21" s="97" t="str">
        <f t="shared" si="10"/>
        <v>INTEGER</v>
      </c>
      <c r="R21" s="97" t="str">
        <f t="shared" si="11"/>
        <v/>
      </c>
      <c r="S21" s="97" t="str">
        <f t="shared" si="12"/>
        <v>NOT NULL</v>
      </c>
      <c r="T21" s="97" t="str">
        <f t="shared" si="13"/>
        <v>-- 経過記録SEQ</v>
      </c>
      <c r="U21" s="4"/>
      <c r="AA21" s="4"/>
      <c r="AB21" s="4"/>
      <c r="AC21" s="4"/>
      <c r="AD21" s="4"/>
      <c r="AE21" s="4"/>
      <c r="AF21" s="4"/>
      <c r="AG21" s="4"/>
      <c r="AH21" s="4"/>
      <c r="AI21" s="4"/>
      <c r="AJ21" s="97" t="str">
        <f>IF(E21="○",IF(COUNTA(E$13:E21)=1,"",",")&amp;D21,"")</f>
        <v>,keika_seq</v>
      </c>
      <c r="AK21" s="4"/>
      <c r="AL21" s="4"/>
      <c r="AM21" s="4"/>
      <c r="AN21" s="4"/>
      <c r="AO21" s="4"/>
      <c r="AP21" s="4"/>
      <c r="AQ21" s="4"/>
      <c r="AR21" s="4"/>
      <c r="AS21" s="97" t="str">
        <f>"COMMENT ON COLUMN "&amp;エンティティ一覧!$O$2&amp;"."&amp;D$8&amp;"."&amp;D21&amp;" IS '"&amp;C21&amp;"';"</f>
        <v>COMMENT ON COLUMN milscm_2023_010.azn_202310_work_text.keika_seq IS '経過記録SEQ';</v>
      </c>
    </row>
    <row r="22" spans="1:52" s="25" customFormat="1">
      <c r="A22" s="4"/>
      <c r="B22" s="21">
        <f t="shared" si="7"/>
        <v>10</v>
      </c>
      <c r="C22" s="6" t="s">
        <v>4224</v>
      </c>
      <c r="D22" s="6" t="s">
        <v>4208</v>
      </c>
      <c r="E22" s="8"/>
      <c r="F22" s="7" t="s">
        <v>1778</v>
      </c>
      <c r="G22" s="7" t="str">
        <f t="shared" si="8"/>
        <v>text</v>
      </c>
      <c r="H22" s="26"/>
      <c r="I22" s="10" t="s">
        <v>127</v>
      </c>
      <c r="J22" s="117"/>
      <c r="M22" s="4"/>
      <c r="N22" s="97"/>
      <c r="O22" s="97"/>
      <c r="P22" s="97" t="str">
        <f t="shared" si="9"/>
        <v>,source_module</v>
      </c>
      <c r="Q22" s="97" t="str">
        <f t="shared" si="10"/>
        <v>TEXT</v>
      </c>
      <c r="R22" s="97" t="str">
        <f t="shared" si="11"/>
        <v/>
      </c>
      <c r="S22" s="97" t="str">
        <f t="shared" si="12"/>
        <v>NOT NULL</v>
      </c>
      <c r="T22" s="97" t="str">
        <f t="shared" si="13"/>
        <v>-- モジュール名</v>
      </c>
      <c r="U22" s="4"/>
      <c r="AA22" s="4"/>
      <c r="AB22" s="4"/>
      <c r="AC22" s="4"/>
      <c r="AD22" s="4"/>
      <c r="AE22" s="4"/>
      <c r="AF22" s="4"/>
      <c r="AG22" s="4"/>
      <c r="AH22" s="4"/>
      <c r="AI22" s="4"/>
      <c r="AJ22" s="97" t="str">
        <f>IF(E22="○",IF(COUNTA(E$13:E22)=1,"",",")&amp;D22,"")</f>
        <v/>
      </c>
      <c r="AK22" s="4"/>
      <c r="AL22" s="4"/>
      <c r="AM22" s="4"/>
      <c r="AN22" s="4"/>
      <c r="AO22" s="4"/>
      <c r="AP22" s="4"/>
      <c r="AQ22" s="4"/>
      <c r="AR22" s="4"/>
      <c r="AS22" s="97" t="str">
        <f>"COMMENT ON COLUMN "&amp;エンティティ一覧!$O$2&amp;"."&amp;D$8&amp;"."&amp;D22&amp;" IS '"&amp;C22&amp;"';"</f>
        <v>COMMENT ON COLUMN milscm_2023_010.azn_202310_work_text.source_module IS 'モジュール名';</v>
      </c>
    </row>
    <row r="23" spans="1:52" s="25" customFormat="1">
      <c r="A23" s="4"/>
      <c r="B23" s="21">
        <f t="shared" si="7"/>
        <v>11</v>
      </c>
      <c r="C23" s="6" t="s">
        <v>4225</v>
      </c>
      <c r="D23" s="6" t="s">
        <v>4209</v>
      </c>
      <c r="E23" s="8"/>
      <c r="F23" s="7" t="s">
        <v>1778</v>
      </c>
      <c r="G23" s="7" t="str">
        <f t="shared" si="8"/>
        <v>text</v>
      </c>
      <c r="H23" s="26"/>
      <c r="I23" s="10" t="s">
        <v>127</v>
      </c>
      <c r="J23" s="117"/>
      <c r="M23" s="4"/>
      <c r="N23" s="97"/>
      <c r="O23" s="97"/>
      <c r="P23" s="97" t="str">
        <f t="shared" si="9"/>
        <v>,source_table</v>
      </c>
      <c r="Q23" s="97" t="str">
        <f t="shared" si="10"/>
        <v>TEXT</v>
      </c>
      <c r="R23" s="97" t="str">
        <f t="shared" si="11"/>
        <v/>
      </c>
      <c r="S23" s="97" t="str">
        <f t="shared" si="12"/>
        <v>NOT NULL</v>
      </c>
      <c r="T23" s="97" t="str">
        <f t="shared" si="13"/>
        <v>-- 取得元テーブル名</v>
      </c>
      <c r="U23" s="4"/>
      <c r="AA23" s="4"/>
      <c r="AB23" s="4"/>
      <c r="AC23" s="4"/>
      <c r="AD23" s="4"/>
      <c r="AE23" s="4"/>
      <c r="AF23" s="4"/>
      <c r="AG23" s="4"/>
      <c r="AH23" s="4"/>
      <c r="AI23" s="4"/>
      <c r="AJ23" s="97" t="str">
        <f>IF(E23="○",IF(COUNTA(E$13:E23)=1,"",",")&amp;D23,"")</f>
        <v/>
      </c>
      <c r="AK23" s="4"/>
      <c r="AL23" s="4"/>
      <c r="AM23" s="4"/>
      <c r="AN23" s="4"/>
      <c r="AO23" s="4"/>
      <c r="AP23" s="4"/>
      <c r="AQ23" s="4"/>
      <c r="AR23" s="4"/>
      <c r="AS23" s="97" t="str">
        <f>"COMMENT ON COLUMN "&amp;エンティティ一覧!$O$2&amp;"."&amp;D$8&amp;"."&amp;D23&amp;" IS '"&amp;C23&amp;"';"</f>
        <v>COMMENT ON COLUMN milscm_2023_010.azn_202310_work_text.source_table IS '取得元テーブル名';</v>
      </c>
    </row>
    <row r="24" spans="1:52" s="25" customFormat="1">
      <c r="A24" s="4"/>
      <c r="B24" s="21">
        <f t="shared" si="7"/>
        <v>12</v>
      </c>
      <c r="C24" s="6" t="s">
        <v>4226</v>
      </c>
      <c r="D24" s="6" t="s">
        <v>4210</v>
      </c>
      <c r="E24" s="8" t="s">
        <v>127</v>
      </c>
      <c r="F24" s="7" t="s">
        <v>1778</v>
      </c>
      <c r="G24" s="7" t="str">
        <f t="shared" si="8"/>
        <v>text</v>
      </c>
      <c r="H24" s="26"/>
      <c r="I24" s="10" t="s">
        <v>127</v>
      </c>
      <c r="J24" s="117"/>
      <c r="M24" s="4"/>
      <c r="N24" s="97"/>
      <c r="O24" s="97"/>
      <c r="P24" s="97" t="str">
        <f t="shared" si="9"/>
        <v>,source_column</v>
      </c>
      <c r="Q24" s="97" t="str">
        <f t="shared" si="10"/>
        <v>TEXT</v>
      </c>
      <c r="R24" s="97" t="str">
        <f t="shared" si="11"/>
        <v/>
      </c>
      <c r="S24" s="97" t="str">
        <f t="shared" si="12"/>
        <v>NOT NULL</v>
      </c>
      <c r="T24" s="97" t="str">
        <f t="shared" si="13"/>
        <v>-- 取得元カラム名</v>
      </c>
      <c r="U24" s="4"/>
      <c r="AA24" s="4"/>
      <c r="AB24" s="4"/>
      <c r="AC24" s="4"/>
      <c r="AD24" s="4"/>
      <c r="AE24" s="4"/>
      <c r="AF24" s="4"/>
      <c r="AG24" s="4"/>
      <c r="AH24" s="4"/>
      <c r="AI24" s="4"/>
      <c r="AJ24" s="97" t="str">
        <f>IF(E24="○",IF(COUNTA(E$13:E24)=1,"",",")&amp;D24,"")</f>
        <v>,source_column</v>
      </c>
      <c r="AK24" s="4"/>
      <c r="AL24" s="4"/>
      <c r="AM24" s="4"/>
      <c r="AN24" s="4"/>
      <c r="AO24" s="4"/>
      <c r="AP24" s="4"/>
      <c r="AQ24" s="4"/>
      <c r="AR24" s="4"/>
      <c r="AS24" s="97" t="str">
        <f>"COMMENT ON COLUMN "&amp;エンティティ一覧!$O$2&amp;"."&amp;D$8&amp;"."&amp;D24&amp;" IS '"&amp;C24&amp;"';"</f>
        <v>COMMENT ON COLUMN milscm_2023_010.azn_202310_work_text.source_column IS '取得元カラム名';</v>
      </c>
    </row>
    <row r="25" spans="1:52" s="25" customFormat="1">
      <c r="A25" s="4"/>
      <c r="B25" s="21">
        <f t="shared" si="7"/>
        <v>13</v>
      </c>
      <c r="C25" s="6" t="s">
        <v>4227</v>
      </c>
      <c r="D25" s="6" t="s">
        <v>4339</v>
      </c>
      <c r="E25" s="8"/>
      <c r="F25" s="7" t="s">
        <v>1778</v>
      </c>
      <c r="G25" s="7" t="str">
        <f t="shared" si="8"/>
        <v>text</v>
      </c>
      <c r="H25" s="26"/>
      <c r="I25" s="10" t="s">
        <v>127</v>
      </c>
      <c r="J25" s="117"/>
      <c r="M25" s="4"/>
      <c r="N25" s="97"/>
      <c r="O25" s="97"/>
      <c r="P25" s="97" t="str">
        <f t="shared" si="9"/>
        <v>,comfirm_date</v>
      </c>
      <c r="Q25" s="97" t="str">
        <f t="shared" si="10"/>
        <v>TEXT</v>
      </c>
      <c r="R25" s="97" t="str">
        <f t="shared" si="11"/>
        <v/>
      </c>
      <c r="S25" s="97" t="str">
        <f t="shared" si="12"/>
        <v>NOT NULL</v>
      </c>
      <c r="T25" s="97" t="str">
        <f t="shared" si="13"/>
        <v>-- 記載確定日</v>
      </c>
      <c r="U25" s="4"/>
      <c r="AA25" s="4"/>
      <c r="AB25" s="4"/>
      <c r="AC25" s="4"/>
      <c r="AD25" s="4"/>
      <c r="AE25" s="4"/>
      <c r="AF25" s="4"/>
      <c r="AG25" s="4"/>
      <c r="AH25" s="4"/>
      <c r="AI25" s="4"/>
      <c r="AJ25" s="97" t="str">
        <f>IF(E25="○",IF(COUNTA(E$13:E25)=1,"",",")&amp;D25,"")</f>
        <v/>
      </c>
      <c r="AK25" s="4"/>
      <c r="AL25" s="4"/>
      <c r="AM25" s="4"/>
      <c r="AN25" s="4"/>
      <c r="AO25" s="4"/>
      <c r="AP25" s="4"/>
      <c r="AQ25" s="4"/>
      <c r="AR25" s="4"/>
      <c r="AS25" s="97" t="str">
        <f>"COMMENT ON COLUMN "&amp;エンティティ一覧!$O$2&amp;"."&amp;D$8&amp;"."&amp;D25&amp;" IS '"&amp;C25&amp;"';"</f>
        <v>COMMENT ON COLUMN milscm_2023_010.azn_202310_work_text.comfirm_date IS '記載確定日';</v>
      </c>
    </row>
    <row r="26" spans="1:52" s="25" customFormat="1">
      <c r="A26" s="4"/>
      <c r="B26" s="21">
        <f t="shared" si="7"/>
        <v>14</v>
      </c>
      <c r="C26" s="6" t="s">
        <v>4228</v>
      </c>
      <c r="D26" s="6" t="s">
        <v>1521</v>
      </c>
      <c r="E26" s="8"/>
      <c r="F26" s="7" t="s">
        <v>1778</v>
      </c>
      <c r="G26" s="7" t="str">
        <f t="shared" si="8"/>
        <v>text</v>
      </c>
      <c r="H26" s="26"/>
      <c r="I26" s="10"/>
      <c r="J26" s="117"/>
      <c r="M26" s="4"/>
      <c r="N26" s="97"/>
      <c r="O26" s="97"/>
      <c r="P26" s="97" t="str">
        <f t="shared" si="9"/>
        <v>,event_date</v>
      </c>
      <c r="Q26" s="97" t="str">
        <f t="shared" si="10"/>
        <v>TEXT</v>
      </c>
      <c r="R26" s="97" t="str">
        <f t="shared" si="11"/>
        <v/>
      </c>
      <c r="S26" s="97" t="str">
        <f t="shared" si="12"/>
        <v/>
      </c>
      <c r="T26" s="97" t="str">
        <f t="shared" si="13"/>
        <v>-- イベント発生日時</v>
      </c>
      <c r="U26" s="4"/>
      <c r="AA26" s="4"/>
      <c r="AB26" s="4"/>
      <c r="AC26" s="4"/>
      <c r="AD26" s="4"/>
      <c r="AE26" s="4"/>
      <c r="AF26" s="4"/>
      <c r="AG26" s="4"/>
      <c r="AH26" s="4"/>
      <c r="AI26" s="4"/>
      <c r="AJ26" s="97" t="str">
        <f>IF(E26="○",IF(COUNTA(E$13:E26)=1,"",",")&amp;D26,"")</f>
        <v/>
      </c>
      <c r="AK26" s="4"/>
      <c r="AL26" s="4"/>
      <c r="AM26" s="4"/>
      <c r="AN26" s="4"/>
      <c r="AO26" s="4"/>
      <c r="AP26" s="4"/>
      <c r="AQ26" s="4"/>
      <c r="AR26" s="4"/>
      <c r="AS26" s="97" t="str">
        <f>"COMMENT ON COLUMN "&amp;エンティティ一覧!$O$2&amp;"."&amp;D$8&amp;"."&amp;D26&amp;" IS '"&amp;C26&amp;"';"</f>
        <v>COMMENT ON COLUMN milscm_2023_010.azn_202310_work_text.event_date IS 'イベント発生日時';</v>
      </c>
    </row>
    <row r="27" spans="1:52" s="25" customFormat="1">
      <c r="A27" s="4"/>
      <c r="B27" s="21">
        <f t="shared" si="7"/>
        <v>15</v>
      </c>
      <c r="C27" s="6" t="s">
        <v>4229</v>
      </c>
      <c r="D27" s="6" t="s">
        <v>1436</v>
      </c>
      <c r="E27" s="8"/>
      <c r="F27" s="7" t="s">
        <v>1778</v>
      </c>
      <c r="G27" s="7" t="str">
        <f t="shared" si="8"/>
        <v>text</v>
      </c>
      <c r="H27" s="26"/>
      <c r="I27" s="10"/>
      <c r="J27" s="117"/>
      <c r="M27" s="4"/>
      <c r="N27" s="97"/>
      <c r="O27" s="97"/>
      <c r="P27" s="97" t="str">
        <f t="shared" si="9"/>
        <v>,history_start_ymd</v>
      </c>
      <c r="Q27" s="97" t="str">
        <f t="shared" si="10"/>
        <v>TEXT</v>
      </c>
      <c r="R27" s="97" t="str">
        <f t="shared" si="11"/>
        <v/>
      </c>
      <c r="S27" s="97" t="str">
        <f t="shared" si="12"/>
        <v/>
      </c>
      <c r="T27" s="97" t="str">
        <f t="shared" si="13"/>
        <v>-- サマリ対象期間の開始日</v>
      </c>
      <c r="U27" s="4"/>
      <c r="AA27" s="4"/>
      <c r="AB27" s="4"/>
      <c r="AC27" s="4"/>
      <c r="AD27" s="4"/>
      <c r="AE27" s="4"/>
      <c r="AF27" s="4"/>
      <c r="AG27" s="4"/>
      <c r="AH27" s="4"/>
      <c r="AI27" s="4"/>
      <c r="AJ27" s="97" t="str">
        <f>IF(E27="○",IF(COUNTA(E$13:E27)=1,"",",")&amp;D27,"")</f>
        <v/>
      </c>
      <c r="AK27" s="4"/>
      <c r="AL27" s="4"/>
      <c r="AM27" s="4"/>
      <c r="AN27" s="4"/>
      <c r="AO27" s="4"/>
      <c r="AP27" s="4"/>
      <c r="AQ27" s="4"/>
      <c r="AR27" s="4"/>
      <c r="AS27" s="97" t="str">
        <f>"COMMENT ON COLUMN "&amp;エンティティ一覧!$O$2&amp;"."&amp;D$8&amp;"."&amp;D27&amp;" IS '"&amp;C27&amp;"';"</f>
        <v>COMMENT ON COLUMN milscm_2023_010.azn_202310_work_text.history_start_ymd IS 'サマリ対象期間の開始日';</v>
      </c>
    </row>
    <row r="28" spans="1:52" s="25" customFormat="1">
      <c r="A28" s="4"/>
      <c r="B28" s="21">
        <f t="shared" si="7"/>
        <v>16</v>
      </c>
      <c r="C28" s="6" t="s">
        <v>4230</v>
      </c>
      <c r="D28" s="6" t="s">
        <v>1438</v>
      </c>
      <c r="E28" s="8"/>
      <c r="F28" s="7" t="s">
        <v>1778</v>
      </c>
      <c r="G28" s="7" t="str">
        <f t="shared" ref="G28" si="14">IF(F28="フラグ","boolean",IF(F28="文字列","text",IF(F28="整数","integer",IF(F28="実数","numeric",""))))</f>
        <v>text</v>
      </c>
      <c r="H28" s="26"/>
      <c r="I28" s="10"/>
      <c r="J28" s="11"/>
      <c r="M28" s="4"/>
      <c r="N28" s="97"/>
      <c r="O28" s="97"/>
      <c r="P28" s="97" t="str">
        <f t="shared" ref="P28" si="15">IF(B28&lt;&gt;1,","&amp;D28,D28)</f>
        <v>,history_end_ymd</v>
      </c>
      <c r="Q28" s="97" t="str">
        <f t="shared" ref="Q28" si="16">UPPER(G28)</f>
        <v>TEXT</v>
      </c>
      <c r="R28" s="97" t="str">
        <f t="shared" ref="R28" si="17">IF(H28&lt;&gt;"","default "&amp;IF(G28="text","'"&amp;H28&amp;"'",H28),"")</f>
        <v/>
      </c>
      <c r="S28" s="97" t="str">
        <f t="shared" ref="S28" si="18">IF(I28="○","NOT NULL","")</f>
        <v/>
      </c>
      <c r="T28" s="97" t="str">
        <f t="shared" ref="T28" si="19">"-- "&amp;C28</f>
        <v>-- サマリ対象期間の終了日</v>
      </c>
      <c r="U28" s="4"/>
      <c r="AA28" s="4"/>
      <c r="AB28" s="4"/>
      <c r="AC28" s="4"/>
      <c r="AD28" s="4"/>
      <c r="AE28" s="4"/>
      <c r="AF28" s="4"/>
      <c r="AG28" s="4"/>
      <c r="AH28" s="4"/>
      <c r="AI28" s="4"/>
      <c r="AJ28" s="97" t="str">
        <f>IF(E28="○",IF(COUNTA(E$13:E28)=1,"",",")&amp;D28,"")</f>
        <v/>
      </c>
      <c r="AK28" s="4"/>
      <c r="AL28" s="4"/>
      <c r="AM28" s="4"/>
      <c r="AN28" s="4"/>
      <c r="AO28" s="4"/>
      <c r="AP28" s="4"/>
      <c r="AQ28" s="4"/>
      <c r="AR28" s="4"/>
      <c r="AS28" s="97" t="str">
        <f>"COMMENT ON COLUMN "&amp;エンティティ一覧!$O$2&amp;"."&amp;D$8&amp;"."&amp;D28&amp;" IS '"&amp;C28&amp;"';"</f>
        <v>COMMENT ON COLUMN milscm_2023_010.azn_202310_work_text.history_end_ymd IS 'サマリ対象期間の終了日';</v>
      </c>
    </row>
    <row r="29" spans="1:52" s="25" customFormat="1">
      <c r="A29" s="4"/>
      <c r="B29" s="21">
        <f t="shared" si="7"/>
        <v>17</v>
      </c>
      <c r="C29" s="6" t="s">
        <v>4206</v>
      </c>
      <c r="D29" s="6" t="s">
        <v>4211</v>
      </c>
      <c r="E29" s="8"/>
      <c r="F29" s="7" t="s">
        <v>3792</v>
      </c>
      <c r="G29" s="7" t="str">
        <f t="shared" si="8"/>
        <v>text</v>
      </c>
      <c r="H29" s="26"/>
      <c r="I29" s="10" t="s">
        <v>127</v>
      </c>
      <c r="J29" s="11"/>
      <c r="M29" s="4"/>
      <c r="N29" s="97"/>
      <c r="O29" s="97"/>
      <c r="P29" s="97" t="str">
        <f t="shared" si="9"/>
        <v>,original_text</v>
      </c>
      <c r="Q29" s="97" t="str">
        <f t="shared" si="10"/>
        <v>TEXT</v>
      </c>
      <c r="R29" s="97" t="str">
        <f t="shared" si="11"/>
        <v/>
      </c>
      <c r="S29" s="97" t="str">
        <f t="shared" si="12"/>
        <v>NOT NULL</v>
      </c>
      <c r="T29" s="97" t="str">
        <f t="shared" si="13"/>
        <v>-- オリジナルテキスト</v>
      </c>
      <c r="U29" s="4"/>
      <c r="AA29" s="4"/>
      <c r="AB29" s="4"/>
      <c r="AC29" s="4"/>
      <c r="AD29" s="4"/>
      <c r="AE29" s="4"/>
      <c r="AF29" s="4"/>
      <c r="AG29" s="4"/>
      <c r="AH29" s="4"/>
      <c r="AI29" s="4"/>
      <c r="AJ29" s="97" t="str">
        <f>IF(E29="○",IF(COUNTA(E$13:E29)=1,"",",")&amp;D29,"")</f>
        <v/>
      </c>
      <c r="AK29" s="4"/>
      <c r="AL29" s="4"/>
      <c r="AM29" s="4"/>
      <c r="AN29" s="4"/>
      <c r="AO29" s="4"/>
      <c r="AP29" s="4"/>
      <c r="AQ29" s="4"/>
      <c r="AR29" s="4"/>
      <c r="AS29" s="97" t="str">
        <f>"COMMENT ON COLUMN "&amp;エンティティ一覧!$O$2&amp;"."&amp;D$8&amp;"."&amp;D29&amp;" IS '"&amp;C29&amp;"';"</f>
        <v>COMMENT ON COLUMN milscm_2023_010.azn_202310_work_text.original_text IS 'オリジナルテキスト';</v>
      </c>
    </row>
    <row r="30" spans="1:52" s="25" customFormat="1">
      <c r="A30" s="4"/>
      <c r="B30" s="21">
        <f t="shared" si="7"/>
        <v>18</v>
      </c>
      <c r="C30" s="6" t="s">
        <v>4316</v>
      </c>
      <c r="D30" s="6" t="s">
        <v>4317</v>
      </c>
      <c r="E30" s="8"/>
      <c r="F30" s="7" t="s">
        <v>203</v>
      </c>
      <c r="G30" s="7" t="str">
        <f t="shared" ref="G30" si="20">IF(F30="フラグ","boolean",IF(F30="文字列","text",IF(F30="整数","integer",IF(F30="実数","numeric",""))))</f>
        <v>integer</v>
      </c>
      <c r="H30" s="26"/>
      <c r="I30" s="10" t="s">
        <v>127</v>
      </c>
      <c r="J30" s="11"/>
      <c r="M30" s="4"/>
      <c r="N30" s="97"/>
      <c r="O30" s="97"/>
      <c r="P30" s="97" t="str">
        <f t="shared" ref="P30" si="21">IF(B30&lt;&gt;1,","&amp;D30,D30)</f>
        <v>,chief_complaint_f</v>
      </c>
      <c r="Q30" s="97" t="str">
        <f t="shared" ref="Q30" si="22">UPPER(G30)</f>
        <v>INTEGER</v>
      </c>
      <c r="R30" s="97" t="str">
        <f t="shared" ref="R30" si="23">IF(H30&lt;&gt;"","default "&amp;IF(G30="text","'"&amp;H30&amp;"'",H30),"")</f>
        <v/>
      </c>
      <c r="S30" s="97" t="str">
        <f t="shared" ref="S30" si="24">IF(I30="○","NOT NULL","")</f>
        <v>NOT NULL</v>
      </c>
      <c r="T30" s="97" t="str">
        <f t="shared" ref="T30" si="25">"-- "&amp;C30</f>
        <v>-- 主訴フラグ</v>
      </c>
      <c r="U30" s="4"/>
      <c r="AA30" s="4"/>
      <c r="AB30" s="4"/>
      <c r="AC30" s="4"/>
      <c r="AD30" s="4"/>
      <c r="AE30" s="4"/>
      <c r="AF30" s="4"/>
      <c r="AG30" s="4"/>
      <c r="AH30" s="4"/>
      <c r="AI30" s="4"/>
      <c r="AJ30" s="97" t="str">
        <f>IF(E30="○",IF(COUNTA(E$13:E30)=1,"",",")&amp;D30,"")</f>
        <v/>
      </c>
      <c r="AK30" s="4"/>
      <c r="AL30" s="4"/>
      <c r="AM30" s="4"/>
      <c r="AN30" s="4"/>
      <c r="AO30" s="4"/>
      <c r="AP30" s="4"/>
      <c r="AQ30" s="4"/>
      <c r="AR30" s="4"/>
      <c r="AS30" s="97" t="str">
        <f>"COMMENT ON COLUMN "&amp;エンティティ一覧!$O$2&amp;"."&amp;D$8&amp;"."&amp;D30&amp;" IS '"&amp;C30&amp;"';"</f>
        <v>COMMENT ON COLUMN milscm_2023_010.azn_202310_work_text.chief_complaint_f IS '主訴フラグ';</v>
      </c>
    </row>
    <row r="31" spans="1:52" s="25" customFormat="1" ht="57" thickBot="1">
      <c r="A31" s="4"/>
      <c r="B31" s="65">
        <f t="shared" si="7"/>
        <v>19</v>
      </c>
      <c r="C31" s="28" t="s">
        <v>4231</v>
      </c>
      <c r="D31" s="28" t="s">
        <v>4232</v>
      </c>
      <c r="E31" s="29"/>
      <c r="F31" s="56" t="s">
        <v>203</v>
      </c>
      <c r="G31" s="56" t="str">
        <f>IF(F31="フラグ","boolean",IF(F31="文字列","text",IF(F31="整数","integer",IF(F31="実数","numeric",""))))</f>
        <v>integer</v>
      </c>
      <c r="H31" s="30"/>
      <c r="I31" s="31" t="s">
        <v>127</v>
      </c>
      <c r="J31" s="61" t="s">
        <v>4338</v>
      </c>
      <c r="M31" s="4"/>
      <c r="N31" s="97"/>
      <c r="O31" s="97"/>
      <c r="P31" s="97" t="str">
        <f>IF(B31&lt;&gt;1,","&amp;D31,D31)</f>
        <v>,dup_text_seq</v>
      </c>
      <c r="Q31" s="97" t="str">
        <f>UPPER(G31)</f>
        <v>INTEGER</v>
      </c>
      <c r="R31" s="97" t="str">
        <f>IF(H31&lt;&gt;"","default "&amp;IF(G31="text","'"&amp;H31&amp;"'",H31),"")</f>
        <v/>
      </c>
      <c r="S31" s="97" t="str">
        <f>IF(I31="○","NOT NULL","")</f>
        <v>NOT NULL</v>
      </c>
      <c r="T31" s="97" t="str">
        <f>"-- "&amp;C31</f>
        <v>-- テキスト重複SEQ</v>
      </c>
      <c r="U31" s="4"/>
      <c r="AA31" s="4"/>
      <c r="AB31" s="4"/>
      <c r="AC31" s="4"/>
      <c r="AD31" s="4"/>
      <c r="AE31" s="4"/>
      <c r="AF31" s="4"/>
      <c r="AG31" s="4"/>
      <c r="AH31" s="4"/>
      <c r="AI31" s="4"/>
      <c r="AJ31" s="97" t="str">
        <f>IF(E31="○",IF(COUNTA(E$13:E31)=1,"",",")&amp;D31,"")</f>
        <v/>
      </c>
      <c r="AK31" s="4"/>
      <c r="AL31" s="4"/>
      <c r="AM31" s="4"/>
      <c r="AN31" s="4"/>
      <c r="AO31" s="4"/>
      <c r="AP31" s="4"/>
      <c r="AQ31" s="4"/>
      <c r="AR31" s="4"/>
      <c r="AS31" s="97" t="str">
        <f>"COMMENT ON COLUMN "&amp;エンティティ一覧!$O$2&amp;"."&amp;D$8&amp;"."&amp;D31&amp;" IS '"&amp;C31&amp;"';"</f>
        <v>COMMENT ON COLUMN milscm_2023_010.azn_202310_work_text.dup_text_seq IS 'テキスト重複SEQ';</v>
      </c>
    </row>
    <row r="32" spans="1:52">
      <c r="L32" s="25"/>
      <c r="M32" s="25"/>
      <c r="N32" s="97" t="s">
        <v>142</v>
      </c>
      <c r="O32" s="97"/>
      <c r="P32" s="97"/>
      <c r="Q32" s="97"/>
      <c r="R32" s="97"/>
      <c r="S32" s="97"/>
      <c r="T32" s="97"/>
      <c r="V32" s="25"/>
      <c r="W32" s="25"/>
      <c r="X32" s="25"/>
      <c r="Y32" s="25"/>
      <c r="Z32" s="25"/>
      <c r="AJ32" s="97"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topLeftCell="D1" zoomScale="85" zoomScaleNormal="85" workbookViewId="0">
      <selection activeCell="AS10" sqref="AS10:AS19"/>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4517</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41</v>
      </c>
      <c r="E4" s="248"/>
      <c r="F4" s="248"/>
      <c r="G4" s="248"/>
      <c r="H4" s="248"/>
      <c r="I4" s="248"/>
      <c r="J4" s="249"/>
    </row>
    <row r="5" spans="1:45">
      <c r="B5" s="261" t="s">
        <v>3704</v>
      </c>
      <c r="C5" s="262"/>
      <c r="D5" s="271" t="str">
        <f>VLOOKUP(D7,エンティティ一覧!A1:'エンティティ一覧'!AM10203,7,FALSE)</f>
        <v>work</v>
      </c>
      <c r="E5" s="272"/>
      <c r="F5" s="272"/>
      <c r="G5" s="272"/>
      <c r="H5" s="272"/>
      <c r="I5" s="272"/>
      <c r="J5" s="273"/>
    </row>
    <row r="6" spans="1:45">
      <c r="B6" s="261" t="s">
        <v>3705</v>
      </c>
      <c r="C6" s="262"/>
      <c r="D6" s="271" t="str">
        <f>VLOOKUP(D7,エンティティ一覧!A1:'エンティティ一覧'!AM10203,15,FALSE)</f>
        <v>ENT_41_14</v>
      </c>
      <c r="E6" s="272"/>
      <c r="F6" s="272"/>
      <c r="G6" s="272"/>
      <c r="H6" s="272"/>
      <c r="I6" s="272"/>
      <c r="J6" s="273"/>
    </row>
    <row r="7" spans="1:45">
      <c r="B7" s="261" t="s">
        <v>115</v>
      </c>
      <c r="C7" s="262"/>
      <c r="D7" s="263" t="s">
        <v>4342</v>
      </c>
      <c r="E7" s="264"/>
      <c r="F7" s="264"/>
      <c r="G7" s="264"/>
      <c r="H7" s="264"/>
      <c r="I7" s="264"/>
      <c r="J7" s="265"/>
    </row>
    <row r="8" spans="1:45">
      <c r="B8" s="261" t="s">
        <v>116</v>
      </c>
      <c r="C8" s="262"/>
      <c r="D8" s="263" t="str">
        <f>エンティティ一覧!AE2&amp;"_"&amp;D5&amp;"_shohou_index"</f>
        <v>azn_202310_work_shohou_index</v>
      </c>
      <c r="E8" s="264"/>
      <c r="F8" s="264"/>
      <c r="G8" s="264"/>
      <c r="H8" s="264"/>
      <c r="I8" s="264"/>
      <c r="J8" s="265"/>
    </row>
    <row r="9" spans="1:45" ht="19.5" customHeight="1" thickBot="1">
      <c r="B9" s="266" t="s">
        <v>117</v>
      </c>
      <c r="C9" s="267"/>
      <c r="D9" s="268" t="s">
        <v>4346</v>
      </c>
      <c r="E9" s="269"/>
      <c r="F9" s="269"/>
      <c r="G9" s="269"/>
      <c r="H9" s="269"/>
      <c r="I9" s="269"/>
      <c r="J9" s="270"/>
    </row>
    <row r="10" spans="1:45">
      <c r="B10" s="19"/>
      <c r="C10" s="19"/>
      <c r="D10" s="5"/>
      <c r="E10" s="5"/>
      <c r="F10" s="5"/>
      <c r="G10" s="5"/>
      <c r="H10" s="5"/>
      <c r="I10" s="5"/>
      <c r="J10" s="18"/>
      <c r="N10" s="97" t="str">
        <f>"--DROP TABLE  "&amp;エンティティ一覧!$O$2&amp;"."&amp;D$8&amp;";"</f>
        <v>--DROP TABLE  milscm_2023_010.azn_202310_work_shohou_index;</v>
      </c>
      <c r="O10" s="97"/>
      <c r="P10" s="97"/>
      <c r="Q10" s="97"/>
      <c r="R10" s="97"/>
      <c r="S10" s="97"/>
      <c r="T10" s="97"/>
      <c r="AJ10" s="97" t="str">
        <f>"ALTER TABLE ONLY "&amp;エンティティ一覧!$O$2&amp;"."&amp;D$8</f>
        <v>ALTER TABLE ONLY milscm_2023_010.azn_202310_work_shohou_index</v>
      </c>
      <c r="AS10" s="97" t="str">
        <f>"ALTER TABLE "&amp;エンティティ一覧!$O$2&amp;"."&amp;D$8&amp;" OWNER TO pgmisgrp1;"</f>
        <v>ALTER TABLE milscm_2023_010.azn_202310_work_shohou_index OWNER TO pgmisgrp1;</v>
      </c>
    </row>
    <row r="11" spans="1:45" ht="19.5" thickBot="1">
      <c r="B11" s="20" t="s">
        <v>118</v>
      </c>
      <c r="C11" s="19"/>
      <c r="D11" s="5"/>
      <c r="E11" s="5"/>
      <c r="F11" s="5"/>
      <c r="G11" s="5"/>
      <c r="H11" s="5"/>
      <c r="I11" s="5"/>
      <c r="J11" s="18"/>
      <c r="N11" s="97" t="str">
        <f>"CREATE TABLE  "&amp;エンティティ一覧!$O$2&amp;"."&amp;D$8</f>
        <v>CREATE TABLE  milscm_2023_010.azn_202310_work_shohou_index</v>
      </c>
      <c r="O11" s="97"/>
      <c r="P11" s="97"/>
      <c r="Q11" s="97"/>
      <c r="R11" s="97"/>
      <c r="S11" s="97"/>
      <c r="T11" s="97"/>
      <c r="AJ11" s="97" t="str">
        <f>"ADD CONSTRAINT "&amp;D$8&amp;"_pkey PRIMARY KEY"</f>
        <v>ADD CONSTRAINT azn_202310_work_shohou_index_pkey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milscm_2023_010.azn_202310_work_shohou_index IS 'ワーク_処方データ_index';</v>
      </c>
    </row>
    <row r="13" spans="1:45" s="25" customFormat="1">
      <c r="A13" s="4"/>
      <c r="B13" s="21">
        <f>ROW()-12</f>
        <v>1</v>
      </c>
      <c r="C13" s="6" t="s">
        <v>137</v>
      </c>
      <c r="D13" s="6" t="s">
        <v>128</v>
      </c>
      <c r="E13" s="8" t="s">
        <v>4013</v>
      </c>
      <c r="F13" s="8" t="s">
        <v>1826</v>
      </c>
      <c r="G13" s="7" t="str">
        <f>IF(F13="フラグ","boolean",IF(F13="文字列","text",IF(F13="整数","integer",IF(F13="実数","numeric",""))))</f>
        <v>text</v>
      </c>
      <c r="H13" s="9"/>
      <c r="I13" s="10" t="s">
        <v>127</v>
      </c>
      <c r="J13" s="11"/>
      <c r="M13" s="4"/>
      <c r="N13" s="97"/>
      <c r="O13" s="97"/>
      <c r="P13" s="97" t="str">
        <f>IF(B13&lt;&gt;1,","&amp;D13,D13)</f>
        <v>facility_id</v>
      </c>
      <c r="Q13" s="97" t="str">
        <f t="shared" ref="Q13:Q18" si="0">UPPER(G13)</f>
        <v>TEXT</v>
      </c>
      <c r="R13" s="97" t="str">
        <f t="shared" ref="R13:R18" si="1">IF(H13&lt;&gt;"","default "&amp;IF(G13="text","'"&amp;H13&amp;"'",H13),"")</f>
        <v/>
      </c>
      <c r="S13" s="97" t="str">
        <f>IF(I13="○","NOT NULL","")</f>
        <v>NOT NULL</v>
      </c>
      <c r="T13" s="97" t="str">
        <f>"-- "&amp;C13</f>
        <v>-- 施設ID</v>
      </c>
      <c r="U13" s="4"/>
      <c r="AA13" s="4"/>
      <c r="AB13" s="4"/>
      <c r="AC13" s="4"/>
      <c r="AD13" s="4"/>
      <c r="AE13" s="4"/>
      <c r="AF13" s="4"/>
      <c r="AG13" s="4"/>
      <c r="AH13" s="4"/>
      <c r="AI13" s="4"/>
      <c r="AJ13" s="97" t="str">
        <f>IF(E13="○",IF(COUNTA(E$13:E13)=1,"",",")&amp;D13,"")</f>
        <v>facility_id</v>
      </c>
      <c r="AK13" s="4"/>
      <c r="AL13" s="4"/>
      <c r="AM13" s="4"/>
      <c r="AN13" s="4"/>
      <c r="AO13" s="4"/>
      <c r="AP13" s="4"/>
      <c r="AQ13" s="4"/>
      <c r="AR13" s="4"/>
      <c r="AS13" s="97" t="str">
        <f>"COMMENT ON COLUMN "&amp;エンティティ一覧!$O$2&amp;"."&amp;D$8&amp;"."&amp;D13&amp;" IS '"&amp;C13&amp;"';"</f>
        <v>COMMENT ON COLUMN milscm_2023_010.azn_202310_work_shohou_index.facility_id IS '施設ID';</v>
      </c>
    </row>
    <row r="14" spans="1:45" s="25" customFormat="1">
      <c r="A14" s="4"/>
      <c r="B14" s="21">
        <f t="shared" ref="B14:B19" si="2">ROW()-12</f>
        <v>2</v>
      </c>
      <c r="C14" s="6" t="s">
        <v>4015</v>
      </c>
      <c r="D14" s="6" t="s">
        <v>1843</v>
      </c>
      <c r="E14" s="8" t="s">
        <v>4013</v>
      </c>
      <c r="F14" s="7" t="s">
        <v>1826</v>
      </c>
      <c r="G14" s="7" t="str">
        <f t="shared" ref="G14:G18" si="3">IF(F14="フラグ","boolean",IF(F14="文字列","text",IF(F14="整数","integer",IF(F14="実数","numeric",""))))</f>
        <v>text</v>
      </c>
      <c r="H14" s="26"/>
      <c r="I14" s="10" t="s">
        <v>127</v>
      </c>
      <c r="J14" s="11"/>
      <c r="M14" s="4"/>
      <c r="N14" s="97"/>
      <c r="O14" s="97"/>
      <c r="P14" s="97" t="str">
        <f t="shared" ref="P14:P18" si="4">IF(B14&lt;&gt;1,","&amp;D14,D14)</f>
        <v>,himoduke_id</v>
      </c>
      <c r="Q14" s="97" t="str">
        <f t="shared" si="0"/>
        <v>TEXT</v>
      </c>
      <c r="R14" s="97" t="str">
        <f t="shared" si="1"/>
        <v/>
      </c>
      <c r="S14" s="97" t="str">
        <f t="shared" ref="S14:S18" si="5">IF(I14="○","NOT NULL","")</f>
        <v>NOT NULL</v>
      </c>
      <c r="T14" s="97" t="str">
        <f t="shared" ref="T14:T18" si="6">"-- "&amp;C14</f>
        <v>-- 紐付けID</v>
      </c>
      <c r="U14" s="4"/>
      <c r="AA14" s="4"/>
      <c r="AB14" s="4"/>
      <c r="AC14" s="4"/>
      <c r="AD14" s="4"/>
      <c r="AE14" s="4"/>
      <c r="AF14" s="4"/>
      <c r="AG14" s="4"/>
      <c r="AH14" s="4"/>
      <c r="AI14" s="4"/>
      <c r="AJ14" s="97" t="str">
        <f>IF(E14="○",IF(COUNTA(E$13:E14)=1,"",",")&amp;D14,"")</f>
        <v>,himoduke_id</v>
      </c>
      <c r="AK14" s="4"/>
      <c r="AL14" s="4"/>
      <c r="AM14" s="4"/>
      <c r="AN14" s="4"/>
      <c r="AO14" s="4"/>
      <c r="AP14" s="4"/>
      <c r="AQ14" s="4"/>
      <c r="AR14" s="4"/>
      <c r="AS14" s="97" t="str">
        <f>"COMMENT ON COLUMN "&amp;エンティティ一覧!$O$2&amp;"."&amp;D$8&amp;"."&amp;D14&amp;" IS '"&amp;C14&amp;"';"</f>
        <v>COMMENT ON COLUMN milscm_2023_010.azn_202310_work_shohou_index.himoduke_id IS '紐付けID';</v>
      </c>
    </row>
    <row r="15" spans="1:45" s="25" customFormat="1">
      <c r="A15" s="4"/>
      <c r="B15" s="21">
        <f t="shared" si="2"/>
        <v>3</v>
      </c>
      <c r="C15" s="6" t="s">
        <v>145</v>
      </c>
      <c r="D15" s="6" t="s">
        <v>4162</v>
      </c>
      <c r="E15" s="8"/>
      <c r="F15" s="7" t="s">
        <v>1826</v>
      </c>
      <c r="G15" s="7" t="str">
        <f t="shared" si="3"/>
        <v>text</v>
      </c>
      <c r="H15" s="26"/>
      <c r="I15" s="10" t="s">
        <v>127</v>
      </c>
      <c r="J15" s="117"/>
      <c r="M15" s="4"/>
      <c r="N15" s="97"/>
      <c r="O15" s="97"/>
      <c r="P15" s="97" t="str">
        <f t="shared" si="4"/>
        <v>,receipt_densan_code</v>
      </c>
      <c r="Q15" s="97" t="str">
        <f t="shared" si="0"/>
        <v>TEXT</v>
      </c>
      <c r="R15" s="97" t="str">
        <f t="shared" si="1"/>
        <v/>
      </c>
      <c r="S15" s="97" t="str">
        <f t="shared" si="5"/>
        <v>NOT NULL</v>
      </c>
      <c r="T15" s="97" t="str">
        <f t="shared" si="6"/>
        <v>-- レセプト電算処理システム用コード</v>
      </c>
      <c r="U15" s="4"/>
      <c r="AA15" s="4"/>
      <c r="AB15" s="4"/>
      <c r="AC15" s="4"/>
      <c r="AD15" s="4"/>
      <c r="AE15" s="4"/>
      <c r="AF15" s="4"/>
      <c r="AG15" s="4"/>
      <c r="AH15" s="4"/>
      <c r="AI15" s="4"/>
      <c r="AJ15" s="97" t="str">
        <f>IF(E15="○",IF(COUNTA(E$13:E15)=1,"",",")&amp;D15,"")</f>
        <v/>
      </c>
      <c r="AK15" s="4"/>
      <c r="AL15" s="4"/>
      <c r="AM15" s="4"/>
      <c r="AN15" s="4"/>
      <c r="AO15" s="4"/>
      <c r="AP15" s="4"/>
      <c r="AQ15" s="4"/>
      <c r="AR15" s="4"/>
      <c r="AS15" s="97" t="str">
        <f>"COMMENT ON COLUMN "&amp;エンティティ一覧!$O$2&amp;"."&amp;D$8&amp;"."&amp;D15&amp;" IS '"&amp;C15&amp;"';"</f>
        <v>COMMENT ON COLUMN milscm_2023_010.azn_202310_work_shohou_index.receipt_densan_code IS 'レセプト電算処理システム用コード';</v>
      </c>
    </row>
    <row r="16" spans="1:45" s="25" customFormat="1">
      <c r="A16" s="4"/>
      <c r="B16" s="21">
        <f t="shared" si="2"/>
        <v>4</v>
      </c>
      <c r="C16" s="6" t="s">
        <v>4348</v>
      </c>
      <c r="D16" s="6" t="s">
        <v>4347</v>
      </c>
      <c r="E16" s="8"/>
      <c r="F16" s="7" t="s">
        <v>1826</v>
      </c>
      <c r="G16" s="7" t="str">
        <f t="shared" si="3"/>
        <v>text</v>
      </c>
      <c r="H16" s="26"/>
      <c r="I16" s="10" t="s">
        <v>4013</v>
      </c>
      <c r="J16" s="11"/>
      <c r="M16" s="4"/>
      <c r="N16" s="97"/>
      <c r="O16" s="97"/>
      <c r="P16" s="97" t="str">
        <f t="shared" si="4"/>
        <v>,department_kubun</v>
      </c>
      <c r="Q16" s="97" t="str">
        <f t="shared" si="0"/>
        <v>TEXT</v>
      </c>
      <c r="R16" s="97" t="str">
        <f t="shared" si="1"/>
        <v/>
      </c>
      <c r="S16" s="97" t="str">
        <f t="shared" si="5"/>
        <v>NOT NULL</v>
      </c>
      <c r="T16" s="97" t="str">
        <f t="shared" si="6"/>
        <v>-- 診療科区分</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"&amp;エンティティ一覧!$O$2&amp;"."&amp;D$8&amp;"."&amp;D16&amp;" IS '"&amp;C16&amp;"';"</f>
        <v>COMMENT ON COLUMN milscm_2023_010.azn_202310_work_shohou_index.department_kubun IS '診療科区分';</v>
      </c>
    </row>
    <row r="17" spans="1:52" s="25" customFormat="1">
      <c r="A17" s="4"/>
      <c r="B17" s="21">
        <f t="shared" si="2"/>
        <v>5</v>
      </c>
      <c r="C17" s="6" t="s">
        <v>148</v>
      </c>
      <c r="D17" s="6" t="s">
        <v>4163</v>
      </c>
      <c r="E17" s="8"/>
      <c r="F17" s="7" t="s">
        <v>4167</v>
      </c>
      <c r="G17" s="7" t="str">
        <f t="shared" si="3"/>
        <v>numeric</v>
      </c>
      <c r="H17" s="26"/>
      <c r="I17" s="10" t="s">
        <v>4013</v>
      </c>
      <c r="J17" s="11"/>
      <c r="M17" s="4"/>
      <c r="N17" s="97"/>
      <c r="O17" s="97"/>
      <c r="P17" s="97" t="str">
        <f t="shared" si="4"/>
        <v>,koi_times</v>
      </c>
      <c r="Q17" s="97" t="str">
        <f t="shared" si="0"/>
        <v>NUMERIC</v>
      </c>
      <c r="R17" s="97" t="str">
        <f t="shared" si="1"/>
        <v/>
      </c>
      <c r="S17" s="97" t="str">
        <f t="shared" si="5"/>
        <v>NOT NULL</v>
      </c>
      <c r="T17" s="97" t="str">
        <f t="shared" si="6"/>
        <v>-- 行為回数</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milscm_2023_010.azn_202310_work_shohou_index.koi_times IS '行為回数';</v>
      </c>
    </row>
    <row r="18" spans="1:52" s="25" customFormat="1">
      <c r="A18" s="4"/>
      <c r="B18" s="21">
        <f t="shared" si="2"/>
        <v>6</v>
      </c>
      <c r="C18" s="6" t="s">
        <v>149</v>
      </c>
      <c r="D18" s="6" t="s">
        <v>4164</v>
      </c>
      <c r="E18" s="8"/>
      <c r="F18" s="7" t="s">
        <v>1826</v>
      </c>
      <c r="G18" s="7" t="str">
        <f t="shared" si="3"/>
        <v>text</v>
      </c>
      <c r="H18" s="26"/>
      <c r="I18" s="10" t="s">
        <v>4013</v>
      </c>
      <c r="J18" s="11"/>
      <c r="M18" s="4"/>
      <c r="N18" s="97"/>
      <c r="O18" s="97"/>
      <c r="P18" s="97" t="str">
        <f t="shared" si="4"/>
        <v>,jisshi_ymd</v>
      </c>
      <c r="Q18" s="97" t="str">
        <f t="shared" si="0"/>
        <v>TEXT</v>
      </c>
      <c r="R18" s="97" t="str">
        <f t="shared" si="1"/>
        <v/>
      </c>
      <c r="S18" s="97" t="str">
        <f t="shared" si="5"/>
        <v>NOT NULL</v>
      </c>
      <c r="T18" s="97" t="str">
        <f t="shared" si="6"/>
        <v>-- 実施年月日</v>
      </c>
      <c r="U18" s="4"/>
      <c r="AA18" s="4"/>
      <c r="AB18" s="4"/>
      <c r="AC18" s="4"/>
      <c r="AD18" s="4"/>
      <c r="AE18" s="4"/>
      <c r="AF18" s="4"/>
      <c r="AG18" s="4"/>
      <c r="AH18" s="4"/>
      <c r="AI18" s="4"/>
      <c r="AJ18" s="97" t="str">
        <f>IF(E18="○",IF(COUNTA(E$13:E18)=1,"",",")&amp;D18,"")</f>
        <v/>
      </c>
      <c r="AK18" s="4"/>
      <c r="AL18" s="4"/>
      <c r="AM18" s="4"/>
      <c r="AN18" s="4"/>
      <c r="AO18" s="4"/>
      <c r="AP18" s="4"/>
      <c r="AQ18" s="4"/>
      <c r="AR18" s="4"/>
      <c r="AS18" s="97" t="str">
        <f>"COMMENT ON COLUMN "&amp;エンティティ一覧!$O$2&amp;"."&amp;D$8&amp;"."&amp;D18&amp;" IS '"&amp;C18&amp;"';"</f>
        <v>COMMENT ON COLUMN milscm_2023_010.azn_202310_work_shohou_index.jisshi_ymd IS '実施年月日';</v>
      </c>
    </row>
    <row r="19" spans="1:52" s="25" customFormat="1" ht="19.5" thickBot="1">
      <c r="A19" s="4"/>
      <c r="B19" s="65">
        <f t="shared" si="2"/>
        <v>7</v>
      </c>
      <c r="C19" s="28" t="s">
        <v>4349</v>
      </c>
      <c r="D19" s="28" t="s">
        <v>4166</v>
      </c>
      <c r="E19" s="29" t="s">
        <v>4013</v>
      </c>
      <c r="F19" s="56" t="s">
        <v>1845</v>
      </c>
      <c r="G19" s="56" t="str">
        <f>IF(F19="フラグ","boolean",IF(F19="文字列","text",IF(F19="整数","integer",IF(F19="実数","numeric",""))))</f>
        <v>integer</v>
      </c>
      <c r="H19" s="30"/>
      <c r="I19" s="31" t="s">
        <v>4013</v>
      </c>
      <c r="J19" s="61" t="s">
        <v>4484</v>
      </c>
      <c r="M19" s="4"/>
      <c r="N19" s="97"/>
      <c r="O19" s="97"/>
      <c r="P19" s="97" t="str">
        <f>IF(B19&lt;&gt;1,","&amp;D19,D19)</f>
        <v>,row_no</v>
      </c>
      <c r="Q19" s="97" t="str">
        <f>UPPER(G19)</f>
        <v>INTEGER</v>
      </c>
      <c r="R19" s="97" t="str">
        <f>IF(H19&lt;&gt;"","default "&amp;IF(G19="text","'"&amp;H19&amp;"'",H19),"")</f>
        <v/>
      </c>
      <c r="S19" s="97" t="str">
        <f>IF(I19="○","NOT NULL","")</f>
        <v>NOT NULL</v>
      </c>
      <c r="T19" s="97" t="str">
        <f>"-- "&amp;C19</f>
        <v>-- 行番号</v>
      </c>
      <c r="U19" s="4"/>
      <c r="AA19" s="4"/>
      <c r="AB19" s="4"/>
      <c r="AC19" s="4"/>
      <c r="AD19" s="4"/>
      <c r="AE19" s="4"/>
      <c r="AF19" s="4"/>
      <c r="AG19" s="4"/>
      <c r="AH19" s="4"/>
      <c r="AI19" s="4"/>
      <c r="AJ19" s="97" t="str">
        <f>IF(E19="○",IF(COUNTA(E$13:E19)=1,"",",")&amp;D19,"")</f>
        <v>,row_no</v>
      </c>
      <c r="AK19" s="4"/>
      <c r="AL19" s="4"/>
      <c r="AM19" s="4"/>
      <c r="AN19" s="4"/>
      <c r="AO19" s="4"/>
      <c r="AP19" s="4"/>
      <c r="AQ19" s="4"/>
      <c r="AR19" s="4"/>
      <c r="AS19" s="97" t="str">
        <f>"COMMENT ON COLUMN "&amp;エンティティ一覧!$O$2&amp;"."&amp;D$8&amp;"."&amp;D19&amp;" IS '"&amp;C19&amp;"';"</f>
        <v>COMMENT ON COLUMN milscm_2023_010.azn_202310_work_shohou_index.row_no IS '行番号';</v>
      </c>
    </row>
    <row r="20" spans="1:52">
      <c r="L20" s="25"/>
      <c r="M20" s="25"/>
      <c r="N20" s="97" t="s">
        <v>142</v>
      </c>
      <c r="O20" s="97"/>
      <c r="P20" s="97"/>
      <c r="Q20" s="97"/>
      <c r="R20" s="97"/>
      <c r="S20" s="97"/>
      <c r="T20" s="97"/>
      <c r="V20" s="25"/>
      <c r="W20" s="25"/>
      <c r="X20" s="25"/>
      <c r="Y20" s="25"/>
      <c r="Z20" s="25"/>
      <c r="AJ20" s="97"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election activeCell="D9" sqref="D9:J9"/>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51</v>
      </c>
      <c r="E4" s="248"/>
      <c r="F4" s="248"/>
      <c r="G4" s="248"/>
      <c r="H4" s="248"/>
      <c r="I4" s="248"/>
      <c r="J4" s="249"/>
    </row>
    <row r="5" spans="1:45">
      <c r="B5" s="261" t="s">
        <v>3704</v>
      </c>
      <c r="C5" s="262"/>
      <c r="D5" s="271" t="str">
        <f>VLOOKUP(D7,エンティティ一覧!A1:'エンティティ一覧'!AM10203,7,FALSE)</f>
        <v>select</v>
      </c>
      <c r="E5" s="272"/>
      <c r="F5" s="272"/>
      <c r="G5" s="272"/>
      <c r="H5" s="272"/>
      <c r="I5" s="272"/>
      <c r="J5" s="273"/>
    </row>
    <row r="6" spans="1:45">
      <c r="B6" s="261" t="s">
        <v>3705</v>
      </c>
      <c r="C6" s="262"/>
      <c r="D6" s="271" t="str">
        <f>VLOOKUP(D7,エンティティ一覧!A1:'エンティティ一覧'!AM10203,15,FALSE)</f>
        <v>ENT_51_01</v>
      </c>
      <c r="E6" s="272"/>
      <c r="F6" s="272"/>
      <c r="G6" s="272"/>
      <c r="H6" s="272"/>
      <c r="I6" s="272"/>
      <c r="J6" s="273"/>
    </row>
    <row r="7" spans="1:45">
      <c r="B7" s="261" t="s">
        <v>115</v>
      </c>
      <c r="C7" s="262"/>
      <c r="D7" s="263" t="s">
        <v>4117</v>
      </c>
      <c r="E7" s="264"/>
      <c r="F7" s="264"/>
      <c r="G7" s="264"/>
      <c r="H7" s="264"/>
      <c r="I7" s="264"/>
      <c r="J7" s="265"/>
    </row>
    <row r="8" spans="1:45">
      <c r="B8" s="261" t="s">
        <v>116</v>
      </c>
      <c r="C8" s="262"/>
      <c r="D8" s="263" t="str">
        <f>エンティティ一覧!AE2&amp;"_"&amp;D5&amp;"_patient_basic"</f>
        <v>azn_202310_select_patient_basic</v>
      </c>
      <c r="E8" s="264"/>
      <c r="F8" s="264"/>
      <c r="G8" s="264"/>
      <c r="H8" s="264"/>
      <c r="I8" s="264"/>
      <c r="J8" s="265"/>
    </row>
    <row r="9" spans="1:45" ht="19.5" customHeight="1" thickBot="1">
      <c r="B9" s="266" t="s">
        <v>117</v>
      </c>
      <c r="C9" s="267"/>
      <c r="D9" s="268" t="s">
        <v>4485</v>
      </c>
      <c r="E9" s="269"/>
      <c r="F9" s="269"/>
      <c r="G9" s="269"/>
      <c r="H9" s="269"/>
      <c r="I9" s="269"/>
      <c r="J9" s="270"/>
    </row>
    <row r="10" spans="1:45">
      <c r="B10" s="19"/>
      <c r="C10" s="19"/>
      <c r="D10" s="5"/>
      <c r="E10" s="5"/>
      <c r="F10" s="5"/>
      <c r="G10" s="5"/>
      <c r="H10" s="5"/>
      <c r="I10" s="5"/>
      <c r="J10" s="18"/>
      <c r="N10" s="97" t="str">
        <f>"--DROP TABLE  "&amp;エンティティ一覧!$O$2&amp;"."&amp;D$8&amp;";"</f>
        <v>--DROP TABLE  milscm_2023_010.azn_202310_select_patient_basic;</v>
      </c>
      <c r="O10" s="97"/>
      <c r="P10" s="97"/>
      <c r="Q10" s="97"/>
      <c r="R10" s="97"/>
      <c r="S10" s="97"/>
      <c r="T10" s="97"/>
      <c r="AJ10" s="97" t="str">
        <f>"ALTER TABLE ONLY "&amp;エンティティ一覧!$O$2&amp;"."&amp;D$8</f>
        <v>ALTER TABLE ONLY milscm_2023_010.azn_202310_select_patient_basic</v>
      </c>
      <c r="AS10" s="97" t="str">
        <f>"ALTER TABLE "&amp;エンティティ一覧!$O$2&amp;"."&amp;D$8&amp;" OWNER TO pgmisgrp1;"</f>
        <v>ALTER TABLE milscm_2023_010.azn_202310_select_patient_basic OWNER TO pgmisgrp1;</v>
      </c>
    </row>
    <row r="11" spans="1:45" ht="19.5" thickBot="1">
      <c r="B11" s="20" t="s">
        <v>118</v>
      </c>
      <c r="C11" s="19"/>
      <c r="D11" s="5"/>
      <c r="E11" s="5"/>
      <c r="F11" s="5"/>
      <c r="G11" s="5"/>
      <c r="H11" s="5"/>
      <c r="I11" s="5"/>
      <c r="J11" s="18"/>
      <c r="N11" s="97" t="str">
        <f>"CREATE TABLE  "&amp;エンティティ一覧!$O$2&amp;"."&amp;D$8</f>
        <v>CREATE TABLE  milscm_2023_010.azn_202310_select_patient_basic</v>
      </c>
      <c r="O11" s="97"/>
      <c r="P11" s="97"/>
      <c r="Q11" s="97"/>
      <c r="R11" s="97"/>
      <c r="S11" s="97"/>
      <c r="T11" s="97"/>
      <c r="AJ11" s="97" t="str">
        <f>"ADD CONSTRAINT "&amp;D$8&amp;"_pkey PRIMARY KEY"</f>
        <v>ADD CONSTRAINT azn_202310_select_patient_basic_pkey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milscm_2023_010.azn_202310_select_patient_basic IS 'セレクト_患者データ';</v>
      </c>
    </row>
    <row r="13" spans="1:45" s="25" customFormat="1">
      <c r="A13" s="4"/>
      <c r="B13" s="21">
        <f>ROW()-12</f>
        <v>1</v>
      </c>
      <c r="C13" s="6" t="s">
        <v>137</v>
      </c>
      <c r="D13" s="6" t="s">
        <v>128</v>
      </c>
      <c r="E13" s="8" t="s">
        <v>127</v>
      </c>
      <c r="F13" s="8" t="s">
        <v>1735</v>
      </c>
      <c r="G13" s="7" t="str">
        <f>IF(F13="フラグ","boolean",IF(F13="文字列","text",IF(F13="整数","integer",IF(F13="実数","numeric",""))))</f>
        <v>text</v>
      </c>
      <c r="H13" s="9"/>
      <c r="I13" s="10" t="s">
        <v>127</v>
      </c>
      <c r="J13" s="11"/>
      <c r="M13" s="4"/>
      <c r="N13" s="97"/>
      <c r="O13" s="97"/>
      <c r="P13" s="97" t="str">
        <f>IF(B13&lt;&gt;1,","&amp;D13,D13)</f>
        <v>facility_id</v>
      </c>
      <c r="Q13" s="97" t="str">
        <f t="shared" ref="Q13:Q22" si="0">UPPER(G13)</f>
        <v>TEXT</v>
      </c>
      <c r="R13" s="97" t="str">
        <f t="shared" ref="R13:R22" si="1">IF(H13&lt;&gt;"","default "&amp;IF(G13="text","'"&amp;H13&amp;"'",H13),"")</f>
        <v/>
      </c>
      <c r="S13" s="97" t="str">
        <f>IF(I13="○","NOT NULL","")</f>
        <v>NOT NULL</v>
      </c>
      <c r="T13" s="97" t="str">
        <f>"-- "&amp;C13</f>
        <v>-- 施設ID</v>
      </c>
      <c r="U13" s="4"/>
      <c r="AA13" s="4"/>
      <c r="AB13" s="4"/>
      <c r="AC13" s="4"/>
      <c r="AD13" s="4"/>
      <c r="AE13" s="4"/>
      <c r="AF13" s="4"/>
      <c r="AG13" s="4"/>
      <c r="AH13" s="4"/>
      <c r="AI13" s="4"/>
      <c r="AJ13" s="97" t="str">
        <f>IF(E13="○",IF(COUNTA(E$13:E13)=1,"",",")&amp;D13,"")</f>
        <v>facility_id</v>
      </c>
      <c r="AK13" s="4"/>
      <c r="AL13" s="4"/>
      <c r="AM13" s="4"/>
      <c r="AN13" s="4"/>
      <c r="AO13" s="4"/>
      <c r="AP13" s="4"/>
      <c r="AQ13" s="4"/>
      <c r="AR13" s="4"/>
      <c r="AS13" s="97" t="str">
        <f>"COMMENT ON COLUMN "&amp;エンティティ一覧!$O$2&amp;"."&amp;D$8&amp;"."&amp;D13&amp;" IS '"&amp;C13&amp;"';"</f>
        <v>COMMENT ON COLUMN milscm_2023_010.azn_202310_select_patient_basic.facility_id IS '施設ID';</v>
      </c>
    </row>
    <row r="14" spans="1:45" s="25" customFormat="1">
      <c r="A14" s="4"/>
      <c r="B14" s="21">
        <f t="shared" ref="B14:B22" si="2">ROW()-12</f>
        <v>2</v>
      </c>
      <c r="C14" s="6" t="s">
        <v>4015</v>
      </c>
      <c r="D14" s="6" t="s">
        <v>1843</v>
      </c>
      <c r="E14" s="8" t="s">
        <v>127</v>
      </c>
      <c r="F14" s="7" t="s">
        <v>1735</v>
      </c>
      <c r="G14" s="7" t="str">
        <f t="shared" ref="G14:G22" si="3">IF(F14="フラグ","boolean",IF(F14="文字列","text",IF(F14="整数","integer",IF(F14="実数","numeric",""))))</f>
        <v>text</v>
      </c>
      <c r="H14" s="26"/>
      <c r="I14" s="10" t="s">
        <v>127</v>
      </c>
      <c r="J14" s="11"/>
      <c r="M14" s="4"/>
      <c r="N14" s="97"/>
      <c r="O14" s="97"/>
      <c r="P14" s="97" t="str">
        <f t="shared" ref="P14:P22" si="4">IF(B14&lt;&gt;1,","&amp;D14,D14)</f>
        <v>,himoduke_id</v>
      </c>
      <c r="Q14" s="97" t="str">
        <f t="shared" si="0"/>
        <v>TEXT</v>
      </c>
      <c r="R14" s="97" t="str">
        <f t="shared" si="1"/>
        <v/>
      </c>
      <c r="S14" s="97" t="str">
        <f t="shared" ref="S14:S22" si="5">IF(I14="○","NOT NULL","")</f>
        <v>NOT NULL</v>
      </c>
      <c r="T14" s="97" t="str">
        <f t="shared" ref="T14:T22" si="6">"-- "&amp;C14</f>
        <v>-- 紐付けID</v>
      </c>
      <c r="U14" s="4"/>
      <c r="AA14" s="4"/>
      <c r="AB14" s="4"/>
      <c r="AC14" s="4"/>
      <c r="AD14" s="4"/>
      <c r="AE14" s="4"/>
      <c r="AF14" s="4"/>
      <c r="AG14" s="4"/>
      <c r="AH14" s="4"/>
      <c r="AI14" s="4"/>
      <c r="AJ14" s="97" t="str">
        <f>IF(E14="○",IF(COUNTA(E$13:E14)=1,"",",")&amp;D14,"")</f>
        <v>,himoduke_id</v>
      </c>
      <c r="AK14" s="4"/>
      <c r="AL14" s="4"/>
      <c r="AM14" s="4"/>
      <c r="AN14" s="4"/>
      <c r="AO14" s="4"/>
      <c r="AP14" s="4"/>
      <c r="AQ14" s="4"/>
      <c r="AR14" s="4"/>
      <c r="AS14" s="97" t="str">
        <f>"COMMENT ON COLUMN "&amp;エンティティ一覧!$O$2&amp;"."&amp;D$8&amp;"."&amp;D14&amp;" IS '"&amp;C14&amp;"';"</f>
        <v>COMMENT ON COLUMN milscm_2023_010.azn_202310_select_patient_basic.himoduke_id IS '紐付けID';</v>
      </c>
    </row>
    <row r="15" spans="1:45" s="25" customFormat="1">
      <c r="A15" s="4"/>
      <c r="B15" s="21">
        <f t="shared" si="2"/>
        <v>3</v>
      </c>
      <c r="C15" s="6" t="s">
        <v>4233</v>
      </c>
      <c r="D15" s="13" t="s">
        <v>4236</v>
      </c>
      <c r="E15" s="8"/>
      <c r="F15" s="7" t="s">
        <v>1735</v>
      </c>
      <c r="G15" s="7" t="str">
        <f t="shared" si="3"/>
        <v>text</v>
      </c>
      <c r="H15" s="26"/>
      <c r="I15" s="10" t="s">
        <v>127</v>
      </c>
      <c r="J15" s="11" t="s">
        <v>4311</v>
      </c>
      <c r="M15" s="4"/>
      <c r="N15" s="97"/>
      <c r="O15" s="97"/>
      <c r="P15" s="97" t="str">
        <f t="shared" si="4"/>
        <v>,age</v>
      </c>
      <c r="Q15" s="97" t="str">
        <f t="shared" si="0"/>
        <v>TEXT</v>
      </c>
      <c r="R15" s="97" t="str">
        <f t="shared" si="1"/>
        <v/>
      </c>
      <c r="S15" s="97" t="str">
        <f t="shared" si="5"/>
        <v>NOT NULL</v>
      </c>
      <c r="T15" s="97" t="str">
        <f t="shared" si="6"/>
        <v>-- 年齢</v>
      </c>
      <c r="U15" s="4"/>
      <c r="AA15" s="4"/>
      <c r="AB15" s="4"/>
      <c r="AC15" s="4"/>
      <c r="AD15" s="4"/>
      <c r="AE15" s="4"/>
      <c r="AF15" s="4"/>
      <c r="AG15" s="4"/>
      <c r="AH15" s="4"/>
      <c r="AI15" s="4"/>
      <c r="AJ15" s="97" t="str">
        <f>IF(E15="○",IF(COUNTA(E$13:E15)=1,"",",")&amp;D15,"")</f>
        <v/>
      </c>
      <c r="AK15" s="4"/>
      <c r="AL15" s="4"/>
      <c r="AM15" s="4"/>
      <c r="AN15" s="4"/>
      <c r="AO15" s="4"/>
      <c r="AP15" s="4"/>
      <c r="AQ15" s="4"/>
      <c r="AR15" s="4"/>
      <c r="AS15" s="97" t="str">
        <f>"COMMENT ON COLUMN "&amp;エンティティ一覧!$O$2&amp;"."&amp;D$8&amp;"."&amp;D15&amp;" IS '"&amp;C15&amp;"';"</f>
        <v>COMMENT ON COLUMN milscm_2023_010.azn_202310_select_patient_basic.age IS '年齢';</v>
      </c>
    </row>
    <row r="16" spans="1:45" s="25" customFormat="1">
      <c r="A16" s="4"/>
      <c r="B16" s="21">
        <f t="shared" si="2"/>
        <v>4</v>
      </c>
      <c r="C16" s="6" t="s">
        <v>1170</v>
      </c>
      <c r="D16" s="13" t="s">
        <v>4237</v>
      </c>
      <c r="E16" s="8"/>
      <c r="F16" s="7" t="s">
        <v>1735</v>
      </c>
      <c r="G16" s="7" t="str">
        <f t="shared" si="3"/>
        <v>text</v>
      </c>
      <c r="H16" s="26"/>
      <c r="I16" s="10" t="s">
        <v>127</v>
      </c>
      <c r="J16" s="11"/>
      <c r="M16" s="4"/>
      <c r="N16" s="97"/>
      <c r="O16" s="97"/>
      <c r="P16" s="97" t="str">
        <f t="shared" si="4"/>
        <v>,sex_kubun</v>
      </c>
      <c r="Q16" s="97" t="str">
        <f t="shared" si="0"/>
        <v>TEXT</v>
      </c>
      <c r="R16" s="97" t="str">
        <f t="shared" si="1"/>
        <v/>
      </c>
      <c r="S16" s="97" t="str">
        <f t="shared" si="5"/>
        <v>NOT NULL</v>
      </c>
      <c r="T16" s="97" t="str">
        <f t="shared" si="6"/>
        <v>-- 男女区分</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"&amp;エンティティ一覧!$O$2&amp;"."&amp;D$8&amp;"."&amp;D16&amp;" IS '"&amp;C16&amp;"';"</f>
        <v>COMMENT ON COLUMN milscm_2023_010.azn_202310_select_patient_basic.sex_kubun IS '男女区分';</v>
      </c>
    </row>
    <row r="17" spans="1:52" s="25" customFormat="1">
      <c r="A17" s="4"/>
      <c r="B17" s="21">
        <f t="shared" si="2"/>
        <v>5</v>
      </c>
      <c r="C17" s="6" t="s">
        <v>4234</v>
      </c>
      <c r="D17" s="13" t="s">
        <v>4238</v>
      </c>
      <c r="E17" s="8"/>
      <c r="F17" s="7" t="s">
        <v>1735</v>
      </c>
      <c r="G17" s="7" t="str">
        <f t="shared" si="3"/>
        <v>text</v>
      </c>
      <c r="H17" s="26"/>
      <c r="I17" s="10" t="s">
        <v>127</v>
      </c>
      <c r="J17" s="11" t="s">
        <v>4305</v>
      </c>
      <c r="M17" s="4"/>
      <c r="N17" s="97"/>
      <c r="O17" s="97"/>
      <c r="P17" s="97" t="str">
        <f t="shared" si="4"/>
        <v>,index_date</v>
      </c>
      <c r="Q17" s="97" t="str">
        <f t="shared" si="0"/>
        <v>TEXT</v>
      </c>
      <c r="R17" s="97" t="str">
        <f t="shared" si="1"/>
        <v/>
      </c>
      <c r="S17" s="97" t="str">
        <f t="shared" si="5"/>
        <v>NOT NULL</v>
      </c>
      <c r="T17" s="97" t="str">
        <f t="shared" si="6"/>
        <v>-- index_date</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milscm_2023_010.azn_202310_select_patient_basic.index_date IS 'index_date';</v>
      </c>
    </row>
    <row r="18" spans="1:52" s="25" customFormat="1" ht="37.5">
      <c r="A18" s="4"/>
      <c r="B18" s="21">
        <f t="shared" si="2"/>
        <v>6</v>
      </c>
      <c r="C18" s="6" t="s">
        <v>4240</v>
      </c>
      <c r="D18" s="13" t="s">
        <v>4239</v>
      </c>
      <c r="E18" s="8"/>
      <c r="F18" s="7" t="s">
        <v>1845</v>
      </c>
      <c r="G18" s="7" t="str">
        <f t="shared" si="3"/>
        <v>integer</v>
      </c>
      <c r="H18" s="26"/>
      <c r="I18" s="10" t="s">
        <v>127</v>
      </c>
      <c r="J18" s="11" t="s">
        <v>4306</v>
      </c>
      <c r="M18" s="4"/>
      <c r="N18" s="97"/>
      <c r="O18" s="97"/>
      <c r="P18" s="97" t="str">
        <f t="shared" si="4"/>
        <v>,look_back_term</v>
      </c>
      <c r="Q18" s="97" t="str">
        <f t="shared" si="0"/>
        <v>INTEGER</v>
      </c>
      <c r="R18" s="97" t="str">
        <f t="shared" si="1"/>
        <v/>
      </c>
      <c r="S18" s="97" t="str">
        <f t="shared" si="5"/>
        <v>NOT NULL</v>
      </c>
      <c r="T18" s="97" t="str">
        <f t="shared" si="6"/>
        <v>-- look_back期間</v>
      </c>
      <c r="U18" s="4"/>
      <c r="AA18" s="4"/>
      <c r="AB18" s="4"/>
      <c r="AC18" s="4"/>
      <c r="AD18" s="4"/>
      <c r="AE18" s="4"/>
      <c r="AF18" s="4"/>
      <c r="AG18" s="4"/>
      <c r="AH18" s="4"/>
      <c r="AI18" s="4"/>
      <c r="AJ18" s="97" t="str">
        <f>IF(E18="○",IF(COUNTA(E$13:E18)=1,"",",")&amp;D18,"")</f>
        <v/>
      </c>
      <c r="AK18" s="4"/>
      <c r="AL18" s="4"/>
      <c r="AM18" s="4"/>
      <c r="AN18" s="4"/>
      <c r="AO18" s="4"/>
      <c r="AP18" s="4"/>
      <c r="AQ18" s="4"/>
      <c r="AR18" s="4"/>
      <c r="AS18" s="97" t="str">
        <f>"COMMENT ON COLUMN "&amp;エンティティ一覧!$O$2&amp;"."&amp;D$8&amp;"."&amp;D18&amp;" IS '"&amp;C18&amp;"';"</f>
        <v>COMMENT ON COLUMN milscm_2023_010.azn_202310_select_patient_basic.look_back_term IS 'look_back期間';</v>
      </c>
    </row>
    <row r="19" spans="1:52" s="25" customFormat="1">
      <c r="A19" s="4"/>
      <c r="B19" s="21">
        <f t="shared" si="2"/>
        <v>7</v>
      </c>
      <c r="C19" s="6" t="s">
        <v>4307</v>
      </c>
      <c r="D19" s="13" t="s">
        <v>4241</v>
      </c>
      <c r="E19" s="8"/>
      <c r="F19" s="7" t="s">
        <v>1735</v>
      </c>
      <c r="G19" s="7" t="str">
        <f t="shared" si="3"/>
        <v>text</v>
      </c>
      <c r="H19" s="26"/>
      <c r="I19" s="10" t="s">
        <v>127</v>
      </c>
      <c r="J19" s="11" t="s">
        <v>4305</v>
      </c>
      <c r="M19" s="4"/>
      <c r="N19" s="97"/>
      <c r="O19" s="97"/>
      <c r="P19" s="97" t="str">
        <f t="shared" si="4"/>
        <v>,shoho_start_date</v>
      </c>
      <c r="Q19" s="97" t="str">
        <f t="shared" si="0"/>
        <v>TEXT</v>
      </c>
      <c r="R19" s="97" t="str">
        <f t="shared" si="1"/>
        <v/>
      </c>
      <c r="S19" s="97" t="str">
        <f t="shared" si="5"/>
        <v>NOT NULL</v>
      </c>
      <c r="T19" s="97" t="str">
        <f t="shared" si="6"/>
        <v>-- ロケルマ処方開始日</v>
      </c>
      <c r="U19" s="4"/>
      <c r="AA19" s="4"/>
      <c r="AB19" s="4"/>
      <c r="AC19" s="4"/>
      <c r="AD19" s="4"/>
      <c r="AE19" s="4"/>
      <c r="AF19" s="4"/>
      <c r="AG19" s="4"/>
      <c r="AH19" s="4"/>
      <c r="AI19" s="4"/>
      <c r="AJ19" s="97" t="str">
        <f>IF(E19="○",IF(COUNTA(E$13:E19)=1,"",",")&amp;D19,"")</f>
        <v/>
      </c>
      <c r="AK19" s="4"/>
      <c r="AL19" s="4"/>
      <c r="AM19" s="4"/>
      <c r="AN19" s="4"/>
      <c r="AO19" s="4"/>
      <c r="AP19" s="4"/>
      <c r="AQ19" s="4"/>
      <c r="AR19" s="4"/>
      <c r="AS19" s="97" t="str">
        <f>"COMMENT ON COLUMN "&amp;エンティティ一覧!$O$2&amp;"."&amp;D$8&amp;"."&amp;D19&amp;" IS '"&amp;C19&amp;"';"</f>
        <v>COMMENT ON COLUMN milscm_2023_010.azn_202310_select_patient_basic.shoho_start_date IS 'ロケルマ処方開始日';</v>
      </c>
    </row>
    <row r="20" spans="1:52" s="25" customFormat="1" ht="37.5">
      <c r="A20" s="4"/>
      <c r="B20" s="21">
        <f t="shared" si="2"/>
        <v>8</v>
      </c>
      <c r="C20" s="6" t="s">
        <v>4308</v>
      </c>
      <c r="D20" s="13" t="s">
        <v>4242</v>
      </c>
      <c r="E20" s="8"/>
      <c r="F20" s="7" t="s">
        <v>1735</v>
      </c>
      <c r="G20" s="7" t="str">
        <f t="shared" si="3"/>
        <v>text</v>
      </c>
      <c r="H20" s="26"/>
      <c r="I20" s="10" t="s">
        <v>127</v>
      </c>
      <c r="J20" s="11" t="s">
        <v>4310</v>
      </c>
      <c r="M20" s="4"/>
      <c r="N20" s="97"/>
      <c r="O20" s="97"/>
      <c r="P20" s="97" t="str">
        <f t="shared" si="4"/>
        <v>,shoho_end_date</v>
      </c>
      <c r="Q20" s="97" t="str">
        <f t="shared" si="0"/>
        <v>TEXT</v>
      </c>
      <c r="R20" s="97" t="str">
        <f t="shared" si="1"/>
        <v/>
      </c>
      <c r="S20" s="97" t="str">
        <f t="shared" si="5"/>
        <v>NOT NULL</v>
      </c>
      <c r="T20" s="97" t="str">
        <f t="shared" si="6"/>
        <v>-- ロケルマ処方終了日</v>
      </c>
      <c r="U20" s="4"/>
      <c r="AA20" s="4"/>
      <c r="AB20" s="4"/>
      <c r="AC20" s="4"/>
      <c r="AD20" s="4"/>
      <c r="AE20" s="4"/>
      <c r="AF20" s="4"/>
      <c r="AG20" s="4"/>
      <c r="AH20" s="4"/>
      <c r="AI20" s="4"/>
      <c r="AJ20" s="97" t="str">
        <f>IF(E20="○",IF(COUNTA(E$13:E20)=1,"",",")&amp;D20,"")</f>
        <v/>
      </c>
      <c r="AK20" s="4"/>
      <c r="AL20" s="4"/>
      <c r="AM20" s="4"/>
      <c r="AN20" s="4"/>
      <c r="AO20" s="4"/>
      <c r="AP20" s="4"/>
      <c r="AQ20" s="4"/>
      <c r="AR20" s="4"/>
      <c r="AS20" s="97" t="str">
        <f>"COMMENT ON COLUMN "&amp;エンティティ一覧!$O$2&amp;"."&amp;D$8&amp;"."&amp;D20&amp;" IS '"&amp;C20&amp;"';"</f>
        <v>COMMENT ON COLUMN milscm_2023_010.azn_202310_select_patient_basic.shoho_end_date IS 'ロケルマ処方終了日';</v>
      </c>
    </row>
    <row r="21" spans="1:52" s="25" customFormat="1">
      <c r="A21" s="4"/>
      <c r="B21" s="21">
        <f t="shared" si="2"/>
        <v>9</v>
      </c>
      <c r="C21" s="6" t="s">
        <v>4235</v>
      </c>
      <c r="D21" s="13" t="s">
        <v>4243</v>
      </c>
      <c r="E21" s="8"/>
      <c r="F21" s="7" t="s">
        <v>1845</v>
      </c>
      <c r="G21" s="7" t="str">
        <f t="shared" si="3"/>
        <v>integer</v>
      </c>
      <c r="H21" s="26"/>
      <c r="I21" s="10" t="s">
        <v>127</v>
      </c>
      <c r="J21" s="11" t="s">
        <v>4309</v>
      </c>
      <c r="M21" s="4"/>
      <c r="N21" s="97"/>
      <c r="O21" s="97"/>
      <c r="P21" s="97" t="str">
        <f t="shared" si="4"/>
        <v>,shoho_term</v>
      </c>
      <c r="Q21" s="97" t="str">
        <f t="shared" si="0"/>
        <v>INTEGER</v>
      </c>
      <c r="R21" s="97" t="str">
        <f t="shared" si="1"/>
        <v/>
      </c>
      <c r="S21" s="97" t="str">
        <f t="shared" si="5"/>
        <v>NOT NULL</v>
      </c>
      <c r="T21" s="97" t="str">
        <f t="shared" si="6"/>
        <v>-- ロケルマ処方期間</v>
      </c>
      <c r="U21" s="4"/>
      <c r="AA21" s="4"/>
      <c r="AB21" s="4"/>
      <c r="AC21" s="4"/>
      <c r="AD21" s="4"/>
      <c r="AE21" s="4"/>
      <c r="AF21" s="4"/>
      <c r="AG21" s="4"/>
      <c r="AH21" s="4"/>
      <c r="AI21" s="4"/>
      <c r="AJ21" s="97" t="str">
        <f>IF(E21="○",IF(COUNTA(E$13:E21)=1,"",",")&amp;D21,"")</f>
        <v/>
      </c>
      <c r="AK21" s="4"/>
      <c r="AL21" s="4"/>
      <c r="AM21" s="4"/>
      <c r="AN21" s="4"/>
      <c r="AO21" s="4"/>
      <c r="AP21" s="4"/>
      <c r="AQ21" s="4"/>
      <c r="AR21" s="4"/>
      <c r="AS21" s="97" t="str">
        <f>"COMMENT ON COLUMN "&amp;エンティティ一覧!$O$2&amp;"."&amp;D$8&amp;"."&amp;D21&amp;" IS '"&amp;C21&amp;"';"</f>
        <v>COMMENT ON COLUMN milscm_2023_010.azn_202310_select_patient_basic.shoho_term IS 'ロケルマ処方期間';</v>
      </c>
    </row>
    <row r="22" spans="1:52" s="25" customFormat="1" ht="38.25" thickBot="1">
      <c r="A22" s="4"/>
      <c r="B22" s="65">
        <f t="shared" si="2"/>
        <v>10</v>
      </c>
      <c r="C22" s="57" t="s">
        <v>4302</v>
      </c>
      <c r="D22" s="57" t="s">
        <v>4303</v>
      </c>
      <c r="E22" s="56"/>
      <c r="F22" s="56" t="s">
        <v>1735</v>
      </c>
      <c r="G22" s="56" t="str">
        <f t="shared" si="3"/>
        <v>text</v>
      </c>
      <c r="H22" s="59"/>
      <c r="I22" s="60" t="s">
        <v>127</v>
      </c>
      <c r="J22" s="61" t="s">
        <v>4304</v>
      </c>
      <c r="M22" s="4"/>
      <c r="N22" s="97"/>
      <c r="O22" s="97"/>
      <c r="P22" s="97" t="str">
        <f t="shared" si="4"/>
        <v>,department</v>
      </c>
      <c r="Q22" s="97" t="str">
        <f t="shared" si="0"/>
        <v>TEXT</v>
      </c>
      <c r="R22" s="97" t="str">
        <f t="shared" si="1"/>
        <v/>
      </c>
      <c r="S22" s="97" t="str">
        <f t="shared" si="5"/>
        <v>NOT NULL</v>
      </c>
      <c r="T22" s="97" t="str">
        <f t="shared" si="6"/>
        <v>-- 診療科</v>
      </c>
      <c r="U22" s="4"/>
      <c r="AA22" s="4"/>
      <c r="AB22" s="4"/>
      <c r="AC22" s="4"/>
      <c r="AD22" s="4"/>
      <c r="AE22" s="4"/>
      <c r="AF22" s="4"/>
      <c r="AG22" s="4"/>
      <c r="AH22" s="4"/>
      <c r="AI22" s="4"/>
      <c r="AJ22" s="97" t="str">
        <f>IF(E22="○",IF(COUNTA(E$13:E22)=1,"",",")&amp;D22,"")</f>
        <v/>
      </c>
      <c r="AK22" s="4"/>
      <c r="AL22" s="4"/>
      <c r="AM22" s="4"/>
      <c r="AN22" s="4"/>
      <c r="AO22" s="4"/>
      <c r="AP22" s="4"/>
      <c r="AQ22" s="4"/>
      <c r="AR22" s="4"/>
      <c r="AS22" s="97" t="str">
        <f>"COMMENT ON COLUMN "&amp;エンティティ一覧!$O$2&amp;"."&amp;D$8&amp;"."&amp;D22&amp;" IS '"&amp;C22&amp;"';"</f>
        <v>COMMENT ON COLUMN milscm_2023_010.azn_202310_select_patient_basic.department IS '診療科';</v>
      </c>
    </row>
    <row r="23" spans="1:52">
      <c r="L23" s="25"/>
      <c r="M23" s="25"/>
      <c r="N23" s="97" t="s">
        <v>142</v>
      </c>
      <c r="O23" s="97"/>
      <c r="P23" s="97"/>
      <c r="Q23" s="97"/>
      <c r="R23" s="97"/>
      <c r="S23" s="97"/>
      <c r="T23" s="97"/>
      <c r="V23" s="25"/>
      <c r="W23" s="25"/>
      <c r="X23" s="25"/>
      <c r="Y23" s="25"/>
      <c r="Z23" s="25"/>
      <c r="AJ23" s="97"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51</v>
      </c>
      <c r="E4" s="248"/>
      <c r="F4" s="248"/>
      <c r="G4" s="248"/>
      <c r="H4" s="248"/>
      <c r="I4" s="248"/>
      <c r="J4" s="249"/>
    </row>
    <row r="5" spans="1:45">
      <c r="B5" s="261" t="s">
        <v>3704</v>
      </c>
      <c r="C5" s="262"/>
      <c r="D5" s="271" t="str">
        <f>VLOOKUP(D7,エンティティ一覧!A1:'エンティティ一覧'!AM10203,7,FALSE)</f>
        <v>select</v>
      </c>
      <c r="E5" s="272"/>
      <c r="F5" s="272"/>
      <c r="G5" s="272"/>
      <c r="H5" s="272"/>
      <c r="I5" s="272"/>
      <c r="J5" s="273"/>
    </row>
    <row r="6" spans="1:45">
      <c r="B6" s="261" t="s">
        <v>3705</v>
      </c>
      <c r="C6" s="262"/>
      <c r="D6" s="271" t="str">
        <f>VLOOKUP(D7,エンティティ一覧!A1:'エンティティ一覧'!AM10203,15,FALSE)</f>
        <v>ENT_51_02</v>
      </c>
      <c r="E6" s="272"/>
      <c r="F6" s="272"/>
      <c r="G6" s="272"/>
      <c r="H6" s="272"/>
      <c r="I6" s="272"/>
      <c r="J6" s="273"/>
    </row>
    <row r="7" spans="1:45">
      <c r="B7" s="261" t="s">
        <v>115</v>
      </c>
      <c r="C7" s="262"/>
      <c r="D7" s="263" t="s">
        <v>4244</v>
      </c>
      <c r="E7" s="264"/>
      <c r="F7" s="264"/>
      <c r="G7" s="264"/>
      <c r="H7" s="264"/>
      <c r="I7" s="264"/>
      <c r="J7" s="265"/>
    </row>
    <row r="8" spans="1:45">
      <c r="B8" s="261" t="s">
        <v>116</v>
      </c>
      <c r="C8" s="262"/>
      <c r="D8" s="263" t="str">
        <f>エンティティ一覧!AE2&amp;"_"&amp;D5&amp;"_kensa"</f>
        <v>azn_202310_select_kensa</v>
      </c>
      <c r="E8" s="264"/>
      <c r="F8" s="264"/>
      <c r="G8" s="264"/>
      <c r="H8" s="264"/>
      <c r="I8" s="264"/>
      <c r="J8" s="265"/>
    </row>
    <row r="9" spans="1:45" ht="19.5" customHeight="1" thickBot="1">
      <c r="B9" s="266" t="s">
        <v>117</v>
      </c>
      <c r="C9" s="267"/>
      <c r="D9" s="268" t="s">
        <v>4486</v>
      </c>
      <c r="E9" s="269"/>
      <c r="F9" s="269"/>
      <c r="G9" s="269"/>
      <c r="H9" s="269"/>
      <c r="I9" s="269"/>
      <c r="J9" s="270"/>
    </row>
    <row r="10" spans="1:45">
      <c r="B10" s="19"/>
      <c r="C10" s="19"/>
      <c r="D10" s="5"/>
      <c r="E10" s="5"/>
      <c r="F10" s="5"/>
      <c r="G10" s="5"/>
      <c r="H10" s="5"/>
      <c r="I10" s="5"/>
      <c r="J10" s="18"/>
      <c r="N10" s="97" t="str">
        <f>"--DROP TABLE  "&amp;エンティティ一覧!$O$2&amp;"."&amp;D$8&amp;";"</f>
        <v>--DROP TABLE  milscm_2023_010.azn_202310_select_kensa;</v>
      </c>
      <c r="O10" s="97"/>
      <c r="P10" s="97"/>
      <c r="Q10" s="97"/>
      <c r="R10" s="97"/>
      <c r="S10" s="97"/>
      <c r="T10" s="97"/>
      <c r="AJ10" s="97" t="str">
        <f>"ALTER TABLE ONLY "&amp;エンティティ一覧!$O$2&amp;"."&amp;D$8</f>
        <v>ALTER TABLE ONLY milscm_2023_010.azn_202310_select_kensa</v>
      </c>
      <c r="AS10" s="97" t="str">
        <f>"ALTER TABLE "&amp;エンティティ一覧!$O$2&amp;"."&amp;D$8&amp;" OWNER TO pgmisgrp1;"</f>
        <v>ALTER TABLE milscm_2023_010.azn_202310_select_kensa OWNER TO pgmisgrp1;</v>
      </c>
    </row>
    <row r="11" spans="1:45" ht="19.5" thickBot="1">
      <c r="B11" s="20" t="s">
        <v>118</v>
      </c>
      <c r="C11" s="19"/>
      <c r="D11" s="5"/>
      <c r="E11" s="5"/>
      <c r="F11" s="5"/>
      <c r="G11" s="5"/>
      <c r="H11" s="5"/>
      <c r="I11" s="5"/>
      <c r="J11" s="18"/>
      <c r="N11" s="97" t="str">
        <f>"CREATE TABLE  "&amp;エンティティ一覧!$O$2&amp;"."&amp;D$8</f>
        <v>CREATE TABLE  milscm_2023_010.azn_202310_select_kensa</v>
      </c>
      <c r="O11" s="97"/>
      <c r="P11" s="97"/>
      <c r="Q11" s="97"/>
      <c r="R11" s="97"/>
      <c r="S11" s="97"/>
      <c r="T11" s="97"/>
      <c r="AJ11" s="97" t="str">
        <f>"ADD CONSTRAINT "&amp;D$8&amp;"_pkey PRIMARY KEY"</f>
        <v>ADD CONSTRAINT azn_202310_select_kensa_pkey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milscm_2023_010.azn_202310_select_kensa IS 'セレクト_検査データ';</v>
      </c>
    </row>
    <row r="13" spans="1:45" s="25" customFormat="1">
      <c r="A13" s="4"/>
      <c r="B13" s="21">
        <f>ROW()-12</f>
        <v>1</v>
      </c>
      <c r="C13" s="6" t="s">
        <v>137</v>
      </c>
      <c r="D13" s="6" t="s">
        <v>128</v>
      </c>
      <c r="E13" s="8" t="s">
        <v>127</v>
      </c>
      <c r="F13" s="8" t="s">
        <v>1735</v>
      </c>
      <c r="G13" s="7" t="str">
        <f>IF(F13="フラグ","boolean",IF(F13="文字列","text",IF(F13="整数","integer",IF(F13="実数","numeric",""))))</f>
        <v>text</v>
      </c>
      <c r="H13" s="9"/>
      <c r="I13" s="10" t="s">
        <v>127</v>
      </c>
      <c r="J13" s="11"/>
      <c r="M13" s="4"/>
      <c r="N13" s="97"/>
      <c r="O13" s="97"/>
      <c r="P13" s="97" t="str">
        <f>IF(B13&lt;&gt;1,","&amp;D13,D13)</f>
        <v>facility_id</v>
      </c>
      <c r="Q13" s="97" t="str">
        <f t="shared" ref="Q13:Q14" si="0">UPPER(G13)</f>
        <v>TEXT</v>
      </c>
      <c r="R13" s="97" t="str">
        <f t="shared" ref="R13:R14" si="1">IF(H13&lt;&gt;"","default "&amp;IF(G13="text","'"&amp;H13&amp;"'",H13),"")</f>
        <v/>
      </c>
      <c r="S13" s="97" t="str">
        <f>IF(I13="○","NOT NULL","")</f>
        <v>NOT NULL</v>
      </c>
      <c r="T13" s="97" t="str">
        <f>"-- "&amp;C13</f>
        <v>-- 施設ID</v>
      </c>
      <c r="U13" s="4"/>
      <c r="AA13" s="4"/>
      <c r="AB13" s="4"/>
      <c r="AC13" s="4"/>
      <c r="AD13" s="4"/>
      <c r="AE13" s="4"/>
      <c r="AF13" s="4"/>
      <c r="AG13" s="4"/>
      <c r="AH13" s="4"/>
      <c r="AI13" s="4"/>
      <c r="AJ13" s="97" t="str">
        <f>IF(E13="○",IF(COUNTA(E$13:E13)=1,"",",")&amp;D13,"")</f>
        <v>facility_id</v>
      </c>
      <c r="AK13" s="4"/>
      <c r="AL13" s="4"/>
      <c r="AM13" s="4"/>
      <c r="AN13" s="4"/>
      <c r="AO13" s="4"/>
      <c r="AP13" s="4"/>
      <c r="AQ13" s="4"/>
      <c r="AR13" s="4"/>
      <c r="AS13" s="97" t="str">
        <f>"COMMENT ON COLUMN "&amp;エンティティ一覧!$O$2&amp;"."&amp;D$8&amp;"."&amp;D13&amp;" IS '"&amp;C13&amp;"';"</f>
        <v>COMMENT ON COLUMN milscm_2023_010.azn_202310_select_kensa.facility_id IS '施設ID';</v>
      </c>
    </row>
    <row r="14" spans="1:45" s="25" customFormat="1">
      <c r="A14" s="4"/>
      <c r="B14" s="21">
        <f t="shared" ref="B14:B17" si="2">ROW()-12</f>
        <v>2</v>
      </c>
      <c r="C14" s="6" t="s">
        <v>4015</v>
      </c>
      <c r="D14" s="6" t="s">
        <v>1843</v>
      </c>
      <c r="E14" s="8" t="s">
        <v>127</v>
      </c>
      <c r="F14" s="7" t="s">
        <v>1735</v>
      </c>
      <c r="G14" s="7" t="str">
        <f t="shared" ref="G14" si="3">IF(F14="フラグ","boolean",IF(F14="文字列","text",IF(F14="整数","integer",IF(F14="実数","numeric",""))))</f>
        <v>text</v>
      </c>
      <c r="H14" s="26"/>
      <c r="I14" s="10" t="s">
        <v>127</v>
      </c>
      <c r="J14" s="11"/>
      <c r="M14" s="4"/>
      <c r="N14" s="97"/>
      <c r="O14" s="97"/>
      <c r="P14" s="97" t="str">
        <f t="shared" ref="P14" si="4">IF(B14&lt;&gt;1,","&amp;D14,D14)</f>
        <v>,himoduke_id</v>
      </c>
      <c r="Q14" s="97" t="str">
        <f t="shared" si="0"/>
        <v>TEXT</v>
      </c>
      <c r="R14" s="97" t="str">
        <f t="shared" si="1"/>
        <v/>
      </c>
      <c r="S14" s="97" t="str">
        <f t="shared" ref="S14" si="5">IF(I14="○","NOT NULL","")</f>
        <v>NOT NULL</v>
      </c>
      <c r="T14" s="97" t="str">
        <f t="shared" ref="T14" si="6">"-- "&amp;C14</f>
        <v>-- 紐付けID</v>
      </c>
      <c r="U14" s="4"/>
      <c r="AA14" s="4"/>
      <c r="AB14" s="4"/>
      <c r="AC14" s="4"/>
      <c r="AD14" s="4"/>
      <c r="AE14" s="4"/>
      <c r="AF14" s="4"/>
      <c r="AG14" s="4"/>
      <c r="AH14" s="4"/>
      <c r="AI14" s="4"/>
      <c r="AJ14" s="97" t="str">
        <f>IF(E14="○",IF(COUNTA(E$13:E14)=1,"",",")&amp;D14,"")</f>
        <v>,himoduke_id</v>
      </c>
      <c r="AK14" s="4"/>
      <c r="AL14" s="4"/>
      <c r="AM14" s="4"/>
      <c r="AN14" s="4"/>
      <c r="AO14" s="4"/>
      <c r="AP14" s="4"/>
      <c r="AQ14" s="4"/>
      <c r="AR14" s="4"/>
      <c r="AS14" s="97" t="str">
        <f>"COMMENT ON COLUMN "&amp;エンティティ一覧!$O$2&amp;"."&amp;D$8&amp;"."&amp;D14&amp;" IS '"&amp;C14&amp;"';"</f>
        <v>COMMENT ON COLUMN milscm_2023_010.azn_202310_select_kensa.himoduke_id IS '紐付けID';</v>
      </c>
    </row>
    <row r="15" spans="1:45" s="25" customFormat="1" ht="37.5">
      <c r="A15" s="4"/>
      <c r="B15" s="21">
        <f t="shared" si="2"/>
        <v>3</v>
      </c>
      <c r="C15" s="13" t="s">
        <v>4188</v>
      </c>
      <c r="D15" s="13" t="s">
        <v>1640</v>
      </c>
      <c r="E15" s="7"/>
      <c r="F15" s="7" t="s">
        <v>1742</v>
      </c>
      <c r="G15" s="7" t="str">
        <f t="shared" ref="G15" si="7">IF(F15="フラグ","boolean",IF(F15="文字列","text",IF(F15="整数","integer",IF(F15="実数","numeric",""))))</f>
        <v>numeric</v>
      </c>
      <c r="H15" s="58"/>
      <c r="I15" s="23"/>
      <c r="J15" s="24" t="s">
        <v>4313</v>
      </c>
      <c r="M15" s="4"/>
      <c r="N15" s="97"/>
      <c r="O15" s="97"/>
      <c r="P15" s="97" t="str">
        <f t="shared" ref="P15:P16" si="8">IF(B15&lt;&gt;1,","&amp;D15,D15)</f>
        <v>,num_value</v>
      </c>
      <c r="Q15" s="97" t="str">
        <f t="shared" ref="Q15:Q16" si="9">UPPER(G15)</f>
        <v>NUMERIC</v>
      </c>
      <c r="R15" s="97" t="str">
        <f t="shared" ref="R15:R16" si="10">IF(H15&lt;&gt;"","default "&amp;IF(G15="text","'"&amp;H15&amp;"'",H15),"")</f>
        <v/>
      </c>
      <c r="S15" s="97" t="str">
        <f t="shared" ref="S15:S16" si="11">IF(I15="○","NOT NULL","")</f>
        <v/>
      </c>
      <c r="T15" s="97" t="str">
        <f t="shared" ref="T15:T16" si="12">"-- "&amp;C15</f>
        <v>-- 数値結果</v>
      </c>
      <c r="U15" s="4"/>
      <c r="AA15" s="4"/>
      <c r="AB15" s="4"/>
      <c r="AC15" s="4"/>
      <c r="AD15" s="4"/>
      <c r="AE15" s="4"/>
      <c r="AF15" s="4"/>
      <c r="AG15" s="4"/>
      <c r="AH15" s="4"/>
      <c r="AI15" s="4"/>
      <c r="AJ15" s="97" t="str">
        <f>IF(E15="○",IF(COUNTA(E$13:E15)=1,"",",")&amp;D15,"")</f>
        <v/>
      </c>
      <c r="AK15" s="4"/>
      <c r="AL15" s="4"/>
      <c r="AM15" s="4"/>
      <c r="AN15" s="4"/>
      <c r="AO15" s="4"/>
      <c r="AP15" s="4"/>
      <c r="AQ15" s="4"/>
      <c r="AR15" s="4"/>
      <c r="AS15" s="97" t="str">
        <f>"COMMENT ON COLUMN "&amp;エンティティ一覧!$O$2&amp;"."&amp;D$8&amp;"."&amp;D15&amp;" IS '"&amp;C15&amp;"';"</f>
        <v>COMMENT ON COLUMN milscm_2023_010.azn_202310_select_kensa.num_value IS '数値結果';</v>
      </c>
    </row>
    <row r="16" spans="1:45" s="25" customFormat="1" ht="37.5">
      <c r="A16" s="4"/>
      <c r="B16" s="21">
        <f t="shared" si="2"/>
        <v>4</v>
      </c>
      <c r="C16" s="13" t="s">
        <v>1546</v>
      </c>
      <c r="D16" s="13" t="s">
        <v>1547</v>
      </c>
      <c r="E16" s="7" t="s">
        <v>127</v>
      </c>
      <c r="F16" s="7" t="s">
        <v>1735</v>
      </c>
      <c r="G16" s="7" t="str">
        <f t="shared" ref="G16" si="13">IF(F16="フラグ","boolean",IF(F16="文字列","text",IF(F16="整数","integer",IF(F16="実数","numeric",""))))</f>
        <v>text</v>
      </c>
      <c r="H16" s="58"/>
      <c r="I16" s="23" t="s">
        <v>127</v>
      </c>
      <c r="J16" s="24" t="s">
        <v>4314</v>
      </c>
      <c r="M16" s="4"/>
      <c r="N16" s="97"/>
      <c r="O16" s="97"/>
      <c r="P16" s="97" t="str">
        <f t="shared" si="8"/>
        <v>,sample_time</v>
      </c>
      <c r="Q16" s="97" t="str">
        <f t="shared" si="9"/>
        <v>TEXT</v>
      </c>
      <c r="R16" s="97" t="str">
        <f t="shared" si="10"/>
        <v/>
      </c>
      <c r="S16" s="97" t="str">
        <f t="shared" si="11"/>
        <v>NOT NULL</v>
      </c>
      <c r="T16" s="97" t="str">
        <f t="shared" si="12"/>
        <v>-- 採取日時</v>
      </c>
      <c r="U16" s="4"/>
      <c r="AA16" s="4"/>
      <c r="AB16" s="4"/>
      <c r="AC16" s="4"/>
      <c r="AD16" s="4"/>
      <c r="AE16" s="4"/>
      <c r="AF16" s="4"/>
      <c r="AG16" s="4"/>
      <c r="AH16" s="4"/>
      <c r="AI16" s="4"/>
      <c r="AJ16" s="97" t="str">
        <f>IF(E16="○",IF(COUNTA(E$13:E16)=1,"",",")&amp;D16,"")</f>
        <v>,sample_time</v>
      </c>
      <c r="AK16" s="4"/>
      <c r="AL16" s="4"/>
      <c r="AM16" s="4"/>
      <c r="AN16" s="4"/>
      <c r="AO16" s="4"/>
      <c r="AP16" s="4"/>
      <c r="AQ16" s="4"/>
      <c r="AR16" s="4"/>
      <c r="AS16" s="97" t="str">
        <f>"COMMENT ON COLUMN "&amp;エンティティ一覧!$O$2&amp;"."&amp;D$8&amp;"."&amp;D16&amp;" IS '"&amp;C16&amp;"';"</f>
        <v>COMMENT ON COLUMN milscm_2023_010.azn_202310_select_kensa.sample_time IS '採取日時';</v>
      </c>
    </row>
    <row r="17" spans="1:52" s="25" customFormat="1" ht="19.5" thickBot="1">
      <c r="A17" s="4"/>
      <c r="B17" s="65">
        <f t="shared" si="2"/>
        <v>5</v>
      </c>
      <c r="C17" s="57" t="s">
        <v>4312</v>
      </c>
      <c r="D17" s="57" t="s">
        <v>4007</v>
      </c>
      <c r="E17" s="56" t="s">
        <v>127</v>
      </c>
      <c r="F17" s="56" t="s">
        <v>1735</v>
      </c>
      <c r="G17" s="56" t="str">
        <f t="shared" ref="G17" si="14">IF(F17="フラグ","boolean",IF(F17="文字列","text",IF(F17="整数","integer",IF(F17="実数","numeric",""))))</f>
        <v>text</v>
      </c>
      <c r="H17" s="59"/>
      <c r="I17" s="60" t="s">
        <v>127</v>
      </c>
      <c r="J17" s="61"/>
      <c r="M17" s="4"/>
      <c r="N17" s="97"/>
      <c r="O17" s="97"/>
      <c r="P17" s="97" t="str">
        <f t="shared" ref="P17" si="15">IF(B17&lt;&gt;1,","&amp;D17,D17)</f>
        <v>,disp_name</v>
      </c>
      <c r="Q17" s="97" t="str">
        <f t="shared" ref="Q17" si="16">UPPER(G17)</f>
        <v>TEXT</v>
      </c>
      <c r="R17" s="97" t="str">
        <f t="shared" ref="R17" si="17">IF(H17&lt;&gt;"","default "&amp;IF(G17="text","'"&amp;H17&amp;"'",H17),"")</f>
        <v/>
      </c>
      <c r="S17" s="97" t="str">
        <f t="shared" ref="S17" si="18">IF(I17="○","NOT NULL","")</f>
        <v>NOT NULL</v>
      </c>
      <c r="T17" s="97" t="str">
        <f t="shared" ref="T17" si="19">"-- "&amp;C17</f>
        <v>-- 表示名</v>
      </c>
      <c r="U17" s="4"/>
      <c r="AA17" s="4"/>
      <c r="AB17" s="4"/>
      <c r="AC17" s="4"/>
      <c r="AD17" s="4"/>
      <c r="AE17" s="4"/>
      <c r="AF17" s="4"/>
      <c r="AG17" s="4"/>
      <c r="AH17" s="4"/>
      <c r="AI17" s="4"/>
      <c r="AJ17" s="97" t="str">
        <f>IF(E17="○",IF(COUNTA(E$13:E17)=1,"",",")&amp;D17,"")</f>
        <v>,disp_name</v>
      </c>
      <c r="AK17" s="4"/>
      <c r="AL17" s="4"/>
      <c r="AM17" s="4"/>
      <c r="AN17" s="4"/>
      <c r="AO17" s="4"/>
      <c r="AP17" s="4"/>
      <c r="AQ17" s="4"/>
      <c r="AR17" s="4"/>
      <c r="AS17" s="97" t="str">
        <f>"COMMENT ON COLUMN "&amp;エンティティ一覧!$O$2&amp;"."&amp;D$8&amp;"."&amp;D17&amp;" IS '"&amp;C17&amp;"';"</f>
        <v>COMMENT ON COLUMN milscm_2023_010.azn_202310_select_kensa.disp_name IS '表示名';</v>
      </c>
    </row>
    <row r="18" spans="1:52">
      <c r="L18" s="25"/>
      <c r="M18" s="25"/>
      <c r="N18" s="97" t="s">
        <v>142</v>
      </c>
      <c r="O18" s="97"/>
      <c r="P18" s="97"/>
      <c r="Q18" s="97"/>
      <c r="R18" s="97"/>
      <c r="S18" s="97"/>
      <c r="T18" s="97"/>
      <c r="V18" s="25"/>
      <c r="W18" s="25"/>
      <c r="X18" s="25"/>
      <c r="Y18" s="25"/>
      <c r="Z18" s="25"/>
      <c r="AJ18" s="97"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C28" s="4" t="s">
        <v>4320</v>
      </c>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drawing r:id="rId2"/>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51</v>
      </c>
      <c r="E4" s="248"/>
      <c r="F4" s="248"/>
      <c r="G4" s="248"/>
      <c r="H4" s="248"/>
      <c r="I4" s="248"/>
      <c r="J4" s="249"/>
    </row>
    <row r="5" spans="1:45">
      <c r="B5" s="261" t="s">
        <v>3704</v>
      </c>
      <c r="C5" s="262"/>
      <c r="D5" s="271" t="str">
        <f>VLOOKUP(D7,エンティティ一覧!A1:'エンティティ一覧'!AM10203,7,FALSE)</f>
        <v>select</v>
      </c>
      <c r="E5" s="272"/>
      <c r="F5" s="272"/>
      <c r="G5" s="272"/>
      <c r="H5" s="272"/>
      <c r="I5" s="272"/>
      <c r="J5" s="273"/>
    </row>
    <row r="6" spans="1:45">
      <c r="B6" s="261" t="s">
        <v>3705</v>
      </c>
      <c r="C6" s="262"/>
      <c r="D6" s="271" t="str">
        <f>VLOOKUP(D7,エンティティ一覧!A1:'エンティティ一覧'!AM10203,15,FALSE)</f>
        <v>ENT_51_03</v>
      </c>
      <c r="E6" s="272"/>
      <c r="F6" s="272"/>
      <c r="G6" s="272"/>
      <c r="H6" s="272"/>
      <c r="I6" s="272"/>
      <c r="J6" s="273"/>
    </row>
    <row r="7" spans="1:45">
      <c r="B7" s="261" t="s">
        <v>115</v>
      </c>
      <c r="C7" s="262"/>
      <c r="D7" s="263" t="s">
        <v>4120</v>
      </c>
      <c r="E7" s="264"/>
      <c r="F7" s="264"/>
      <c r="G7" s="264"/>
      <c r="H7" s="264"/>
      <c r="I7" s="264"/>
      <c r="J7" s="265"/>
    </row>
    <row r="8" spans="1:45">
      <c r="B8" s="261" t="s">
        <v>116</v>
      </c>
      <c r="C8" s="262"/>
      <c r="D8" s="263" t="str">
        <f>エンティティ一覧!AE2&amp;"_"&amp;D5&amp;"_kanja_backborn_kensa"</f>
        <v>azn_202310_select_kanja_backborn_kensa</v>
      </c>
      <c r="E8" s="264"/>
      <c r="F8" s="264"/>
      <c r="G8" s="264"/>
      <c r="H8" s="264"/>
      <c r="I8" s="264"/>
      <c r="J8" s="265"/>
    </row>
    <row r="9" spans="1:45" ht="19.5" customHeight="1" thickBot="1">
      <c r="B9" s="266" t="s">
        <v>117</v>
      </c>
      <c r="C9" s="267"/>
      <c r="D9" s="268" t="s">
        <v>4487</v>
      </c>
      <c r="E9" s="269"/>
      <c r="F9" s="269"/>
      <c r="G9" s="269"/>
      <c r="H9" s="269"/>
      <c r="I9" s="269"/>
      <c r="J9" s="270"/>
    </row>
    <row r="10" spans="1:45">
      <c r="B10" s="19"/>
      <c r="C10" s="19"/>
      <c r="D10" s="5"/>
      <c r="E10" s="5"/>
      <c r="F10" s="5"/>
      <c r="G10" s="5"/>
      <c r="H10" s="5"/>
      <c r="I10" s="5"/>
      <c r="J10" s="18"/>
      <c r="N10" s="97" t="str">
        <f>"--DROP TABLE  "&amp;エンティティ一覧!$O$2&amp;"."&amp;D$8&amp;";"</f>
        <v>--DROP TABLE  milscm_2023_010.azn_202310_select_kanja_backborn_kensa;</v>
      </c>
      <c r="O10" s="97"/>
      <c r="P10" s="97"/>
      <c r="Q10" s="97"/>
      <c r="R10" s="97"/>
      <c r="S10" s="97"/>
      <c r="T10" s="97"/>
      <c r="AJ10" s="97" t="str">
        <f>"ALTER TABLE ONLY "&amp;エンティティ一覧!$O$2&amp;"."&amp;D$8</f>
        <v>ALTER TABLE ONLY milscm_2023_010.azn_202310_select_kanja_backborn_kensa</v>
      </c>
      <c r="AS10" s="97" t="str">
        <f>"ALTER TABLE "&amp;エンティティ一覧!$O$2&amp;"."&amp;D$8&amp;" OWNER TO pgmisgrp1;"</f>
        <v>ALTER TABLE milscm_2023_010.azn_202310_select_kanja_backborn_kensa OWNER TO pgmisgrp1;</v>
      </c>
    </row>
    <row r="11" spans="1:45" ht="19.5" thickBot="1">
      <c r="B11" s="20" t="s">
        <v>118</v>
      </c>
      <c r="C11" s="19"/>
      <c r="D11" s="5"/>
      <c r="E11" s="5"/>
      <c r="F11" s="5"/>
      <c r="G11" s="5"/>
      <c r="H11" s="5"/>
      <c r="I11" s="5"/>
      <c r="J11" s="18"/>
      <c r="N11" s="97" t="str">
        <f>"CREATE TABLE  "&amp;エンティティ一覧!$O$2&amp;"."&amp;D$8</f>
        <v>CREATE TABLE  milscm_2023_010.azn_202310_select_kanja_backborn_kensa</v>
      </c>
      <c r="O11" s="97"/>
      <c r="P11" s="97"/>
      <c r="Q11" s="97"/>
      <c r="R11" s="97"/>
      <c r="S11" s="97"/>
      <c r="T11" s="97"/>
      <c r="AJ11" s="97" t="str">
        <f>"ADD CONSTRAINT "&amp;D$8&amp;"_pkey PRIMARY KEY"</f>
        <v>ADD CONSTRAINT azn_202310_select_kanja_backborn_kensa_pkey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milscm_2023_010.azn_202310_select_kanja_backborn_kensa IS 'セレクト_検査データ_患者背景用';</v>
      </c>
    </row>
    <row r="13" spans="1:45" s="25" customFormat="1">
      <c r="A13" s="4"/>
      <c r="B13" s="21">
        <f>ROW()-12</f>
        <v>1</v>
      </c>
      <c r="C13" s="6" t="s">
        <v>137</v>
      </c>
      <c r="D13" s="6" t="s">
        <v>128</v>
      </c>
      <c r="E13" s="8" t="s">
        <v>127</v>
      </c>
      <c r="F13" s="8" t="s">
        <v>1735</v>
      </c>
      <c r="G13" s="7" t="str">
        <f>IF(F13="フラグ","boolean",IF(F13="文字列","text",IF(F13="整数","integer",IF(F13="実数","numeric",""))))</f>
        <v>text</v>
      </c>
      <c r="H13" s="9"/>
      <c r="I13" s="10" t="s">
        <v>127</v>
      </c>
      <c r="J13" s="11"/>
      <c r="M13" s="4"/>
      <c r="N13" s="97"/>
      <c r="O13" s="97"/>
      <c r="P13" s="97" t="str">
        <f>IF(B13&lt;&gt;1,","&amp;D13,D13)</f>
        <v>facility_id</v>
      </c>
      <c r="Q13" s="97" t="str">
        <f t="shared" ref="Q13:Q17" si="0">UPPER(G13)</f>
        <v>TEXT</v>
      </c>
      <c r="R13" s="97" t="str">
        <f t="shared" ref="R13:R17" si="1">IF(H13&lt;&gt;"","default "&amp;IF(G13="text","'"&amp;H13&amp;"'",H13),"")</f>
        <v/>
      </c>
      <c r="S13" s="97" t="str">
        <f>IF(I13="○","NOT NULL","")</f>
        <v>NOT NULL</v>
      </c>
      <c r="T13" s="97" t="str">
        <f>"-- "&amp;C13</f>
        <v>-- 施設ID</v>
      </c>
      <c r="U13" s="4"/>
      <c r="AA13" s="4"/>
      <c r="AB13" s="4"/>
      <c r="AC13" s="4"/>
      <c r="AD13" s="4"/>
      <c r="AE13" s="4"/>
      <c r="AF13" s="4"/>
      <c r="AG13" s="4"/>
      <c r="AH13" s="4"/>
      <c r="AI13" s="4"/>
      <c r="AJ13" s="97" t="str">
        <f>IF(E13="○",IF(COUNTA(E$13:E13)=1,"",",")&amp;D13,"")</f>
        <v>facility_id</v>
      </c>
      <c r="AK13" s="4"/>
      <c r="AL13" s="4"/>
      <c r="AM13" s="4"/>
      <c r="AN13" s="4"/>
      <c r="AO13" s="4"/>
      <c r="AP13" s="4"/>
      <c r="AQ13" s="4"/>
      <c r="AR13" s="4"/>
      <c r="AS13" s="97" t="str">
        <f>"COMMENT ON COLUMN "&amp;エンティティ一覧!$O$2&amp;"."&amp;D$8&amp;"."&amp;D13&amp;" IS '"&amp;C13&amp;"';"</f>
        <v>COMMENT ON COLUMN milscm_2023_010.azn_202310_select_kanja_backborn_kensa.facility_id IS '施設ID';</v>
      </c>
    </row>
    <row r="14" spans="1:45" s="25" customFormat="1">
      <c r="A14" s="4"/>
      <c r="B14" s="21">
        <f t="shared" ref="B14:B17" si="2">ROW()-12</f>
        <v>2</v>
      </c>
      <c r="C14" s="6" t="s">
        <v>4015</v>
      </c>
      <c r="D14" s="6" t="s">
        <v>1843</v>
      </c>
      <c r="E14" s="8" t="s">
        <v>127</v>
      </c>
      <c r="F14" s="7" t="s">
        <v>1735</v>
      </c>
      <c r="G14" s="7" t="str">
        <f t="shared" ref="G14:G16" si="3">IF(F14="フラグ","boolean",IF(F14="文字列","text",IF(F14="整数","integer",IF(F14="実数","numeric",""))))</f>
        <v>text</v>
      </c>
      <c r="H14" s="26"/>
      <c r="I14" s="10" t="s">
        <v>127</v>
      </c>
      <c r="J14" s="11"/>
      <c r="M14" s="4"/>
      <c r="N14" s="97"/>
      <c r="O14" s="97"/>
      <c r="P14" s="97" t="str">
        <f t="shared" ref="P14:P17" si="4">IF(B14&lt;&gt;1,","&amp;D14,D14)</f>
        <v>,himoduke_id</v>
      </c>
      <c r="Q14" s="97" t="str">
        <f t="shared" si="0"/>
        <v>TEXT</v>
      </c>
      <c r="R14" s="97" t="str">
        <f t="shared" si="1"/>
        <v/>
      </c>
      <c r="S14" s="97" t="str">
        <f t="shared" ref="S14:S17" si="5">IF(I14="○","NOT NULL","")</f>
        <v>NOT NULL</v>
      </c>
      <c r="T14" s="97" t="str">
        <f t="shared" ref="T14:T17" si="6">"-- "&amp;C14</f>
        <v>-- 紐付けID</v>
      </c>
      <c r="U14" s="4"/>
      <c r="AA14" s="4"/>
      <c r="AB14" s="4"/>
      <c r="AC14" s="4"/>
      <c r="AD14" s="4"/>
      <c r="AE14" s="4"/>
      <c r="AF14" s="4"/>
      <c r="AG14" s="4"/>
      <c r="AH14" s="4"/>
      <c r="AI14" s="4"/>
      <c r="AJ14" s="97" t="str">
        <f>IF(E14="○",IF(COUNTA(E$13:E14)=1,"",",")&amp;D14,"")</f>
        <v>,himoduke_id</v>
      </c>
      <c r="AK14" s="4"/>
      <c r="AL14" s="4"/>
      <c r="AM14" s="4"/>
      <c r="AN14" s="4"/>
      <c r="AO14" s="4"/>
      <c r="AP14" s="4"/>
      <c r="AQ14" s="4"/>
      <c r="AR14" s="4"/>
      <c r="AS14" s="97" t="str">
        <f>"COMMENT ON COLUMN "&amp;エンティティ一覧!$O$2&amp;"."&amp;D$8&amp;"."&amp;D14&amp;" IS '"&amp;C14&amp;"';"</f>
        <v>COMMENT ON COLUMN milscm_2023_010.azn_202310_select_kanja_backborn_kensa.himoduke_id IS '紐付けID';</v>
      </c>
    </row>
    <row r="15" spans="1:45" s="25" customFormat="1">
      <c r="A15" s="4"/>
      <c r="B15" s="21">
        <f t="shared" si="2"/>
        <v>3</v>
      </c>
      <c r="C15" s="6" t="s">
        <v>1546</v>
      </c>
      <c r="D15" s="13" t="s">
        <v>1547</v>
      </c>
      <c r="E15" s="8" t="s">
        <v>127</v>
      </c>
      <c r="F15" s="7" t="s">
        <v>1735</v>
      </c>
      <c r="G15" s="7" t="str">
        <f t="shared" si="3"/>
        <v>text</v>
      </c>
      <c r="H15" s="26"/>
      <c r="I15" s="10" t="s">
        <v>127</v>
      </c>
      <c r="J15" s="11"/>
      <c r="M15" s="4"/>
      <c r="N15" s="97"/>
      <c r="O15" s="97"/>
      <c r="P15" s="97" t="str">
        <f t="shared" si="4"/>
        <v>,sample_time</v>
      </c>
      <c r="Q15" s="97" t="str">
        <f t="shared" si="0"/>
        <v>TEXT</v>
      </c>
      <c r="R15" s="97" t="str">
        <f t="shared" si="1"/>
        <v/>
      </c>
      <c r="S15" s="97" t="str">
        <f t="shared" si="5"/>
        <v>NOT NULL</v>
      </c>
      <c r="T15" s="97" t="str">
        <f t="shared" si="6"/>
        <v>-- 採取日時</v>
      </c>
      <c r="U15" s="4"/>
      <c r="AA15" s="4"/>
      <c r="AB15" s="4"/>
      <c r="AC15" s="4"/>
      <c r="AD15" s="4"/>
      <c r="AE15" s="4"/>
      <c r="AF15" s="4"/>
      <c r="AG15" s="4"/>
      <c r="AH15" s="4"/>
      <c r="AI15" s="4"/>
      <c r="AJ15" s="97" t="str">
        <f>IF(E15="○",IF(COUNTA(E$13:E15)=1,"",",")&amp;D15,"")</f>
        <v>,sample_time</v>
      </c>
      <c r="AK15" s="4"/>
      <c r="AL15" s="4"/>
      <c r="AM15" s="4"/>
      <c r="AN15" s="4"/>
      <c r="AO15" s="4"/>
      <c r="AP15" s="4"/>
      <c r="AQ15" s="4"/>
      <c r="AR15" s="4"/>
      <c r="AS15" s="97" t="str">
        <f>"COMMENT ON COLUMN "&amp;エンティティ一覧!$O$2&amp;"."&amp;D$8&amp;"."&amp;D15&amp;" IS '"&amp;C15&amp;"';"</f>
        <v>COMMENT ON COLUMN milscm_2023_010.azn_202310_select_kanja_backborn_kensa.sample_time IS '採取日時';</v>
      </c>
    </row>
    <row r="16" spans="1:45" s="25" customFormat="1">
      <c r="A16" s="4"/>
      <c r="B16" s="21">
        <f t="shared" si="2"/>
        <v>4</v>
      </c>
      <c r="C16" s="6" t="s">
        <v>4000</v>
      </c>
      <c r="D16" s="13" t="s">
        <v>4186</v>
      </c>
      <c r="E16" s="8" t="s">
        <v>127</v>
      </c>
      <c r="F16" s="7" t="s">
        <v>1735</v>
      </c>
      <c r="G16" s="7" t="str">
        <f t="shared" si="3"/>
        <v>text</v>
      </c>
      <c r="H16" s="26"/>
      <c r="I16" s="10" t="s">
        <v>127</v>
      </c>
      <c r="J16" s="11"/>
      <c r="M16" s="4"/>
      <c r="N16" s="97"/>
      <c r="O16" s="97"/>
      <c r="P16" s="97" t="str">
        <f t="shared" si="4"/>
        <v>,disp_name</v>
      </c>
      <c r="Q16" s="97" t="str">
        <f t="shared" si="0"/>
        <v>TEXT</v>
      </c>
      <c r="R16" s="97" t="str">
        <f t="shared" si="1"/>
        <v/>
      </c>
      <c r="S16" s="97" t="str">
        <f t="shared" si="5"/>
        <v>NOT NULL</v>
      </c>
      <c r="T16" s="97" t="str">
        <f t="shared" si="6"/>
        <v>-- 表示名</v>
      </c>
      <c r="U16" s="4"/>
      <c r="AA16" s="4"/>
      <c r="AB16" s="4"/>
      <c r="AC16" s="4"/>
      <c r="AD16" s="4"/>
      <c r="AE16" s="4"/>
      <c r="AF16" s="4"/>
      <c r="AG16" s="4"/>
      <c r="AH16" s="4"/>
      <c r="AI16" s="4"/>
      <c r="AJ16" s="97" t="str">
        <f>IF(E16="○",IF(COUNTA(E$13:E16)=1,"",",")&amp;D16,"")</f>
        <v>,disp_name</v>
      </c>
      <c r="AK16" s="4"/>
      <c r="AL16" s="4"/>
      <c r="AM16" s="4"/>
      <c r="AN16" s="4"/>
      <c r="AO16" s="4"/>
      <c r="AP16" s="4"/>
      <c r="AQ16" s="4"/>
      <c r="AR16" s="4"/>
      <c r="AS16" s="97" t="str">
        <f>"COMMENT ON COLUMN "&amp;エンティティ一覧!$O$2&amp;"."&amp;D$8&amp;"."&amp;D16&amp;" IS '"&amp;C16&amp;"';"</f>
        <v>COMMENT ON COLUMN milscm_2023_010.azn_202310_select_kanja_backborn_kensa.disp_name IS '表示名';</v>
      </c>
    </row>
    <row r="17" spans="1:52" s="25" customFormat="1" ht="19.5" thickBot="1">
      <c r="A17" s="4"/>
      <c r="B17" s="69">
        <f t="shared" si="2"/>
        <v>5</v>
      </c>
      <c r="C17" s="121" t="s">
        <v>4188</v>
      </c>
      <c r="D17" s="121" t="s">
        <v>1640</v>
      </c>
      <c r="E17" s="71"/>
      <c r="F17" s="71" t="s">
        <v>1735</v>
      </c>
      <c r="G17" s="71" t="str">
        <f t="shared" ref="G17" si="7">IF(F17="フラグ","boolean",IF(F17="文字列","text",IF(F17="整数","integer",IF(F17="実数","numeric",""))))</f>
        <v>text</v>
      </c>
      <c r="H17" s="72"/>
      <c r="I17" s="73" t="s">
        <v>127</v>
      </c>
      <c r="J17" s="74"/>
      <c r="M17" s="4"/>
      <c r="N17" s="97"/>
      <c r="O17" s="97"/>
      <c r="P17" s="97" t="str">
        <f t="shared" si="4"/>
        <v>,num_value</v>
      </c>
      <c r="Q17" s="97" t="str">
        <f t="shared" si="0"/>
        <v>TEXT</v>
      </c>
      <c r="R17" s="97" t="str">
        <f t="shared" si="1"/>
        <v/>
      </c>
      <c r="S17" s="97" t="str">
        <f t="shared" si="5"/>
        <v>NOT NULL</v>
      </c>
      <c r="T17" s="97" t="str">
        <f t="shared" si="6"/>
        <v>-- 数値結果</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milscm_2023_010.azn_202310_select_kanja_backborn_kensa.num_value IS '数値結果';</v>
      </c>
    </row>
    <row r="18" spans="1:52">
      <c r="L18" s="25"/>
      <c r="M18" s="25"/>
      <c r="N18" s="97" t="s">
        <v>142</v>
      </c>
      <c r="O18" s="97"/>
      <c r="P18" s="97"/>
      <c r="Q18" s="97"/>
      <c r="R18" s="97"/>
      <c r="S18" s="97"/>
      <c r="T18" s="97"/>
      <c r="V18" s="25"/>
      <c r="W18" s="25"/>
      <c r="X18" s="25"/>
      <c r="Y18" s="25"/>
      <c r="Z18" s="25"/>
      <c r="AJ18" s="97"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51</v>
      </c>
      <c r="E4" s="248"/>
      <c r="F4" s="248"/>
      <c r="G4" s="248"/>
      <c r="H4" s="248"/>
      <c r="I4" s="248"/>
      <c r="J4" s="249"/>
    </row>
    <row r="5" spans="1:45">
      <c r="B5" s="261" t="s">
        <v>3704</v>
      </c>
      <c r="C5" s="262"/>
      <c r="D5" s="271" t="str">
        <f>VLOOKUP(D7,エンティティ一覧!A1:'エンティティ一覧'!AM10203,7,FALSE)</f>
        <v>select</v>
      </c>
      <c r="E5" s="272"/>
      <c r="F5" s="272"/>
      <c r="G5" s="272"/>
      <c r="H5" s="272"/>
      <c r="I5" s="272"/>
      <c r="J5" s="273"/>
    </row>
    <row r="6" spans="1:45">
      <c r="B6" s="261" t="s">
        <v>3705</v>
      </c>
      <c r="C6" s="262"/>
      <c r="D6" s="271" t="str">
        <f>VLOOKUP(D7,エンティティ一覧!A1:'エンティティ一覧'!AM10203,15,FALSE)</f>
        <v>ENT_51_04</v>
      </c>
      <c r="E6" s="272"/>
      <c r="F6" s="272"/>
      <c r="G6" s="272"/>
      <c r="H6" s="272"/>
      <c r="I6" s="272"/>
      <c r="J6" s="273"/>
    </row>
    <row r="7" spans="1:45">
      <c r="B7" s="261" t="s">
        <v>115</v>
      </c>
      <c r="C7" s="262"/>
      <c r="D7" s="263" t="s">
        <v>4122</v>
      </c>
      <c r="E7" s="264"/>
      <c r="F7" s="264"/>
      <c r="G7" s="264"/>
      <c r="H7" s="264"/>
      <c r="I7" s="264"/>
      <c r="J7" s="265"/>
    </row>
    <row r="8" spans="1:45">
      <c r="B8" s="261" t="s">
        <v>116</v>
      </c>
      <c r="C8" s="262"/>
      <c r="D8" s="263" t="str">
        <f>エンティティ一覧!AE2&amp;"_"&amp;D5&amp;"_kensa_k"</f>
        <v>azn_202310_select_kensa_k</v>
      </c>
      <c r="E8" s="264"/>
      <c r="F8" s="264"/>
      <c r="G8" s="264"/>
      <c r="H8" s="264"/>
      <c r="I8" s="264"/>
      <c r="J8" s="265"/>
    </row>
    <row r="9" spans="1:45" ht="19.5" customHeight="1" thickBot="1">
      <c r="B9" s="266" t="s">
        <v>117</v>
      </c>
      <c r="C9" s="267"/>
      <c r="D9" s="268" t="s">
        <v>4488</v>
      </c>
      <c r="E9" s="269"/>
      <c r="F9" s="269"/>
      <c r="G9" s="269"/>
      <c r="H9" s="269"/>
      <c r="I9" s="269"/>
      <c r="J9" s="270"/>
    </row>
    <row r="10" spans="1:45">
      <c r="B10" s="19"/>
      <c r="C10" s="19"/>
      <c r="D10" s="5"/>
      <c r="E10" s="5"/>
      <c r="F10" s="5"/>
      <c r="G10" s="5"/>
      <c r="H10" s="5"/>
      <c r="I10" s="5"/>
      <c r="J10" s="18"/>
      <c r="N10" s="97" t="str">
        <f>"--DROP TABLE  "&amp;エンティティ一覧!$O$2&amp;"."&amp;D$8&amp;";"</f>
        <v>--DROP TABLE  milscm_2023_010.azn_202310_select_kensa_k;</v>
      </c>
      <c r="O10" s="97"/>
      <c r="P10" s="97"/>
      <c r="Q10" s="97"/>
      <c r="R10" s="97"/>
      <c r="S10" s="97"/>
      <c r="T10" s="97"/>
      <c r="AJ10" s="97" t="str">
        <f>"ALTER TABLE ONLY "&amp;エンティティ一覧!$O$2&amp;"."&amp;D$8</f>
        <v>ALTER TABLE ONLY milscm_2023_010.azn_202310_select_kensa_k</v>
      </c>
      <c r="AS10" s="97" t="str">
        <f>"ALTER TABLE "&amp;エンティティ一覧!$O$2&amp;"."&amp;D$8&amp;" OWNER TO pgmisgrp1;"</f>
        <v>ALTER TABLE milscm_2023_010.azn_202310_select_kensa_k OWNER TO pgmisgrp1;</v>
      </c>
    </row>
    <row r="11" spans="1:45" ht="19.5" thickBot="1">
      <c r="B11" s="20" t="s">
        <v>118</v>
      </c>
      <c r="C11" s="19"/>
      <c r="D11" s="5"/>
      <c r="E11" s="5"/>
      <c r="F11" s="5"/>
      <c r="G11" s="5"/>
      <c r="H11" s="5"/>
      <c r="I11" s="5"/>
      <c r="J11" s="18"/>
      <c r="N11" s="97" t="str">
        <f>"CREATE TABLE  "&amp;エンティティ一覧!$O$2&amp;"."&amp;D$8</f>
        <v>CREATE TABLE  milscm_2023_010.azn_202310_select_kensa_k</v>
      </c>
      <c r="O11" s="97"/>
      <c r="P11" s="97"/>
      <c r="Q11" s="97"/>
      <c r="R11" s="97"/>
      <c r="S11" s="97"/>
      <c r="T11" s="97"/>
      <c r="AJ11" s="97" t="str">
        <f>"ADD CONSTRAINT "&amp;D$8&amp;"_pkey PRIMARY KEY"</f>
        <v>ADD CONSTRAINT azn_202310_select_kensa_k_pkey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milscm_2023_010.azn_202310_select_kensa_k IS 'セレクト_検査データ_カリウム';</v>
      </c>
    </row>
    <row r="13" spans="1:45" s="25" customFormat="1">
      <c r="A13" s="4"/>
      <c r="B13" s="21">
        <f>ROW()-12</f>
        <v>1</v>
      </c>
      <c r="C13" s="6" t="s">
        <v>137</v>
      </c>
      <c r="D13" s="6" t="s">
        <v>128</v>
      </c>
      <c r="E13" s="8" t="s">
        <v>127</v>
      </c>
      <c r="F13" s="8" t="s">
        <v>1735</v>
      </c>
      <c r="G13" s="7" t="str">
        <f>IF(F13="フラグ","boolean",IF(F13="文字列","text",IF(F13="整数","integer",IF(F13="実数","numeric",""))))</f>
        <v>text</v>
      </c>
      <c r="H13" s="9"/>
      <c r="I13" s="10" t="s">
        <v>127</v>
      </c>
      <c r="J13" s="11"/>
      <c r="M13" s="4"/>
      <c r="N13" s="97"/>
      <c r="O13" s="97"/>
      <c r="P13" s="97" t="str">
        <f>IF(B13&lt;&gt;1,","&amp;D13,D13)</f>
        <v>facility_id</v>
      </c>
      <c r="Q13" s="97" t="str">
        <f t="shared" ref="Q13:Q20" si="0">UPPER(G13)</f>
        <v>TEXT</v>
      </c>
      <c r="R13" s="97" t="str">
        <f t="shared" ref="R13:R20" si="1">IF(H13&lt;&gt;"","default "&amp;IF(G13="text","'"&amp;H13&amp;"'",H13),"")</f>
        <v/>
      </c>
      <c r="S13" s="97" t="str">
        <f>IF(I13="○","NOT NULL","")</f>
        <v>NOT NULL</v>
      </c>
      <c r="T13" s="97" t="str">
        <f>"-- "&amp;C13</f>
        <v>-- 施設ID</v>
      </c>
      <c r="U13" s="4"/>
      <c r="AA13" s="4"/>
      <c r="AB13" s="4"/>
      <c r="AC13" s="4"/>
      <c r="AD13" s="4"/>
      <c r="AE13" s="4"/>
      <c r="AF13" s="4"/>
      <c r="AG13" s="4"/>
      <c r="AH13" s="4"/>
      <c r="AI13" s="4"/>
      <c r="AJ13" s="97" t="str">
        <f>IF(E13="○",IF(COUNTA(E$13:E13)=1,"",",")&amp;D13,"")</f>
        <v>facility_id</v>
      </c>
      <c r="AK13" s="4"/>
      <c r="AL13" s="4"/>
      <c r="AM13" s="4"/>
      <c r="AN13" s="4"/>
      <c r="AO13" s="4"/>
      <c r="AP13" s="4"/>
      <c r="AQ13" s="4"/>
      <c r="AR13" s="4"/>
      <c r="AS13" s="97" t="str">
        <f>"COMMENT ON COLUMN "&amp;エンティティ一覧!$O$2&amp;"."&amp;D$8&amp;"."&amp;D13&amp;" IS '"&amp;C13&amp;"';"</f>
        <v>COMMENT ON COLUMN milscm_2023_010.azn_202310_select_kensa_k.facility_id IS '施設ID';</v>
      </c>
    </row>
    <row r="14" spans="1:45" s="25" customFormat="1">
      <c r="A14" s="4"/>
      <c r="B14" s="21">
        <f t="shared" ref="B14:B20" si="2">ROW()-12</f>
        <v>2</v>
      </c>
      <c r="C14" s="6" t="s">
        <v>4015</v>
      </c>
      <c r="D14" s="6" t="s">
        <v>1843</v>
      </c>
      <c r="E14" s="8" t="s">
        <v>127</v>
      </c>
      <c r="F14" s="7" t="s">
        <v>1735</v>
      </c>
      <c r="G14" s="7" t="str">
        <f t="shared" ref="G14:G19" si="3">IF(F14="フラグ","boolean",IF(F14="文字列","text",IF(F14="整数","integer",IF(F14="実数","numeric",""))))</f>
        <v>text</v>
      </c>
      <c r="H14" s="26"/>
      <c r="I14" s="10" t="s">
        <v>127</v>
      </c>
      <c r="J14" s="11"/>
      <c r="M14" s="4"/>
      <c r="N14" s="97"/>
      <c r="O14" s="97"/>
      <c r="P14" s="97" t="str">
        <f t="shared" ref="P14:P20" si="4">IF(B14&lt;&gt;1,","&amp;D14,D14)</f>
        <v>,himoduke_id</v>
      </c>
      <c r="Q14" s="97" t="str">
        <f t="shared" si="0"/>
        <v>TEXT</v>
      </c>
      <c r="R14" s="97" t="str">
        <f t="shared" si="1"/>
        <v/>
      </c>
      <c r="S14" s="97" t="str">
        <f t="shared" ref="S14:S20" si="5">IF(I14="○","NOT NULL","")</f>
        <v>NOT NULL</v>
      </c>
      <c r="T14" s="97" t="str">
        <f t="shared" ref="T14:T20" si="6">"-- "&amp;C14</f>
        <v>-- 紐付けID</v>
      </c>
      <c r="U14" s="4"/>
      <c r="AA14" s="4"/>
      <c r="AB14" s="4"/>
      <c r="AC14" s="4"/>
      <c r="AD14" s="4"/>
      <c r="AE14" s="4"/>
      <c r="AF14" s="4"/>
      <c r="AG14" s="4"/>
      <c r="AH14" s="4"/>
      <c r="AI14" s="4"/>
      <c r="AJ14" s="97" t="str">
        <f>IF(E14="○",IF(COUNTA(E$13:E14)=1,"",",")&amp;D14,"")</f>
        <v>,himoduke_id</v>
      </c>
      <c r="AK14" s="4"/>
      <c r="AL14" s="4"/>
      <c r="AM14" s="4"/>
      <c r="AN14" s="4"/>
      <c r="AO14" s="4"/>
      <c r="AP14" s="4"/>
      <c r="AQ14" s="4"/>
      <c r="AR14" s="4"/>
      <c r="AS14" s="97" t="str">
        <f>"COMMENT ON COLUMN "&amp;エンティティ一覧!$O$2&amp;"."&amp;D$8&amp;"."&amp;D14&amp;" IS '"&amp;C14&amp;"';"</f>
        <v>COMMENT ON COLUMN milscm_2023_010.azn_202310_select_kensa_k.himoduke_id IS '紐付けID';</v>
      </c>
    </row>
    <row r="15" spans="1:45" s="25" customFormat="1">
      <c r="A15" s="4"/>
      <c r="B15" s="21">
        <f t="shared" si="2"/>
        <v>3</v>
      </c>
      <c r="C15" s="13" t="s">
        <v>1546</v>
      </c>
      <c r="D15" s="13" t="s">
        <v>1547</v>
      </c>
      <c r="E15" s="7" t="s">
        <v>127</v>
      </c>
      <c r="F15" s="7" t="s">
        <v>1735</v>
      </c>
      <c r="G15" s="7" t="str">
        <f t="shared" si="3"/>
        <v>text</v>
      </c>
      <c r="H15" s="26"/>
      <c r="I15" s="10" t="s">
        <v>127</v>
      </c>
      <c r="J15" s="11"/>
      <c r="M15" s="4"/>
      <c r="N15" s="97"/>
      <c r="O15" s="97"/>
      <c r="P15" s="97" t="str">
        <f t="shared" si="4"/>
        <v>,sample_time</v>
      </c>
      <c r="Q15" s="97" t="str">
        <f t="shared" si="0"/>
        <v>TEXT</v>
      </c>
      <c r="R15" s="97" t="str">
        <f t="shared" si="1"/>
        <v/>
      </c>
      <c r="S15" s="97" t="str">
        <f t="shared" si="5"/>
        <v>NOT NULL</v>
      </c>
      <c r="T15" s="97" t="str">
        <f t="shared" si="6"/>
        <v>-- 採取日時</v>
      </c>
      <c r="U15" s="4"/>
      <c r="AA15" s="4"/>
      <c r="AB15" s="4"/>
      <c r="AC15" s="4"/>
      <c r="AD15" s="4"/>
      <c r="AE15" s="4"/>
      <c r="AF15" s="4"/>
      <c r="AG15" s="4"/>
      <c r="AH15" s="4"/>
      <c r="AI15" s="4"/>
      <c r="AJ15" s="97" t="str">
        <f>IF(E15="○",IF(COUNTA(E$13:E15)=1,"",",")&amp;D15,"")</f>
        <v>,sample_time</v>
      </c>
      <c r="AK15" s="4"/>
      <c r="AL15" s="4"/>
      <c r="AM15" s="4"/>
      <c r="AN15" s="4"/>
      <c r="AO15" s="4"/>
      <c r="AP15" s="4"/>
      <c r="AQ15" s="4"/>
      <c r="AR15" s="4"/>
      <c r="AS15" s="97" t="str">
        <f>"COMMENT ON COLUMN "&amp;エンティティ一覧!$O$2&amp;"."&amp;D$8&amp;"."&amp;D15&amp;" IS '"&amp;C15&amp;"';"</f>
        <v>COMMENT ON COLUMN milscm_2023_010.azn_202310_select_kensa_k.sample_time IS '採取日時';</v>
      </c>
    </row>
    <row r="16" spans="1:45" s="25" customFormat="1">
      <c r="A16" s="4"/>
      <c r="B16" s="21">
        <f t="shared" si="2"/>
        <v>4</v>
      </c>
      <c r="C16" s="6" t="s">
        <v>4234</v>
      </c>
      <c r="D16" s="13" t="s">
        <v>4238</v>
      </c>
      <c r="E16" s="8"/>
      <c r="F16" s="7" t="s">
        <v>1735</v>
      </c>
      <c r="G16" s="7" t="str">
        <f t="shared" si="3"/>
        <v>text</v>
      </c>
      <c r="H16" s="26"/>
      <c r="I16" s="10" t="s">
        <v>127</v>
      </c>
      <c r="J16" s="11"/>
      <c r="M16" s="4"/>
      <c r="N16" s="97"/>
      <c r="O16" s="97"/>
      <c r="P16" s="97" t="str">
        <f t="shared" si="4"/>
        <v>,index_date</v>
      </c>
      <c r="Q16" s="97" t="str">
        <f t="shared" si="0"/>
        <v>TEXT</v>
      </c>
      <c r="R16" s="97" t="str">
        <f t="shared" si="1"/>
        <v/>
      </c>
      <c r="S16" s="97" t="str">
        <f t="shared" si="5"/>
        <v>NOT NULL</v>
      </c>
      <c r="T16" s="97" t="str">
        <f t="shared" si="6"/>
        <v>-- index_date</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"&amp;エンティティ一覧!$O$2&amp;"."&amp;D$8&amp;"."&amp;D16&amp;" IS '"&amp;C16&amp;"';"</f>
        <v>COMMENT ON COLUMN milscm_2023_010.azn_202310_select_kensa_k.index_date IS 'index_date';</v>
      </c>
    </row>
    <row r="17" spans="1:52" s="25" customFormat="1">
      <c r="A17" s="4"/>
      <c r="B17" s="21">
        <f t="shared" si="2"/>
        <v>5</v>
      </c>
      <c r="C17" s="13" t="s">
        <v>4188</v>
      </c>
      <c r="D17" s="13" t="s">
        <v>1640</v>
      </c>
      <c r="E17" s="7"/>
      <c r="F17" s="7" t="s">
        <v>1742</v>
      </c>
      <c r="G17" s="7" t="str">
        <f t="shared" ref="G17" si="7">IF(F17="フラグ","boolean",IF(F17="文字列","text",IF(F17="整数","integer",IF(F17="実数","numeric",""))))</f>
        <v>numeric</v>
      </c>
      <c r="H17" s="26"/>
      <c r="I17" s="10" t="s">
        <v>127</v>
      </c>
      <c r="J17" s="11"/>
      <c r="M17" s="4"/>
      <c r="N17" s="97"/>
      <c r="O17" s="97"/>
      <c r="P17" s="97" t="str">
        <f t="shared" si="4"/>
        <v>,num_value</v>
      </c>
      <c r="Q17" s="97" t="str">
        <f t="shared" si="0"/>
        <v>NUMERIC</v>
      </c>
      <c r="R17" s="97" t="str">
        <f t="shared" si="1"/>
        <v/>
      </c>
      <c r="S17" s="97" t="str">
        <f t="shared" si="5"/>
        <v>NOT NULL</v>
      </c>
      <c r="T17" s="97" t="str">
        <f t="shared" si="6"/>
        <v>-- 数値結果</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milscm_2023_010.azn_202310_select_kensa_k.num_value IS '数値結果';</v>
      </c>
    </row>
    <row r="18" spans="1:52" s="25" customFormat="1">
      <c r="A18" s="4"/>
      <c r="B18" s="21">
        <f t="shared" si="2"/>
        <v>6</v>
      </c>
      <c r="C18" s="6" t="s">
        <v>4251</v>
      </c>
      <c r="D18" s="13" t="s">
        <v>4245</v>
      </c>
      <c r="E18" s="8"/>
      <c r="F18" s="7" t="s">
        <v>1845</v>
      </c>
      <c r="G18" s="7" t="str">
        <f t="shared" si="3"/>
        <v>integer</v>
      </c>
      <c r="H18" s="26"/>
      <c r="I18" s="10" t="s">
        <v>127</v>
      </c>
      <c r="J18" s="11" t="s">
        <v>4248</v>
      </c>
      <c r="M18" s="4"/>
      <c r="N18" s="97"/>
      <c r="O18" s="97"/>
      <c r="P18" s="97" t="str">
        <f t="shared" si="4"/>
        <v>,days</v>
      </c>
      <c r="Q18" s="97" t="str">
        <f t="shared" si="0"/>
        <v>INTEGER</v>
      </c>
      <c r="R18" s="97" t="str">
        <f t="shared" si="1"/>
        <v/>
      </c>
      <c r="S18" s="97" t="str">
        <f t="shared" si="5"/>
        <v>NOT NULL</v>
      </c>
      <c r="T18" s="97" t="str">
        <f t="shared" si="6"/>
        <v>-- 経過日</v>
      </c>
      <c r="U18" s="4"/>
      <c r="AA18" s="4"/>
      <c r="AB18" s="4"/>
      <c r="AC18" s="4"/>
      <c r="AD18" s="4"/>
      <c r="AE18" s="4"/>
      <c r="AF18" s="4"/>
      <c r="AG18" s="4"/>
      <c r="AH18" s="4"/>
      <c r="AI18" s="4"/>
      <c r="AJ18" s="97" t="str">
        <f>IF(E18="○",IF(COUNTA(E$13:E18)=1,"",",")&amp;D18,"")</f>
        <v/>
      </c>
      <c r="AK18" s="4"/>
      <c r="AL18" s="4"/>
      <c r="AM18" s="4"/>
      <c r="AN18" s="4"/>
      <c r="AO18" s="4"/>
      <c r="AP18" s="4"/>
      <c r="AQ18" s="4"/>
      <c r="AR18" s="4"/>
      <c r="AS18" s="97" t="str">
        <f>"COMMENT ON COLUMN "&amp;エンティティ一覧!$O$2&amp;"."&amp;D$8&amp;"."&amp;D18&amp;" IS '"&amp;C18&amp;"';"</f>
        <v>COMMENT ON COLUMN milscm_2023_010.azn_202310_select_kensa_k.days IS '経過日';</v>
      </c>
    </row>
    <row r="19" spans="1:52" s="25" customFormat="1">
      <c r="A19" s="4"/>
      <c r="B19" s="21">
        <f t="shared" si="2"/>
        <v>7</v>
      </c>
      <c r="C19" s="6" t="s">
        <v>4252</v>
      </c>
      <c r="D19" s="13" t="s">
        <v>4246</v>
      </c>
      <c r="E19" s="8"/>
      <c r="F19" s="7" t="s">
        <v>1845</v>
      </c>
      <c r="G19" s="7" t="str">
        <f t="shared" si="3"/>
        <v>integer</v>
      </c>
      <c r="H19" s="26"/>
      <c r="I19" s="10" t="s">
        <v>127</v>
      </c>
      <c r="J19" s="11" t="s">
        <v>4249</v>
      </c>
      <c r="M19" s="4"/>
      <c r="N19" s="97"/>
      <c r="O19" s="97"/>
      <c r="P19" s="97" t="str">
        <f t="shared" si="4"/>
        <v>,weeks</v>
      </c>
      <c r="Q19" s="97" t="str">
        <f t="shared" si="0"/>
        <v>INTEGER</v>
      </c>
      <c r="R19" s="97" t="str">
        <f t="shared" si="1"/>
        <v/>
      </c>
      <c r="S19" s="97" t="str">
        <f t="shared" si="5"/>
        <v>NOT NULL</v>
      </c>
      <c r="T19" s="97" t="str">
        <f t="shared" si="6"/>
        <v>-- 経過週</v>
      </c>
      <c r="U19" s="4"/>
      <c r="AA19" s="4"/>
      <c r="AB19" s="4"/>
      <c r="AC19" s="4"/>
      <c r="AD19" s="4"/>
      <c r="AE19" s="4"/>
      <c r="AF19" s="4"/>
      <c r="AG19" s="4"/>
      <c r="AH19" s="4"/>
      <c r="AI19" s="4"/>
      <c r="AJ19" s="97" t="str">
        <f>IF(E19="○",IF(COUNTA(E$13:E19)=1,"",",")&amp;D19,"")</f>
        <v/>
      </c>
      <c r="AK19" s="4"/>
      <c r="AL19" s="4"/>
      <c r="AM19" s="4"/>
      <c r="AN19" s="4"/>
      <c r="AO19" s="4"/>
      <c r="AP19" s="4"/>
      <c r="AQ19" s="4"/>
      <c r="AR19" s="4"/>
      <c r="AS19" s="97" t="str">
        <f>"COMMENT ON COLUMN "&amp;エンティティ一覧!$O$2&amp;"."&amp;D$8&amp;"."&amp;D19&amp;" IS '"&amp;C19&amp;"';"</f>
        <v>COMMENT ON COLUMN milscm_2023_010.azn_202310_select_kensa_k.weeks IS '経過週';</v>
      </c>
    </row>
    <row r="20" spans="1:52" s="25" customFormat="1" ht="19.5" thickBot="1">
      <c r="A20" s="4"/>
      <c r="B20" s="69">
        <f t="shared" si="2"/>
        <v>8</v>
      </c>
      <c r="C20" s="121" t="s">
        <v>4253</v>
      </c>
      <c r="D20" s="121" t="s">
        <v>4247</v>
      </c>
      <c r="E20" s="71"/>
      <c r="F20" s="71" t="s">
        <v>1845</v>
      </c>
      <c r="G20" s="71" t="str">
        <f t="shared" ref="G20" si="8">IF(F20="フラグ","boolean",IF(F20="文字列","text",IF(F20="整数","integer",IF(F20="実数","numeric",""))))</f>
        <v>integer</v>
      </c>
      <c r="H20" s="72"/>
      <c r="I20" s="73" t="s">
        <v>127</v>
      </c>
      <c r="J20" s="74" t="s">
        <v>4250</v>
      </c>
      <c r="M20" s="4"/>
      <c r="N20" s="97"/>
      <c r="O20" s="97"/>
      <c r="P20" s="97" t="str">
        <f t="shared" si="4"/>
        <v>,months</v>
      </c>
      <c r="Q20" s="97" t="str">
        <f t="shared" si="0"/>
        <v>INTEGER</v>
      </c>
      <c r="R20" s="97" t="str">
        <f t="shared" si="1"/>
        <v/>
      </c>
      <c r="S20" s="97" t="str">
        <f t="shared" si="5"/>
        <v>NOT NULL</v>
      </c>
      <c r="T20" s="97" t="str">
        <f t="shared" si="6"/>
        <v>-- 経過月</v>
      </c>
      <c r="U20" s="4"/>
      <c r="AA20" s="4"/>
      <c r="AB20" s="4"/>
      <c r="AC20" s="4"/>
      <c r="AD20" s="4"/>
      <c r="AE20" s="4"/>
      <c r="AF20" s="4"/>
      <c r="AG20" s="4"/>
      <c r="AH20" s="4"/>
      <c r="AI20" s="4"/>
      <c r="AJ20" s="97" t="str">
        <f>IF(E20="○",IF(COUNTA(E$13:E20)=1,"",",")&amp;D20,"")</f>
        <v/>
      </c>
      <c r="AK20" s="4"/>
      <c r="AL20" s="4"/>
      <c r="AM20" s="4"/>
      <c r="AN20" s="4"/>
      <c r="AO20" s="4"/>
      <c r="AP20" s="4"/>
      <c r="AQ20" s="4"/>
      <c r="AR20" s="4"/>
      <c r="AS20" s="97" t="str">
        <f>"COMMENT ON COLUMN "&amp;エンティティ一覧!$O$2&amp;"."&amp;D$8&amp;"."&amp;D20&amp;" IS '"&amp;C20&amp;"';"</f>
        <v>COMMENT ON COLUMN milscm_2023_010.azn_202310_select_kensa_k.months IS '経過月';</v>
      </c>
    </row>
    <row r="21" spans="1:52">
      <c r="L21" s="25"/>
      <c r="M21" s="25"/>
      <c r="N21" s="97" t="s">
        <v>142</v>
      </c>
      <c r="O21" s="97"/>
      <c r="P21" s="97"/>
      <c r="Q21" s="97"/>
      <c r="R21" s="97"/>
      <c r="S21" s="97"/>
      <c r="T21" s="97"/>
      <c r="V21" s="25"/>
      <c r="W21" s="25"/>
      <c r="X21" s="25"/>
      <c r="Y21" s="25"/>
      <c r="Z21" s="25"/>
      <c r="AJ21" s="97"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election activeCell="D9" sqref="D9:J9"/>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51</v>
      </c>
      <c r="E4" s="248"/>
      <c r="F4" s="248"/>
      <c r="G4" s="248"/>
      <c r="H4" s="248"/>
      <c r="I4" s="248"/>
      <c r="J4" s="249"/>
    </row>
    <row r="5" spans="1:45">
      <c r="B5" s="261" t="s">
        <v>3704</v>
      </c>
      <c r="C5" s="262"/>
      <c r="D5" s="271" t="str">
        <f>VLOOKUP(D7,エンティティ一覧!A1:'エンティティ一覧'!AM10203,7,FALSE)</f>
        <v>select</v>
      </c>
      <c r="E5" s="272"/>
      <c r="F5" s="272"/>
      <c r="G5" s="272"/>
      <c r="H5" s="272"/>
      <c r="I5" s="272"/>
      <c r="J5" s="273"/>
    </row>
    <row r="6" spans="1:45">
      <c r="B6" s="261" t="s">
        <v>3705</v>
      </c>
      <c r="C6" s="262"/>
      <c r="D6" s="271" t="str">
        <f>VLOOKUP(D7,エンティティ一覧!A1:'エンティティ一覧'!AM10203,15,FALSE)</f>
        <v>ENT_51_05</v>
      </c>
      <c r="E6" s="272"/>
      <c r="F6" s="272"/>
      <c r="G6" s="272"/>
      <c r="H6" s="272"/>
      <c r="I6" s="272"/>
      <c r="J6" s="273"/>
    </row>
    <row r="7" spans="1:45">
      <c r="B7" s="261" t="s">
        <v>115</v>
      </c>
      <c r="C7" s="262"/>
      <c r="D7" s="263" t="s">
        <v>4124</v>
      </c>
      <c r="E7" s="264"/>
      <c r="F7" s="264"/>
      <c r="G7" s="264"/>
      <c r="H7" s="264"/>
      <c r="I7" s="264"/>
      <c r="J7" s="265"/>
    </row>
    <row r="8" spans="1:45">
      <c r="B8" s="261" t="s">
        <v>116</v>
      </c>
      <c r="C8" s="262"/>
      <c r="D8" s="263" t="str">
        <f>エンティティ一覧!AE2&amp;"_"&amp;D5&amp;"_kanja_backborn_yakuzai"</f>
        <v>azn_202310_select_kanja_backborn_yakuzai</v>
      </c>
      <c r="E8" s="264"/>
      <c r="F8" s="264"/>
      <c r="G8" s="264"/>
      <c r="H8" s="264"/>
      <c r="I8" s="264"/>
      <c r="J8" s="265"/>
    </row>
    <row r="9" spans="1:45" ht="19.5" customHeight="1" thickBot="1">
      <c r="B9" s="266" t="s">
        <v>117</v>
      </c>
      <c r="C9" s="267"/>
      <c r="D9" s="268" t="s">
        <v>4489</v>
      </c>
      <c r="E9" s="269"/>
      <c r="F9" s="269"/>
      <c r="G9" s="269"/>
      <c r="H9" s="269"/>
      <c r="I9" s="269"/>
      <c r="J9" s="270"/>
    </row>
    <row r="10" spans="1:45">
      <c r="B10" s="19"/>
      <c r="C10" s="19"/>
      <c r="D10" s="5"/>
      <c r="E10" s="5"/>
      <c r="F10" s="5"/>
      <c r="G10" s="5"/>
      <c r="H10" s="5"/>
      <c r="I10" s="5"/>
      <c r="J10" s="18"/>
      <c r="N10" s="97" t="str">
        <f>"--DROP TABLE  "&amp;エンティティ一覧!$O$2&amp;"."&amp;D$8&amp;";"</f>
        <v>--DROP TABLE  milscm_2023_010.azn_202310_select_kanja_backborn_yakuzai;</v>
      </c>
      <c r="O10" s="97"/>
      <c r="P10" s="97"/>
      <c r="Q10" s="97"/>
      <c r="R10" s="97"/>
      <c r="S10" s="97"/>
      <c r="T10" s="97"/>
      <c r="AJ10" s="97" t="str">
        <f>"ALTER TABLE ONLY "&amp;エンティティ一覧!$O$2&amp;"."&amp;D$8</f>
        <v>ALTER TABLE ONLY milscm_2023_010.azn_202310_select_kanja_backborn_yakuzai</v>
      </c>
      <c r="AS10" s="97" t="str">
        <f>"ALTER TABLE "&amp;エンティティ一覧!$O$2&amp;"."&amp;D$8&amp;" OWNER TO pgmisgrp1;"</f>
        <v>ALTER TABLE milscm_2023_010.azn_202310_select_kanja_backborn_yakuzai OWNER TO pgmisgrp1;</v>
      </c>
    </row>
    <row r="11" spans="1:45" ht="19.5" thickBot="1">
      <c r="B11" s="20" t="s">
        <v>118</v>
      </c>
      <c r="C11" s="19"/>
      <c r="D11" s="5"/>
      <c r="E11" s="5"/>
      <c r="F11" s="5"/>
      <c r="G11" s="5"/>
      <c r="H11" s="5"/>
      <c r="I11" s="5"/>
      <c r="J11" s="18"/>
      <c r="N11" s="97" t="str">
        <f>"CREATE TABLE  "&amp;エンティティ一覧!$O$2&amp;"."&amp;D$8</f>
        <v>CREATE TABLE  milscm_2023_010.azn_202310_select_kanja_backborn_yakuzai</v>
      </c>
      <c r="O11" s="97"/>
      <c r="P11" s="97"/>
      <c r="Q11" s="97"/>
      <c r="R11" s="97"/>
      <c r="S11" s="97"/>
      <c r="T11" s="97"/>
      <c r="AJ11" s="97" t="str">
        <f>"ADD CONSTRAINT "&amp;D$8&amp;"_pkey PRIMARY KEY"</f>
        <v>ADD CONSTRAINT azn_202310_select_kanja_backborn_yakuzai_pkey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milscm_2023_010.azn_202310_select_kanja_backborn_yakuzai IS 'セレクト_併用薬データ_患者背景用';</v>
      </c>
    </row>
    <row r="13" spans="1:45" s="25" customFormat="1">
      <c r="A13" s="4"/>
      <c r="B13" s="21">
        <f>ROW()-12</f>
        <v>1</v>
      </c>
      <c r="C13" s="6" t="s">
        <v>137</v>
      </c>
      <c r="D13" s="6" t="s">
        <v>128</v>
      </c>
      <c r="E13" s="8" t="s">
        <v>127</v>
      </c>
      <c r="F13" s="8" t="s">
        <v>1735</v>
      </c>
      <c r="G13" s="7" t="str">
        <f>IF(F13="フラグ","boolean",IF(F13="文字列","text",IF(F13="整数","integer",IF(F13="実数","numeric",""))))</f>
        <v>text</v>
      </c>
      <c r="H13" s="9"/>
      <c r="I13" s="10" t="s">
        <v>127</v>
      </c>
      <c r="J13" s="11"/>
      <c r="M13" s="4"/>
      <c r="N13" s="97"/>
      <c r="O13" s="97"/>
      <c r="P13" s="97" t="str">
        <f>IF(B13&lt;&gt;1,","&amp;D13,D13)</f>
        <v>facility_id</v>
      </c>
      <c r="Q13" s="97" t="str">
        <f t="shared" ref="Q13:Q25" si="0">UPPER(G13)</f>
        <v>TEXT</v>
      </c>
      <c r="R13" s="97" t="str">
        <f t="shared" ref="R13:R25" si="1">IF(H13&lt;&gt;"","default "&amp;IF(G13="text","'"&amp;H13&amp;"'",H13),"")</f>
        <v/>
      </c>
      <c r="S13" s="97" t="str">
        <f>IF(I13="○","NOT NULL","")</f>
        <v>NOT NULL</v>
      </c>
      <c r="T13" s="97" t="str">
        <f>"-- "&amp;C13</f>
        <v>-- 施設ID</v>
      </c>
      <c r="U13" s="4"/>
      <c r="AA13" s="4"/>
      <c r="AB13" s="4"/>
      <c r="AC13" s="4"/>
      <c r="AD13" s="4"/>
      <c r="AE13" s="4"/>
      <c r="AF13" s="4"/>
      <c r="AG13" s="4"/>
      <c r="AH13" s="4"/>
      <c r="AI13" s="4"/>
      <c r="AJ13" s="97" t="str">
        <f>IF(E13="○",IF(COUNTA(E$13:E13)=1,"",",")&amp;D13,"")</f>
        <v>facility_id</v>
      </c>
      <c r="AK13" s="4"/>
      <c r="AL13" s="4"/>
      <c r="AM13" s="4"/>
      <c r="AN13" s="4"/>
      <c r="AO13" s="4"/>
      <c r="AP13" s="4"/>
      <c r="AQ13" s="4"/>
      <c r="AR13" s="4"/>
      <c r="AS13" s="97" t="str">
        <f>"COMMENT ON COLUMN "&amp;エンティティ一覧!$O$2&amp;"."&amp;D$8&amp;"."&amp;D13&amp;" IS '"&amp;C13&amp;"';"</f>
        <v>COMMENT ON COLUMN milscm_2023_010.azn_202310_select_kanja_backborn_yakuzai.facility_id IS '施設ID';</v>
      </c>
    </row>
    <row r="14" spans="1:45" s="25" customFormat="1">
      <c r="A14" s="4"/>
      <c r="B14" s="21">
        <f t="shared" ref="B14:B25" si="2">ROW()-12</f>
        <v>2</v>
      </c>
      <c r="C14" s="6" t="s">
        <v>4015</v>
      </c>
      <c r="D14" s="6" t="s">
        <v>1843</v>
      </c>
      <c r="E14" s="8" t="s">
        <v>127</v>
      </c>
      <c r="F14" s="7" t="s">
        <v>1735</v>
      </c>
      <c r="G14" s="7" t="str">
        <f t="shared" ref="G14:G25" si="3">IF(F14="フラグ","boolean",IF(F14="文字列","text",IF(F14="整数","integer",IF(F14="実数","numeric",""))))</f>
        <v>text</v>
      </c>
      <c r="H14" s="26"/>
      <c r="I14" s="10" t="s">
        <v>127</v>
      </c>
      <c r="J14" s="11"/>
      <c r="M14" s="4"/>
      <c r="N14" s="97"/>
      <c r="O14" s="97"/>
      <c r="P14" s="97" t="str">
        <f t="shared" ref="P14:P25" si="4">IF(B14&lt;&gt;1,","&amp;D14,D14)</f>
        <v>,himoduke_id</v>
      </c>
      <c r="Q14" s="97" t="str">
        <f t="shared" si="0"/>
        <v>TEXT</v>
      </c>
      <c r="R14" s="97" t="str">
        <f t="shared" si="1"/>
        <v/>
      </c>
      <c r="S14" s="97" t="str">
        <f t="shared" ref="S14:S25" si="5">IF(I14="○","NOT NULL","")</f>
        <v>NOT NULL</v>
      </c>
      <c r="T14" s="97" t="str">
        <f t="shared" ref="T14:T25" si="6">"-- "&amp;C14</f>
        <v>-- 紐付けID</v>
      </c>
      <c r="U14" s="4"/>
      <c r="AA14" s="4"/>
      <c r="AB14" s="4"/>
      <c r="AC14" s="4"/>
      <c r="AD14" s="4"/>
      <c r="AE14" s="4"/>
      <c r="AF14" s="4"/>
      <c r="AG14" s="4"/>
      <c r="AH14" s="4"/>
      <c r="AI14" s="4"/>
      <c r="AJ14" s="97" t="str">
        <f>IF(E14="○",IF(COUNTA(E$13:E14)=1,"",",")&amp;D14,"")</f>
        <v>,himoduke_id</v>
      </c>
      <c r="AK14" s="4"/>
      <c r="AL14" s="4"/>
      <c r="AM14" s="4"/>
      <c r="AN14" s="4"/>
      <c r="AO14" s="4"/>
      <c r="AP14" s="4"/>
      <c r="AQ14" s="4"/>
      <c r="AR14" s="4"/>
      <c r="AS14" s="97" t="str">
        <f>"COMMENT ON COLUMN "&amp;エンティティ一覧!$O$2&amp;"."&amp;D$8&amp;"."&amp;D14&amp;" IS '"&amp;C14&amp;"';"</f>
        <v>COMMENT ON COLUMN milscm_2023_010.azn_202310_select_kanja_backborn_yakuzai.himoduke_id IS '紐付けID';</v>
      </c>
    </row>
    <row r="15" spans="1:45" s="25" customFormat="1">
      <c r="A15" s="4"/>
      <c r="B15" s="21">
        <f t="shared" si="2"/>
        <v>3</v>
      </c>
      <c r="C15" s="6" t="s">
        <v>4275</v>
      </c>
      <c r="D15" s="13" t="s">
        <v>4254</v>
      </c>
      <c r="E15" s="7"/>
      <c r="F15" s="7" t="s">
        <v>1845</v>
      </c>
      <c r="G15" s="7" t="str">
        <f t="shared" si="3"/>
        <v>integer</v>
      </c>
      <c r="H15" s="26"/>
      <c r="I15" s="10" t="s">
        <v>127</v>
      </c>
      <c r="J15" s="11" t="s">
        <v>4266</v>
      </c>
      <c r="M15" s="4"/>
      <c r="N15" s="97"/>
      <c r="O15" s="97"/>
      <c r="P15" s="97" t="str">
        <f t="shared" si="4"/>
        <v>,c01</v>
      </c>
      <c r="Q15" s="97" t="str">
        <f t="shared" si="0"/>
        <v>INTEGER</v>
      </c>
      <c r="R15" s="97" t="str">
        <f t="shared" si="1"/>
        <v/>
      </c>
      <c r="S15" s="97" t="str">
        <f t="shared" si="5"/>
        <v>NOT NULL</v>
      </c>
      <c r="T15" s="97" t="str">
        <f t="shared" si="6"/>
        <v>-- 利尿薬フラグ</v>
      </c>
      <c r="U15" s="4"/>
      <c r="AA15" s="4"/>
      <c r="AB15" s="4"/>
      <c r="AC15" s="4"/>
      <c r="AD15" s="4"/>
      <c r="AE15" s="4"/>
      <c r="AF15" s="4"/>
      <c r="AG15" s="4"/>
      <c r="AH15" s="4"/>
      <c r="AI15" s="4"/>
      <c r="AJ15" s="97" t="str">
        <f>IF(E15="○",IF(COUNTA(E$13:E15)=1,"",",")&amp;D15,"")</f>
        <v/>
      </c>
      <c r="AK15" s="4"/>
      <c r="AL15" s="4"/>
      <c r="AM15" s="4"/>
      <c r="AN15" s="4"/>
      <c r="AO15" s="4"/>
      <c r="AP15" s="4"/>
      <c r="AQ15" s="4"/>
      <c r="AR15" s="4"/>
      <c r="AS15" s="97" t="str">
        <f>"COMMENT ON COLUMN "&amp;エンティティ一覧!$O$2&amp;"."&amp;D$8&amp;"."&amp;D15&amp;" IS '"&amp;C15&amp;"';"</f>
        <v>COMMENT ON COLUMN milscm_2023_010.azn_202310_select_kanja_backborn_yakuzai.c01 IS '利尿薬フラグ';</v>
      </c>
    </row>
    <row r="16" spans="1:45" s="25" customFormat="1">
      <c r="A16" s="4"/>
      <c r="B16" s="21">
        <f t="shared" si="2"/>
        <v>4</v>
      </c>
      <c r="C16" s="6" t="s">
        <v>4276</v>
      </c>
      <c r="D16" s="13" t="s">
        <v>4255</v>
      </c>
      <c r="E16" s="7"/>
      <c r="F16" s="7" t="s">
        <v>1845</v>
      </c>
      <c r="G16" s="7" t="str">
        <f t="shared" ref="G16:G24" si="7">IF(F16="フラグ","boolean",IF(F16="文字列","text",IF(F16="整数","integer",IF(F16="実数","numeric",""))))</f>
        <v>integer</v>
      </c>
      <c r="H16" s="26"/>
      <c r="I16" s="10" t="s">
        <v>127</v>
      </c>
      <c r="J16" s="11" t="s">
        <v>4265</v>
      </c>
      <c r="M16" s="4"/>
      <c r="N16" s="97"/>
      <c r="O16" s="97"/>
      <c r="P16" s="97" t="str">
        <f t="shared" ref="P16:P24" si="8">IF(B16&lt;&gt;1,","&amp;D16,D16)</f>
        <v>,c02</v>
      </c>
      <c r="Q16" s="97" t="str">
        <f t="shared" ref="Q16:Q24" si="9">UPPER(G16)</f>
        <v>INTEGER</v>
      </c>
      <c r="R16" s="97" t="str">
        <f t="shared" ref="R16:R24" si="10">IF(H16&lt;&gt;"","default "&amp;IF(G16="text","'"&amp;H16&amp;"'",H16),"")</f>
        <v/>
      </c>
      <c r="S16" s="97" t="str">
        <f t="shared" ref="S16:S24" si="11">IF(I16="○","NOT NULL","")</f>
        <v>NOT NULL</v>
      </c>
      <c r="T16" s="97" t="str">
        <f t="shared" ref="T16:T24" si="12">"-- "&amp;C16</f>
        <v>-- βブロッカーフラグ</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"&amp;エンティティ一覧!$O$2&amp;"."&amp;D$8&amp;"."&amp;D16&amp;" IS '"&amp;C16&amp;"';"</f>
        <v>COMMENT ON COLUMN milscm_2023_010.azn_202310_select_kanja_backborn_yakuzai.c02 IS 'βブロッカーフラグ';</v>
      </c>
    </row>
    <row r="17" spans="1:52" s="25" customFormat="1">
      <c r="A17" s="4"/>
      <c r="B17" s="21">
        <f t="shared" si="2"/>
        <v>5</v>
      </c>
      <c r="C17" s="6" t="s">
        <v>4277</v>
      </c>
      <c r="D17" s="13" t="s">
        <v>4256</v>
      </c>
      <c r="E17" s="7"/>
      <c r="F17" s="7" t="s">
        <v>1845</v>
      </c>
      <c r="G17" s="7" t="str">
        <f t="shared" si="7"/>
        <v>integer</v>
      </c>
      <c r="H17" s="26"/>
      <c r="I17" s="10" t="s">
        <v>127</v>
      </c>
      <c r="J17" s="11" t="s">
        <v>4265</v>
      </c>
      <c r="M17" s="4"/>
      <c r="N17" s="97"/>
      <c r="O17" s="97"/>
      <c r="P17" s="97" t="str">
        <f t="shared" si="8"/>
        <v>,c03</v>
      </c>
      <c r="Q17" s="97" t="str">
        <f t="shared" si="9"/>
        <v>INTEGER</v>
      </c>
      <c r="R17" s="97" t="str">
        <f t="shared" si="10"/>
        <v/>
      </c>
      <c r="S17" s="97" t="str">
        <f t="shared" si="11"/>
        <v>NOT NULL</v>
      </c>
      <c r="T17" s="97" t="str">
        <f t="shared" si="12"/>
        <v>-- スピロノラクトンフラグ</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milscm_2023_010.azn_202310_select_kanja_backborn_yakuzai.c03 IS 'スピロノラクトンフラグ';</v>
      </c>
    </row>
    <row r="18" spans="1:52" s="25" customFormat="1">
      <c r="A18" s="4"/>
      <c r="B18" s="21">
        <f t="shared" si="2"/>
        <v>6</v>
      </c>
      <c r="C18" s="6" t="s">
        <v>4278</v>
      </c>
      <c r="D18" s="13" t="s">
        <v>4257</v>
      </c>
      <c r="E18" s="7"/>
      <c r="F18" s="7" t="s">
        <v>1845</v>
      </c>
      <c r="G18" s="7" t="str">
        <f t="shared" si="7"/>
        <v>integer</v>
      </c>
      <c r="H18" s="26"/>
      <c r="I18" s="10" t="s">
        <v>127</v>
      </c>
      <c r="J18" s="11" t="s">
        <v>4265</v>
      </c>
      <c r="M18" s="4"/>
      <c r="N18" s="97"/>
      <c r="O18" s="97"/>
      <c r="P18" s="97" t="str">
        <f t="shared" si="8"/>
        <v>,c04</v>
      </c>
      <c r="Q18" s="97" t="str">
        <f t="shared" si="9"/>
        <v>INTEGER</v>
      </c>
      <c r="R18" s="97" t="str">
        <f t="shared" si="10"/>
        <v/>
      </c>
      <c r="S18" s="97" t="str">
        <f t="shared" si="11"/>
        <v>NOT NULL</v>
      </c>
      <c r="T18" s="97" t="str">
        <f t="shared" si="12"/>
        <v>-- エプレレノンフラグ</v>
      </c>
      <c r="U18" s="4"/>
      <c r="AA18" s="4"/>
      <c r="AB18" s="4"/>
      <c r="AC18" s="4"/>
      <c r="AD18" s="4"/>
      <c r="AE18" s="4"/>
      <c r="AF18" s="4"/>
      <c r="AG18" s="4"/>
      <c r="AH18" s="4"/>
      <c r="AI18" s="4"/>
      <c r="AJ18" s="97" t="str">
        <f>IF(E18="○",IF(COUNTA(E$13:E18)=1,"",",")&amp;D18,"")</f>
        <v/>
      </c>
      <c r="AK18" s="4"/>
      <c r="AL18" s="4"/>
      <c r="AM18" s="4"/>
      <c r="AN18" s="4"/>
      <c r="AO18" s="4"/>
      <c r="AP18" s="4"/>
      <c r="AQ18" s="4"/>
      <c r="AR18" s="4"/>
      <c r="AS18" s="97" t="str">
        <f>"COMMENT ON COLUMN "&amp;エンティティ一覧!$O$2&amp;"."&amp;D$8&amp;"."&amp;D18&amp;" IS '"&amp;C18&amp;"';"</f>
        <v>COMMENT ON COLUMN milscm_2023_010.azn_202310_select_kanja_backborn_yakuzai.c04 IS 'エプレレノンフラグ';</v>
      </c>
    </row>
    <row r="19" spans="1:52" s="25" customFormat="1">
      <c r="A19" s="4"/>
      <c r="B19" s="21">
        <f t="shared" si="2"/>
        <v>7</v>
      </c>
      <c r="C19" s="6" t="s">
        <v>4279</v>
      </c>
      <c r="D19" s="13" t="s">
        <v>4258</v>
      </c>
      <c r="E19" s="7"/>
      <c r="F19" s="7" t="s">
        <v>1845</v>
      </c>
      <c r="G19" s="7" t="str">
        <f t="shared" si="7"/>
        <v>integer</v>
      </c>
      <c r="H19" s="26"/>
      <c r="I19" s="10" t="s">
        <v>127</v>
      </c>
      <c r="J19" s="11" t="s">
        <v>4265</v>
      </c>
      <c r="M19" s="4"/>
      <c r="N19" s="97"/>
      <c r="O19" s="97"/>
      <c r="P19" s="97" t="str">
        <f t="shared" si="8"/>
        <v>,c05</v>
      </c>
      <c r="Q19" s="97" t="str">
        <f t="shared" si="9"/>
        <v>INTEGER</v>
      </c>
      <c r="R19" s="97" t="str">
        <f t="shared" si="10"/>
        <v/>
      </c>
      <c r="S19" s="97" t="str">
        <f t="shared" si="11"/>
        <v>NOT NULL</v>
      </c>
      <c r="T19" s="97" t="str">
        <f t="shared" si="12"/>
        <v>-- エサキセレノンフラグ</v>
      </c>
      <c r="U19" s="4"/>
      <c r="AA19" s="4"/>
      <c r="AB19" s="4"/>
      <c r="AC19" s="4"/>
      <c r="AD19" s="4"/>
      <c r="AE19" s="4"/>
      <c r="AF19" s="4"/>
      <c r="AG19" s="4"/>
      <c r="AH19" s="4"/>
      <c r="AI19" s="4"/>
      <c r="AJ19" s="97" t="str">
        <f>IF(E19="○",IF(COUNTA(E$13:E19)=1,"",",")&amp;D19,"")</f>
        <v/>
      </c>
      <c r="AK19" s="4"/>
      <c r="AL19" s="4"/>
      <c r="AM19" s="4"/>
      <c r="AN19" s="4"/>
      <c r="AO19" s="4"/>
      <c r="AP19" s="4"/>
      <c r="AQ19" s="4"/>
      <c r="AR19" s="4"/>
      <c r="AS19" s="97" t="str">
        <f>"COMMENT ON COLUMN "&amp;エンティティ一覧!$O$2&amp;"."&amp;D$8&amp;"."&amp;D19&amp;" IS '"&amp;C19&amp;"';"</f>
        <v>COMMENT ON COLUMN milscm_2023_010.azn_202310_select_kanja_backborn_yakuzai.c05 IS 'エサキセレノンフラグ';</v>
      </c>
    </row>
    <row r="20" spans="1:52" s="25" customFormat="1">
      <c r="A20" s="4"/>
      <c r="B20" s="21">
        <f t="shared" si="2"/>
        <v>8</v>
      </c>
      <c r="C20" s="6" t="s">
        <v>4280</v>
      </c>
      <c r="D20" s="13" t="s">
        <v>4259</v>
      </c>
      <c r="E20" s="7"/>
      <c r="F20" s="7" t="s">
        <v>1845</v>
      </c>
      <c r="G20" s="7" t="str">
        <f t="shared" si="7"/>
        <v>integer</v>
      </c>
      <c r="H20" s="26"/>
      <c r="I20" s="10" t="s">
        <v>127</v>
      </c>
      <c r="J20" s="11" t="s">
        <v>4265</v>
      </c>
      <c r="M20" s="4"/>
      <c r="N20" s="97"/>
      <c r="O20" s="97"/>
      <c r="P20" s="97" t="str">
        <f t="shared" si="8"/>
        <v>,c06</v>
      </c>
      <c r="Q20" s="97" t="str">
        <f t="shared" si="9"/>
        <v>INTEGER</v>
      </c>
      <c r="R20" s="97" t="str">
        <f t="shared" si="10"/>
        <v/>
      </c>
      <c r="S20" s="97" t="str">
        <f t="shared" si="11"/>
        <v>NOT NULL</v>
      </c>
      <c r="T20" s="97" t="str">
        <f t="shared" si="12"/>
        <v>-- フィネレノンフラグ</v>
      </c>
      <c r="U20" s="4"/>
      <c r="AA20" s="4"/>
      <c r="AB20" s="4"/>
      <c r="AC20" s="4"/>
      <c r="AD20" s="4"/>
      <c r="AE20" s="4"/>
      <c r="AF20" s="4"/>
      <c r="AG20" s="4"/>
      <c r="AH20" s="4"/>
      <c r="AI20" s="4"/>
      <c r="AJ20" s="97" t="str">
        <f>IF(E20="○",IF(COUNTA(E$13:E20)=1,"",",")&amp;D20,"")</f>
        <v/>
      </c>
      <c r="AK20" s="4"/>
      <c r="AL20" s="4"/>
      <c r="AM20" s="4"/>
      <c r="AN20" s="4"/>
      <c r="AO20" s="4"/>
      <c r="AP20" s="4"/>
      <c r="AQ20" s="4"/>
      <c r="AR20" s="4"/>
      <c r="AS20" s="97" t="str">
        <f>"COMMENT ON COLUMN "&amp;エンティティ一覧!$O$2&amp;"."&amp;D$8&amp;"."&amp;D20&amp;" IS '"&amp;C20&amp;"';"</f>
        <v>COMMENT ON COLUMN milscm_2023_010.azn_202310_select_kanja_backborn_yakuzai.c06 IS 'フィネレノンフラグ';</v>
      </c>
    </row>
    <row r="21" spans="1:52" s="25" customFormat="1">
      <c r="A21" s="4"/>
      <c r="B21" s="21">
        <f t="shared" si="2"/>
        <v>9</v>
      </c>
      <c r="C21" s="6" t="s">
        <v>4281</v>
      </c>
      <c r="D21" s="13" t="s">
        <v>4260</v>
      </c>
      <c r="E21" s="7"/>
      <c r="F21" s="7" t="s">
        <v>1845</v>
      </c>
      <c r="G21" s="7" t="str">
        <f t="shared" ref="G21:G23" si="13">IF(F21="フラグ","boolean",IF(F21="文字列","text",IF(F21="整数","integer",IF(F21="実数","numeric",""))))</f>
        <v>integer</v>
      </c>
      <c r="H21" s="26"/>
      <c r="I21" s="10" t="s">
        <v>127</v>
      </c>
      <c r="J21" s="11" t="s">
        <v>4265</v>
      </c>
      <c r="M21" s="4"/>
      <c r="N21" s="97"/>
      <c r="O21" s="97"/>
      <c r="P21" s="97" t="str">
        <f t="shared" ref="P21:P23" si="14">IF(B21&lt;&gt;1,","&amp;D21,D21)</f>
        <v>,c07</v>
      </c>
      <c r="Q21" s="97" t="str">
        <f t="shared" ref="Q21:Q23" si="15">UPPER(G21)</f>
        <v>INTEGER</v>
      </c>
      <c r="R21" s="97" t="str">
        <f t="shared" ref="R21:R23" si="16">IF(H21&lt;&gt;"","default "&amp;IF(G21="text","'"&amp;H21&amp;"'",H21),"")</f>
        <v/>
      </c>
      <c r="S21" s="97" t="str">
        <f t="shared" ref="S21:S23" si="17">IF(I21="○","NOT NULL","")</f>
        <v>NOT NULL</v>
      </c>
      <c r="T21" s="97" t="str">
        <f t="shared" ref="T21:T23" si="18">"-- "&amp;C21</f>
        <v>-- ACEフラグ</v>
      </c>
      <c r="U21" s="4"/>
      <c r="AA21" s="4"/>
      <c r="AB21" s="4"/>
      <c r="AC21" s="4"/>
      <c r="AD21" s="4"/>
      <c r="AE21" s="4"/>
      <c r="AF21" s="4"/>
      <c r="AG21" s="4"/>
      <c r="AH21" s="4"/>
      <c r="AI21" s="4"/>
      <c r="AJ21" s="97" t="str">
        <f>IF(E21="○",IF(COUNTA(E$13:E21)=1,"",",")&amp;D21,"")</f>
        <v/>
      </c>
      <c r="AK21" s="4"/>
      <c r="AL21" s="4"/>
      <c r="AM21" s="4"/>
      <c r="AN21" s="4"/>
      <c r="AO21" s="4"/>
      <c r="AP21" s="4"/>
      <c r="AQ21" s="4"/>
      <c r="AR21" s="4"/>
      <c r="AS21" s="97" t="str">
        <f>"COMMENT ON COLUMN "&amp;エンティティ一覧!$O$2&amp;"."&amp;D$8&amp;"."&amp;D21&amp;" IS '"&amp;C21&amp;"';"</f>
        <v>COMMENT ON COLUMN milscm_2023_010.azn_202310_select_kanja_backborn_yakuzai.c07 IS 'ACEフラグ';</v>
      </c>
    </row>
    <row r="22" spans="1:52" s="25" customFormat="1">
      <c r="A22" s="4"/>
      <c r="B22" s="21">
        <f t="shared" si="2"/>
        <v>10</v>
      </c>
      <c r="C22" s="6" t="s">
        <v>4282</v>
      </c>
      <c r="D22" s="13" t="s">
        <v>4261</v>
      </c>
      <c r="E22" s="7"/>
      <c r="F22" s="7" t="s">
        <v>1845</v>
      </c>
      <c r="G22" s="7" t="str">
        <f t="shared" si="13"/>
        <v>integer</v>
      </c>
      <c r="H22" s="26"/>
      <c r="I22" s="10" t="s">
        <v>127</v>
      </c>
      <c r="J22" s="11" t="s">
        <v>4265</v>
      </c>
      <c r="M22" s="4"/>
      <c r="N22" s="97"/>
      <c r="O22" s="97"/>
      <c r="P22" s="97" t="str">
        <f t="shared" si="14"/>
        <v>,c08</v>
      </c>
      <c r="Q22" s="97" t="str">
        <f t="shared" si="15"/>
        <v>INTEGER</v>
      </c>
      <c r="R22" s="97" t="str">
        <f t="shared" si="16"/>
        <v/>
      </c>
      <c r="S22" s="97" t="str">
        <f t="shared" si="17"/>
        <v>NOT NULL</v>
      </c>
      <c r="T22" s="97" t="str">
        <f t="shared" si="18"/>
        <v>-- ARBフラグ</v>
      </c>
      <c r="U22" s="4"/>
      <c r="AA22" s="4"/>
      <c r="AB22" s="4"/>
      <c r="AC22" s="4"/>
      <c r="AD22" s="4"/>
      <c r="AE22" s="4"/>
      <c r="AF22" s="4"/>
      <c r="AG22" s="4"/>
      <c r="AH22" s="4"/>
      <c r="AI22" s="4"/>
      <c r="AJ22" s="97" t="str">
        <f>IF(E22="○",IF(COUNTA(E$13:E22)=1,"",",")&amp;D22,"")</f>
        <v/>
      </c>
      <c r="AK22" s="4"/>
      <c r="AL22" s="4"/>
      <c r="AM22" s="4"/>
      <c r="AN22" s="4"/>
      <c r="AO22" s="4"/>
      <c r="AP22" s="4"/>
      <c r="AQ22" s="4"/>
      <c r="AR22" s="4"/>
      <c r="AS22" s="97" t="str">
        <f>"COMMENT ON COLUMN "&amp;エンティティ一覧!$O$2&amp;"."&amp;D$8&amp;"."&amp;D22&amp;" IS '"&amp;C22&amp;"';"</f>
        <v>COMMENT ON COLUMN milscm_2023_010.azn_202310_select_kanja_backborn_yakuzai.c08 IS 'ARBフラグ';</v>
      </c>
    </row>
    <row r="23" spans="1:52" s="25" customFormat="1">
      <c r="A23" s="4"/>
      <c r="B23" s="21">
        <f t="shared" si="2"/>
        <v>11</v>
      </c>
      <c r="C23" s="6" t="s">
        <v>4283</v>
      </c>
      <c r="D23" s="13" t="s">
        <v>4262</v>
      </c>
      <c r="E23" s="7"/>
      <c r="F23" s="7" t="s">
        <v>1845</v>
      </c>
      <c r="G23" s="7" t="str">
        <f t="shared" si="13"/>
        <v>integer</v>
      </c>
      <c r="H23" s="26"/>
      <c r="I23" s="10" t="s">
        <v>127</v>
      </c>
      <c r="J23" s="11" t="s">
        <v>4265</v>
      </c>
      <c r="M23" s="4"/>
      <c r="N23" s="97"/>
      <c r="O23" s="97"/>
      <c r="P23" s="97" t="str">
        <f t="shared" si="14"/>
        <v>,c09</v>
      </c>
      <c r="Q23" s="97" t="str">
        <f t="shared" si="15"/>
        <v>INTEGER</v>
      </c>
      <c r="R23" s="97" t="str">
        <f t="shared" si="16"/>
        <v/>
      </c>
      <c r="S23" s="97" t="str">
        <f t="shared" si="17"/>
        <v>NOT NULL</v>
      </c>
      <c r="T23" s="97" t="str">
        <f t="shared" si="18"/>
        <v>-- ARNIフラグ</v>
      </c>
      <c r="U23" s="4"/>
      <c r="AA23" s="4"/>
      <c r="AB23" s="4"/>
      <c r="AC23" s="4"/>
      <c r="AD23" s="4"/>
      <c r="AE23" s="4"/>
      <c r="AF23" s="4"/>
      <c r="AG23" s="4"/>
      <c r="AH23" s="4"/>
      <c r="AI23" s="4"/>
      <c r="AJ23" s="97" t="str">
        <f>IF(E23="○",IF(COUNTA(E$13:E23)=1,"",",")&amp;D23,"")</f>
        <v/>
      </c>
      <c r="AK23" s="4"/>
      <c r="AL23" s="4"/>
      <c r="AM23" s="4"/>
      <c r="AN23" s="4"/>
      <c r="AO23" s="4"/>
      <c r="AP23" s="4"/>
      <c r="AQ23" s="4"/>
      <c r="AR23" s="4"/>
      <c r="AS23" s="97" t="str">
        <f>"COMMENT ON COLUMN "&amp;エンティティ一覧!$O$2&amp;"."&amp;D$8&amp;"."&amp;D23&amp;" IS '"&amp;C23&amp;"';"</f>
        <v>COMMENT ON COLUMN milscm_2023_010.azn_202310_select_kanja_backborn_yakuzai.c09 IS 'ARNIフラグ';</v>
      </c>
    </row>
    <row r="24" spans="1:52" s="25" customFormat="1">
      <c r="A24" s="4"/>
      <c r="B24" s="21">
        <f t="shared" si="2"/>
        <v>12</v>
      </c>
      <c r="C24" s="6" t="s">
        <v>4284</v>
      </c>
      <c r="D24" s="13" t="s">
        <v>4263</v>
      </c>
      <c r="E24" s="7"/>
      <c r="F24" s="7" t="s">
        <v>1845</v>
      </c>
      <c r="G24" s="7" t="str">
        <f t="shared" si="7"/>
        <v>integer</v>
      </c>
      <c r="H24" s="26"/>
      <c r="I24" s="10" t="s">
        <v>127</v>
      </c>
      <c r="J24" s="11" t="s">
        <v>4265</v>
      </c>
      <c r="M24" s="4"/>
      <c r="N24" s="97"/>
      <c r="O24" s="97"/>
      <c r="P24" s="97" t="str">
        <f t="shared" si="8"/>
        <v>,c10</v>
      </c>
      <c r="Q24" s="97" t="str">
        <f t="shared" si="9"/>
        <v>INTEGER</v>
      </c>
      <c r="R24" s="97" t="str">
        <f t="shared" si="10"/>
        <v/>
      </c>
      <c r="S24" s="97" t="str">
        <f t="shared" si="11"/>
        <v>NOT NULL</v>
      </c>
      <c r="T24" s="97" t="str">
        <f t="shared" si="12"/>
        <v>-- SGLT-2阻害薬（フォシーガ）フラグ</v>
      </c>
      <c r="U24" s="4"/>
      <c r="AA24" s="4"/>
      <c r="AB24" s="4"/>
      <c r="AC24" s="4"/>
      <c r="AD24" s="4"/>
      <c r="AE24" s="4"/>
      <c r="AF24" s="4"/>
      <c r="AG24" s="4"/>
      <c r="AH24" s="4"/>
      <c r="AI24" s="4"/>
      <c r="AJ24" s="97" t="str">
        <f>IF(E24="○",IF(COUNTA(E$13:E24)=1,"",",")&amp;D24,"")</f>
        <v/>
      </c>
      <c r="AK24" s="4"/>
      <c r="AL24" s="4"/>
      <c r="AM24" s="4"/>
      <c r="AN24" s="4"/>
      <c r="AO24" s="4"/>
      <c r="AP24" s="4"/>
      <c r="AQ24" s="4"/>
      <c r="AR24" s="4"/>
      <c r="AS24" s="97" t="str">
        <f>"COMMENT ON COLUMN "&amp;エンティティ一覧!$O$2&amp;"."&amp;D$8&amp;"."&amp;D24&amp;" IS '"&amp;C24&amp;"';"</f>
        <v>COMMENT ON COLUMN milscm_2023_010.azn_202310_select_kanja_backborn_yakuzai.c10 IS 'SGLT-2阻害薬（フォシーガ）フラグ';</v>
      </c>
    </row>
    <row r="25" spans="1:52" s="25" customFormat="1" ht="32.25" thickBot="1">
      <c r="A25" s="4"/>
      <c r="B25" s="69">
        <f t="shared" si="2"/>
        <v>13</v>
      </c>
      <c r="C25" s="121" t="s">
        <v>4285</v>
      </c>
      <c r="D25" s="121" t="s">
        <v>4264</v>
      </c>
      <c r="E25" s="71"/>
      <c r="F25" s="71" t="s">
        <v>1845</v>
      </c>
      <c r="G25" s="71" t="str">
        <f t="shared" si="3"/>
        <v>integer</v>
      </c>
      <c r="H25" s="72"/>
      <c r="I25" s="73" t="s">
        <v>127</v>
      </c>
      <c r="J25" s="74" t="s">
        <v>4265</v>
      </c>
      <c r="M25" s="4"/>
      <c r="N25" s="97"/>
      <c r="O25" s="97"/>
      <c r="P25" s="97" t="str">
        <f t="shared" si="4"/>
        <v>,c11</v>
      </c>
      <c r="Q25" s="97" t="str">
        <f t="shared" si="0"/>
        <v>INTEGER</v>
      </c>
      <c r="R25" s="97" t="str">
        <f t="shared" si="1"/>
        <v/>
      </c>
      <c r="S25" s="97" t="str">
        <f t="shared" si="5"/>
        <v>NOT NULL</v>
      </c>
      <c r="T25" s="97" t="str">
        <f t="shared" si="6"/>
        <v>-- SGLT-2阻害薬（フォシーガ以外）フラグ</v>
      </c>
      <c r="U25" s="4"/>
      <c r="AA25" s="4"/>
      <c r="AB25" s="4"/>
      <c r="AC25" s="4"/>
      <c r="AD25" s="4"/>
      <c r="AE25" s="4"/>
      <c r="AF25" s="4"/>
      <c r="AG25" s="4"/>
      <c r="AH25" s="4"/>
      <c r="AI25" s="4"/>
      <c r="AJ25" s="97" t="str">
        <f>IF(E25="○",IF(COUNTA(E$13:E25)=1,"",",")&amp;D25,"")</f>
        <v/>
      </c>
      <c r="AK25" s="4"/>
      <c r="AL25" s="4"/>
      <c r="AM25" s="4"/>
      <c r="AN25" s="4"/>
      <c r="AO25" s="4"/>
      <c r="AP25" s="4"/>
      <c r="AQ25" s="4"/>
      <c r="AR25" s="4"/>
      <c r="AS25" s="97" t="str">
        <f>"COMMENT ON COLUMN "&amp;エンティティ一覧!$O$2&amp;"."&amp;D$8&amp;"."&amp;D25&amp;" IS '"&amp;C25&amp;"';"</f>
        <v>COMMENT ON COLUMN milscm_2023_010.azn_202310_select_kanja_backborn_yakuzai.c11 IS 'SGLT-2阻害薬（フォシーガ以外）フラグ';</v>
      </c>
    </row>
    <row r="26" spans="1:52">
      <c r="L26" s="25"/>
      <c r="M26" s="25"/>
      <c r="N26" s="97" t="s">
        <v>142</v>
      </c>
      <c r="O26" s="97"/>
      <c r="P26" s="97"/>
      <c r="Q26" s="97"/>
      <c r="R26" s="97"/>
      <c r="S26" s="97"/>
      <c r="T26" s="97"/>
      <c r="V26" s="25"/>
      <c r="W26" s="25"/>
      <c r="X26" s="25"/>
      <c r="Y26" s="25"/>
      <c r="Z26" s="25"/>
      <c r="AJ26" s="97"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6"/>
  <sheetViews>
    <sheetView showGridLines="0" zoomScale="85" zoomScaleNormal="85" workbookViewId="0">
      <selection activeCell="D9" sqref="D9:J9"/>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50" t="s">
        <v>110</v>
      </c>
      <c r="C1" s="251"/>
      <c r="D1" s="254" t="s">
        <v>111</v>
      </c>
      <c r="E1" s="255"/>
      <c r="F1" s="255"/>
      <c r="G1" s="246"/>
      <c r="H1" s="254" t="s">
        <v>112</v>
      </c>
      <c r="I1" s="246"/>
      <c r="J1" s="15" t="s">
        <v>113</v>
      </c>
    </row>
    <row r="2" spans="1:52" ht="19.5" thickBot="1">
      <c r="B2" s="252"/>
      <c r="C2" s="253"/>
      <c r="D2" s="256" t="s">
        <v>114</v>
      </c>
      <c r="E2" s="257"/>
      <c r="F2" s="257"/>
      <c r="G2" s="258"/>
      <c r="H2" s="259"/>
      <c r="I2" s="260"/>
      <c r="J2" s="17"/>
    </row>
    <row r="3" spans="1:52" ht="19.5" thickBot="1">
      <c r="B3" s="5"/>
      <c r="C3" s="5"/>
      <c r="D3" s="5"/>
      <c r="E3" s="5"/>
      <c r="F3" s="5"/>
      <c r="G3" s="5"/>
      <c r="H3" s="5"/>
      <c r="I3" s="5"/>
      <c r="J3" s="18"/>
    </row>
    <row r="4" spans="1:52">
      <c r="B4" s="245" t="s">
        <v>3703</v>
      </c>
      <c r="C4" s="246"/>
      <c r="D4" s="247" t="str">
        <f>VLOOKUP(D7,エンティティ一覧!A1:'エンティティ一覧'!AM10203,2,FALSE)</f>
        <v>51</v>
      </c>
      <c r="E4" s="248"/>
      <c r="F4" s="248"/>
      <c r="G4" s="248"/>
      <c r="H4" s="248"/>
      <c r="I4" s="248"/>
      <c r="J4" s="249"/>
    </row>
    <row r="5" spans="1:52">
      <c r="B5" s="261" t="s">
        <v>3704</v>
      </c>
      <c r="C5" s="262"/>
      <c r="D5" s="271" t="str">
        <f>VLOOKUP(D7,エンティティ一覧!A1:'エンティティ一覧'!AM10203,7,FALSE)</f>
        <v>select</v>
      </c>
      <c r="E5" s="272"/>
      <c r="F5" s="272"/>
      <c r="G5" s="272"/>
      <c r="H5" s="272"/>
      <c r="I5" s="272"/>
      <c r="J5" s="273"/>
    </row>
    <row r="6" spans="1:52">
      <c r="B6" s="261" t="s">
        <v>3705</v>
      </c>
      <c r="C6" s="262"/>
      <c r="D6" s="271" t="str">
        <f>VLOOKUP(D7,エンティティ一覧!A1:'エンティティ一覧'!AM10203,15,FALSE)</f>
        <v>ENT_51_06</v>
      </c>
      <c r="E6" s="272"/>
      <c r="F6" s="272"/>
      <c r="G6" s="272"/>
      <c r="H6" s="272"/>
      <c r="I6" s="272"/>
      <c r="J6" s="273"/>
    </row>
    <row r="7" spans="1:52">
      <c r="B7" s="261" t="s">
        <v>115</v>
      </c>
      <c r="C7" s="262"/>
      <c r="D7" s="263" t="s">
        <v>4127</v>
      </c>
      <c r="E7" s="264"/>
      <c r="F7" s="264"/>
      <c r="G7" s="264"/>
      <c r="H7" s="264"/>
      <c r="I7" s="264"/>
      <c r="J7" s="265"/>
    </row>
    <row r="8" spans="1:52">
      <c r="B8" s="261" t="s">
        <v>116</v>
      </c>
      <c r="C8" s="262"/>
      <c r="D8" s="263" t="str">
        <f>エンティティ一覧!AE2&amp;"_"&amp;D5&amp;"_kanja_backborn_gappei01"</f>
        <v>azn_202310_select_kanja_backborn_gappei01</v>
      </c>
      <c r="E8" s="264"/>
      <c r="F8" s="264"/>
      <c r="G8" s="264"/>
      <c r="H8" s="264"/>
      <c r="I8" s="264"/>
      <c r="J8" s="265"/>
    </row>
    <row r="9" spans="1:52" ht="19.5" customHeight="1" thickBot="1">
      <c r="B9" s="266" t="s">
        <v>117</v>
      </c>
      <c r="C9" s="267"/>
      <c r="D9" s="268" t="s">
        <v>4490</v>
      </c>
      <c r="E9" s="269"/>
      <c r="F9" s="269"/>
      <c r="G9" s="269"/>
      <c r="H9" s="269"/>
      <c r="I9" s="269"/>
      <c r="J9" s="270"/>
    </row>
    <row r="10" spans="1:52">
      <c r="B10" s="19"/>
      <c r="C10" s="19"/>
      <c r="D10" s="5"/>
      <c r="E10" s="5"/>
      <c r="F10" s="5"/>
      <c r="G10" s="5"/>
      <c r="H10" s="5"/>
      <c r="I10" s="5"/>
      <c r="J10" s="18"/>
      <c r="N10" s="97" t="str">
        <f>"--DROP TABLE  "&amp;エンティティ一覧!$O$2&amp;"."&amp;D$8&amp;";"</f>
        <v>--DROP TABLE  milscm_2023_010.azn_202310_select_kanja_backborn_gappei01;</v>
      </c>
      <c r="O10" s="97"/>
      <c r="P10" s="97"/>
      <c r="Q10" s="97"/>
      <c r="R10" s="97"/>
      <c r="S10" s="97"/>
      <c r="T10" s="97"/>
      <c r="AJ10" s="97" t="str">
        <f>"ALTER TABLE ONLY "&amp;エンティティ一覧!$O$2&amp;"."&amp;D$8</f>
        <v>ALTER TABLE ONLY milscm_2023_010.azn_202310_select_kanja_backborn_gappei01</v>
      </c>
      <c r="AS10" s="97" t="str">
        <f>"ALTER TABLE "&amp;エンティティ一覧!$O$2&amp;"."&amp;D$8&amp;" OWNER TO pgmisgrp1;"</f>
        <v>ALTER TABLE milscm_2023_010.azn_202310_select_kanja_backborn_gappei01 OWNER TO pgmisgrp1;</v>
      </c>
    </row>
    <row r="11" spans="1:52" ht="19.5" thickBot="1">
      <c r="B11" s="20" t="s">
        <v>118</v>
      </c>
      <c r="C11" s="19"/>
      <c r="D11" s="5"/>
      <c r="E11" s="5"/>
      <c r="F11" s="5"/>
      <c r="G11" s="5"/>
      <c r="H11" s="5"/>
      <c r="I11" s="5"/>
      <c r="J11" s="18"/>
      <c r="N11" s="97" t="str">
        <f>"CREATE TABLE  "&amp;エンティティ一覧!$O$2&amp;"."&amp;D$8</f>
        <v>CREATE TABLE  milscm_2023_010.azn_202310_select_kanja_backborn_gappei01</v>
      </c>
      <c r="O11" s="97"/>
      <c r="P11" s="97"/>
      <c r="Q11" s="97"/>
      <c r="R11" s="97"/>
      <c r="S11" s="97"/>
      <c r="T11" s="97"/>
      <c r="AJ11" s="97" t="str">
        <f>"ADD CONSTRAINT "&amp;D$8&amp;"_pkey PRIMARY KEY"</f>
        <v>ADD CONSTRAINT azn_202310_select_kanja_backborn_gappei01_pkey PRIMARY KEY</v>
      </c>
      <c r="AS11" s="97"/>
    </row>
    <row r="12" spans="1:52">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milscm_2023_010.azn_202310_select_kanja_backborn_gappei01 IS 'セレクト_合併症有無_CKD_患者背景用';</v>
      </c>
    </row>
    <row r="13" spans="1:52" s="25" customFormat="1">
      <c r="A13" s="4"/>
      <c r="B13" s="21">
        <f>ROW()-12</f>
        <v>1</v>
      </c>
      <c r="C13" s="6" t="s">
        <v>137</v>
      </c>
      <c r="D13" s="6" t="s">
        <v>128</v>
      </c>
      <c r="E13" s="8" t="s">
        <v>127</v>
      </c>
      <c r="F13" s="8" t="s">
        <v>1735</v>
      </c>
      <c r="G13" s="7" t="str">
        <f>IF(F13="フラグ","boolean",IF(F13="文字列","text",IF(F13="整数","integer",IF(F13="実数","numeric",""))))</f>
        <v>text</v>
      </c>
      <c r="H13" s="9"/>
      <c r="I13" s="10" t="s">
        <v>127</v>
      </c>
      <c r="J13" s="11"/>
      <c r="M13" s="4"/>
      <c r="N13" s="97"/>
      <c r="O13" s="97"/>
      <c r="P13" s="97" t="str">
        <f>IF(B13&lt;&gt;1,","&amp;D13,D13)</f>
        <v>facility_id</v>
      </c>
      <c r="Q13" s="97" t="str">
        <f t="shared" ref="Q13:Q15" si="0">UPPER(G13)</f>
        <v>TEXT</v>
      </c>
      <c r="R13" s="97" t="str">
        <f t="shared" ref="R13:R15" si="1">IF(H13&lt;&gt;"","default "&amp;IF(G13="text","'"&amp;H13&amp;"'",H13),"")</f>
        <v/>
      </c>
      <c r="S13" s="97" t="str">
        <f>IF(I13="○","NOT NULL","")</f>
        <v>NOT NULL</v>
      </c>
      <c r="T13" s="97" t="str">
        <f>"-- "&amp;C13</f>
        <v>-- 施設ID</v>
      </c>
      <c r="U13" s="4"/>
      <c r="AA13" s="4"/>
      <c r="AB13" s="4"/>
      <c r="AC13" s="4"/>
      <c r="AD13" s="4"/>
      <c r="AE13" s="4"/>
      <c r="AF13" s="4"/>
      <c r="AG13" s="4"/>
      <c r="AH13" s="4"/>
      <c r="AI13" s="4"/>
      <c r="AJ13" s="97" t="str">
        <f>IF(E13="○",IF(COUNTA(E$13:E13)=1,"",",")&amp;D13,"")</f>
        <v>facility_id</v>
      </c>
      <c r="AK13" s="4"/>
      <c r="AL13" s="4"/>
      <c r="AM13" s="4"/>
      <c r="AN13" s="4"/>
      <c r="AO13" s="4"/>
      <c r="AP13" s="4"/>
      <c r="AQ13" s="4"/>
      <c r="AR13" s="4"/>
      <c r="AS13" s="97" t="str">
        <f>"COMMENT ON COLUMN "&amp;エンティティ一覧!$O$2&amp;"."&amp;D$8&amp;"."&amp;D13&amp;" IS '"&amp;C13&amp;"';"</f>
        <v>COMMENT ON COLUMN milscm_2023_010.azn_202310_select_kanja_backborn_gappei01.facility_id IS '施設ID';</v>
      </c>
    </row>
    <row r="14" spans="1:52" s="25" customFormat="1">
      <c r="A14" s="4"/>
      <c r="B14" s="21">
        <f t="shared" ref="B14:B15" si="2">ROW()-12</f>
        <v>2</v>
      </c>
      <c r="C14" s="6" t="s">
        <v>4015</v>
      </c>
      <c r="D14" s="6" t="s">
        <v>1843</v>
      </c>
      <c r="E14" s="8" t="s">
        <v>127</v>
      </c>
      <c r="F14" s="7" t="s">
        <v>1735</v>
      </c>
      <c r="G14" s="7" t="str">
        <f t="shared" ref="G14:G15" si="3">IF(F14="フラグ","boolean",IF(F14="文字列","text",IF(F14="整数","integer",IF(F14="実数","numeric",""))))</f>
        <v>text</v>
      </c>
      <c r="H14" s="26"/>
      <c r="I14" s="10" t="s">
        <v>127</v>
      </c>
      <c r="J14" s="11"/>
      <c r="M14" s="4"/>
      <c r="N14" s="97"/>
      <c r="O14" s="97"/>
      <c r="P14" s="97" t="str">
        <f t="shared" ref="P14:P15" si="4">IF(B14&lt;&gt;1,","&amp;D14,D14)</f>
        <v>,himoduke_id</v>
      </c>
      <c r="Q14" s="97" t="str">
        <f t="shared" si="0"/>
        <v>TEXT</v>
      </c>
      <c r="R14" s="97" t="str">
        <f t="shared" si="1"/>
        <v/>
      </c>
      <c r="S14" s="97" t="str">
        <f t="shared" ref="S14:S15" si="5">IF(I14="○","NOT NULL","")</f>
        <v>NOT NULL</v>
      </c>
      <c r="T14" s="97" t="str">
        <f t="shared" ref="T14:T15" si="6">"-- "&amp;C14</f>
        <v>-- 紐付けID</v>
      </c>
      <c r="U14" s="4"/>
      <c r="AA14" s="4"/>
      <c r="AB14" s="4"/>
      <c r="AC14" s="4"/>
      <c r="AD14" s="4"/>
      <c r="AE14" s="4"/>
      <c r="AF14" s="4"/>
      <c r="AG14" s="4"/>
      <c r="AH14" s="4"/>
      <c r="AI14" s="4"/>
      <c r="AJ14" s="97" t="str">
        <f>IF(E14="○",IF(COUNTA(E$13:E14)=1,"",",")&amp;D14,"")</f>
        <v>,himoduke_id</v>
      </c>
      <c r="AK14" s="4"/>
      <c r="AL14" s="4"/>
      <c r="AM14" s="4"/>
      <c r="AN14" s="4"/>
      <c r="AO14" s="4"/>
      <c r="AP14" s="4"/>
      <c r="AQ14" s="4"/>
      <c r="AR14" s="4"/>
      <c r="AS14" s="97" t="str">
        <f>"COMMENT ON COLUMN "&amp;エンティティ一覧!$O$2&amp;"."&amp;D$8&amp;"."&amp;D14&amp;" IS '"&amp;C14&amp;"';"</f>
        <v>COMMENT ON COLUMN milscm_2023_010.azn_202310_select_kanja_backborn_gappei01.himoduke_id IS '紐付けID';</v>
      </c>
    </row>
    <row r="15" spans="1:52" s="25" customFormat="1" ht="19.5" thickBot="1">
      <c r="A15" s="4"/>
      <c r="B15" s="69">
        <f t="shared" si="2"/>
        <v>3</v>
      </c>
      <c r="C15" s="121" t="s">
        <v>4274</v>
      </c>
      <c r="D15" s="121" t="s">
        <v>4267</v>
      </c>
      <c r="E15" s="71"/>
      <c r="F15" s="71" t="s">
        <v>1845</v>
      </c>
      <c r="G15" s="71" t="str">
        <f t="shared" si="3"/>
        <v>integer</v>
      </c>
      <c r="H15" s="72"/>
      <c r="I15" s="73" t="s">
        <v>127</v>
      </c>
      <c r="J15" s="74" t="s">
        <v>4265</v>
      </c>
      <c r="M15" s="4"/>
      <c r="N15" s="97"/>
      <c r="O15" s="97"/>
      <c r="P15" s="97" t="str">
        <f t="shared" si="4"/>
        <v>,d01</v>
      </c>
      <c r="Q15" s="97" t="str">
        <f t="shared" si="0"/>
        <v>INTEGER</v>
      </c>
      <c r="R15" s="97" t="str">
        <f t="shared" si="1"/>
        <v/>
      </c>
      <c r="S15" s="97" t="str">
        <f t="shared" si="5"/>
        <v>NOT NULL</v>
      </c>
      <c r="T15" s="97" t="str">
        <f t="shared" si="6"/>
        <v>-- eGFRフラグ</v>
      </c>
      <c r="U15" s="4"/>
      <c r="AA15" s="4"/>
      <c r="AB15" s="4"/>
      <c r="AC15" s="4"/>
      <c r="AD15" s="4"/>
      <c r="AE15" s="4"/>
      <c r="AF15" s="4"/>
      <c r="AG15" s="4"/>
      <c r="AH15" s="4"/>
      <c r="AI15" s="4"/>
      <c r="AJ15" s="97" t="str">
        <f>IF(E15="○",IF(COUNTA(E$13:E15)=1,"",",")&amp;D15,"")</f>
        <v/>
      </c>
      <c r="AK15" s="4"/>
      <c r="AL15" s="4"/>
      <c r="AM15" s="4"/>
      <c r="AN15" s="4"/>
      <c r="AO15" s="4"/>
      <c r="AP15" s="4"/>
      <c r="AQ15" s="4"/>
      <c r="AR15" s="4"/>
      <c r="AS15" s="97" t="str">
        <f>"COMMENT ON COLUMN "&amp;エンティティ一覧!$O$2&amp;"."&amp;D$8&amp;"."&amp;D15&amp;" IS '"&amp;C15&amp;"';"</f>
        <v>COMMENT ON COLUMN milscm_2023_010.azn_202310_select_kanja_backborn_gappei01.d01 IS 'eGFRフラグ';</v>
      </c>
    </row>
    <row r="16" spans="1:52">
      <c r="L16" s="25"/>
      <c r="M16" s="25"/>
      <c r="N16" s="97" t="s">
        <v>142</v>
      </c>
      <c r="O16" s="97"/>
      <c r="P16" s="97"/>
      <c r="Q16" s="97"/>
      <c r="R16" s="97"/>
      <c r="S16" s="97"/>
      <c r="T16" s="97"/>
      <c r="V16" s="25"/>
      <c r="W16" s="25"/>
      <c r="X16" s="25"/>
      <c r="Y16" s="25"/>
      <c r="Z16" s="25"/>
      <c r="AJ16" s="97"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V30" s="25"/>
      <c r="AW30" s="25"/>
      <c r="AX30" s="25"/>
      <c r="AY30" s="25"/>
      <c r="AZ30" s="25"/>
    </row>
    <row r="31" spans="12:52">
      <c r="M31" s="25"/>
    </row>
    <row r="32" spans="12:52">
      <c r="M32" s="25"/>
    </row>
    <row r="33" spans="13:13">
      <c r="M33" s="25"/>
    </row>
    <row r="34" spans="13:13">
      <c r="M34" s="25"/>
    </row>
    <row r="35" spans="13:13">
      <c r="M35" s="25"/>
    </row>
    <row r="36" spans="13:13">
      <c r="M3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election activeCell="J15" sqref="J15:J17"/>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4315</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51</v>
      </c>
      <c r="E4" s="248"/>
      <c r="F4" s="248"/>
      <c r="G4" s="248"/>
      <c r="H4" s="248"/>
      <c r="I4" s="248"/>
      <c r="J4" s="249"/>
    </row>
    <row r="5" spans="1:45">
      <c r="B5" s="261" t="s">
        <v>3704</v>
      </c>
      <c r="C5" s="262"/>
      <c r="D5" s="271" t="str">
        <f>VLOOKUP(D7,エンティティ一覧!A1:'エンティティ一覧'!AM10203,7,FALSE)</f>
        <v>select</v>
      </c>
      <c r="E5" s="272"/>
      <c r="F5" s="272"/>
      <c r="G5" s="272"/>
      <c r="H5" s="272"/>
      <c r="I5" s="272"/>
      <c r="J5" s="273"/>
    </row>
    <row r="6" spans="1:45">
      <c r="B6" s="261" t="s">
        <v>3705</v>
      </c>
      <c r="C6" s="262"/>
      <c r="D6" s="271" t="str">
        <f>VLOOKUP(D7,エンティティ一覧!A1:'エンティティ一覧'!AM10203,15,FALSE)</f>
        <v>ENT_51_07</v>
      </c>
      <c r="E6" s="272"/>
      <c r="F6" s="272"/>
      <c r="G6" s="272"/>
      <c r="H6" s="272"/>
      <c r="I6" s="272"/>
      <c r="J6" s="273"/>
    </row>
    <row r="7" spans="1:45">
      <c r="B7" s="261" t="s">
        <v>115</v>
      </c>
      <c r="C7" s="262"/>
      <c r="D7" s="263" t="s">
        <v>4128</v>
      </c>
      <c r="E7" s="264"/>
      <c r="F7" s="264"/>
      <c r="G7" s="264"/>
      <c r="H7" s="264"/>
      <c r="I7" s="264"/>
      <c r="J7" s="265"/>
    </row>
    <row r="8" spans="1:45">
      <c r="B8" s="261" t="s">
        <v>116</v>
      </c>
      <c r="C8" s="262"/>
      <c r="D8" s="263" t="str">
        <f>エンティティ一覧!AE2&amp;"_"&amp;D5&amp;"_kanja_backborn_gappei02"</f>
        <v>azn_202310_select_kanja_backborn_gappei02</v>
      </c>
      <c r="E8" s="264"/>
      <c r="F8" s="264"/>
      <c r="G8" s="264"/>
      <c r="H8" s="264"/>
      <c r="I8" s="264"/>
      <c r="J8" s="265"/>
    </row>
    <row r="9" spans="1:45" ht="19.5" customHeight="1" thickBot="1">
      <c r="B9" s="266" t="s">
        <v>117</v>
      </c>
      <c r="C9" s="267"/>
      <c r="D9" s="268" t="s">
        <v>4491</v>
      </c>
      <c r="E9" s="269"/>
      <c r="F9" s="269"/>
      <c r="G9" s="269"/>
      <c r="H9" s="269"/>
      <c r="I9" s="269"/>
      <c r="J9" s="270"/>
    </row>
    <row r="10" spans="1:45">
      <c r="B10" s="19"/>
      <c r="C10" s="19"/>
      <c r="D10" s="5"/>
      <c r="E10" s="5"/>
      <c r="F10" s="5"/>
      <c r="G10" s="5"/>
      <c r="H10" s="5"/>
      <c r="I10" s="5"/>
      <c r="J10" s="18"/>
      <c r="N10" s="97" t="str">
        <f>"--DROP TABLE  "&amp;エンティティ一覧!$O$2&amp;"."&amp;D$8&amp;";"</f>
        <v>--DROP TABLE  milscm_2023_010.azn_202310_select_kanja_backborn_gappei02;</v>
      </c>
      <c r="O10" s="97"/>
      <c r="P10" s="97"/>
      <c r="Q10" s="97"/>
      <c r="R10" s="97"/>
      <c r="S10" s="97"/>
      <c r="T10" s="97"/>
      <c r="AJ10" s="97" t="str">
        <f>"ALTER TABLE ONLY "&amp;エンティティ一覧!$O$2&amp;"."&amp;D$8</f>
        <v>ALTER TABLE ONLY milscm_2023_010.azn_202310_select_kanja_backborn_gappei02</v>
      </c>
      <c r="AS10" s="97" t="str">
        <f>"ALTER TABLE "&amp;エンティティ一覧!$O$2&amp;"."&amp;D$8&amp;" OWNER TO pgmisgrp1;"</f>
        <v>ALTER TABLE milscm_2023_010.azn_202310_select_kanja_backborn_gappei02 OWNER TO pgmisgrp1;</v>
      </c>
    </row>
    <row r="11" spans="1:45" ht="19.5" thickBot="1">
      <c r="B11" s="20" t="s">
        <v>118</v>
      </c>
      <c r="C11" s="19"/>
      <c r="D11" s="5"/>
      <c r="E11" s="5"/>
      <c r="F11" s="5"/>
      <c r="G11" s="5"/>
      <c r="H11" s="5"/>
      <c r="I11" s="5"/>
      <c r="J11" s="18"/>
      <c r="N11" s="97" t="str">
        <f>"CREATE TABLE  "&amp;エンティティ一覧!$O$2&amp;"."&amp;D$8</f>
        <v>CREATE TABLE  milscm_2023_010.azn_202310_select_kanja_backborn_gappei02</v>
      </c>
      <c r="O11" s="97"/>
      <c r="P11" s="97"/>
      <c r="Q11" s="97"/>
      <c r="R11" s="97"/>
      <c r="S11" s="97"/>
      <c r="T11" s="97"/>
      <c r="AJ11" s="97" t="str">
        <f>"ADD CONSTRAINT "&amp;D$8&amp;"_pkey PRIMARY KEY"</f>
        <v>ADD CONSTRAINT azn_202310_select_kanja_backborn_gappei02_pkey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milscm_2023_010.azn_202310_select_kanja_backborn_gappei02 IS 'セレクト_合併症有無_CKD以外_患者背景用';</v>
      </c>
    </row>
    <row r="13" spans="1:45" s="25" customFormat="1">
      <c r="A13" s="4"/>
      <c r="B13" s="21">
        <f>ROW()-12</f>
        <v>1</v>
      </c>
      <c r="C13" s="6" t="s">
        <v>137</v>
      </c>
      <c r="D13" s="6" t="s">
        <v>128</v>
      </c>
      <c r="E13" s="8" t="s">
        <v>127</v>
      </c>
      <c r="F13" s="8" t="s">
        <v>1735</v>
      </c>
      <c r="G13" s="7" t="str">
        <f>IF(F13="フラグ","boolean",IF(F13="文字列","text",IF(F13="整数","integer",IF(F13="実数","numeric",""))))</f>
        <v>text</v>
      </c>
      <c r="H13" s="9"/>
      <c r="I13" s="10" t="s">
        <v>127</v>
      </c>
      <c r="J13" s="11"/>
      <c r="M13" s="4"/>
      <c r="N13" s="97"/>
      <c r="O13" s="97"/>
      <c r="P13" s="97" t="str">
        <f>IF(B13&lt;&gt;1,","&amp;D13,D13)</f>
        <v>facility_id</v>
      </c>
      <c r="Q13" s="97" t="str">
        <f t="shared" ref="Q13:Q15" si="0">UPPER(G13)</f>
        <v>TEXT</v>
      </c>
      <c r="R13" s="97" t="str">
        <f t="shared" ref="R13:R15" si="1">IF(H13&lt;&gt;"","default "&amp;IF(G13="text","'"&amp;H13&amp;"'",H13),"")</f>
        <v/>
      </c>
      <c r="S13" s="97" t="str">
        <f>IF(I13="○","NOT NULL","")</f>
        <v>NOT NULL</v>
      </c>
      <c r="T13" s="97" t="str">
        <f>"-- "&amp;C13</f>
        <v>-- 施設ID</v>
      </c>
      <c r="U13" s="4"/>
      <c r="AA13" s="4"/>
      <c r="AB13" s="4"/>
      <c r="AC13" s="4"/>
      <c r="AD13" s="4"/>
      <c r="AE13" s="4"/>
      <c r="AF13" s="4"/>
      <c r="AG13" s="4"/>
      <c r="AH13" s="4"/>
      <c r="AI13" s="4"/>
      <c r="AJ13" s="97" t="str">
        <f>IF(E13="○",IF(COUNTA(E$13:E13)=1,"",",")&amp;D13,"")</f>
        <v>facility_id</v>
      </c>
      <c r="AK13" s="4"/>
      <c r="AL13" s="4"/>
      <c r="AM13" s="4"/>
      <c r="AN13" s="4"/>
      <c r="AO13" s="4"/>
      <c r="AP13" s="4"/>
      <c r="AQ13" s="4"/>
      <c r="AR13" s="4"/>
      <c r="AS13" s="97" t="str">
        <f>"COMMENT ON COLUMN "&amp;エンティティ一覧!$O$2&amp;"."&amp;D$8&amp;"."&amp;D13&amp;" IS '"&amp;C13&amp;"';"</f>
        <v>COMMENT ON COLUMN milscm_2023_010.azn_202310_select_kanja_backborn_gappei02.facility_id IS '施設ID';</v>
      </c>
    </row>
    <row r="14" spans="1:45" s="25" customFormat="1">
      <c r="A14" s="4"/>
      <c r="B14" s="21">
        <f t="shared" ref="B14:B17" si="2">ROW()-12</f>
        <v>2</v>
      </c>
      <c r="C14" s="6" t="s">
        <v>4015</v>
      </c>
      <c r="D14" s="6" t="s">
        <v>1843</v>
      </c>
      <c r="E14" s="8" t="s">
        <v>127</v>
      </c>
      <c r="F14" s="7" t="s">
        <v>1735</v>
      </c>
      <c r="G14" s="7" t="str">
        <f t="shared" ref="G14:G15" si="3">IF(F14="フラグ","boolean",IF(F14="文字列","text",IF(F14="整数","integer",IF(F14="実数","numeric",""))))</f>
        <v>text</v>
      </c>
      <c r="H14" s="26"/>
      <c r="I14" s="10" t="s">
        <v>127</v>
      </c>
      <c r="J14" s="11"/>
      <c r="M14" s="4"/>
      <c r="N14" s="97"/>
      <c r="O14" s="97"/>
      <c r="P14" s="97" t="str">
        <f t="shared" ref="P14:P15" si="4">IF(B14&lt;&gt;1,","&amp;D14,D14)</f>
        <v>,himoduke_id</v>
      </c>
      <c r="Q14" s="97" t="str">
        <f t="shared" si="0"/>
        <v>TEXT</v>
      </c>
      <c r="R14" s="97" t="str">
        <f t="shared" si="1"/>
        <v/>
      </c>
      <c r="S14" s="97" t="str">
        <f t="shared" ref="S14:S15" si="5">IF(I14="○","NOT NULL","")</f>
        <v>NOT NULL</v>
      </c>
      <c r="T14" s="97" t="str">
        <f t="shared" ref="T14:T15" si="6">"-- "&amp;C14</f>
        <v>-- 紐付けID</v>
      </c>
      <c r="U14" s="4"/>
      <c r="AA14" s="4"/>
      <c r="AB14" s="4"/>
      <c r="AC14" s="4"/>
      <c r="AD14" s="4"/>
      <c r="AE14" s="4"/>
      <c r="AF14" s="4"/>
      <c r="AG14" s="4"/>
      <c r="AH14" s="4"/>
      <c r="AI14" s="4"/>
      <c r="AJ14" s="97" t="str">
        <f>IF(E14="○",IF(COUNTA(E$13:E14)=1,"",",")&amp;D14,"")</f>
        <v>,himoduke_id</v>
      </c>
      <c r="AK14" s="4"/>
      <c r="AL14" s="4"/>
      <c r="AM14" s="4"/>
      <c r="AN14" s="4"/>
      <c r="AO14" s="4"/>
      <c r="AP14" s="4"/>
      <c r="AQ14" s="4"/>
      <c r="AR14" s="4"/>
      <c r="AS14" s="97" t="str">
        <f>"COMMENT ON COLUMN "&amp;エンティティ一覧!$O$2&amp;"."&amp;D$8&amp;"."&amp;D14&amp;" IS '"&amp;C14&amp;"';"</f>
        <v>COMMENT ON COLUMN milscm_2023_010.azn_202310_select_kanja_backborn_gappei02.himoduke_id IS '紐付けID';</v>
      </c>
    </row>
    <row r="15" spans="1:45" s="25" customFormat="1" ht="56.25">
      <c r="A15" s="4"/>
      <c r="B15" s="122">
        <f t="shared" si="2"/>
        <v>3</v>
      </c>
      <c r="C15" s="6" t="s">
        <v>4271</v>
      </c>
      <c r="D15" s="123" t="s">
        <v>4268</v>
      </c>
      <c r="E15" s="124"/>
      <c r="F15" s="124" t="s">
        <v>1845</v>
      </c>
      <c r="G15" s="124" t="str">
        <f t="shared" si="3"/>
        <v>integer</v>
      </c>
      <c r="H15" s="125"/>
      <c r="I15" s="126" t="s">
        <v>127</v>
      </c>
      <c r="J15" s="127" t="s">
        <v>4520</v>
      </c>
      <c r="M15" s="4"/>
      <c r="N15" s="97"/>
      <c r="O15" s="97"/>
      <c r="P15" s="97" t="str">
        <f t="shared" si="4"/>
        <v>,d02</v>
      </c>
      <c r="Q15" s="97" t="str">
        <f t="shared" si="0"/>
        <v>INTEGER</v>
      </c>
      <c r="R15" s="97" t="str">
        <f t="shared" si="1"/>
        <v/>
      </c>
      <c r="S15" s="97" t="str">
        <f t="shared" si="5"/>
        <v>NOT NULL</v>
      </c>
      <c r="T15" s="97" t="str">
        <f t="shared" si="6"/>
        <v>-- 慢性心不全フラグ</v>
      </c>
      <c r="U15" s="4"/>
      <c r="AA15" s="4"/>
      <c r="AB15" s="4"/>
      <c r="AC15" s="4"/>
      <c r="AD15" s="4"/>
      <c r="AE15" s="4"/>
      <c r="AF15" s="4"/>
      <c r="AG15" s="4"/>
      <c r="AH15" s="4"/>
      <c r="AI15" s="4"/>
      <c r="AJ15" s="97" t="str">
        <f>IF(E15="○",IF(COUNTA(E$13:E15)=1,"",",")&amp;D15,"")</f>
        <v/>
      </c>
      <c r="AK15" s="4"/>
      <c r="AL15" s="4"/>
      <c r="AM15" s="4"/>
      <c r="AN15" s="4"/>
      <c r="AO15" s="4"/>
      <c r="AP15" s="4"/>
      <c r="AQ15" s="4"/>
      <c r="AR15" s="4"/>
      <c r="AS15" s="97" t="str">
        <f>"COMMENT ON COLUMN "&amp;エンティティ一覧!$O$2&amp;"."&amp;D$8&amp;"."&amp;D15&amp;" IS '"&amp;C15&amp;"';"</f>
        <v>COMMENT ON COLUMN milscm_2023_010.azn_202310_select_kanja_backborn_gappei02.d02 IS '慢性心不全フラグ';</v>
      </c>
    </row>
    <row r="16" spans="1:45" s="25" customFormat="1" ht="56.25">
      <c r="A16" s="4"/>
      <c r="B16" s="21">
        <f t="shared" si="2"/>
        <v>4</v>
      </c>
      <c r="C16" s="6" t="s">
        <v>4272</v>
      </c>
      <c r="D16" s="13" t="s">
        <v>4269</v>
      </c>
      <c r="E16" s="7"/>
      <c r="F16" s="7" t="s">
        <v>1845</v>
      </c>
      <c r="G16" s="7" t="str">
        <f t="shared" ref="G16:G17" si="7">IF(F16="フラグ","boolean",IF(F16="文字列","text",IF(F16="整数","integer",IF(F16="実数","numeric",""))))</f>
        <v>integer</v>
      </c>
      <c r="H16" s="22"/>
      <c r="I16" s="7" t="s">
        <v>127</v>
      </c>
      <c r="J16" s="24" t="s">
        <v>4521</v>
      </c>
      <c r="M16" s="4"/>
      <c r="N16" s="97"/>
      <c r="O16" s="97"/>
      <c r="P16" s="97" t="str">
        <f t="shared" ref="P16:P17" si="8">IF(B16&lt;&gt;1,","&amp;D16,D16)</f>
        <v>,d03</v>
      </c>
      <c r="Q16" s="97" t="str">
        <f t="shared" ref="Q16:Q17" si="9">UPPER(G16)</f>
        <v>INTEGER</v>
      </c>
      <c r="R16" s="97" t="str">
        <f t="shared" ref="R16:R17" si="10">IF(H16&lt;&gt;"","default "&amp;IF(G16="text","'"&amp;H16&amp;"'",H16),"")</f>
        <v/>
      </c>
      <c r="S16" s="97" t="str">
        <f t="shared" ref="S16:S17" si="11">IF(I16="○","NOT NULL","")</f>
        <v>NOT NULL</v>
      </c>
      <c r="T16" s="97" t="str">
        <f t="shared" ref="T16:T17" si="12">"-- "&amp;C16</f>
        <v>-- 糖尿病フラグ</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"&amp;エンティティ一覧!$O$2&amp;"."&amp;D$8&amp;"."&amp;D16&amp;" IS '"&amp;C16&amp;"';"</f>
        <v>COMMENT ON COLUMN milscm_2023_010.azn_202310_select_kanja_backborn_gappei02.d03 IS '糖尿病フラグ';</v>
      </c>
    </row>
    <row r="17" spans="1:52" s="25" customFormat="1" ht="57" thickBot="1">
      <c r="A17" s="4"/>
      <c r="B17" s="69">
        <f t="shared" si="2"/>
        <v>5</v>
      </c>
      <c r="C17" s="121" t="s">
        <v>4273</v>
      </c>
      <c r="D17" s="121" t="s">
        <v>4270</v>
      </c>
      <c r="E17" s="71"/>
      <c r="F17" s="71" t="s">
        <v>1845</v>
      </c>
      <c r="G17" s="71" t="str">
        <f t="shared" si="7"/>
        <v>integer</v>
      </c>
      <c r="H17" s="72"/>
      <c r="I17" s="73" t="s">
        <v>127</v>
      </c>
      <c r="J17" s="74" t="s">
        <v>4522</v>
      </c>
      <c r="M17" s="4"/>
      <c r="N17" s="97"/>
      <c r="O17" s="97"/>
      <c r="P17" s="97" t="str">
        <f t="shared" si="8"/>
        <v>,d04</v>
      </c>
      <c r="Q17" s="97" t="str">
        <f t="shared" si="9"/>
        <v>INTEGER</v>
      </c>
      <c r="R17" s="97" t="str">
        <f t="shared" si="10"/>
        <v/>
      </c>
      <c r="S17" s="97" t="str">
        <f t="shared" si="11"/>
        <v>NOT NULL</v>
      </c>
      <c r="T17" s="97" t="str">
        <f t="shared" si="12"/>
        <v>-- 高血圧フラグ</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milscm_2023_010.azn_202310_select_kanja_backborn_gappei02.d04 IS '高血圧フラグ';</v>
      </c>
    </row>
    <row r="18" spans="1:52">
      <c r="L18" s="25"/>
      <c r="M18" s="25"/>
      <c r="N18" s="97" t="s">
        <v>142</v>
      </c>
      <c r="O18" s="97"/>
      <c r="P18" s="97"/>
      <c r="Q18" s="97"/>
      <c r="R18" s="97"/>
      <c r="S18" s="97"/>
      <c r="T18" s="97"/>
      <c r="V18" s="25"/>
      <c r="W18" s="25"/>
      <c r="X18" s="25"/>
      <c r="Y18" s="25"/>
      <c r="Z18" s="25"/>
      <c r="AJ18" s="97"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50" t="s">
        <v>110</v>
      </c>
      <c r="C1" s="251"/>
      <c r="D1" s="254" t="s">
        <v>111</v>
      </c>
      <c r="E1" s="255"/>
      <c r="F1" s="255"/>
      <c r="G1" s="246"/>
      <c r="H1" s="254" t="s">
        <v>112</v>
      </c>
      <c r="I1" s="246"/>
      <c r="J1" s="15" t="s">
        <v>113</v>
      </c>
    </row>
    <row r="2" spans="1:52" ht="19.5" thickBot="1">
      <c r="B2" s="252"/>
      <c r="C2" s="253"/>
      <c r="D2" s="256" t="s">
        <v>114</v>
      </c>
      <c r="E2" s="257"/>
      <c r="F2" s="257"/>
      <c r="G2" s="258"/>
      <c r="H2" s="259"/>
      <c r="I2" s="260"/>
      <c r="J2" s="17"/>
    </row>
    <row r="3" spans="1:52" ht="19.5" thickBot="1">
      <c r="B3" s="5"/>
      <c r="C3" s="5"/>
      <c r="D3" s="5"/>
      <c r="E3" s="5"/>
      <c r="F3" s="5"/>
      <c r="G3" s="5"/>
      <c r="H3" s="5"/>
      <c r="I3" s="5"/>
      <c r="J3" s="18"/>
    </row>
    <row r="4" spans="1:52">
      <c r="B4" s="245" t="s">
        <v>3703</v>
      </c>
      <c r="C4" s="246"/>
      <c r="D4" s="247" t="str">
        <f>VLOOKUP(D7,エンティティ一覧!A1:'エンティティ一覧'!AM10203,2,FALSE)</f>
        <v>51</v>
      </c>
      <c r="E4" s="248"/>
      <c r="F4" s="248"/>
      <c r="G4" s="248"/>
      <c r="H4" s="248"/>
      <c r="I4" s="248"/>
      <c r="J4" s="249"/>
    </row>
    <row r="5" spans="1:52">
      <c r="B5" s="261" t="s">
        <v>3704</v>
      </c>
      <c r="C5" s="262"/>
      <c r="D5" s="271" t="str">
        <f>VLOOKUP(D7,エンティティ一覧!A1:'エンティティ一覧'!AM10203,7,FALSE)</f>
        <v>select</v>
      </c>
      <c r="E5" s="272"/>
      <c r="F5" s="272"/>
      <c r="G5" s="272"/>
      <c r="H5" s="272"/>
      <c r="I5" s="272"/>
      <c r="J5" s="273"/>
    </row>
    <row r="6" spans="1:52">
      <c r="B6" s="261" t="s">
        <v>3705</v>
      </c>
      <c r="C6" s="262"/>
      <c r="D6" s="271" t="str">
        <f>VLOOKUP(D7,エンティティ一覧!A1:'エンティティ一覧'!AM10203,15,FALSE)</f>
        <v>ENT_51_08</v>
      </c>
      <c r="E6" s="272"/>
      <c r="F6" s="272"/>
      <c r="G6" s="272"/>
      <c r="H6" s="272"/>
      <c r="I6" s="272"/>
      <c r="J6" s="273"/>
    </row>
    <row r="7" spans="1:52">
      <c r="B7" s="261" t="s">
        <v>115</v>
      </c>
      <c r="C7" s="262"/>
      <c r="D7" s="263" t="s">
        <v>4130</v>
      </c>
      <c r="E7" s="264"/>
      <c r="F7" s="264"/>
      <c r="G7" s="264"/>
      <c r="H7" s="264"/>
      <c r="I7" s="264"/>
      <c r="J7" s="265"/>
    </row>
    <row r="8" spans="1:52">
      <c r="B8" s="261" t="s">
        <v>116</v>
      </c>
      <c r="C8" s="262"/>
      <c r="D8" s="263" t="str">
        <f>エンティティ一覧!AE2&amp;"_"&amp;D5&amp;"_kanja_backborn_hd"</f>
        <v>azn_202310_select_kanja_backborn_hd</v>
      </c>
      <c r="E8" s="264"/>
      <c r="F8" s="264"/>
      <c r="G8" s="264"/>
      <c r="H8" s="264"/>
      <c r="I8" s="264"/>
      <c r="J8" s="265"/>
    </row>
    <row r="9" spans="1:52" ht="19.5" customHeight="1" thickBot="1">
      <c r="B9" s="266" t="s">
        <v>117</v>
      </c>
      <c r="C9" s="267"/>
      <c r="D9" s="268" t="s">
        <v>4492</v>
      </c>
      <c r="E9" s="269"/>
      <c r="F9" s="269"/>
      <c r="G9" s="269"/>
      <c r="H9" s="269"/>
      <c r="I9" s="269"/>
      <c r="J9" s="270"/>
    </row>
    <row r="10" spans="1:52">
      <c r="B10" s="19"/>
      <c r="C10" s="19"/>
      <c r="D10" s="5"/>
      <c r="E10" s="5"/>
      <c r="F10" s="5"/>
      <c r="G10" s="5"/>
      <c r="H10" s="5"/>
      <c r="I10" s="5"/>
      <c r="J10" s="18"/>
      <c r="N10" s="97" t="str">
        <f>"--DROP TABLE  "&amp;エンティティ一覧!$O$2&amp;"."&amp;D$8&amp;";"</f>
        <v>--DROP TABLE  milscm_2023_010.azn_202310_select_kanja_backborn_hd;</v>
      </c>
      <c r="O10" s="97"/>
      <c r="P10" s="97"/>
      <c r="Q10" s="97"/>
      <c r="R10" s="97"/>
      <c r="S10" s="97"/>
      <c r="T10" s="97"/>
      <c r="AJ10" s="97" t="str">
        <f>"ALTER TABLE ONLY "&amp;エンティティ一覧!$O$2&amp;"."&amp;D$8</f>
        <v>ALTER TABLE ONLY milscm_2023_010.azn_202310_select_kanja_backborn_hd</v>
      </c>
      <c r="AS10" s="97" t="str">
        <f>"ALTER TABLE "&amp;エンティティ一覧!$O$2&amp;"."&amp;D$8&amp;" OWNER TO pgmisgrp1;"</f>
        <v>ALTER TABLE milscm_2023_010.azn_202310_select_kanja_backborn_hd OWNER TO pgmisgrp1;</v>
      </c>
    </row>
    <row r="11" spans="1:52" ht="19.5" thickBot="1">
      <c r="B11" s="20" t="s">
        <v>118</v>
      </c>
      <c r="C11" s="19"/>
      <c r="D11" s="5"/>
      <c r="E11" s="5"/>
      <c r="F11" s="5"/>
      <c r="G11" s="5"/>
      <c r="H11" s="5"/>
      <c r="I11" s="5"/>
      <c r="J11" s="18"/>
      <c r="N11" s="97" t="str">
        <f>"CREATE TABLE  "&amp;エンティティ一覧!$O$2&amp;"."&amp;D$8</f>
        <v>CREATE TABLE  milscm_2023_010.azn_202310_select_kanja_backborn_hd</v>
      </c>
      <c r="O11" s="97"/>
      <c r="P11" s="97"/>
      <c r="Q11" s="97"/>
      <c r="R11" s="97"/>
      <c r="S11" s="97"/>
      <c r="T11" s="97"/>
      <c r="AJ11" s="97" t="str">
        <f>"ADD CONSTRAINT "&amp;D$8&amp;"_pkey PRIMARY KEY"</f>
        <v>ADD CONSTRAINT azn_202310_select_kanja_backborn_hd_pkey PRIMARY KEY</v>
      </c>
      <c r="AS11" s="97"/>
    </row>
    <row r="12" spans="1:52">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milscm_2023_010.azn_202310_select_kanja_backborn_hd IS 'セレクト_透析有無_患者背景用';</v>
      </c>
    </row>
    <row r="13" spans="1:52" s="25" customFormat="1">
      <c r="A13" s="4"/>
      <c r="B13" s="21">
        <f>ROW()-12</f>
        <v>1</v>
      </c>
      <c r="C13" s="6" t="s">
        <v>137</v>
      </c>
      <c r="D13" s="6" t="s">
        <v>128</v>
      </c>
      <c r="E13" s="8" t="s">
        <v>127</v>
      </c>
      <c r="F13" s="8" t="s">
        <v>1735</v>
      </c>
      <c r="G13" s="7" t="str">
        <f>IF(F13="フラグ","boolean",IF(F13="文字列","text",IF(F13="整数","integer",IF(F13="実数","numeric",""))))</f>
        <v>text</v>
      </c>
      <c r="H13" s="9"/>
      <c r="I13" s="10" t="s">
        <v>127</v>
      </c>
      <c r="J13" s="11"/>
      <c r="M13" s="4"/>
      <c r="N13" s="97"/>
      <c r="O13" s="97"/>
      <c r="P13" s="97" t="str">
        <f>IF(B13&lt;&gt;1,","&amp;D13,D13)</f>
        <v>facility_id</v>
      </c>
      <c r="Q13" s="97" t="str">
        <f t="shared" ref="Q13:Q15" si="0">UPPER(G13)</f>
        <v>TEXT</v>
      </c>
      <c r="R13" s="97" t="str">
        <f t="shared" ref="R13:R15" si="1">IF(H13&lt;&gt;"","default "&amp;IF(G13="text","'"&amp;H13&amp;"'",H13),"")</f>
        <v/>
      </c>
      <c r="S13" s="97" t="str">
        <f>IF(I13="○","NOT NULL","")</f>
        <v>NOT NULL</v>
      </c>
      <c r="T13" s="97" t="str">
        <f>"-- "&amp;C13</f>
        <v>-- 施設ID</v>
      </c>
      <c r="U13" s="4"/>
      <c r="AA13" s="4"/>
      <c r="AB13" s="4"/>
      <c r="AC13" s="4"/>
      <c r="AD13" s="4"/>
      <c r="AE13" s="4"/>
      <c r="AF13" s="4"/>
      <c r="AG13" s="4"/>
      <c r="AH13" s="4"/>
      <c r="AI13" s="4"/>
      <c r="AJ13" s="97" t="str">
        <f>IF(E13="○",IF(COUNTA(E$13:E13)=1,"",",")&amp;D13,"")</f>
        <v>facility_id</v>
      </c>
      <c r="AK13" s="4"/>
      <c r="AL13" s="4"/>
      <c r="AM13" s="4"/>
      <c r="AN13" s="4"/>
      <c r="AO13" s="4"/>
      <c r="AP13" s="4"/>
      <c r="AQ13" s="4"/>
      <c r="AR13" s="4"/>
      <c r="AS13" s="97" t="str">
        <f>"COMMENT ON COLUMN "&amp;エンティティ一覧!$O$2&amp;"."&amp;D$8&amp;"."&amp;D13&amp;" IS '"&amp;C13&amp;"';"</f>
        <v>COMMENT ON COLUMN milscm_2023_010.azn_202310_select_kanja_backborn_hd.facility_id IS '施設ID';</v>
      </c>
    </row>
    <row r="14" spans="1:52" s="25" customFormat="1">
      <c r="A14" s="4"/>
      <c r="B14" s="21">
        <f t="shared" ref="B14:B15" si="2">ROW()-12</f>
        <v>2</v>
      </c>
      <c r="C14" s="6" t="s">
        <v>4015</v>
      </c>
      <c r="D14" s="6" t="s">
        <v>1843</v>
      </c>
      <c r="E14" s="8" t="s">
        <v>127</v>
      </c>
      <c r="F14" s="7" t="s">
        <v>1735</v>
      </c>
      <c r="G14" s="7" t="str">
        <f t="shared" ref="G14:G15" si="3">IF(F14="フラグ","boolean",IF(F14="文字列","text",IF(F14="整数","integer",IF(F14="実数","numeric",""))))</f>
        <v>text</v>
      </c>
      <c r="H14" s="26"/>
      <c r="I14" s="10" t="s">
        <v>127</v>
      </c>
      <c r="J14" s="11"/>
      <c r="M14" s="4"/>
      <c r="N14" s="97"/>
      <c r="O14" s="97"/>
      <c r="P14" s="97" t="str">
        <f t="shared" ref="P14:P15" si="4">IF(B14&lt;&gt;1,","&amp;D14,D14)</f>
        <v>,himoduke_id</v>
      </c>
      <c r="Q14" s="97" t="str">
        <f t="shared" si="0"/>
        <v>TEXT</v>
      </c>
      <c r="R14" s="97" t="str">
        <f t="shared" si="1"/>
        <v/>
      </c>
      <c r="S14" s="97" t="str">
        <f t="shared" ref="S14:S15" si="5">IF(I14="○","NOT NULL","")</f>
        <v>NOT NULL</v>
      </c>
      <c r="T14" s="97" t="str">
        <f t="shared" ref="T14:T15" si="6">"-- "&amp;C14</f>
        <v>-- 紐付けID</v>
      </c>
      <c r="U14" s="4"/>
      <c r="AA14" s="4"/>
      <c r="AB14" s="4"/>
      <c r="AC14" s="4"/>
      <c r="AD14" s="4"/>
      <c r="AE14" s="4"/>
      <c r="AF14" s="4"/>
      <c r="AG14" s="4"/>
      <c r="AH14" s="4"/>
      <c r="AI14" s="4"/>
      <c r="AJ14" s="97" t="str">
        <f>IF(E14="○",IF(COUNTA(E$13:E14)=1,"",",")&amp;D14,"")</f>
        <v>,himoduke_id</v>
      </c>
      <c r="AK14" s="4"/>
      <c r="AL14" s="4"/>
      <c r="AM14" s="4"/>
      <c r="AN14" s="4"/>
      <c r="AO14" s="4"/>
      <c r="AP14" s="4"/>
      <c r="AQ14" s="4"/>
      <c r="AR14" s="4"/>
      <c r="AS14" s="97" t="str">
        <f>"COMMENT ON COLUMN "&amp;エンティティ一覧!$O$2&amp;"."&amp;D$8&amp;"."&amp;D14&amp;" IS '"&amp;C14&amp;"';"</f>
        <v>COMMENT ON COLUMN milscm_2023_010.azn_202310_select_kanja_backborn_hd.himoduke_id IS '紐付けID';</v>
      </c>
    </row>
    <row r="15" spans="1:52" s="25" customFormat="1" ht="19.5" thickBot="1">
      <c r="A15" s="4"/>
      <c r="B15" s="69">
        <f t="shared" si="2"/>
        <v>3</v>
      </c>
      <c r="C15" s="121" t="s">
        <v>4287</v>
      </c>
      <c r="D15" s="121" t="s">
        <v>4286</v>
      </c>
      <c r="E15" s="71"/>
      <c r="F15" s="71" t="s">
        <v>1845</v>
      </c>
      <c r="G15" s="71" t="str">
        <f t="shared" si="3"/>
        <v>integer</v>
      </c>
      <c r="H15" s="72"/>
      <c r="I15" s="73" t="s">
        <v>127</v>
      </c>
      <c r="J15" s="74" t="s">
        <v>4265</v>
      </c>
      <c r="M15" s="4"/>
      <c r="N15" s="97"/>
      <c r="O15" s="97"/>
      <c r="P15" s="97" t="str">
        <f t="shared" si="4"/>
        <v>,hd_flg</v>
      </c>
      <c r="Q15" s="97" t="str">
        <f t="shared" si="0"/>
        <v>INTEGER</v>
      </c>
      <c r="R15" s="97" t="str">
        <f t="shared" si="1"/>
        <v/>
      </c>
      <c r="S15" s="97" t="str">
        <f t="shared" si="5"/>
        <v>NOT NULL</v>
      </c>
      <c r="T15" s="97" t="str">
        <f t="shared" si="6"/>
        <v>-- 透析フラグ</v>
      </c>
      <c r="U15" s="4"/>
      <c r="AA15" s="4"/>
      <c r="AB15" s="4"/>
      <c r="AC15" s="4"/>
      <c r="AD15" s="4"/>
      <c r="AE15" s="4"/>
      <c r="AF15" s="4"/>
      <c r="AG15" s="4"/>
      <c r="AH15" s="4"/>
      <c r="AI15" s="4"/>
      <c r="AJ15" s="97" t="str">
        <f>IF(E15="○",IF(COUNTA(E$13:E15)=1,"",",")&amp;D15,"")</f>
        <v/>
      </c>
      <c r="AK15" s="4"/>
      <c r="AL15" s="4"/>
      <c r="AM15" s="4"/>
      <c r="AN15" s="4"/>
      <c r="AO15" s="4"/>
      <c r="AP15" s="4"/>
      <c r="AQ15" s="4"/>
      <c r="AR15" s="4"/>
      <c r="AS15" s="97" t="str">
        <f>"COMMENT ON COLUMN "&amp;エンティティ一覧!$O$2&amp;"."&amp;D$8&amp;"."&amp;D15&amp;" IS '"&amp;C15&amp;"';"</f>
        <v>COMMENT ON COLUMN milscm_2023_010.azn_202310_select_kanja_backborn_hd.hd_flg IS '透析フラグ';</v>
      </c>
    </row>
    <row r="16" spans="1:52">
      <c r="L16" s="25"/>
      <c r="M16" s="25"/>
      <c r="N16" s="97" t="s">
        <v>142</v>
      </c>
      <c r="O16" s="97"/>
      <c r="P16" s="97"/>
      <c r="Q16" s="97"/>
      <c r="R16" s="97"/>
      <c r="S16" s="97"/>
      <c r="T16" s="97"/>
      <c r="V16" s="25"/>
      <c r="W16" s="25"/>
      <c r="X16" s="25"/>
      <c r="Y16" s="25"/>
      <c r="Z16" s="25"/>
      <c r="AJ16" s="97"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V30" s="25"/>
      <c r="AW30" s="25"/>
      <c r="AX30" s="25"/>
      <c r="AY30" s="25"/>
      <c r="AZ30" s="25"/>
    </row>
    <row r="31" spans="12:52">
      <c r="M31" s="25"/>
    </row>
    <row r="32" spans="12:52">
      <c r="M32" s="25"/>
    </row>
    <row r="33" spans="13:13">
      <c r="M33" s="25"/>
    </row>
    <row r="34" spans="13:13">
      <c r="M34" s="25"/>
    </row>
    <row r="35" spans="13:13">
      <c r="M35" s="25"/>
    </row>
    <row r="36" spans="13:13">
      <c r="M3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51</v>
      </c>
      <c r="E4" s="248"/>
      <c r="F4" s="248"/>
      <c r="G4" s="248"/>
      <c r="H4" s="248"/>
      <c r="I4" s="248"/>
      <c r="J4" s="249"/>
    </row>
    <row r="5" spans="1:45">
      <c r="B5" s="261" t="s">
        <v>3704</v>
      </c>
      <c r="C5" s="262"/>
      <c r="D5" s="271" t="str">
        <f>VLOOKUP(D7,エンティティ一覧!A1:'エンティティ一覧'!AM10203,7,FALSE)</f>
        <v>select</v>
      </c>
      <c r="E5" s="272"/>
      <c r="F5" s="272"/>
      <c r="G5" s="272"/>
      <c r="H5" s="272"/>
      <c r="I5" s="272"/>
      <c r="J5" s="273"/>
    </row>
    <row r="6" spans="1:45">
      <c r="B6" s="261" t="s">
        <v>3705</v>
      </c>
      <c r="C6" s="262"/>
      <c r="D6" s="271" t="str">
        <f>VLOOKUP(D7,エンティティ一覧!A1:'エンティティ一覧'!AM10203,15,FALSE)</f>
        <v>ENT_51_09</v>
      </c>
      <c r="E6" s="272"/>
      <c r="F6" s="272"/>
      <c r="G6" s="272"/>
      <c r="H6" s="272"/>
      <c r="I6" s="272"/>
      <c r="J6" s="273"/>
    </row>
    <row r="7" spans="1:45">
      <c r="B7" s="261" t="s">
        <v>115</v>
      </c>
      <c r="C7" s="262"/>
      <c r="D7" s="263" t="s">
        <v>4149</v>
      </c>
      <c r="E7" s="264"/>
      <c r="F7" s="264"/>
      <c r="G7" s="264"/>
      <c r="H7" s="264"/>
      <c r="I7" s="264"/>
      <c r="J7" s="265"/>
    </row>
    <row r="8" spans="1:45">
      <c r="B8" s="261" t="s">
        <v>116</v>
      </c>
      <c r="C8" s="262"/>
      <c r="D8" s="263" t="str">
        <f>エンティティ一覧!AE2&amp;"_"&amp;D5&amp;"_vital"</f>
        <v>azn_202310_select_vital</v>
      </c>
      <c r="E8" s="264"/>
      <c r="F8" s="264"/>
      <c r="G8" s="264"/>
      <c r="H8" s="264"/>
      <c r="I8" s="264"/>
      <c r="J8" s="265"/>
    </row>
    <row r="9" spans="1:45" ht="19.5" customHeight="1" thickBot="1">
      <c r="B9" s="266" t="s">
        <v>117</v>
      </c>
      <c r="C9" s="267"/>
      <c r="D9" s="268" t="s">
        <v>4493</v>
      </c>
      <c r="E9" s="269"/>
      <c r="F9" s="269"/>
      <c r="G9" s="269"/>
      <c r="H9" s="269"/>
      <c r="I9" s="269"/>
      <c r="J9" s="270"/>
    </row>
    <row r="10" spans="1:45">
      <c r="B10" s="19"/>
      <c r="C10" s="19"/>
      <c r="D10" s="5"/>
      <c r="E10" s="5"/>
      <c r="F10" s="5"/>
      <c r="G10" s="5"/>
      <c r="H10" s="5"/>
      <c r="I10" s="5"/>
      <c r="J10" s="18"/>
      <c r="N10" s="97" t="str">
        <f>"--DROP TABLE  "&amp;エンティティ一覧!$O$2&amp;"."&amp;D$8&amp;";"</f>
        <v>--DROP TABLE  milscm_2023_010.azn_202310_select_vital;</v>
      </c>
      <c r="O10" s="97"/>
      <c r="P10" s="97"/>
      <c r="Q10" s="97"/>
      <c r="R10" s="97"/>
      <c r="S10" s="97"/>
      <c r="T10" s="97"/>
      <c r="AJ10" s="97" t="str">
        <f>"ALTER TABLE ONLY "&amp;エンティティ一覧!$O$2&amp;"."&amp;D$8</f>
        <v>ALTER TABLE ONLY milscm_2023_010.azn_202310_select_vital</v>
      </c>
      <c r="AS10" s="97" t="str">
        <f>"ALTER TABLE "&amp;エンティティ一覧!$O$2&amp;"."&amp;D$8&amp;" OWNER TO pgmisgrp1;"</f>
        <v>ALTER TABLE milscm_2023_010.azn_202310_select_vital OWNER TO pgmisgrp1;</v>
      </c>
    </row>
    <row r="11" spans="1:45" ht="19.5" thickBot="1">
      <c r="B11" s="20" t="s">
        <v>118</v>
      </c>
      <c r="C11" s="19"/>
      <c r="D11" s="5"/>
      <c r="E11" s="5"/>
      <c r="F11" s="5"/>
      <c r="G11" s="5"/>
      <c r="H11" s="5"/>
      <c r="I11" s="5"/>
      <c r="J11" s="18"/>
      <c r="N11" s="97" t="str">
        <f>"CREATE TABLE  "&amp;エンティティ一覧!$O$2&amp;"."&amp;D$8</f>
        <v>CREATE TABLE  milscm_2023_010.azn_202310_select_vital</v>
      </c>
      <c r="O11" s="97"/>
      <c r="P11" s="97"/>
      <c r="Q11" s="97"/>
      <c r="R11" s="97"/>
      <c r="S11" s="97"/>
      <c r="T11" s="97"/>
      <c r="AJ11" s="97" t="str">
        <f>"ADD CONSTRAINT "&amp;D$8&amp;"_pkey PRIMARY KEY"</f>
        <v>ADD CONSTRAINT azn_202310_select_vital_pkey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milscm_2023_010.azn_202310_select_vital IS 'セレクト_バイタル';</v>
      </c>
    </row>
    <row r="13" spans="1:45" s="25" customFormat="1">
      <c r="A13" s="4"/>
      <c r="B13" s="21">
        <f>ROW()-12</f>
        <v>1</v>
      </c>
      <c r="C13" s="6" t="s">
        <v>4288</v>
      </c>
      <c r="D13" s="6" t="s">
        <v>4050</v>
      </c>
      <c r="E13" s="8" t="s">
        <v>127</v>
      </c>
      <c r="F13" s="8" t="s">
        <v>1735</v>
      </c>
      <c r="G13" s="7" t="str">
        <f>IF(F13="フラグ","boolean",IF(F13="文字列","text",IF(F13="整数","integer",IF(F13="実数","numeric",""))))</f>
        <v>text</v>
      </c>
      <c r="H13" s="9"/>
      <c r="I13" s="10" t="s">
        <v>127</v>
      </c>
      <c r="J13" s="11" t="s">
        <v>4289</v>
      </c>
      <c r="M13" s="4"/>
      <c r="N13" s="97"/>
      <c r="O13" s="97"/>
      <c r="P13" s="97" t="str">
        <f>IF(B13&lt;&gt;1,","&amp;D13,D13)</f>
        <v>item_name</v>
      </c>
      <c r="Q13" s="97" t="str">
        <f t="shared" ref="Q13:Q16" si="0">UPPER(G13)</f>
        <v>TEXT</v>
      </c>
      <c r="R13" s="97" t="str">
        <f t="shared" ref="R13:R16" si="1">IF(H13&lt;&gt;"","default "&amp;IF(G13="text","'"&amp;H13&amp;"'",H13),"")</f>
        <v/>
      </c>
      <c r="S13" s="97" t="str">
        <f>IF(I13="○","NOT NULL","")</f>
        <v>NOT NULL</v>
      </c>
      <c r="T13" s="97" t="str">
        <f>"-- "&amp;C13</f>
        <v>-- 項目名</v>
      </c>
      <c r="U13" s="4"/>
      <c r="AA13" s="4"/>
      <c r="AB13" s="4"/>
      <c r="AC13" s="4"/>
      <c r="AD13" s="4"/>
      <c r="AE13" s="4"/>
      <c r="AF13" s="4"/>
      <c r="AG13" s="4"/>
      <c r="AH13" s="4"/>
      <c r="AI13" s="4"/>
      <c r="AJ13" s="97" t="str">
        <f>IF(E13="○",IF(COUNTA(E$13:E13)=1,"",",")&amp;D13,"")</f>
        <v>item_name</v>
      </c>
      <c r="AK13" s="4"/>
      <c r="AL13" s="4"/>
      <c r="AM13" s="4"/>
      <c r="AN13" s="4"/>
      <c r="AO13" s="4"/>
      <c r="AP13" s="4"/>
      <c r="AQ13" s="4"/>
      <c r="AR13" s="4"/>
      <c r="AS13" s="97" t="str">
        <f>"COMMENT ON COLUMN "&amp;エンティティ一覧!$O$2&amp;"."&amp;D$8&amp;"."&amp;D13&amp;" IS '"&amp;C13&amp;"';"</f>
        <v>COMMENT ON COLUMN milscm_2023_010.azn_202310_select_vital.item_name IS '項目名';</v>
      </c>
    </row>
    <row r="14" spans="1:45" s="25" customFormat="1">
      <c r="A14" s="4"/>
      <c r="B14" s="21">
        <f t="shared" ref="B14:B16" si="2">ROW()-12</f>
        <v>2</v>
      </c>
      <c r="C14" s="6" t="s">
        <v>137</v>
      </c>
      <c r="D14" s="6" t="s">
        <v>128</v>
      </c>
      <c r="E14" s="8" t="s">
        <v>127</v>
      </c>
      <c r="F14" s="8" t="s">
        <v>1735</v>
      </c>
      <c r="G14" s="7" t="str">
        <f t="shared" ref="G14" si="3">IF(F14="フラグ","boolean",IF(F14="文字列","text",IF(F14="整数","integer",IF(F14="実数","numeric",""))))</f>
        <v>text</v>
      </c>
      <c r="H14" s="26"/>
      <c r="I14" s="10" t="s">
        <v>127</v>
      </c>
      <c r="J14" s="11"/>
      <c r="M14" s="4"/>
      <c r="N14" s="97"/>
      <c r="O14" s="97"/>
      <c r="P14" s="97" t="str">
        <f t="shared" ref="P14" si="4">IF(B14&lt;&gt;1,","&amp;D14,D14)</f>
        <v>,facility_id</v>
      </c>
      <c r="Q14" s="97" t="str">
        <f t="shared" ref="Q14" si="5">UPPER(G14)</f>
        <v>TEXT</v>
      </c>
      <c r="R14" s="97" t="str">
        <f t="shared" ref="R14" si="6">IF(H14&lt;&gt;"","default "&amp;IF(G14="text","'"&amp;H14&amp;"'",H14),"")</f>
        <v/>
      </c>
      <c r="S14" s="97" t="str">
        <f t="shared" ref="S14" si="7">IF(I14="○","NOT NULL","")</f>
        <v>NOT NULL</v>
      </c>
      <c r="T14" s="97" t="str">
        <f t="shared" ref="T14" si="8">"-- "&amp;C14</f>
        <v>-- 施設ID</v>
      </c>
      <c r="U14" s="4"/>
      <c r="AA14" s="4"/>
      <c r="AB14" s="4"/>
      <c r="AC14" s="4"/>
      <c r="AD14" s="4"/>
      <c r="AE14" s="4"/>
      <c r="AF14" s="4"/>
      <c r="AG14" s="4"/>
      <c r="AH14" s="4"/>
      <c r="AI14" s="4"/>
      <c r="AJ14" s="97" t="str">
        <f>IF(E14="○",IF(COUNTA(E$13:E14)=1,"",",")&amp;D14,"")</f>
        <v>,facility_id</v>
      </c>
      <c r="AK14" s="4"/>
      <c r="AL14" s="4"/>
      <c r="AM14" s="4"/>
      <c r="AN14" s="4"/>
      <c r="AO14" s="4"/>
      <c r="AP14" s="4"/>
      <c r="AQ14" s="4"/>
      <c r="AR14" s="4"/>
      <c r="AS14" s="97" t="str">
        <f>"COMMENT ON COLUMN "&amp;エンティティ一覧!$O$2&amp;"."&amp;D$8&amp;"."&amp;D14&amp;" IS '"&amp;C14&amp;"';"</f>
        <v>COMMENT ON COLUMN milscm_2023_010.azn_202310_select_vital.facility_id IS '施設ID';</v>
      </c>
    </row>
    <row r="15" spans="1:45" s="25" customFormat="1">
      <c r="A15" s="4"/>
      <c r="B15" s="21">
        <f t="shared" si="2"/>
        <v>3</v>
      </c>
      <c r="C15" s="6" t="s">
        <v>4015</v>
      </c>
      <c r="D15" s="6" t="s">
        <v>1843</v>
      </c>
      <c r="E15" s="8" t="s">
        <v>127</v>
      </c>
      <c r="F15" s="7" t="s">
        <v>1735</v>
      </c>
      <c r="G15" s="7" t="str">
        <f t="shared" ref="G15:G16" si="9">IF(F15="フラグ","boolean",IF(F15="文字列","text",IF(F15="整数","integer",IF(F15="実数","numeric",""))))</f>
        <v>text</v>
      </c>
      <c r="H15" s="26"/>
      <c r="I15" s="10" t="s">
        <v>127</v>
      </c>
      <c r="J15" s="11"/>
      <c r="M15" s="4"/>
      <c r="N15" s="97"/>
      <c r="O15" s="97"/>
      <c r="P15" s="97" t="str">
        <f t="shared" ref="P15:P16" si="10">IF(B15&lt;&gt;1,","&amp;D15,D15)</f>
        <v>,himoduke_id</v>
      </c>
      <c r="Q15" s="97" t="str">
        <f t="shared" si="0"/>
        <v>TEXT</v>
      </c>
      <c r="R15" s="97" t="str">
        <f t="shared" si="1"/>
        <v/>
      </c>
      <c r="S15" s="97" t="str">
        <f t="shared" ref="S15:S16" si="11">IF(I15="○","NOT NULL","")</f>
        <v>NOT NULL</v>
      </c>
      <c r="T15" s="97" t="str">
        <f t="shared" ref="T15:T16" si="12">"-- "&amp;C15</f>
        <v>-- 紐付けID</v>
      </c>
      <c r="U15" s="4"/>
      <c r="AA15" s="4"/>
      <c r="AB15" s="4"/>
      <c r="AC15" s="4"/>
      <c r="AD15" s="4"/>
      <c r="AE15" s="4"/>
      <c r="AF15" s="4"/>
      <c r="AG15" s="4"/>
      <c r="AH15" s="4"/>
      <c r="AI15" s="4"/>
      <c r="AJ15" s="97" t="str">
        <f>IF(E15="○",IF(COUNTA(E$13:E15)=1,"",",")&amp;D15,"")</f>
        <v>,himoduke_id</v>
      </c>
      <c r="AK15" s="4"/>
      <c r="AL15" s="4"/>
      <c r="AM15" s="4"/>
      <c r="AN15" s="4"/>
      <c r="AO15" s="4"/>
      <c r="AP15" s="4"/>
      <c r="AQ15" s="4"/>
      <c r="AR15" s="4"/>
      <c r="AS15" s="97" t="str">
        <f>"COMMENT ON COLUMN "&amp;エンティティ一覧!$O$2&amp;"."&amp;D$8&amp;"."&amp;D15&amp;" IS '"&amp;C15&amp;"';"</f>
        <v>COMMENT ON COLUMN milscm_2023_010.azn_202310_select_vital.himoduke_id IS '紐付けID';</v>
      </c>
    </row>
    <row r="16" spans="1:45" s="25" customFormat="1" ht="19.5" thickBot="1">
      <c r="A16" s="4"/>
      <c r="B16" s="69">
        <f t="shared" si="2"/>
        <v>4</v>
      </c>
      <c r="C16" s="121" t="s">
        <v>4180</v>
      </c>
      <c r="D16" s="121" t="s">
        <v>4177</v>
      </c>
      <c r="E16" s="71"/>
      <c r="F16" s="71" t="s">
        <v>1742</v>
      </c>
      <c r="G16" s="71" t="str">
        <f t="shared" si="9"/>
        <v>numeric</v>
      </c>
      <c r="H16" s="72"/>
      <c r="I16" s="73" t="s">
        <v>127</v>
      </c>
      <c r="J16" s="74" t="s">
        <v>4518</v>
      </c>
      <c r="M16" s="4"/>
      <c r="N16" s="97"/>
      <c r="O16" s="97"/>
      <c r="P16" s="97" t="str">
        <f t="shared" si="10"/>
        <v>,vital_sign_num_value</v>
      </c>
      <c r="Q16" s="97" t="str">
        <f t="shared" si="0"/>
        <v>NUMERIC</v>
      </c>
      <c r="R16" s="97" t="str">
        <f t="shared" si="1"/>
        <v/>
      </c>
      <c r="S16" s="97" t="str">
        <f t="shared" si="11"/>
        <v>NOT NULL</v>
      </c>
      <c r="T16" s="97" t="str">
        <f t="shared" si="12"/>
        <v>-- 数値で表記されるバイタルサインの値</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"&amp;エンティティ一覧!$O$2&amp;"."&amp;D$8&amp;"."&amp;D16&amp;" IS '"&amp;C16&amp;"';"</f>
        <v>COMMENT ON COLUMN milscm_2023_010.azn_202310_select_vital.vital_sign_num_value IS '数値で表記されるバイタルサインの値';</v>
      </c>
    </row>
    <row r="17" spans="12:52">
      <c r="L17" s="25"/>
      <c r="M17" s="25"/>
      <c r="N17" s="97" t="s">
        <v>142</v>
      </c>
      <c r="O17" s="97"/>
      <c r="P17" s="97"/>
      <c r="Q17" s="97"/>
      <c r="R17" s="97"/>
      <c r="S17" s="97"/>
      <c r="T17" s="97"/>
      <c r="V17" s="25"/>
      <c r="W17" s="25"/>
      <c r="X17" s="25"/>
      <c r="Y17" s="25"/>
      <c r="Z17" s="25"/>
      <c r="AJ17" s="97"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topLeftCell="D6" zoomScale="85" zoomScaleNormal="85" workbookViewId="0">
      <selection activeCell="AJ25" sqref="AJ25"/>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61</v>
      </c>
      <c r="E4" s="248"/>
      <c r="F4" s="248"/>
      <c r="G4" s="248"/>
      <c r="H4" s="248"/>
      <c r="I4" s="248"/>
      <c r="J4" s="249"/>
    </row>
    <row r="5" spans="1:45">
      <c r="B5" s="261" t="s">
        <v>3704</v>
      </c>
      <c r="C5" s="262"/>
      <c r="D5" s="271" t="str">
        <f>VLOOKUP(D7,エンティティ一覧!A1:'エンティティ一覧'!AM10203,7,FALSE)</f>
        <v>delivery</v>
      </c>
      <c r="E5" s="272"/>
      <c r="F5" s="272"/>
      <c r="G5" s="272"/>
      <c r="H5" s="272"/>
      <c r="I5" s="272"/>
      <c r="J5" s="273"/>
    </row>
    <row r="6" spans="1:45">
      <c r="B6" s="261" t="s">
        <v>3705</v>
      </c>
      <c r="C6" s="262"/>
      <c r="D6" s="271" t="str">
        <f>VLOOKUP(D7,エンティティ一覧!A1:'エンティティ一覧'!AM10203,15,FALSE)</f>
        <v>ENT_61_01</v>
      </c>
      <c r="E6" s="272"/>
      <c r="F6" s="272"/>
      <c r="G6" s="272"/>
      <c r="H6" s="272"/>
      <c r="I6" s="272"/>
      <c r="J6" s="273"/>
    </row>
    <row r="7" spans="1:45">
      <c r="B7" s="261" t="s">
        <v>115</v>
      </c>
      <c r="C7" s="262"/>
      <c r="D7" s="263" t="s">
        <v>4354</v>
      </c>
      <c r="E7" s="264"/>
      <c r="F7" s="264"/>
      <c r="G7" s="264"/>
      <c r="H7" s="264"/>
      <c r="I7" s="264"/>
      <c r="J7" s="265"/>
    </row>
    <row r="8" spans="1:45">
      <c r="B8" s="261" t="s">
        <v>116</v>
      </c>
      <c r="C8" s="262"/>
      <c r="D8" s="263" t="str">
        <f>エンティティ一覧!AE2&amp;"_"&amp;D5&amp;"_kanja_backborn_kensa"</f>
        <v>azn_202310_delivery_kanja_backborn_kensa</v>
      </c>
      <c r="E8" s="264"/>
      <c r="F8" s="264"/>
      <c r="G8" s="264"/>
      <c r="H8" s="264"/>
      <c r="I8" s="264"/>
      <c r="J8" s="265"/>
    </row>
    <row r="9" spans="1:45" ht="19.5" customHeight="1" thickBot="1">
      <c r="B9" s="266" t="s">
        <v>117</v>
      </c>
      <c r="C9" s="267"/>
      <c r="D9" s="268" t="s">
        <v>4496</v>
      </c>
      <c r="E9" s="269"/>
      <c r="F9" s="269"/>
      <c r="G9" s="269"/>
      <c r="H9" s="269"/>
      <c r="I9" s="269"/>
      <c r="J9" s="270"/>
    </row>
    <row r="10" spans="1:45">
      <c r="B10" s="19"/>
      <c r="C10" s="19"/>
      <c r="D10" s="5"/>
      <c r="E10" s="5"/>
      <c r="F10" s="5"/>
      <c r="G10" s="5"/>
      <c r="H10" s="5"/>
      <c r="I10" s="5"/>
      <c r="J10" s="18"/>
      <c r="N10" s="97" t="str">
        <f>"--DROP TABLE  "&amp;エンティティ一覧!$O$2&amp;"."&amp;D$8&amp;";"</f>
        <v>--DROP TABLE  milscm_2023_010.azn_202310_delivery_kanja_backborn_kensa;</v>
      </c>
      <c r="O10" s="97"/>
      <c r="P10" s="97"/>
      <c r="Q10" s="97"/>
      <c r="R10" s="97"/>
      <c r="S10" s="97"/>
      <c r="T10" s="97"/>
      <c r="AJ10" s="97" t="str">
        <f>"ALTER TABLE ONLY "&amp;エンティティ一覧!$O$2&amp;"."&amp;D$8</f>
        <v>ALTER TABLE ONLY milscm_2023_010.azn_202310_delivery_kanja_backborn_kensa</v>
      </c>
      <c r="AS10" s="97" t="str">
        <f>"ALTER TABLE "&amp;エンティティ一覧!$O$2&amp;"."&amp;D$8&amp;" OWNER TO pgmisgrp1;"</f>
        <v>ALTER TABLE milscm_2023_010.azn_202310_delivery_kanja_backborn_kensa OWNER TO pgmisgrp1;</v>
      </c>
    </row>
    <row r="11" spans="1:45" ht="19.5" thickBot="1">
      <c r="B11" s="20" t="s">
        <v>118</v>
      </c>
      <c r="C11" s="19"/>
      <c r="D11" s="5"/>
      <c r="E11" s="5"/>
      <c r="F11" s="5"/>
      <c r="G11" s="5"/>
      <c r="H11" s="5"/>
      <c r="I11" s="5"/>
      <c r="J11" s="18"/>
      <c r="N11" s="97" t="str">
        <f>"CREATE TABLE  "&amp;エンティティ一覧!$O$2&amp;"."&amp;D$8</f>
        <v>CREATE TABLE  milscm_2023_010.azn_202310_delivery_kanja_backborn_kensa</v>
      </c>
      <c r="O11" s="97"/>
      <c r="P11" s="97"/>
      <c r="Q11" s="97"/>
      <c r="R11" s="97"/>
      <c r="S11" s="97"/>
      <c r="T11" s="97"/>
      <c r="AJ11" s="97" t="str">
        <f>"ADD CONSTRAINT "&amp;D$8&amp;"_pkey PRIMARY KEY"</f>
        <v>ADD CONSTRAINT azn_202310_delivery_kanja_backborn_kensa_pkey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milscm_2023_010.azn_202310_delivery_kanja_backborn_kensa IS 'デリバリ_患者背景';</v>
      </c>
    </row>
    <row r="13" spans="1:45" s="25" customFormat="1">
      <c r="A13" s="4"/>
      <c r="B13" s="21">
        <f>ROW()-12</f>
        <v>1</v>
      </c>
      <c r="C13" s="6" t="s">
        <v>137</v>
      </c>
      <c r="D13" s="6" t="s">
        <v>128</v>
      </c>
      <c r="E13" s="8" t="s">
        <v>127</v>
      </c>
      <c r="F13" s="8" t="s">
        <v>1735</v>
      </c>
      <c r="G13" s="7" t="str">
        <f>IF(F13="フラグ","boolean",IF(F13="文字列","text",IF(F13="整数","integer",IF(F13="実数","numeric",""))))</f>
        <v>text</v>
      </c>
      <c r="H13" s="9"/>
      <c r="I13" s="10" t="s">
        <v>127</v>
      </c>
      <c r="J13" s="11"/>
      <c r="M13" s="4"/>
      <c r="N13" s="97"/>
      <c r="O13" s="97"/>
      <c r="P13" s="97" t="str">
        <f>IF(B13&lt;&gt;1,","&amp;D13,D13)</f>
        <v>facility_id</v>
      </c>
      <c r="Q13" s="97" t="str">
        <f t="shared" ref="Q13:Q24" si="0">UPPER(G13)</f>
        <v>TEXT</v>
      </c>
      <c r="R13" s="97" t="str">
        <f t="shared" ref="R13:R24" si="1">IF(H13&lt;&gt;"","default "&amp;IF(G13="text","'"&amp;H13&amp;"'",H13),"")</f>
        <v/>
      </c>
      <c r="S13" s="97" t="str">
        <f>IF(I13="○","NOT NULL","")</f>
        <v>NOT NULL</v>
      </c>
      <c r="T13" s="97" t="str">
        <f>"-- "&amp;C13</f>
        <v>-- 施設ID</v>
      </c>
      <c r="U13" s="4"/>
      <c r="AA13" s="4"/>
      <c r="AB13" s="4"/>
      <c r="AC13" s="4"/>
      <c r="AD13" s="4"/>
      <c r="AE13" s="4"/>
      <c r="AF13" s="4"/>
      <c r="AG13" s="4"/>
      <c r="AH13" s="4"/>
      <c r="AI13" s="4"/>
      <c r="AJ13" s="97" t="str">
        <f>IF(E13="○",IF(COUNTA(E$13:E13)=1,"",",")&amp;D13,"")</f>
        <v>facility_id</v>
      </c>
      <c r="AK13" s="4"/>
      <c r="AL13" s="4"/>
      <c r="AM13" s="4"/>
      <c r="AN13" s="4"/>
      <c r="AO13" s="4"/>
      <c r="AP13" s="4"/>
      <c r="AQ13" s="4"/>
      <c r="AR13" s="4"/>
      <c r="AS13" s="97" t="str">
        <f>"COMMENT ON COLUMN "&amp;エンティティ一覧!$O$2&amp;"."&amp;D$8&amp;"."&amp;D13&amp;" IS '"&amp;C13&amp;"';"</f>
        <v>COMMENT ON COLUMN milscm_2023_010.azn_202310_delivery_kanja_backborn_kensa.facility_id IS '施設ID';</v>
      </c>
    </row>
    <row r="14" spans="1:45" s="25" customFormat="1">
      <c r="A14" s="4"/>
      <c r="B14" s="21">
        <f t="shared" ref="B14:B24" si="2">ROW()-12</f>
        <v>2</v>
      </c>
      <c r="C14" s="6" t="s">
        <v>4015</v>
      </c>
      <c r="D14" s="6" t="s">
        <v>1843</v>
      </c>
      <c r="E14" s="8" t="s">
        <v>127</v>
      </c>
      <c r="F14" s="8" t="s">
        <v>1735</v>
      </c>
      <c r="G14" s="7" t="str">
        <f t="shared" ref="G14:G24" si="3">IF(F14="フラグ","boolean",IF(F14="文字列","text",IF(F14="整数","integer",IF(F14="実数","numeric",""))))</f>
        <v>text</v>
      </c>
      <c r="H14" s="26"/>
      <c r="I14" s="10" t="s">
        <v>127</v>
      </c>
      <c r="J14" s="11"/>
      <c r="M14" s="4"/>
      <c r="N14" s="97"/>
      <c r="O14" s="97"/>
      <c r="P14" s="97" t="str">
        <f t="shared" ref="P14:P24" si="4">IF(B14&lt;&gt;1,","&amp;D14,D14)</f>
        <v>,himoduke_id</v>
      </c>
      <c r="Q14" s="97" t="str">
        <f t="shared" si="0"/>
        <v>TEXT</v>
      </c>
      <c r="R14" s="97" t="str">
        <f t="shared" si="1"/>
        <v/>
      </c>
      <c r="S14" s="97" t="str">
        <f t="shared" ref="S14:S24" si="5">IF(I14="○","NOT NULL","")</f>
        <v>NOT NULL</v>
      </c>
      <c r="T14" s="97" t="str">
        <f t="shared" ref="T14:T24" si="6">"-- "&amp;C14</f>
        <v>-- 紐付けID</v>
      </c>
      <c r="U14" s="4"/>
      <c r="AA14" s="4"/>
      <c r="AB14" s="4"/>
      <c r="AC14" s="4"/>
      <c r="AD14" s="4"/>
      <c r="AE14" s="4"/>
      <c r="AF14" s="4"/>
      <c r="AG14" s="4"/>
      <c r="AH14" s="4"/>
      <c r="AI14" s="4"/>
      <c r="AJ14" s="97" t="str">
        <f>IF(E14="○",IF(COUNTA(E$13:E14)=1,"",",")&amp;D14,"")</f>
        <v>,himoduke_id</v>
      </c>
      <c r="AK14" s="4"/>
      <c r="AL14" s="4"/>
      <c r="AM14" s="4"/>
      <c r="AN14" s="4"/>
      <c r="AO14" s="4"/>
      <c r="AP14" s="4"/>
      <c r="AQ14" s="4"/>
      <c r="AR14" s="4"/>
      <c r="AS14" s="97" t="str">
        <f>"COMMENT ON COLUMN "&amp;エンティティ一覧!$O$2&amp;"."&amp;D$8&amp;"."&amp;D14&amp;" IS '"&amp;C14&amp;"';"</f>
        <v>COMMENT ON COLUMN milscm_2023_010.azn_202310_delivery_kanja_backborn_kensa.himoduke_id IS '紐付けID';</v>
      </c>
    </row>
    <row r="15" spans="1:45" s="25" customFormat="1" ht="37.5">
      <c r="A15" s="4"/>
      <c r="B15" s="21">
        <f t="shared" si="2"/>
        <v>3</v>
      </c>
      <c r="C15" s="13" t="s">
        <v>4367</v>
      </c>
      <c r="D15" s="13" t="s">
        <v>4355</v>
      </c>
      <c r="E15" s="7"/>
      <c r="F15" s="7" t="s">
        <v>1735</v>
      </c>
      <c r="G15" s="7" t="str">
        <f t="shared" ref="G15:G22" si="7">IF(F15="フラグ","boolean",IF(F15="文字列","text",IF(F15="整数","integer",IF(F15="実数","numeric",""))))</f>
        <v>text</v>
      </c>
      <c r="H15" s="26"/>
      <c r="I15" s="10"/>
      <c r="J15" s="11" t="s">
        <v>4366</v>
      </c>
      <c r="M15" s="4"/>
      <c r="N15" s="97"/>
      <c r="O15" s="97"/>
      <c r="P15" s="97" t="str">
        <f t="shared" ref="P15:P22" si="8">IF(B15&lt;&gt;1,","&amp;D15,D15)</f>
        <v>,cate_k</v>
      </c>
      <c r="Q15" s="97" t="str">
        <f t="shared" ref="Q15:Q22" si="9">UPPER(G15)</f>
        <v>TEXT</v>
      </c>
      <c r="R15" s="97" t="str">
        <f t="shared" ref="R15:R22" si="10">IF(H15&lt;&gt;"","default "&amp;IF(G15="text","'"&amp;H15&amp;"'",H15),"")</f>
        <v/>
      </c>
      <c r="S15" s="97" t="str">
        <f t="shared" ref="S15:S22" si="11">IF(I15="○","NOT NULL","")</f>
        <v/>
      </c>
      <c r="T15" s="97" t="str">
        <f t="shared" ref="T15:T22" si="12">"-- "&amp;C15</f>
        <v>-- カリウム</v>
      </c>
      <c r="U15" s="4"/>
      <c r="AA15" s="4"/>
      <c r="AB15" s="4"/>
      <c r="AC15" s="4"/>
      <c r="AD15" s="4"/>
      <c r="AE15" s="4"/>
      <c r="AF15" s="4"/>
      <c r="AG15" s="4"/>
      <c r="AH15" s="4"/>
      <c r="AI15" s="4"/>
      <c r="AJ15" s="97" t="str">
        <f>IF(E15="○",IF(COUNTA(E$13:E15)=1,"",",")&amp;D15,"")</f>
        <v/>
      </c>
      <c r="AK15" s="4"/>
      <c r="AL15" s="4"/>
      <c r="AM15" s="4"/>
      <c r="AN15" s="4"/>
      <c r="AO15" s="4"/>
      <c r="AP15" s="4"/>
      <c r="AQ15" s="4"/>
      <c r="AR15" s="4"/>
      <c r="AS15" s="97" t="str">
        <f>"COMMENT ON COLUMN "&amp;エンティティ一覧!$O$2&amp;"."&amp;D$8&amp;"."&amp;D15&amp;" IS '"&amp;C15&amp;"';"</f>
        <v>COMMENT ON COLUMN milscm_2023_010.azn_202310_delivery_kanja_backborn_kensa.cate_k IS 'カリウム';</v>
      </c>
    </row>
    <row r="16" spans="1:45" s="25" customFormat="1">
      <c r="A16" s="4"/>
      <c r="B16" s="21">
        <f t="shared" si="2"/>
        <v>4</v>
      </c>
      <c r="C16" s="13" t="s">
        <v>4365</v>
      </c>
      <c r="D16" s="13" t="s">
        <v>4356</v>
      </c>
      <c r="E16" s="7"/>
      <c r="F16" s="7" t="s">
        <v>1742</v>
      </c>
      <c r="G16" s="7" t="str">
        <f t="shared" si="7"/>
        <v>numeric</v>
      </c>
      <c r="H16" s="26"/>
      <c r="I16" s="10"/>
      <c r="J16" s="11"/>
      <c r="M16" s="4"/>
      <c r="N16" s="97"/>
      <c r="O16" s="97"/>
      <c r="P16" s="97" t="str">
        <f t="shared" si="8"/>
        <v>,value_k</v>
      </c>
      <c r="Q16" s="97" t="str">
        <f t="shared" si="9"/>
        <v>NUMERIC</v>
      </c>
      <c r="R16" s="97" t="str">
        <f t="shared" si="10"/>
        <v/>
      </c>
      <c r="S16" s="97" t="str">
        <f t="shared" si="11"/>
        <v/>
      </c>
      <c r="T16" s="97" t="str">
        <f t="shared" si="12"/>
        <v>-- カリウムの値</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"&amp;エンティティ一覧!$O$2&amp;"."&amp;D$8&amp;"."&amp;D16&amp;" IS '"&amp;C16&amp;"';"</f>
        <v>COMMENT ON COLUMN milscm_2023_010.azn_202310_delivery_kanja_backborn_kensa.value_k IS 'カリウムの値';</v>
      </c>
    </row>
    <row r="17" spans="1:52" s="25" customFormat="1">
      <c r="A17" s="4"/>
      <c r="B17" s="21">
        <f t="shared" si="2"/>
        <v>5</v>
      </c>
      <c r="C17" s="13" t="s">
        <v>4369</v>
      </c>
      <c r="D17" s="13" t="s">
        <v>4357</v>
      </c>
      <c r="E17" s="7"/>
      <c r="F17" s="7" t="s">
        <v>1735</v>
      </c>
      <c r="G17" s="7" t="str">
        <f t="shared" si="7"/>
        <v>text</v>
      </c>
      <c r="H17" s="26"/>
      <c r="I17" s="10"/>
      <c r="J17" s="11" t="s">
        <v>4368</v>
      </c>
      <c r="M17" s="4"/>
      <c r="N17" s="97"/>
      <c r="O17" s="97"/>
      <c r="P17" s="97" t="str">
        <f t="shared" si="8"/>
        <v>,cate_cre</v>
      </c>
      <c r="Q17" s="97" t="str">
        <f t="shared" si="9"/>
        <v>TEXT</v>
      </c>
      <c r="R17" s="97" t="str">
        <f t="shared" si="10"/>
        <v/>
      </c>
      <c r="S17" s="97" t="str">
        <f t="shared" si="11"/>
        <v/>
      </c>
      <c r="T17" s="97" t="str">
        <f t="shared" si="12"/>
        <v>-- 血清クレアチニン</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milscm_2023_010.azn_202310_delivery_kanja_backborn_kensa.cate_cre IS '血清クレアチニン';</v>
      </c>
    </row>
    <row r="18" spans="1:52" s="25" customFormat="1">
      <c r="A18" s="4"/>
      <c r="B18" s="21">
        <f t="shared" si="2"/>
        <v>6</v>
      </c>
      <c r="C18" s="13" t="s">
        <v>4370</v>
      </c>
      <c r="D18" s="13" t="s">
        <v>4358</v>
      </c>
      <c r="E18" s="7"/>
      <c r="F18" s="7" t="s">
        <v>1742</v>
      </c>
      <c r="G18" s="7" t="str">
        <f t="shared" si="7"/>
        <v>numeric</v>
      </c>
      <c r="H18" s="26"/>
      <c r="I18" s="10"/>
      <c r="J18" s="11"/>
      <c r="M18" s="4"/>
      <c r="N18" s="97"/>
      <c r="O18" s="97"/>
      <c r="P18" s="97" t="str">
        <f t="shared" si="8"/>
        <v>,value_cre</v>
      </c>
      <c r="Q18" s="97" t="str">
        <f t="shared" si="9"/>
        <v>NUMERIC</v>
      </c>
      <c r="R18" s="97" t="str">
        <f t="shared" si="10"/>
        <v/>
      </c>
      <c r="S18" s="97" t="str">
        <f t="shared" si="11"/>
        <v/>
      </c>
      <c r="T18" s="97" t="str">
        <f t="shared" si="12"/>
        <v>-- 血清クレアチニンの値</v>
      </c>
      <c r="U18" s="4"/>
      <c r="AA18" s="4"/>
      <c r="AB18" s="4"/>
      <c r="AC18" s="4"/>
      <c r="AD18" s="4"/>
      <c r="AE18" s="4"/>
      <c r="AF18" s="4"/>
      <c r="AG18" s="4"/>
      <c r="AH18" s="4"/>
      <c r="AI18" s="4"/>
      <c r="AJ18" s="97" t="str">
        <f>IF(E18="○",IF(COUNTA(E$13:E18)=1,"",",")&amp;D18,"")</f>
        <v/>
      </c>
      <c r="AK18" s="4"/>
      <c r="AL18" s="4"/>
      <c r="AM18" s="4"/>
      <c r="AN18" s="4"/>
      <c r="AO18" s="4"/>
      <c r="AP18" s="4"/>
      <c r="AQ18" s="4"/>
      <c r="AR18" s="4"/>
      <c r="AS18" s="97" t="str">
        <f>"COMMENT ON COLUMN "&amp;エンティティ一覧!$O$2&amp;"."&amp;D$8&amp;"."&amp;D18&amp;" IS '"&amp;C18&amp;"';"</f>
        <v>COMMENT ON COLUMN milscm_2023_010.azn_202310_delivery_kanja_backborn_kensa.value_cre IS '血清クレアチニンの値';</v>
      </c>
    </row>
    <row r="19" spans="1:52" s="25" customFormat="1" ht="37.5">
      <c r="A19" s="4"/>
      <c r="B19" s="21">
        <f t="shared" si="2"/>
        <v>7</v>
      </c>
      <c r="C19" s="13" t="s">
        <v>4372</v>
      </c>
      <c r="D19" s="13" t="s">
        <v>4359</v>
      </c>
      <c r="E19" s="7"/>
      <c r="F19" s="7" t="s">
        <v>1735</v>
      </c>
      <c r="G19" s="7" t="str">
        <f t="shared" si="7"/>
        <v>text</v>
      </c>
      <c r="H19" s="26"/>
      <c r="I19" s="10"/>
      <c r="J19" s="11" t="s">
        <v>4371</v>
      </c>
      <c r="M19" s="4"/>
      <c r="N19" s="97"/>
      <c r="O19" s="97"/>
      <c r="P19" s="97" t="str">
        <f t="shared" si="8"/>
        <v>,cate_egfr</v>
      </c>
      <c r="Q19" s="97" t="str">
        <f t="shared" si="9"/>
        <v>TEXT</v>
      </c>
      <c r="R19" s="97" t="str">
        <f t="shared" si="10"/>
        <v/>
      </c>
      <c r="S19" s="97" t="str">
        <f t="shared" si="11"/>
        <v/>
      </c>
      <c r="T19" s="97" t="str">
        <f t="shared" si="12"/>
        <v>-- eGFR</v>
      </c>
      <c r="U19" s="4"/>
      <c r="AA19" s="4"/>
      <c r="AB19" s="4"/>
      <c r="AC19" s="4"/>
      <c r="AD19" s="4"/>
      <c r="AE19" s="4"/>
      <c r="AF19" s="4"/>
      <c r="AG19" s="4"/>
      <c r="AH19" s="4"/>
      <c r="AI19" s="4"/>
      <c r="AJ19" s="97" t="str">
        <f>IF(E19="○",IF(COUNTA(E$13:E19)=1,"",",")&amp;D19,"")</f>
        <v/>
      </c>
      <c r="AK19" s="4"/>
      <c r="AL19" s="4"/>
      <c r="AM19" s="4"/>
      <c r="AN19" s="4"/>
      <c r="AO19" s="4"/>
      <c r="AP19" s="4"/>
      <c r="AQ19" s="4"/>
      <c r="AR19" s="4"/>
      <c r="AS19" s="97" t="str">
        <f>"COMMENT ON COLUMN "&amp;エンティティ一覧!$O$2&amp;"."&amp;D$8&amp;"."&amp;D19&amp;" IS '"&amp;C19&amp;"';"</f>
        <v>COMMENT ON COLUMN milscm_2023_010.azn_202310_delivery_kanja_backborn_kensa.cate_egfr IS 'eGFR';</v>
      </c>
    </row>
    <row r="20" spans="1:52" s="25" customFormat="1">
      <c r="A20" s="4"/>
      <c r="B20" s="21">
        <f t="shared" si="2"/>
        <v>8</v>
      </c>
      <c r="C20" s="13" t="s">
        <v>4373</v>
      </c>
      <c r="D20" s="13" t="s">
        <v>4360</v>
      </c>
      <c r="E20" s="7"/>
      <c r="F20" s="7" t="s">
        <v>1742</v>
      </c>
      <c r="G20" s="7" t="str">
        <f t="shared" si="7"/>
        <v>numeric</v>
      </c>
      <c r="H20" s="26"/>
      <c r="I20" s="10"/>
      <c r="J20" s="11"/>
      <c r="M20" s="4"/>
      <c r="N20" s="97"/>
      <c r="O20" s="97"/>
      <c r="P20" s="97" t="str">
        <f t="shared" si="8"/>
        <v>,value_egfr</v>
      </c>
      <c r="Q20" s="97" t="str">
        <f t="shared" si="9"/>
        <v>NUMERIC</v>
      </c>
      <c r="R20" s="97" t="str">
        <f t="shared" si="10"/>
        <v/>
      </c>
      <c r="S20" s="97" t="str">
        <f t="shared" si="11"/>
        <v/>
      </c>
      <c r="T20" s="97" t="str">
        <f t="shared" si="12"/>
        <v>-- eGFRの値</v>
      </c>
      <c r="U20" s="4"/>
      <c r="AA20" s="4"/>
      <c r="AB20" s="4"/>
      <c r="AC20" s="4"/>
      <c r="AD20" s="4"/>
      <c r="AE20" s="4"/>
      <c r="AF20" s="4"/>
      <c r="AG20" s="4"/>
      <c r="AH20" s="4"/>
      <c r="AI20" s="4"/>
      <c r="AJ20" s="97" t="str">
        <f>IF(E20="○",IF(COUNTA(E$13:E20)=1,"",",")&amp;D20,"")</f>
        <v/>
      </c>
      <c r="AK20" s="4"/>
      <c r="AL20" s="4"/>
      <c r="AM20" s="4"/>
      <c r="AN20" s="4"/>
      <c r="AO20" s="4"/>
      <c r="AP20" s="4"/>
      <c r="AQ20" s="4"/>
      <c r="AR20" s="4"/>
      <c r="AS20" s="97" t="str">
        <f>"COMMENT ON COLUMN "&amp;エンティティ一覧!$O$2&amp;"."&amp;D$8&amp;"."&amp;D20&amp;" IS '"&amp;C20&amp;"';"</f>
        <v>COMMENT ON COLUMN milscm_2023_010.azn_202310_delivery_kanja_backborn_kensa.value_egfr IS 'eGFRの値';</v>
      </c>
    </row>
    <row r="21" spans="1:52" s="25" customFormat="1" ht="37.5">
      <c r="A21" s="4"/>
      <c r="B21" s="21">
        <f t="shared" si="2"/>
        <v>9</v>
      </c>
      <c r="C21" s="13" t="s">
        <v>4375</v>
      </c>
      <c r="D21" s="13" t="s">
        <v>4361</v>
      </c>
      <c r="E21" s="7"/>
      <c r="F21" s="7" t="s">
        <v>1735</v>
      </c>
      <c r="G21" s="7" t="str">
        <f t="shared" si="7"/>
        <v>text</v>
      </c>
      <c r="H21" s="26"/>
      <c r="I21" s="10"/>
      <c r="J21" s="11" t="s">
        <v>4374</v>
      </c>
      <c r="M21" s="4"/>
      <c r="N21" s="97"/>
      <c r="O21" s="97"/>
      <c r="P21" s="97" t="str">
        <f t="shared" si="8"/>
        <v>,cate_ntbnp</v>
      </c>
      <c r="Q21" s="97" t="str">
        <f t="shared" si="9"/>
        <v>TEXT</v>
      </c>
      <c r="R21" s="97" t="str">
        <f t="shared" si="10"/>
        <v/>
      </c>
      <c r="S21" s="97" t="str">
        <f t="shared" si="11"/>
        <v/>
      </c>
      <c r="T21" s="97" t="str">
        <f t="shared" si="12"/>
        <v>-- NT-proBNP</v>
      </c>
      <c r="U21" s="4"/>
      <c r="AA21" s="4"/>
      <c r="AB21" s="4"/>
      <c r="AC21" s="4"/>
      <c r="AD21" s="4"/>
      <c r="AE21" s="4"/>
      <c r="AF21" s="4"/>
      <c r="AG21" s="4"/>
      <c r="AH21" s="4"/>
      <c r="AI21" s="4"/>
      <c r="AJ21" s="97" t="str">
        <f>IF(E21="○",IF(COUNTA(E$13:E21)=1,"",",")&amp;D21,"")</f>
        <v/>
      </c>
      <c r="AK21" s="4"/>
      <c r="AL21" s="4"/>
      <c r="AM21" s="4"/>
      <c r="AN21" s="4"/>
      <c r="AO21" s="4"/>
      <c r="AP21" s="4"/>
      <c r="AQ21" s="4"/>
      <c r="AR21" s="4"/>
      <c r="AS21" s="97" t="str">
        <f>"COMMENT ON COLUMN "&amp;エンティティ一覧!$O$2&amp;"."&amp;D$8&amp;"."&amp;D21&amp;" IS '"&amp;C21&amp;"';"</f>
        <v>COMMENT ON COLUMN milscm_2023_010.azn_202310_delivery_kanja_backborn_kensa.cate_ntbnp IS 'NT-proBNP';</v>
      </c>
    </row>
    <row r="22" spans="1:52" s="25" customFormat="1">
      <c r="A22" s="4"/>
      <c r="B22" s="21">
        <f t="shared" si="2"/>
        <v>10</v>
      </c>
      <c r="C22" s="13" t="s">
        <v>4376</v>
      </c>
      <c r="D22" s="13" t="s">
        <v>4362</v>
      </c>
      <c r="E22" s="7"/>
      <c r="F22" s="7" t="s">
        <v>1742</v>
      </c>
      <c r="G22" s="7" t="str">
        <f t="shared" si="7"/>
        <v>numeric</v>
      </c>
      <c r="H22" s="26"/>
      <c r="I22" s="10"/>
      <c r="J22" s="11"/>
      <c r="M22" s="4"/>
      <c r="N22" s="97"/>
      <c r="O22" s="97"/>
      <c r="P22" s="97" t="str">
        <f t="shared" si="8"/>
        <v>,value_ntbnp</v>
      </c>
      <c r="Q22" s="97" t="str">
        <f t="shared" si="9"/>
        <v>NUMERIC</v>
      </c>
      <c r="R22" s="97" t="str">
        <f t="shared" si="10"/>
        <v/>
      </c>
      <c r="S22" s="97" t="str">
        <f t="shared" si="11"/>
        <v/>
      </c>
      <c r="T22" s="97" t="str">
        <f t="shared" si="12"/>
        <v>-- NT-proBNPの値</v>
      </c>
      <c r="U22" s="4"/>
      <c r="AA22" s="4"/>
      <c r="AB22" s="4"/>
      <c r="AC22" s="4"/>
      <c r="AD22" s="4"/>
      <c r="AE22" s="4"/>
      <c r="AF22" s="4"/>
      <c r="AG22" s="4"/>
      <c r="AH22" s="4"/>
      <c r="AI22" s="4"/>
      <c r="AJ22" s="97" t="str">
        <f>IF(E22="○",IF(COUNTA(E$13:E22)=1,"",",")&amp;D22,"")</f>
        <v/>
      </c>
      <c r="AK22" s="4"/>
      <c r="AL22" s="4"/>
      <c r="AM22" s="4"/>
      <c r="AN22" s="4"/>
      <c r="AO22" s="4"/>
      <c r="AP22" s="4"/>
      <c r="AQ22" s="4"/>
      <c r="AR22" s="4"/>
      <c r="AS22" s="97" t="str">
        <f>"COMMENT ON COLUMN "&amp;エンティティ一覧!$O$2&amp;"."&amp;D$8&amp;"."&amp;D22&amp;" IS '"&amp;C22&amp;"';"</f>
        <v>COMMENT ON COLUMN milscm_2023_010.azn_202310_delivery_kanja_backborn_kensa.value_ntbnp IS 'NT-proBNPの値';</v>
      </c>
    </row>
    <row r="23" spans="1:52" s="25" customFormat="1" ht="37.5">
      <c r="A23" s="4"/>
      <c r="B23" s="21">
        <f t="shared" si="2"/>
        <v>11</v>
      </c>
      <c r="C23" s="13" t="s">
        <v>4378</v>
      </c>
      <c r="D23" s="13" t="s">
        <v>4363</v>
      </c>
      <c r="E23" s="7"/>
      <c r="F23" s="7" t="s">
        <v>1735</v>
      </c>
      <c r="G23" s="7" t="str">
        <f t="shared" si="3"/>
        <v>text</v>
      </c>
      <c r="H23" s="26"/>
      <c r="I23" s="10"/>
      <c r="J23" s="11" t="s">
        <v>4377</v>
      </c>
      <c r="M23" s="4"/>
      <c r="N23" s="97"/>
      <c r="O23" s="97"/>
      <c r="P23" s="97" t="str">
        <f t="shared" si="4"/>
        <v>,cate_bnp</v>
      </c>
      <c r="Q23" s="97" t="str">
        <f t="shared" si="0"/>
        <v>TEXT</v>
      </c>
      <c r="R23" s="97" t="str">
        <f t="shared" si="1"/>
        <v/>
      </c>
      <c r="S23" s="97" t="str">
        <f t="shared" si="5"/>
        <v/>
      </c>
      <c r="T23" s="97" t="str">
        <f t="shared" si="6"/>
        <v>-- BNP</v>
      </c>
      <c r="U23" s="4"/>
      <c r="AA23" s="4"/>
      <c r="AB23" s="4"/>
      <c r="AC23" s="4"/>
      <c r="AD23" s="4"/>
      <c r="AE23" s="4"/>
      <c r="AF23" s="4"/>
      <c r="AG23" s="4"/>
      <c r="AH23" s="4"/>
      <c r="AI23" s="4"/>
      <c r="AJ23" s="97" t="str">
        <f>IF(E23="○",IF(COUNTA(E$13:E23)=1,"",",")&amp;D23,"")</f>
        <v/>
      </c>
      <c r="AK23" s="4"/>
      <c r="AL23" s="4"/>
      <c r="AM23" s="4"/>
      <c r="AN23" s="4"/>
      <c r="AO23" s="4"/>
      <c r="AP23" s="4"/>
      <c r="AQ23" s="4"/>
      <c r="AR23" s="4"/>
      <c r="AS23" s="97" t="str">
        <f>"COMMENT ON COLUMN "&amp;エンティティ一覧!$O$2&amp;"."&amp;D$8&amp;"."&amp;D23&amp;" IS '"&amp;C23&amp;"';"</f>
        <v>COMMENT ON COLUMN milscm_2023_010.azn_202310_delivery_kanja_backborn_kensa.cate_bnp IS 'BNP';</v>
      </c>
    </row>
    <row r="24" spans="1:52" s="25" customFormat="1" ht="19.5" thickBot="1">
      <c r="A24" s="4"/>
      <c r="B24" s="69">
        <f t="shared" si="2"/>
        <v>12</v>
      </c>
      <c r="C24" s="121" t="s">
        <v>4379</v>
      </c>
      <c r="D24" s="121" t="s">
        <v>4364</v>
      </c>
      <c r="E24" s="71"/>
      <c r="F24" s="71" t="s">
        <v>1742</v>
      </c>
      <c r="G24" s="71" t="str">
        <f t="shared" si="3"/>
        <v>numeric</v>
      </c>
      <c r="H24" s="72"/>
      <c r="I24" s="73"/>
      <c r="J24" s="74"/>
      <c r="M24" s="4"/>
      <c r="N24" s="97"/>
      <c r="O24" s="97"/>
      <c r="P24" s="97" t="str">
        <f t="shared" si="4"/>
        <v>,value_bnp</v>
      </c>
      <c r="Q24" s="97" t="str">
        <f t="shared" si="0"/>
        <v>NUMERIC</v>
      </c>
      <c r="R24" s="97" t="str">
        <f t="shared" si="1"/>
        <v/>
      </c>
      <c r="S24" s="97" t="str">
        <f t="shared" si="5"/>
        <v/>
      </c>
      <c r="T24" s="97" t="str">
        <f t="shared" si="6"/>
        <v>-- BNPの値</v>
      </c>
      <c r="U24" s="4"/>
      <c r="AA24" s="4"/>
      <c r="AB24" s="4"/>
      <c r="AC24" s="4"/>
      <c r="AD24" s="4"/>
      <c r="AE24" s="4"/>
      <c r="AF24" s="4"/>
      <c r="AG24" s="4"/>
      <c r="AH24" s="4"/>
      <c r="AI24" s="4"/>
      <c r="AJ24" s="97" t="str">
        <f>IF(E24="○",IF(COUNTA(E$13:E24)=1,"",",")&amp;D24,"")</f>
        <v/>
      </c>
      <c r="AK24" s="4"/>
      <c r="AL24" s="4"/>
      <c r="AM24" s="4"/>
      <c r="AN24" s="4"/>
      <c r="AO24" s="4"/>
      <c r="AP24" s="4"/>
      <c r="AQ24" s="4"/>
      <c r="AR24" s="4"/>
      <c r="AS24" s="97" t="str">
        <f>"COMMENT ON COLUMN "&amp;エンティティ一覧!$O$2&amp;"."&amp;D$8&amp;"."&amp;D24&amp;" IS '"&amp;C24&amp;"';"</f>
        <v>COMMENT ON COLUMN milscm_2023_010.azn_202310_delivery_kanja_backborn_kensa.value_bnp IS 'BNPの値';</v>
      </c>
    </row>
    <row r="25" spans="1:52">
      <c r="L25" s="25"/>
      <c r="M25" s="25"/>
      <c r="N25" s="97" t="s">
        <v>142</v>
      </c>
      <c r="O25" s="97"/>
      <c r="P25" s="97"/>
      <c r="Q25" s="97"/>
      <c r="R25" s="97"/>
      <c r="S25" s="97"/>
      <c r="T25" s="97"/>
      <c r="V25" s="25"/>
      <c r="W25" s="25"/>
      <c r="X25" s="25"/>
      <c r="Y25" s="25"/>
      <c r="Z25" s="25"/>
      <c r="AJ25" s="97"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61</v>
      </c>
      <c r="E4" s="248"/>
      <c r="F4" s="248"/>
      <c r="G4" s="248"/>
      <c r="H4" s="248"/>
      <c r="I4" s="248"/>
      <c r="J4" s="249"/>
    </row>
    <row r="5" spans="1:45">
      <c r="B5" s="261" t="s">
        <v>3704</v>
      </c>
      <c r="C5" s="262"/>
      <c r="D5" s="271" t="str">
        <f>VLOOKUP(D7,エンティティ一覧!A1:'エンティティ一覧'!AM10203,7,FALSE)</f>
        <v>delivery</v>
      </c>
      <c r="E5" s="272"/>
      <c r="F5" s="272"/>
      <c r="G5" s="272"/>
      <c r="H5" s="272"/>
      <c r="I5" s="272"/>
      <c r="J5" s="273"/>
    </row>
    <row r="6" spans="1:45">
      <c r="B6" s="261" t="s">
        <v>3705</v>
      </c>
      <c r="C6" s="262"/>
      <c r="D6" s="271" t="str">
        <f>VLOOKUP(D7,エンティティ一覧!A1:'エンティティ一覧'!AM10203,15,FALSE)</f>
        <v>ENT_61_02</v>
      </c>
      <c r="E6" s="272"/>
      <c r="F6" s="272"/>
      <c r="G6" s="272"/>
      <c r="H6" s="272"/>
      <c r="I6" s="272"/>
      <c r="J6" s="273"/>
    </row>
    <row r="7" spans="1:45">
      <c r="B7" s="261" t="s">
        <v>115</v>
      </c>
      <c r="C7" s="262"/>
      <c r="D7" s="263" t="s">
        <v>4381</v>
      </c>
      <c r="E7" s="264"/>
      <c r="F7" s="264"/>
      <c r="G7" s="264"/>
      <c r="H7" s="264"/>
      <c r="I7" s="264"/>
      <c r="J7" s="265"/>
    </row>
    <row r="8" spans="1:45">
      <c r="B8" s="261" t="s">
        <v>116</v>
      </c>
      <c r="C8" s="262"/>
      <c r="D8" s="263" t="str">
        <f>エンティティ一覧!AE2&amp;"_"&amp;D5&amp;"_kanja_backborn_sum"</f>
        <v>azn_202310_delivery_kanja_backborn_sum</v>
      </c>
      <c r="E8" s="264"/>
      <c r="F8" s="264"/>
      <c r="G8" s="264"/>
      <c r="H8" s="264"/>
      <c r="I8" s="264"/>
      <c r="J8" s="265"/>
    </row>
    <row r="9" spans="1:45" ht="19.5" customHeight="1" thickBot="1">
      <c r="B9" s="266" t="s">
        <v>117</v>
      </c>
      <c r="C9" s="267"/>
      <c r="D9" s="268" t="s">
        <v>4497</v>
      </c>
      <c r="E9" s="269"/>
      <c r="F9" s="269"/>
      <c r="G9" s="269"/>
      <c r="H9" s="269"/>
      <c r="I9" s="269"/>
      <c r="J9" s="270"/>
    </row>
    <row r="10" spans="1:45">
      <c r="B10" s="19"/>
      <c r="C10" s="19"/>
      <c r="D10" s="5"/>
      <c r="E10" s="5"/>
      <c r="F10" s="5"/>
      <c r="G10" s="5"/>
      <c r="H10" s="5"/>
      <c r="I10" s="5"/>
      <c r="J10" s="18"/>
      <c r="N10" s="97" t="str">
        <f>"--DROP TABLE  "&amp;エンティティ一覧!$O$2&amp;"."&amp;D$8&amp;";"</f>
        <v>--DROP TABLE  milscm_2023_010.azn_202310_delivery_kanja_backborn_sum;</v>
      </c>
      <c r="O10" s="97"/>
      <c r="P10" s="97"/>
      <c r="Q10" s="97"/>
      <c r="R10" s="97"/>
      <c r="S10" s="97"/>
      <c r="T10" s="97"/>
      <c r="AJ10" s="97" t="str">
        <f>"ALTER TABLE ONLY "&amp;エンティティ一覧!$O$2&amp;"."&amp;D$8</f>
        <v>ALTER TABLE ONLY milscm_2023_010.azn_202310_delivery_kanja_backborn_sum</v>
      </c>
      <c r="AS10" s="97" t="str">
        <f>"ALTER TABLE "&amp;エンティティ一覧!$O$2&amp;"."&amp;D$8&amp;" OWNER TO pgmisgrp1;"</f>
        <v>ALTER TABLE milscm_2023_010.azn_202310_delivery_kanja_backborn_sum OWNER TO pgmisgrp1;</v>
      </c>
    </row>
    <row r="11" spans="1:45" ht="19.5" thickBot="1">
      <c r="B11" s="20" t="s">
        <v>118</v>
      </c>
      <c r="C11" s="19"/>
      <c r="D11" s="5"/>
      <c r="E11" s="5"/>
      <c r="F11" s="5"/>
      <c r="G11" s="5"/>
      <c r="H11" s="5"/>
      <c r="I11" s="5"/>
      <c r="J11" s="18"/>
      <c r="N11" s="97" t="str">
        <f>"CREATE TABLE  "&amp;エンティティ一覧!$O$2&amp;"."&amp;D$8</f>
        <v>CREATE TABLE  milscm_2023_010.azn_202310_delivery_kanja_backborn_sum</v>
      </c>
      <c r="O11" s="97"/>
      <c r="P11" s="97"/>
      <c r="Q11" s="97"/>
      <c r="R11" s="97"/>
      <c r="S11" s="97"/>
      <c r="T11" s="97"/>
      <c r="AJ11" s="97" t="str">
        <f>"ADD CONSTRAINT "&amp;D$8&amp;"_pkey PRIMARY KEY"</f>
        <v>ADD CONSTRAINT azn_202310_delivery_kanja_backborn_sum_pkey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milscm_2023_010.azn_202310_delivery_kanja_backborn_sum IS 'デリバリ_患者背景_サマリ';</v>
      </c>
    </row>
    <row r="13" spans="1:45" s="25" customFormat="1">
      <c r="A13" s="4"/>
      <c r="B13" s="21">
        <f>ROW()-12</f>
        <v>1</v>
      </c>
      <c r="C13" s="6" t="s">
        <v>137</v>
      </c>
      <c r="D13" s="6" t="s">
        <v>128</v>
      </c>
      <c r="E13" s="8" t="s">
        <v>127</v>
      </c>
      <c r="F13" s="8" t="s">
        <v>1735</v>
      </c>
      <c r="G13" s="7" t="str">
        <f>IF(F13="フラグ","boolean",IF(F13="文字列","text",IF(F13="整数","integer",IF(F13="実数","numeric",""))))</f>
        <v>text</v>
      </c>
      <c r="H13" s="9"/>
      <c r="I13" s="10" t="s">
        <v>127</v>
      </c>
      <c r="J13" s="11"/>
      <c r="M13" s="4"/>
      <c r="N13" s="97"/>
      <c r="O13" s="97"/>
      <c r="P13" s="97" t="str">
        <f>IF(B13&lt;&gt;1,","&amp;D13,D13)</f>
        <v>facility_id</v>
      </c>
      <c r="Q13" s="97" t="str">
        <f t="shared" ref="Q13:Q40" si="0">UPPER(G13)</f>
        <v>TEXT</v>
      </c>
      <c r="R13" s="97" t="str">
        <f t="shared" ref="R13:R40" si="1">IF(H13&lt;&gt;"","default "&amp;IF(G13="text","'"&amp;H13&amp;"'",H13),"")</f>
        <v/>
      </c>
      <c r="S13" s="97" t="str">
        <f>IF(I13="○","NOT NULL","")</f>
        <v>NOT NULL</v>
      </c>
      <c r="T13" s="97" t="str">
        <f>"-- "&amp;C13</f>
        <v>-- 施設ID</v>
      </c>
      <c r="U13" s="4"/>
      <c r="AA13" s="4"/>
      <c r="AB13" s="4"/>
      <c r="AC13" s="4"/>
      <c r="AD13" s="4"/>
      <c r="AE13" s="4"/>
      <c r="AF13" s="4"/>
      <c r="AG13" s="4"/>
      <c r="AH13" s="4"/>
      <c r="AI13" s="4"/>
      <c r="AJ13" s="97" t="str">
        <f>IF(E13="○",IF(COUNTA(E$13:E13)=1,"",",")&amp;D13,"")</f>
        <v>facility_id</v>
      </c>
      <c r="AK13" s="4"/>
      <c r="AL13" s="4"/>
      <c r="AM13" s="4"/>
      <c r="AN13" s="4"/>
      <c r="AO13" s="4"/>
      <c r="AP13" s="4"/>
      <c r="AQ13" s="4"/>
      <c r="AR13" s="4"/>
      <c r="AS13" s="97" t="str">
        <f>"COMMENT ON COLUMN "&amp;エンティティ一覧!$O$2&amp;"."&amp;D$8&amp;"."&amp;D13&amp;" IS '"&amp;C13&amp;"';"</f>
        <v>COMMENT ON COLUMN milscm_2023_010.azn_202310_delivery_kanja_backborn_sum.facility_id IS '施設ID';</v>
      </c>
    </row>
    <row r="14" spans="1:45" s="25" customFormat="1">
      <c r="A14" s="4"/>
      <c r="B14" s="21">
        <f t="shared" ref="B14:B40" si="2">ROW()-12</f>
        <v>2</v>
      </c>
      <c r="C14" s="6" t="s">
        <v>4015</v>
      </c>
      <c r="D14" s="6" t="s">
        <v>1843</v>
      </c>
      <c r="E14" s="8" t="s">
        <v>127</v>
      </c>
      <c r="F14" s="8" t="s">
        <v>1735</v>
      </c>
      <c r="G14" s="7" t="str">
        <f t="shared" ref="G14:G40" si="3">IF(F14="フラグ","boolean",IF(F14="文字列","text",IF(F14="整数","integer",IF(F14="実数","numeric",""))))</f>
        <v>text</v>
      </c>
      <c r="H14" s="26"/>
      <c r="I14" s="10" t="s">
        <v>127</v>
      </c>
      <c r="J14" s="11"/>
      <c r="M14" s="4"/>
      <c r="N14" s="97"/>
      <c r="O14" s="97"/>
      <c r="P14" s="97" t="str">
        <f t="shared" ref="P14:P40" si="4">IF(B14&lt;&gt;1,","&amp;D14,D14)</f>
        <v>,himoduke_id</v>
      </c>
      <c r="Q14" s="97" t="str">
        <f t="shared" si="0"/>
        <v>TEXT</v>
      </c>
      <c r="R14" s="97" t="str">
        <f t="shared" si="1"/>
        <v/>
      </c>
      <c r="S14" s="97" t="str">
        <f t="shared" ref="S14:S40" si="5">IF(I14="○","NOT NULL","")</f>
        <v>NOT NULL</v>
      </c>
      <c r="T14" s="97" t="str">
        <f t="shared" ref="T14:T40" si="6">"-- "&amp;C14</f>
        <v>-- 紐付けID</v>
      </c>
      <c r="U14" s="4"/>
      <c r="AA14" s="4"/>
      <c r="AB14" s="4"/>
      <c r="AC14" s="4"/>
      <c r="AD14" s="4"/>
      <c r="AE14" s="4"/>
      <c r="AF14" s="4"/>
      <c r="AG14" s="4"/>
      <c r="AH14" s="4"/>
      <c r="AI14" s="4"/>
      <c r="AJ14" s="97" t="str">
        <f>IF(E14="○",IF(COUNTA(E$13:E14)=1,"",",")&amp;D14,"")</f>
        <v>,himoduke_id</v>
      </c>
      <c r="AK14" s="4"/>
      <c r="AL14" s="4"/>
      <c r="AM14" s="4"/>
      <c r="AN14" s="4"/>
      <c r="AO14" s="4"/>
      <c r="AP14" s="4"/>
      <c r="AQ14" s="4"/>
      <c r="AR14" s="4"/>
      <c r="AS14" s="97" t="str">
        <f>"COMMENT ON COLUMN "&amp;エンティティ一覧!$O$2&amp;"."&amp;D$8&amp;"."&amp;D14&amp;" IS '"&amp;C14&amp;"';"</f>
        <v>COMMENT ON COLUMN milscm_2023_010.azn_202310_delivery_kanja_backborn_sum.himoduke_id IS '紐付けID';</v>
      </c>
    </row>
    <row r="15" spans="1:45" s="25" customFormat="1" ht="56.25">
      <c r="A15" s="4"/>
      <c r="B15" s="21">
        <f t="shared" si="2"/>
        <v>3</v>
      </c>
      <c r="C15" s="13" t="s">
        <v>4393</v>
      </c>
      <c r="D15" s="13" t="s">
        <v>4382</v>
      </c>
      <c r="E15" s="7"/>
      <c r="F15" s="8" t="s">
        <v>1735</v>
      </c>
      <c r="G15" s="7" t="str">
        <f t="shared" si="3"/>
        <v>text</v>
      </c>
      <c r="H15" s="26"/>
      <c r="I15" s="10" t="s">
        <v>127</v>
      </c>
      <c r="J15" s="11" t="s">
        <v>4397</v>
      </c>
      <c r="M15" s="4"/>
      <c r="N15" s="97"/>
      <c r="O15" s="97"/>
      <c r="P15" s="97" t="str">
        <f t="shared" si="4"/>
        <v>,age_cate</v>
      </c>
      <c r="Q15" s="97" t="str">
        <f t="shared" si="0"/>
        <v>TEXT</v>
      </c>
      <c r="R15" s="97" t="str">
        <f t="shared" si="1"/>
        <v/>
      </c>
      <c r="S15" s="97" t="str">
        <f t="shared" si="5"/>
        <v>NOT NULL</v>
      </c>
      <c r="T15" s="97" t="str">
        <f t="shared" si="6"/>
        <v>-- 年齢</v>
      </c>
      <c r="U15" s="4"/>
      <c r="AA15" s="4"/>
      <c r="AB15" s="4"/>
      <c r="AC15" s="4"/>
      <c r="AD15" s="4"/>
      <c r="AE15" s="4"/>
      <c r="AF15" s="4"/>
      <c r="AG15" s="4"/>
      <c r="AH15" s="4"/>
      <c r="AI15" s="4"/>
      <c r="AJ15" s="97" t="str">
        <f>IF(E15="○",IF(COUNTA(E$13:E15)=1,"",",")&amp;D15,"")</f>
        <v/>
      </c>
      <c r="AK15" s="4"/>
      <c r="AL15" s="4"/>
      <c r="AM15" s="4"/>
      <c r="AN15" s="4"/>
      <c r="AO15" s="4"/>
      <c r="AP15" s="4"/>
      <c r="AQ15" s="4"/>
      <c r="AR15" s="4"/>
      <c r="AS15" s="97" t="str">
        <f>"COMMENT ON COLUMN "&amp;エンティティ一覧!$O$2&amp;"."&amp;D$8&amp;"."&amp;D15&amp;" IS '"&amp;C15&amp;"';"</f>
        <v>COMMENT ON COLUMN milscm_2023_010.azn_202310_delivery_kanja_backborn_sum.age_cate IS '年齢';</v>
      </c>
    </row>
    <row r="16" spans="1:45" s="25" customFormat="1">
      <c r="A16" s="4"/>
      <c r="B16" s="21">
        <f t="shared" si="2"/>
        <v>4</v>
      </c>
      <c r="C16" s="13" t="s">
        <v>4394</v>
      </c>
      <c r="D16" s="13" t="s">
        <v>943</v>
      </c>
      <c r="E16" s="7"/>
      <c r="F16" s="8" t="s">
        <v>1735</v>
      </c>
      <c r="G16" s="7" t="str">
        <f t="shared" si="3"/>
        <v>text</v>
      </c>
      <c r="H16" s="26"/>
      <c r="I16" s="10" t="s">
        <v>127</v>
      </c>
      <c r="J16" s="11"/>
      <c r="M16" s="4"/>
      <c r="N16" s="97"/>
      <c r="O16" s="97"/>
      <c r="P16" s="97" t="str">
        <f t="shared" si="4"/>
        <v>,sex_kubun</v>
      </c>
      <c r="Q16" s="97" t="str">
        <f t="shared" si="0"/>
        <v>TEXT</v>
      </c>
      <c r="R16" s="97" t="str">
        <f t="shared" si="1"/>
        <v/>
      </c>
      <c r="S16" s="97" t="str">
        <f t="shared" si="5"/>
        <v>NOT NULL</v>
      </c>
      <c r="T16" s="97" t="str">
        <f t="shared" si="6"/>
        <v>-- 性別</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"&amp;エンティティ一覧!$O$2&amp;"."&amp;D$8&amp;"."&amp;D16&amp;" IS '"&amp;C16&amp;"';"</f>
        <v>COMMENT ON COLUMN milscm_2023_010.azn_202310_delivery_kanja_backborn_sum.sex_kubun IS '性別';</v>
      </c>
    </row>
    <row r="17" spans="1:45" s="25" customFormat="1">
      <c r="A17" s="4"/>
      <c r="B17" s="21">
        <f t="shared" si="2"/>
        <v>5</v>
      </c>
      <c r="C17" s="13" t="s">
        <v>4395</v>
      </c>
      <c r="D17" s="13" t="s">
        <v>4383</v>
      </c>
      <c r="E17" s="7"/>
      <c r="F17" s="8" t="s">
        <v>1735</v>
      </c>
      <c r="G17" s="7" t="str">
        <f t="shared" si="3"/>
        <v>text</v>
      </c>
      <c r="H17" s="26"/>
      <c r="I17" s="10" t="s">
        <v>127</v>
      </c>
      <c r="J17" s="11" t="s">
        <v>4396</v>
      </c>
      <c r="M17" s="4"/>
      <c r="N17" s="97"/>
      <c r="O17" s="97"/>
      <c r="P17" s="97" t="str">
        <f t="shared" si="4"/>
        <v>,kikan</v>
      </c>
      <c r="Q17" s="97" t="str">
        <f t="shared" si="0"/>
        <v>TEXT</v>
      </c>
      <c r="R17" s="97" t="str">
        <f t="shared" si="1"/>
        <v/>
      </c>
      <c r="S17" s="97" t="str">
        <f t="shared" si="5"/>
        <v>NOT NULL</v>
      </c>
      <c r="T17" s="97" t="str">
        <f t="shared" si="6"/>
        <v>-- 期間</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milscm_2023_010.azn_202310_delivery_kanja_backborn_sum.kikan IS '期間';</v>
      </c>
    </row>
    <row r="18" spans="1:45" s="25" customFormat="1">
      <c r="A18" s="4"/>
      <c r="B18" s="21">
        <f t="shared" si="2"/>
        <v>6</v>
      </c>
      <c r="C18" s="13" t="s">
        <v>4398</v>
      </c>
      <c r="D18" s="13" t="s">
        <v>3834</v>
      </c>
      <c r="E18" s="7"/>
      <c r="F18" s="8" t="s">
        <v>1735</v>
      </c>
      <c r="G18" s="7" t="str">
        <f t="shared" si="3"/>
        <v>text</v>
      </c>
      <c r="H18" s="26"/>
      <c r="I18" s="10" t="s">
        <v>127</v>
      </c>
      <c r="J18" s="11"/>
      <c r="M18" s="4"/>
      <c r="N18" s="97"/>
      <c r="O18" s="97"/>
      <c r="P18" s="97" t="str">
        <f t="shared" si="4"/>
        <v>,department</v>
      </c>
      <c r="Q18" s="97" t="str">
        <f t="shared" si="0"/>
        <v>TEXT</v>
      </c>
      <c r="R18" s="97" t="str">
        <f t="shared" si="1"/>
        <v/>
      </c>
      <c r="S18" s="97" t="str">
        <f t="shared" si="5"/>
        <v>NOT NULL</v>
      </c>
      <c r="T18" s="97" t="str">
        <f t="shared" si="6"/>
        <v>-- 診療科</v>
      </c>
      <c r="U18" s="4"/>
      <c r="AA18" s="4"/>
      <c r="AB18" s="4"/>
      <c r="AC18" s="4"/>
      <c r="AD18" s="4"/>
      <c r="AE18" s="4"/>
      <c r="AF18" s="4"/>
      <c r="AG18" s="4"/>
      <c r="AH18" s="4"/>
      <c r="AI18" s="4"/>
      <c r="AJ18" s="97" t="str">
        <f>IF(E18="○",IF(COUNTA(E$13:E18)=1,"",",")&amp;D18,"")</f>
        <v/>
      </c>
      <c r="AK18" s="4"/>
      <c r="AL18" s="4"/>
      <c r="AM18" s="4"/>
      <c r="AN18" s="4"/>
      <c r="AO18" s="4"/>
      <c r="AP18" s="4"/>
      <c r="AQ18" s="4"/>
      <c r="AR18" s="4"/>
      <c r="AS18" s="97" t="str">
        <f>"COMMENT ON COLUMN "&amp;エンティティ一覧!$O$2&amp;"."&amp;D$8&amp;"."&amp;D18&amp;" IS '"&amp;C18&amp;"';"</f>
        <v>COMMENT ON COLUMN milscm_2023_010.azn_202310_delivery_kanja_backborn_sum.department IS '診療科';</v>
      </c>
    </row>
    <row r="19" spans="1:45" s="25" customFormat="1" ht="37.5">
      <c r="A19" s="4"/>
      <c r="B19" s="21">
        <f t="shared" si="2"/>
        <v>7</v>
      </c>
      <c r="C19" s="13" t="s">
        <v>4367</v>
      </c>
      <c r="D19" s="13" t="s">
        <v>4355</v>
      </c>
      <c r="E19" s="7"/>
      <c r="F19" s="8" t="s">
        <v>1735</v>
      </c>
      <c r="G19" s="7" t="str">
        <f t="shared" si="3"/>
        <v>text</v>
      </c>
      <c r="H19" s="26"/>
      <c r="I19" s="10"/>
      <c r="J19" s="11" t="s">
        <v>4366</v>
      </c>
      <c r="M19" s="4"/>
      <c r="N19" s="97"/>
      <c r="O19" s="97"/>
      <c r="P19" s="97" t="str">
        <f t="shared" si="4"/>
        <v>,cate_k</v>
      </c>
      <c r="Q19" s="97" t="str">
        <f t="shared" si="0"/>
        <v>TEXT</v>
      </c>
      <c r="R19" s="97" t="str">
        <f t="shared" si="1"/>
        <v/>
      </c>
      <c r="S19" s="97" t="str">
        <f t="shared" si="5"/>
        <v/>
      </c>
      <c r="T19" s="97" t="str">
        <f t="shared" si="6"/>
        <v>-- カリウム</v>
      </c>
      <c r="U19" s="4"/>
      <c r="AA19" s="4"/>
      <c r="AB19" s="4"/>
      <c r="AC19" s="4"/>
      <c r="AD19" s="4"/>
      <c r="AE19" s="4"/>
      <c r="AF19" s="4"/>
      <c r="AG19" s="4"/>
      <c r="AH19" s="4"/>
      <c r="AI19" s="4"/>
      <c r="AJ19" s="97" t="str">
        <f>IF(E19="○",IF(COUNTA(E$13:E19)=1,"",",")&amp;D19,"")</f>
        <v/>
      </c>
      <c r="AK19" s="4"/>
      <c r="AL19" s="4"/>
      <c r="AM19" s="4"/>
      <c r="AN19" s="4"/>
      <c r="AO19" s="4"/>
      <c r="AP19" s="4"/>
      <c r="AQ19" s="4"/>
      <c r="AR19" s="4"/>
      <c r="AS19" s="97" t="str">
        <f>"COMMENT ON COLUMN "&amp;エンティティ一覧!$O$2&amp;"."&amp;D$8&amp;"."&amp;D19&amp;" IS '"&amp;C19&amp;"';"</f>
        <v>COMMENT ON COLUMN milscm_2023_010.azn_202310_delivery_kanja_backborn_sum.cate_k IS 'カリウム';</v>
      </c>
    </row>
    <row r="20" spans="1:45" s="25" customFormat="1">
      <c r="A20" s="4"/>
      <c r="B20" s="21">
        <f t="shared" si="2"/>
        <v>8</v>
      </c>
      <c r="C20" s="13" t="s">
        <v>4369</v>
      </c>
      <c r="D20" s="13" t="s">
        <v>4357</v>
      </c>
      <c r="E20" s="7"/>
      <c r="F20" s="8" t="s">
        <v>1735</v>
      </c>
      <c r="G20" s="7" t="str">
        <f t="shared" si="3"/>
        <v>text</v>
      </c>
      <c r="H20" s="26"/>
      <c r="I20" s="10"/>
      <c r="J20" s="11" t="s">
        <v>4368</v>
      </c>
      <c r="M20" s="4"/>
      <c r="N20" s="97"/>
      <c r="O20" s="97"/>
      <c r="P20" s="97" t="str">
        <f t="shared" si="4"/>
        <v>,cate_cre</v>
      </c>
      <c r="Q20" s="97" t="str">
        <f t="shared" si="0"/>
        <v>TEXT</v>
      </c>
      <c r="R20" s="97" t="str">
        <f t="shared" si="1"/>
        <v/>
      </c>
      <c r="S20" s="97" t="str">
        <f t="shared" si="5"/>
        <v/>
      </c>
      <c r="T20" s="97" t="str">
        <f t="shared" si="6"/>
        <v>-- 血清クレアチニン</v>
      </c>
      <c r="U20" s="4"/>
      <c r="AA20" s="4"/>
      <c r="AB20" s="4"/>
      <c r="AC20" s="4"/>
      <c r="AD20" s="4"/>
      <c r="AE20" s="4"/>
      <c r="AF20" s="4"/>
      <c r="AG20" s="4"/>
      <c r="AH20" s="4"/>
      <c r="AI20" s="4"/>
      <c r="AJ20" s="97" t="str">
        <f>IF(E20="○",IF(COUNTA(E$13:E20)=1,"",",")&amp;D20,"")</f>
        <v/>
      </c>
      <c r="AK20" s="4"/>
      <c r="AL20" s="4"/>
      <c r="AM20" s="4"/>
      <c r="AN20" s="4"/>
      <c r="AO20" s="4"/>
      <c r="AP20" s="4"/>
      <c r="AQ20" s="4"/>
      <c r="AR20" s="4"/>
      <c r="AS20" s="97" t="str">
        <f>"COMMENT ON COLUMN "&amp;エンティティ一覧!$O$2&amp;"."&amp;D$8&amp;"."&amp;D20&amp;" IS '"&amp;C20&amp;"';"</f>
        <v>COMMENT ON COLUMN milscm_2023_010.azn_202310_delivery_kanja_backborn_sum.cate_cre IS '血清クレアチニン';</v>
      </c>
    </row>
    <row r="21" spans="1:45" s="25" customFormat="1" ht="37.5">
      <c r="A21" s="4"/>
      <c r="B21" s="21">
        <f t="shared" si="2"/>
        <v>9</v>
      </c>
      <c r="C21" s="13" t="s">
        <v>4372</v>
      </c>
      <c r="D21" s="13" t="s">
        <v>4359</v>
      </c>
      <c r="E21" s="7"/>
      <c r="F21" s="8" t="s">
        <v>1735</v>
      </c>
      <c r="G21" s="7" t="str">
        <f t="shared" si="3"/>
        <v>text</v>
      </c>
      <c r="H21" s="26"/>
      <c r="I21" s="10"/>
      <c r="J21" s="11" t="s">
        <v>4371</v>
      </c>
      <c r="M21" s="4"/>
      <c r="N21" s="97"/>
      <c r="O21" s="97"/>
      <c r="P21" s="97" t="str">
        <f t="shared" si="4"/>
        <v>,cate_egfr</v>
      </c>
      <c r="Q21" s="97" t="str">
        <f t="shared" si="0"/>
        <v>TEXT</v>
      </c>
      <c r="R21" s="97" t="str">
        <f t="shared" si="1"/>
        <v/>
      </c>
      <c r="S21" s="97" t="str">
        <f t="shared" si="5"/>
        <v/>
      </c>
      <c r="T21" s="97" t="str">
        <f t="shared" si="6"/>
        <v>-- eGFR</v>
      </c>
      <c r="U21" s="4"/>
      <c r="AA21" s="4"/>
      <c r="AB21" s="4"/>
      <c r="AC21" s="4"/>
      <c r="AD21" s="4"/>
      <c r="AE21" s="4"/>
      <c r="AF21" s="4"/>
      <c r="AG21" s="4"/>
      <c r="AH21" s="4"/>
      <c r="AI21" s="4"/>
      <c r="AJ21" s="97" t="str">
        <f>IF(E21="○",IF(COUNTA(E$13:E21)=1,"",",")&amp;D21,"")</f>
        <v/>
      </c>
      <c r="AK21" s="4"/>
      <c r="AL21" s="4"/>
      <c r="AM21" s="4"/>
      <c r="AN21" s="4"/>
      <c r="AO21" s="4"/>
      <c r="AP21" s="4"/>
      <c r="AQ21" s="4"/>
      <c r="AR21" s="4"/>
      <c r="AS21" s="97" t="str">
        <f>"COMMENT ON COLUMN "&amp;エンティティ一覧!$O$2&amp;"."&amp;D$8&amp;"."&amp;D21&amp;" IS '"&amp;C21&amp;"';"</f>
        <v>COMMENT ON COLUMN milscm_2023_010.azn_202310_delivery_kanja_backborn_sum.cate_egfr IS 'eGFR';</v>
      </c>
    </row>
    <row r="22" spans="1:45" s="25" customFormat="1" ht="37.5">
      <c r="A22" s="4"/>
      <c r="B22" s="21">
        <f t="shared" si="2"/>
        <v>10</v>
      </c>
      <c r="C22" s="13" t="s">
        <v>4375</v>
      </c>
      <c r="D22" s="13" t="s">
        <v>4361</v>
      </c>
      <c r="E22" s="7"/>
      <c r="F22" s="8" t="s">
        <v>1735</v>
      </c>
      <c r="G22" s="7" t="str">
        <f>IF(F22="フラグ","boolean",IF(F22="文字列","text",IF(F22="整数","integer",IF(F22="実数","numeric",""))))</f>
        <v>text</v>
      </c>
      <c r="H22" s="26"/>
      <c r="I22" s="10"/>
      <c r="J22" s="11" t="s">
        <v>4374</v>
      </c>
      <c r="M22" s="4"/>
      <c r="N22" s="97"/>
      <c r="O22" s="97"/>
      <c r="P22" s="97" t="str">
        <f>IF(B22&lt;&gt;1,","&amp;D22,D22)</f>
        <v>,cate_ntbnp</v>
      </c>
      <c r="Q22" s="97" t="str">
        <f>UPPER(G22)</f>
        <v>TEXT</v>
      </c>
      <c r="R22" s="97" t="str">
        <f>IF(H22&lt;&gt;"","default "&amp;IF(G22="text","'"&amp;H22&amp;"'",H22),"")</f>
        <v/>
      </c>
      <c r="S22" s="97" t="str">
        <f>IF(I22="○","NOT NULL","")</f>
        <v/>
      </c>
      <c r="T22" s="97" t="str">
        <f>"-- "&amp;C22</f>
        <v>-- NT-proBNP</v>
      </c>
      <c r="U22" s="4"/>
      <c r="AA22" s="4"/>
      <c r="AB22" s="4"/>
      <c r="AC22" s="4"/>
      <c r="AD22" s="4"/>
      <c r="AE22" s="4"/>
      <c r="AF22" s="4"/>
      <c r="AG22" s="4"/>
      <c r="AH22" s="4"/>
      <c r="AI22" s="4"/>
      <c r="AJ22" s="97" t="str">
        <f>IF(E22="○",IF(COUNTA(E$13:E22)=1,"",",")&amp;D22,"")</f>
        <v/>
      </c>
      <c r="AK22" s="4"/>
      <c r="AL22" s="4"/>
      <c r="AM22" s="4"/>
      <c r="AN22" s="4"/>
      <c r="AO22" s="4"/>
      <c r="AP22" s="4"/>
      <c r="AQ22" s="4"/>
      <c r="AR22" s="4"/>
      <c r="AS22" s="97" t="str">
        <f>"COMMENT ON COLUMN "&amp;エンティティ一覧!$O$2&amp;"."&amp;D$8&amp;"."&amp;D22&amp;" IS '"&amp;C22&amp;"';"</f>
        <v>COMMENT ON COLUMN milscm_2023_010.azn_202310_delivery_kanja_backborn_sum.cate_ntbnp IS 'NT-proBNP';</v>
      </c>
    </row>
    <row r="23" spans="1:45" s="25" customFormat="1" ht="37.5">
      <c r="A23" s="4"/>
      <c r="B23" s="21">
        <f t="shared" si="2"/>
        <v>11</v>
      </c>
      <c r="C23" s="13" t="s">
        <v>4378</v>
      </c>
      <c r="D23" s="13" t="s">
        <v>4363</v>
      </c>
      <c r="E23" s="7"/>
      <c r="F23" s="8" t="s">
        <v>1735</v>
      </c>
      <c r="G23" s="7" t="str">
        <f t="shared" si="3"/>
        <v>text</v>
      </c>
      <c r="H23" s="26"/>
      <c r="I23" s="10"/>
      <c r="J23" s="11" t="s">
        <v>4377</v>
      </c>
      <c r="M23" s="4"/>
      <c r="N23" s="97"/>
      <c r="O23" s="97"/>
      <c r="P23" s="97" t="str">
        <f t="shared" si="4"/>
        <v>,cate_bnp</v>
      </c>
      <c r="Q23" s="97" t="str">
        <f t="shared" si="0"/>
        <v>TEXT</v>
      </c>
      <c r="R23" s="97" t="str">
        <f t="shared" si="1"/>
        <v/>
      </c>
      <c r="S23" s="97" t="str">
        <f t="shared" si="5"/>
        <v/>
      </c>
      <c r="T23" s="97" t="str">
        <f t="shared" si="6"/>
        <v>-- BNP</v>
      </c>
      <c r="U23" s="4"/>
      <c r="AA23" s="4"/>
      <c r="AB23" s="4"/>
      <c r="AC23" s="4"/>
      <c r="AD23" s="4"/>
      <c r="AE23" s="4"/>
      <c r="AF23" s="4"/>
      <c r="AG23" s="4"/>
      <c r="AH23" s="4"/>
      <c r="AI23" s="4"/>
      <c r="AJ23" s="97" t="str">
        <f>IF(E23="○",IF(COUNTA(E$13:E23)=1,"",",")&amp;D23,"")</f>
        <v/>
      </c>
      <c r="AK23" s="4"/>
      <c r="AL23" s="4"/>
      <c r="AM23" s="4"/>
      <c r="AN23" s="4"/>
      <c r="AO23" s="4"/>
      <c r="AP23" s="4"/>
      <c r="AQ23" s="4"/>
      <c r="AR23" s="4"/>
      <c r="AS23" s="97" t="str">
        <f>"COMMENT ON COLUMN "&amp;エンティティ一覧!$O$2&amp;"."&amp;D$8&amp;"."&amp;D23&amp;" IS '"&amp;C23&amp;"';"</f>
        <v>COMMENT ON COLUMN milscm_2023_010.azn_202310_delivery_kanja_backborn_sum.cate_bnp IS 'BNP';</v>
      </c>
    </row>
    <row r="24" spans="1:45" s="25" customFormat="1">
      <c r="A24" s="4"/>
      <c r="B24" s="21">
        <f t="shared" si="2"/>
        <v>12</v>
      </c>
      <c r="C24" s="13" t="s">
        <v>4400</v>
      </c>
      <c r="D24" s="13" t="s">
        <v>4384</v>
      </c>
      <c r="E24" s="7"/>
      <c r="F24" s="7" t="s">
        <v>1845</v>
      </c>
      <c r="G24" s="7" t="str">
        <f t="shared" ref="G24:G39" si="7">IF(F24="フラグ","boolean",IF(F24="文字列","text",IF(F24="整数","integer",IF(F24="実数","numeric",""))))</f>
        <v>integer</v>
      </c>
      <c r="H24" s="26"/>
      <c r="I24" s="10" t="s">
        <v>127</v>
      </c>
      <c r="J24" s="11" t="s">
        <v>4399</v>
      </c>
      <c r="M24" s="4"/>
      <c r="N24" s="97"/>
      <c r="O24" s="97"/>
      <c r="P24" s="97" t="str">
        <f t="shared" ref="P24:P39" si="8">IF(B24&lt;&gt;1,","&amp;D24,D24)</f>
        <v>,ckd_n</v>
      </c>
      <c r="Q24" s="97" t="str">
        <f t="shared" ref="Q24:Q39" si="9">UPPER(G24)</f>
        <v>INTEGER</v>
      </c>
      <c r="R24" s="97" t="str">
        <f t="shared" ref="R24:R39" si="10">IF(H24&lt;&gt;"","default "&amp;IF(G24="text","'"&amp;H24&amp;"'",H24),"")</f>
        <v/>
      </c>
      <c r="S24" s="97" t="str">
        <f t="shared" ref="S24:S39" si="11">IF(I24="○","NOT NULL","")</f>
        <v>NOT NULL</v>
      </c>
      <c r="T24" s="97" t="str">
        <f t="shared" ref="T24:T39" si="12">"-- "&amp;C24</f>
        <v>-- チェックN</v>
      </c>
      <c r="U24" s="4"/>
      <c r="AA24" s="4"/>
      <c r="AB24" s="4"/>
      <c r="AC24" s="4"/>
      <c r="AD24" s="4"/>
      <c r="AE24" s="4"/>
      <c r="AF24" s="4"/>
      <c r="AG24" s="4"/>
      <c r="AH24" s="4"/>
      <c r="AI24" s="4"/>
      <c r="AJ24" s="97" t="str">
        <f>IF(E24="○",IF(COUNTA(E$13:E24)=1,"",",")&amp;D24,"")</f>
        <v/>
      </c>
      <c r="AK24" s="4"/>
      <c r="AL24" s="4"/>
      <c r="AM24" s="4"/>
      <c r="AN24" s="4"/>
      <c r="AO24" s="4"/>
      <c r="AP24" s="4"/>
      <c r="AQ24" s="4"/>
      <c r="AR24" s="4"/>
      <c r="AS24" s="97" t="str">
        <f>"COMMENT ON COLUMN "&amp;エンティティ一覧!$O$2&amp;"."&amp;D$8&amp;"."&amp;D24&amp;" IS '"&amp;C24&amp;"';"</f>
        <v>COMMENT ON COLUMN milscm_2023_010.azn_202310_delivery_kanja_backborn_sum.ckd_n IS 'チェックN';</v>
      </c>
    </row>
    <row r="25" spans="1:45" s="25" customFormat="1" ht="37.5">
      <c r="A25" s="4"/>
      <c r="B25" s="21">
        <f t="shared" si="2"/>
        <v>13</v>
      </c>
      <c r="C25" s="13" t="s">
        <v>4401</v>
      </c>
      <c r="D25" s="13" t="s">
        <v>4385</v>
      </c>
      <c r="E25" s="7"/>
      <c r="F25" s="7" t="s">
        <v>1845</v>
      </c>
      <c r="G25" s="7" t="str">
        <f t="shared" si="7"/>
        <v>integer</v>
      </c>
      <c r="H25" s="26"/>
      <c r="I25" s="10" t="s">
        <v>127</v>
      </c>
      <c r="J25" s="11" t="s">
        <v>4405</v>
      </c>
      <c r="M25" s="4"/>
      <c r="N25" s="97"/>
      <c r="O25" s="97"/>
      <c r="P25" s="97" t="str">
        <f t="shared" si="8"/>
        <v>,ckd_01</v>
      </c>
      <c r="Q25" s="97" t="str">
        <f t="shared" si="9"/>
        <v>INTEGER</v>
      </c>
      <c r="R25" s="97" t="str">
        <f t="shared" si="10"/>
        <v/>
      </c>
      <c r="S25" s="97" t="str">
        <f t="shared" si="11"/>
        <v>NOT NULL</v>
      </c>
      <c r="T25" s="97" t="str">
        <f t="shared" si="12"/>
        <v>-- チェック01</v>
      </c>
      <c r="U25" s="4"/>
      <c r="AA25" s="4"/>
      <c r="AB25" s="4"/>
      <c r="AC25" s="4"/>
      <c r="AD25" s="4"/>
      <c r="AE25" s="4"/>
      <c r="AF25" s="4"/>
      <c r="AG25" s="4"/>
      <c r="AH25" s="4"/>
      <c r="AI25" s="4"/>
      <c r="AJ25" s="97" t="str">
        <f>IF(E25="○",IF(COUNTA(E$13:E25)=1,"",",")&amp;D25,"")</f>
        <v/>
      </c>
      <c r="AK25" s="4"/>
      <c r="AL25" s="4"/>
      <c r="AM25" s="4"/>
      <c r="AN25" s="4"/>
      <c r="AO25" s="4"/>
      <c r="AP25" s="4"/>
      <c r="AQ25" s="4"/>
      <c r="AR25" s="4"/>
      <c r="AS25" s="97" t="str">
        <f>"COMMENT ON COLUMN "&amp;エンティティ一覧!$O$2&amp;"."&amp;D$8&amp;"."&amp;D25&amp;" IS '"&amp;C25&amp;"';"</f>
        <v>COMMENT ON COLUMN milscm_2023_010.azn_202310_delivery_kanja_backborn_sum.ckd_01 IS 'チェック01';</v>
      </c>
    </row>
    <row r="26" spans="1:45" s="25" customFormat="1" ht="37.5">
      <c r="A26" s="4"/>
      <c r="B26" s="21">
        <f t="shared" si="2"/>
        <v>14</v>
      </c>
      <c r="C26" s="13" t="s">
        <v>4402</v>
      </c>
      <c r="D26" s="13" t="s">
        <v>4386</v>
      </c>
      <c r="E26" s="7"/>
      <c r="F26" s="7" t="s">
        <v>1845</v>
      </c>
      <c r="G26" s="7" t="str">
        <f t="shared" si="7"/>
        <v>integer</v>
      </c>
      <c r="H26" s="26"/>
      <c r="I26" s="10" t="s">
        <v>127</v>
      </c>
      <c r="J26" s="11" t="s">
        <v>4406</v>
      </c>
      <c r="M26" s="4"/>
      <c r="N26" s="97"/>
      <c r="O26" s="97"/>
      <c r="P26" s="97" t="str">
        <f t="shared" si="8"/>
        <v>,ckd_02</v>
      </c>
      <c r="Q26" s="97" t="str">
        <f t="shared" si="9"/>
        <v>INTEGER</v>
      </c>
      <c r="R26" s="97" t="str">
        <f t="shared" si="10"/>
        <v/>
      </c>
      <c r="S26" s="97" t="str">
        <f t="shared" si="11"/>
        <v>NOT NULL</v>
      </c>
      <c r="T26" s="97" t="str">
        <f t="shared" si="12"/>
        <v>-- チェック02</v>
      </c>
      <c r="U26" s="4"/>
      <c r="AA26" s="4"/>
      <c r="AB26" s="4"/>
      <c r="AC26" s="4"/>
      <c r="AD26" s="4"/>
      <c r="AE26" s="4"/>
      <c r="AF26" s="4"/>
      <c r="AG26" s="4"/>
      <c r="AH26" s="4"/>
      <c r="AI26" s="4"/>
      <c r="AJ26" s="97" t="str">
        <f>IF(E26="○",IF(COUNTA(E$13:E26)=1,"",",")&amp;D26,"")</f>
        <v/>
      </c>
      <c r="AK26" s="4"/>
      <c r="AL26" s="4"/>
      <c r="AM26" s="4"/>
      <c r="AN26" s="4"/>
      <c r="AO26" s="4"/>
      <c r="AP26" s="4"/>
      <c r="AQ26" s="4"/>
      <c r="AR26" s="4"/>
      <c r="AS26" s="97" t="str">
        <f>"COMMENT ON COLUMN "&amp;エンティティ一覧!$O$2&amp;"."&amp;D$8&amp;"."&amp;D26&amp;" IS '"&amp;C26&amp;"';"</f>
        <v>COMMENT ON COLUMN milscm_2023_010.azn_202310_delivery_kanja_backborn_sum.ckd_02 IS 'チェック02';</v>
      </c>
    </row>
    <row r="27" spans="1:45" s="25" customFormat="1" ht="37.5">
      <c r="A27" s="4"/>
      <c r="B27" s="21">
        <f t="shared" si="2"/>
        <v>15</v>
      </c>
      <c r="C27" s="13" t="s">
        <v>4403</v>
      </c>
      <c r="D27" s="13" t="s">
        <v>4387</v>
      </c>
      <c r="E27" s="7"/>
      <c r="F27" s="7" t="s">
        <v>1845</v>
      </c>
      <c r="G27" s="7" t="str">
        <f t="shared" si="7"/>
        <v>integer</v>
      </c>
      <c r="H27" s="26"/>
      <c r="I27" s="10" t="s">
        <v>127</v>
      </c>
      <c r="J27" s="11" t="s">
        <v>4407</v>
      </c>
      <c r="M27" s="4"/>
      <c r="N27" s="97"/>
      <c r="O27" s="97"/>
      <c r="P27" s="97" t="str">
        <f t="shared" si="8"/>
        <v>,ckd_03</v>
      </c>
      <c r="Q27" s="97" t="str">
        <f t="shared" si="9"/>
        <v>INTEGER</v>
      </c>
      <c r="R27" s="97" t="str">
        <f t="shared" si="10"/>
        <v/>
      </c>
      <c r="S27" s="97" t="str">
        <f t="shared" si="11"/>
        <v>NOT NULL</v>
      </c>
      <c r="T27" s="97" t="str">
        <f t="shared" si="12"/>
        <v>-- チェック03</v>
      </c>
      <c r="U27" s="4"/>
      <c r="AA27" s="4"/>
      <c r="AB27" s="4"/>
      <c r="AC27" s="4"/>
      <c r="AD27" s="4"/>
      <c r="AE27" s="4"/>
      <c r="AF27" s="4"/>
      <c r="AG27" s="4"/>
      <c r="AH27" s="4"/>
      <c r="AI27" s="4"/>
      <c r="AJ27" s="97" t="str">
        <f>IF(E27="○",IF(COUNTA(E$13:E27)=1,"",",")&amp;D27,"")</f>
        <v/>
      </c>
      <c r="AK27" s="4"/>
      <c r="AL27" s="4"/>
      <c r="AM27" s="4"/>
      <c r="AN27" s="4"/>
      <c r="AO27" s="4"/>
      <c r="AP27" s="4"/>
      <c r="AQ27" s="4"/>
      <c r="AR27" s="4"/>
      <c r="AS27" s="97" t="str">
        <f>"COMMENT ON COLUMN "&amp;エンティティ一覧!$O$2&amp;"."&amp;D$8&amp;"."&amp;D27&amp;" IS '"&amp;C27&amp;"';"</f>
        <v>COMMENT ON COLUMN milscm_2023_010.azn_202310_delivery_kanja_backborn_sum.ckd_03 IS 'チェック03';</v>
      </c>
    </row>
    <row r="28" spans="1:45" s="25" customFormat="1" ht="56.25">
      <c r="A28" s="4"/>
      <c r="B28" s="21">
        <f t="shared" si="2"/>
        <v>16</v>
      </c>
      <c r="C28" s="13" t="s">
        <v>4404</v>
      </c>
      <c r="D28" s="13" t="s">
        <v>4388</v>
      </c>
      <c r="E28" s="7"/>
      <c r="F28" s="7" t="s">
        <v>1845</v>
      </c>
      <c r="G28" s="7" t="str">
        <f t="shared" si="7"/>
        <v>integer</v>
      </c>
      <c r="H28" s="26"/>
      <c r="I28" s="10" t="s">
        <v>127</v>
      </c>
      <c r="J28" s="11" t="s">
        <v>4408</v>
      </c>
      <c r="M28" s="4"/>
      <c r="N28" s="97"/>
      <c r="O28" s="97"/>
      <c r="P28" s="97" t="str">
        <f t="shared" si="8"/>
        <v>,ckd_04</v>
      </c>
      <c r="Q28" s="97" t="str">
        <f t="shared" si="9"/>
        <v>INTEGER</v>
      </c>
      <c r="R28" s="97" t="str">
        <f t="shared" si="10"/>
        <v/>
      </c>
      <c r="S28" s="97" t="str">
        <f t="shared" si="11"/>
        <v>NOT NULL</v>
      </c>
      <c r="T28" s="97" t="str">
        <f t="shared" si="12"/>
        <v>-- チェック04</v>
      </c>
      <c r="U28" s="4"/>
      <c r="AA28" s="4"/>
      <c r="AB28" s="4"/>
      <c r="AC28" s="4"/>
      <c r="AD28" s="4"/>
      <c r="AE28" s="4"/>
      <c r="AF28" s="4"/>
      <c r="AG28" s="4"/>
      <c r="AH28" s="4"/>
      <c r="AI28" s="4"/>
      <c r="AJ28" s="97" t="str">
        <f>IF(E28="○",IF(COUNTA(E$13:E28)=1,"",",")&amp;D28,"")</f>
        <v/>
      </c>
      <c r="AK28" s="4"/>
      <c r="AL28" s="4"/>
      <c r="AM28" s="4"/>
      <c r="AN28" s="4"/>
      <c r="AO28" s="4"/>
      <c r="AP28" s="4"/>
      <c r="AQ28" s="4"/>
      <c r="AR28" s="4"/>
      <c r="AS28" s="97" t="str">
        <f>"COMMENT ON COLUMN "&amp;エンティティ一覧!$O$2&amp;"."&amp;D$8&amp;"."&amp;D28&amp;" IS '"&amp;C28&amp;"';"</f>
        <v>COMMENT ON COLUMN milscm_2023_010.azn_202310_delivery_kanja_backborn_sum.ckd_04 IS 'チェック04';</v>
      </c>
    </row>
    <row r="29" spans="1:45" s="25" customFormat="1">
      <c r="A29" s="4"/>
      <c r="B29" s="21">
        <f t="shared" si="2"/>
        <v>17</v>
      </c>
      <c r="C29" s="13" t="s">
        <v>4287</v>
      </c>
      <c r="D29" s="13" t="s">
        <v>4389</v>
      </c>
      <c r="E29" s="7"/>
      <c r="F29" s="7" t="s">
        <v>1845</v>
      </c>
      <c r="G29" s="7" t="str">
        <f t="shared" si="7"/>
        <v>integer</v>
      </c>
      <c r="H29" s="26"/>
      <c r="I29" s="10" t="s">
        <v>127</v>
      </c>
      <c r="J29" s="11" t="s">
        <v>4266</v>
      </c>
      <c r="M29" s="4"/>
      <c r="N29" s="97"/>
      <c r="O29" s="97"/>
      <c r="P29" s="97" t="str">
        <f t="shared" si="8"/>
        <v>,hd_flg</v>
      </c>
      <c r="Q29" s="97" t="str">
        <f t="shared" si="9"/>
        <v>INTEGER</v>
      </c>
      <c r="R29" s="97" t="str">
        <f t="shared" si="10"/>
        <v/>
      </c>
      <c r="S29" s="97" t="str">
        <f t="shared" si="11"/>
        <v>NOT NULL</v>
      </c>
      <c r="T29" s="97" t="str">
        <f t="shared" si="12"/>
        <v>-- 透析フラグ</v>
      </c>
      <c r="U29" s="4"/>
      <c r="AA29" s="4"/>
      <c r="AB29" s="4"/>
      <c r="AC29" s="4"/>
      <c r="AD29" s="4"/>
      <c r="AE29" s="4"/>
      <c r="AF29" s="4"/>
      <c r="AG29" s="4"/>
      <c r="AH29" s="4"/>
      <c r="AI29" s="4"/>
      <c r="AJ29" s="97" t="str">
        <f>IF(E29="○",IF(COUNTA(E$13:E29)=1,"",",")&amp;D29,"")</f>
        <v/>
      </c>
      <c r="AK29" s="4"/>
      <c r="AL29" s="4"/>
      <c r="AM29" s="4"/>
      <c r="AN29" s="4"/>
      <c r="AO29" s="4"/>
      <c r="AP29" s="4"/>
      <c r="AQ29" s="4"/>
      <c r="AR29" s="4"/>
      <c r="AS29" s="97" t="str">
        <f>"COMMENT ON COLUMN "&amp;エンティティ一覧!$O$2&amp;"."&amp;D$8&amp;"."&amp;D29&amp;" IS '"&amp;C29&amp;"';"</f>
        <v>COMMENT ON COLUMN milscm_2023_010.azn_202310_delivery_kanja_backborn_sum.hd_flg IS '透析フラグ';</v>
      </c>
    </row>
    <row r="30" spans="1:45" s="25" customFormat="1">
      <c r="A30" s="4"/>
      <c r="B30" s="21">
        <f t="shared" si="2"/>
        <v>18</v>
      </c>
      <c r="C30" s="13" t="s">
        <v>4409</v>
      </c>
      <c r="D30" s="13" t="s">
        <v>4390</v>
      </c>
      <c r="E30" s="7"/>
      <c r="F30" s="7" t="s">
        <v>1845</v>
      </c>
      <c r="G30" s="7" t="str">
        <f t="shared" si="7"/>
        <v>integer</v>
      </c>
      <c r="H30" s="26"/>
      <c r="I30" s="10" t="s">
        <v>127</v>
      </c>
      <c r="J30" s="11" t="s">
        <v>4265</v>
      </c>
      <c r="M30" s="4"/>
      <c r="N30" s="97"/>
      <c r="O30" s="97"/>
      <c r="P30" s="97" t="str">
        <f t="shared" si="8"/>
        <v>,c01</v>
      </c>
      <c r="Q30" s="97" t="str">
        <f t="shared" si="9"/>
        <v>INTEGER</v>
      </c>
      <c r="R30" s="97" t="str">
        <f t="shared" si="10"/>
        <v/>
      </c>
      <c r="S30" s="97" t="str">
        <f t="shared" si="11"/>
        <v>NOT NULL</v>
      </c>
      <c r="T30" s="97" t="str">
        <f t="shared" si="12"/>
        <v>-- 利尿薬フラグ</v>
      </c>
      <c r="U30" s="4"/>
      <c r="AA30" s="4"/>
      <c r="AB30" s="4"/>
      <c r="AC30" s="4"/>
      <c r="AD30" s="4"/>
      <c r="AE30" s="4"/>
      <c r="AF30" s="4"/>
      <c r="AG30" s="4"/>
      <c r="AH30" s="4"/>
      <c r="AI30" s="4"/>
      <c r="AJ30" s="97" t="str">
        <f>IF(E30="○",IF(COUNTA(E$13:E30)=1,"",",")&amp;D30,"")</f>
        <v/>
      </c>
      <c r="AK30" s="4"/>
      <c r="AL30" s="4"/>
      <c r="AM30" s="4"/>
      <c r="AN30" s="4"/>
      <c r="AO30" s="4"/>
      <c r="AP30" s="4"/>
      <c r="AQ30" s="4"/>
      <c r="AR30" s="4"/>
      <c r="AS30" s="97" t="str">
        <f>"COMMENT ON COLUMN "&amp;エンティティ一覧!$O$2&amp;"."&amp;D$8&amp;"."&amp;D30&amp;" IS '"&amp;C30&amp;"';"</f>
        <v>COMMENT ON COLUMN milscm_2023_010.azn_202310_delivery_kanja_backborn_sum.c01 IS '利尿薬フラグ';</v>
      </c>
    </row>
    <row r="31" spans="1:45" s="25" customFormat="1">
      <c r="A31" s="4"/>
      <c r="B31" s="21">
        <f t="shared" si="2"/>
        <v>19</v>
      </c>
      <c r="C31" s="13" t="s">
        <v>4276</v>
      </c>
      <c r="D31" s="13" t="s">
        <v>4255</v>
      </c>
      <c r="E31" s="7"/>
      <c r="F31" s="7" t="s">
        <v>1845</v>
      </c>
      <c r="G31" s="7" t="str">
        <f t="shared" si="7"/>
        <v>integer</v>
      </c>
      <c r="H31" s="26"/>
      <c r="I31" s="10" t="s">
        <v>127</v>
      </c>
      <c r="J31" s="11" t="s">
        <v>4265</v>
      </c>
      <c r="M31" s="4"/>
      <c r="N31" s="97"/>
      <c r="O31" s="97"/>
      <c r="P31" s="97" t="str">
        <f t="shared" si="8"/>
        <v>,c02</v>
      </c>
      <c r="Q31" s="97" t="str">
        <f t="shared" si="9"/>
        <v>INTEGER</v>
      </c>
      <c r="R31" s="97" t="str">
        <f t="shared" si="10"/>
        <v/>
      </c>
      <c r="S31" s="97" t="str">
        <f t="shared" si="11"/>
        <v>NOT NULL</v>
      </c>
      <c r="T31" s="97" t="str">
        <f t="shared" si="12"/>
        <v>-- βブロッカーフラグ</v>
      </c>
      <c r="U31" s="4"/>
      <c r="AA31" s="4"/>
      <c r="AB31" s="4"/>
      <c r="AC31" s="4"/>
      <c r="AD31" s="4"/>
      <c r="AE31" s="4"/>
      <c r="AF31" s="4"/>
      <c r="AG31" s="4"/>
      <c r="AH31" s="4"/>
      <c r="AI31" s="4"/>
      <c r="AJ31" s="97" t="str">
        <f>IF(E31="○",IF(COUNTA(E$13:E31)=1,"",",")&amp;D31,"")</f>
        <v/>
      </c>
      <c r="AK31" s="4"/>
      <c r="AL31" s="4"/>
      <c r="AM31" s="4"/>
      <c r="AN31" s="4"/>
      <c r="AO31" s="4"/>
      <c r="AP31" s="4"/>
      <c r="AQ31" s="4"/>
      <c r="AR31" s="4"/>
      <c r="AS31" s="97" t="str">
        <f>"COMMENT ON COLUMN "&amp;エンティティ一覧!$O$2&amp;"."&amp;D$8&amp;"."&amp;D31&amp;" IS '"&amp;C31&amp;"';"</f>
        <v>COMMENT ON COLUMN milscm_2023_010.azn_202310_delivery_kanja_backborn_sum.c02 IS 'βブロッカーフラグ';</v>
      </c>
    </row>
    <row r="32" spans="1:45" s="25" customFormat="1">
      <c r="A32" s="4"/>
      <c r="B32" s="21">
        <f t="shared" si="2"/>
        <v>20</v>
      </c>
      <c r="C32" s="13" t="s">
        <v>4277</v>
      </c>
      <c r="D32" s="13" t="s">
        <v>4256</v>
      </c>
      <c r="E32" s="7"/>
      <c r="F32" s="7" t="s">
        <v>1845</v>
      </c>
      <c r="G32" s="7" t="str">
        <f t="shared" si="7"/>
        <v>integer</v>
      </c>
      <c r="H32" s="26"/>
      <c r="I32" s="10" t="s">
        <v>127</v>
      </c>
      <c r="J32" s="11" t="s">
        <v>4265</v>
      </c>
      <c r="M32" s="4"/>
      <c r="N32" s="97"/>
      <c r="O32" s="97"/>
      <c r="P32" s="97" t="str">
        <f t="shared" si="8"/>
        <v>,c03</v>
      </c>
      <c r="Q32" s="97" t="str">
        <f t="shared" si="9"/>
        <v>INTEGER</v>
      </c>
      <c r="R32" s="97" t="str">
        <f t="shared" si="10"/>
        <v/>
      </c>
      <c r="S32" s="97" t="str">
        <f t="shared" si="11"/>
        <v>NOT NULL</v>
      </c>
      <c r="T32" s="97" t="str">
        <f t="shared" si="12"/>
        <v>-- スピロノラクトンフラグ</v>
      </c>
      <c r="U32" s="4"/>
      <c r="AA32" s="4"/>
      <c r="AB32" s="4"/>
      <c r="AC32" s="4"/>
      <c r="AD32" s="4"/>
      <c r="AE32" s="4"/>
      <c r="AF32" s="4"/>
      <c r="AG32" s="4"/>
      <c r="AH32" s="4"/>
      <c r="AI32" s="4"/>
      <c r="AJ32" s="97" t="str">
        <f>IF(E32="○",IF(COUNTA(E$13:E32)=1,"",",")&amp;D32,"")</f>
        <v/>
      </c>
      <c r="AK32" s="4"/>
      <c r="AL32" s="4"/>
      <c r="AM32" s="4"/>
      <c r="AN32" s="4"/>
      <c r="AO32" s="4"/>
      <c r="AP32" s="4"/>
      <c r="AQ32" s="4"/>
      <c r="AR32" s="4"/>
      <c r="AS32" s="97" t="str">
        <f>"COMMENT ON COLUMN "&amp;エンティティ一覧!$O$2&amp;"."&amp;D$8&amp;"."&amp;D32&amp;" IS '"&amp;C32&amp;"';"</f>
        <v>COMMENT ON COLUMN milscm_2023_010.azn_202310_delivery_kanja_backborn_sum.c03 IS 'スピロノラクトンフラグ';</v>
      </c>
    </row>
    <row r="33" spans="1:52" s="25" customFormat="1">
      <c r="A33" s="4"/>
      <c r="B33" s="21">
        <f t="shared" si="2"/>
        <v>21</v>
      </c>
      <c r="C33" s="13" t="s">
        <v>4278</v>
      </c>
      <c r="D33" s="13" t="s">
        <v>4257</v>
      </c>
      <c r="E33" s="7"/>
      <c r="F33" s="7" t="s">
        <v>1845</v>
      </c>
      <c r="G33" s="7" t="str">
        <f t="shared" si="7"/>
        <v>integer</v>
      </c>
      <c r="H33" s="26"/>
      <c r="I33" s="10" t="s">
        <v>127</v>
      </c>
      <c r="J33" s="11" t="s">
        <v>4265</v>
      </c>
      <c r="M33" s="4"/>
      <c r="N33" s="97"/>
      <c r="O33" s="97"/>
      <c r="P33" s="97" t="str">
        <f t="shared" si="8"/>
        <v>,c04</v>
      </c>
      <c r="Q33" s="97" t="str">
        <f t="shared" si="9"/>
        <v>INTEGER</v>
      </c>
      <c r="R33" s="97" t="str">
        <f t="shared" si="10"/>
        <v/>
      </c>
      <c r="S33" s="97" t="str">
        <f t="shared" si="11"/>
        <v>NOT NULL</v>
      </c>
      <c r="T33" s="97" t="str">
        <f t="shared" si="12"/>
        <v>-- エプレレノンフラグ</v>
      </c>
      <c r="U33" s="4"/>
      <c r="AA33" s="4"/>
      <c r="AB33" s="4"/>
      <c r="AC33" s="4"/>
      <c r="AD33" s="4"/>
      <c r="AE33" s="4"/>
      <c r="AF33" s="4"/>
      <c r="AG33" s="4"/>
      <c r="AH33" s="4"/>
      <c r="AI33" s="4"/>
      <c r="AJ33" s="97" t="str">
        <f>IF(E33="○",IF(COUNTA(E$13:E33)=1,"",",")&amp;D33,"")</f>
        <v/>
      </c>
      <c r="AK33" s="4"/>
      <c r="AL33" s="4"/>
      <c r="AM33" s="4"/>
      <c r="AN33" s="4"/>
      <c r="AO33" s="4"/>
      <c r="AP33" s="4"/>
      <c r="AQ33" s="4"/>
      <c r="AR33" s="4"/>
      <c r="AS33" s="97" t="str">
        <f>"COMMENT ON COLUMN "&amp;エンティティ一覧!$O$2&amp;"."&amp;D$8&amp;"."&amp;D33&amp;" IS '"&amp;C33&amp;"';"</f>
        <v>COMMENT ON COLUMN milscm_2023_010.azn_202310_delivery_kanja_backborn_sum.c04 IS 'エプレレノンフラグ';</v>
      </c>
    </row>
    <row r="34" spans="1:52" s="25" customFormat="1">
      <c r="A34" s="4"/>
      <c r="B34" s="21">
        <f t="shared" si="2"/>
        <v>22</v>
      </c>
      <c r="C34" s="13" t="s">
        <v>4279</v>
      </c>
      <c r="D34" s="13" t="s">
        <v>4258</v>
      </c>
      <c r="E34" s="7"/>
      <c r="F34" s="7" t="s">
        <v>1845</v>
      </c>
      <c r="G34" s="7" t="str">
        <f t="shared" si="7"/>
        <v>integer</v>
      </c>
      <c r="H34" s="26"/>
      <c r="I34" s="10" t="s">
        <v>127</v>
      </c>
      <c r="J34" s="11" t="s">
        <v>4265</v>
      </c>
      <c r="M34" s="4"/>
      <c r="N34" s="97"/>
      <c r="O34" s="97"/>
      <c r="P34" s="97" t="str">
        <f t="shared" si="8"/>
        <v>,c05</v>
      </c>
      <c r="Q34" s="97" t="str">
        <f t="shared" si="9"/>
        <v>INTEGER</v>
      </c>
      <c r="R34" s="97" t="str">
        <f t="shared" si="10"/>
        <v/>
      </c>
      <c r="S34" s="97" t="str">
        <f t="shared" si="11"/>
        <v>NOT NULL</v>
      </c>
      <c r="T34" s="97" t="str">
        <f t="shared" si="12"/>
        <v>-- エサキセレノンフラグ</v>
      </c>
      <c r="U34" s="4"/>
      <c r="AA34" s="4"/>
      <c r="AB34" s="4"/>
      <c r="AC34" s="4"/>
      <c r="AD34" s="4"/>
      <c r="AE34" s="4"/>
      <c r="AF34" s="4"/>
      <c r="AG34" s="4"/>
      <c r="AH34" s="4"/>
      <c r="AI34" s="4"/>
      <c r="AJ34" s="97" t="str">
        <f>IF(E34="○",IF(COUNTA(E$13:E34)=1,"",",")&amp;D34,"")</f>
        <v/>
      </c>
      <c r="AK34" s="4"/>
      <c r="AL34" s="4"/>
      <c r="AM34" s="4"/>
      <c r="AN34" s="4"/>
      <c r="AO34" s="4"/>
      <c r="AP34" s="4"/>
      <c r="AQ34" s="4"/>
      <c r="AR34" s="4"/>
      <c r="AS34" s="97" t="str">
        <f>"COMMENT ON COLUMN "&amp;エンティティ一覧!$O$2&amp;"."&amp;D$8&amp;"."&amp;D34&amp;" IS '"&amp;C34&amp;"';"</f>
        <v>COMMENT ON COLUMN milscm_2023_010.azn_202310_delivery_kanja_backborn_sum.c05 IS 'エサキセレノンフラグ';</v>
      </c>
    </row>
    <row r="35" spans="1:52" s="25" customFormat="1">
      <c r="A35" s="4"/>
      <c r="B35" s="21">
        <f t="shared" si="2"/>
        <v>23</v>
      </c>
      <c r="C35" s="13" t="s">
        <v>4280</v>
      </c>
      <c r="D35" s="13" t="s">
        <v>4259</v>
      </c>
      <c r="E35" s="7"/>
      <c r="F35" s="7" t="s">
        <v>1845</v>
      </c>
      <c r="G35" s="7" t="str">
        <f t="shared" si="7"/>
        <v>integer</v>
      </c>
      <c r="H35" s="26"/>
      <c r="I35" s="10" t="s">
        <v>127</v>
      </c>
      <c r="J35" s="11" t="s">
        <v>4265</v>
      </c>
      <c r="M35" s="4"/>
      <c r="N35" s="97"/>
      <c r="O35" s="97"/>
      <c r="P35" s="97" t="str">
        <f t="shared" si="8"/>
        <v>,c06</v>
      </c>
      <c r="Q35" s="97" t="str">
        <f t="shared" si="9"/>
        <v>INTEGER</v>
      </c>
      <c r="R35" s="97" t="str">
        <f t="shared" si="10"/>
        <v/>
      </c>
      <c r="S35" s="97" t="str">
        <f t="shared" si="11"/>
        <v>NOT NULL</v>
      </c>
      <c r="T35" s="97" t="str">
        <f t="shared" si="12"/>
        <v>-- フィネレノンフラグ</v>
      </c>
      <c r="U35" s="4"/>
      <c r="AA35" s="4"/>
      <c r="AB35" s="4"/>
      <c r="AC35" s="4"/>
      <c r="AD35" s="4"/>
      <c r="AE35" s="4"/>
      <c r="AF35" s="4"/>
      <c r="AG35" s="4"/>
      <c r="AH35" s="4"/>
      <c r="AI35" s="4"/>
      <c r="AJ35" s="97" t="str">
        <f>IF(E35="○",IF(COUNTA(E$13:E35)=1,"",",")&amp;D35,"")</f>
        <v/>
      </c>
      <c r="AK35" s="4"/>
      <c r="AL35" s="4"/>
      <c r="AM35" s="4"/>
      <c r="AN35" s="4"/>
      <c r="AO35" s="4"/>
      <c r="AP35" s="4"/>
      <c r="AQ35" s="4"/>
      <c r="AR35" s="4"/>
      <c r="AS35" s="97" t="str">
        <f>"COMMENT ON COLUMN "&amp;エンティティ一覧!$O$2&amp;"."&amp;D$8&amp;"."&amp;D35&amp;" IS '"&amp;C35&amp;"';"</f>
        <v>COMMENT ON COLUMN milscm_2023_010.azn_202310_delivery_kanja_backborn_sum.c06 IS 'フィネレノンフラグ';</v>
      </c>
    </row>
    <row r="36" spans="1:52" s="25" customFormat="1">
      <c r="A36" s="4"/>
      <c r="B36" s="21">
        <f t="shared" si="2"/>
        <v>24</v>
      </c>
      <c r="C36" s="13" t="s">
        <v>4281</v>
      </c>
      <c r="D36" s="13" t="s">
        <v>4260</v>
      </c>
      <c r="E36" s="7"/>
      <c r="F36" s="7" t="s">
        <v>1845</v>
      </c>
      <c r="G36" s="7" t="str">
        <f t="shared" si="7"/>
        <v>integer</v>
      </c>
      <c r="H36" s="26"/>
      <c r="I36" s="10" t="s">
        <v>127</v>
      </c>
      <c r="J36" s="11" t="s">
        <v>4265</v>
      </c>
      <c r="M36" s="4"/>
      <c r="N36" s="97"/>
      <c r="O36" s="97"/>
      <c r="P36" s="97" t="str">
        <f t="shared" si="8"/>
        <v>,c07</v>
      </c>
      <c r="Q36" s="97" t="str">
        <f t="shared" si="9"/>
        <v>INTEGER</v>
      </c>
      <c r="R36" s="97" t="str">
        <f t="shared" si="10"/>
        <v/>
      </c>
      <c r="S36" s="97" t="str">
        <f t="shared" si="11"/>
        <v>NOT NULL</v>
      </c>
      <c r="T36" s="97" t="str">
        <f t="shared" si="12"/>
        <v>-- ACEフラグ</v>
      </c>
      <c r="U36" s="4"/>
      <c r="AA36" s="4"/>
      <c r="AB36" s="4"/>
      <c r="AC36" s="4"/>
      <c r="AD36" s="4"/>
      <c r="AE36" s="4"/>
      <c r="AF36" s="4"/>
      <c r="AG36" s="4"/>
      <c r="AH36" s="4"/>
      <c r="AI36" s="4"/>
      <c r="AJ36" s="97" t="str">
        <f>IF(E36="○",IF(COUNTA(E$13:E36)=1,"",",")&amp;D36,"")</f>
        <v/>
      </c>
      <c r="AK36" s="4"/>
      <c r="AL36" s="4"/>
      <c r="AM36" s="4"/>
      <c r="AN36" s="4"/>
      <c r="AO36" s="4"/>
      <c r="AP36" s="4"/>
      <c r="AQ36" s="4"/>
      <c r="AR36" s="4"/>
      <c r="AS36" s="97" t="str">
        <f>"COMMENT ON COLUMN "&amp;エンティティ一覧!$O$2&amp;"."&amp;D$8&amp;"."&amp;D36&amp;" IS '"&amp;C36&amp;"';"</f>
        <v>COMMENT ON COLUMN milscm_2023_010.azn_202310_delivery_kanja_backborn_sum.c07 IS 'ACEフラグ';</v>
      </c>
    </row>
    <row r="37" spans="1:52" s="25" customFormat="1">
      <c r="A37" s="4"/>
      <c r="B37" s="21">
        <f t="shared" si="2"/>
        <v>25</v>
      </c>
      <c r="C37" s="13" t="s">
        <v>4282</v>
      </c>
      <c r="D37" s="13" t="s">
        <v>4261</v>
      </c>
      <c r="E37" s="7"/>
      <c r="F37" s="7" t="s">
        <v>1845</v>
      </c>
      <c r="G37" s="7" t="str">
        <f t="shared" si="7"/>
        <v>integer</v>
      </c>
      <c r="H37" s="26"/>
      <c r="I37" s="10" t="s">
        <v>127</v>
      </c>
      <c r="J37" s="11" t="s">
        <v>4265</v>
      </c>
      <c r="M37" s="4"/>
      <c r="N37" s="97"/>
      <c r="O37" s="97"/>
      <c r="P37" s="97" t="str">
        <f t="shared" si="8"/>
        <v>,c08</v>
      </c>
      <c r="Q37" s="97" t="str">
        <f t="shared" si="9"/>
        <v>INTEGER</v>
      </c>
      <c r="R37" s="97" t="str">
        <f t="shared" si="10"/>
        <v/>
      </c>
      <c r="S37" s="97" t="str">
        <f t="shared" si="11"/>
        <v>NOT NULL</v>
      </c>
      <c r="T37" s="97" t="str">
        <f t="shared" si="12"/>
        <v>-- ARBフラグ</v>
      </c>
      <c r="U37" s="4"/>
      <c r="AA37" s="4"/>
      <c r="AB37" s="4"/>
      <c r="AC37" s="4"/>
      <c r="AD37" s="4"/>
      <c r="AE37" s="4"/>
      <c r="AF37" s="4"/>
      <c r="AG37" s="4"/>
      <c r="AH37" s="4"/>
      <c r="AI37" s="4"/>
      <c r="AJ37" s="97" t="str">
        <f>IF(E37="○",IF(COUNTA(E$13:E37)=1,"",",")&amp;D37,"")</f>
        <v/>
      </c>
      <c r="AK37" s="4"/>
      <c r="AL37" s="4"/>
      <c r="AM37" s="4"/>
      <c r="AN37" s="4"/>
      <c r="AO37" s="4"/>
      <c r="AP37" s="4"/>
      <c r="AQ37" s="4"/>
      <c r="AR37" s="4"/>
      <c r="AS37" s="97" t="str">
        <f>"COMMENT ON COLUMN "&amp;エンティティ一覧!$O$2&amp;"."&amp;D$8&amp;"."&amp;D37&amp;" IS '"&amp;C37&amp;"';"</f>
        <v>COMMENT ON COLUMN milscm_2023_010.azn_202310_delivery_kanja_backborn_sum.c08 IS 'ARBフラグ';</v>
      </c>
    </row>
    <row r="38" spans="1:52" s="25" customFormat="1">
      <c r="A38" s="4"/>
      <c r="B38" s="21">
        <f t="shared" si="2"/>
        <v>26</v>
      </c>
      <c r="C38" s="13" t="s">
        <v>4283</v>
      </c>
      <c r="D38" s="13" t="s">
        <v>4262</v>
      </c>
      <c r="E38" s="7"/>
      <c r="F38" s="7" t="s">
        <v>1845</v>
      </c>
      <c r="G38" s="7" t="str">
        <f t="shared" si="7"/>
        <v>integer</v>
      </c>
      <c r="H38" s="26"/>
      <c r="I38" s="10" t="s">
        <v>127</v>
      </c>
      <c r="J38" s="11" t="s">
        <v>4265</v>
      </c>
      <c r="M38" s="4"/>
      <c r="N38" s="97"/>
      <c r="O38" s="97"/>
      <c r="P38" s="97" t="str">
        <f t="shared" si="8"/>
        <v>,c09</v>
      </c>
      <c r="Q38" s="97" t="str">
        <f t="shared" si="9"/>
        <v>INTEGER</v>
      </c>
      <c r="R38" s="97" t="str">
        <f t="shared" si="10"/>
        <v/>
      </c>
      <c r="S38" s="97" t="str">
        <f t="shared" si="11"/>
        <v>NOT NULL</v>
      </c>
      <c r="T38" s="97" t="str">
        <f t="shared" si="12"/>
        <v>-- ARNIフラグ</v>
      </c>
      <c r="U38" s="4"/>
      <c r="AA38" s="4"/>
      <c r="AB38" s="4"/>
      <c r="AC38" s="4"/>
      <c r="AD38" s="4"/>
      <c r="AE38" s="4"/>
      <c r="AF38" s="4"/>
      <c r="AG38" s="4"/>
      <c r="AH38" s="4"/>
      <c r="AI38" s="4"/>
      <c r="AJ38" s="97" t="str">
        <f>IF(E38="○",IF(COUNTA(E$13:E38)=1,"",",")&amp;D38,"")</f>
        <v/>
      </c>
      <c r="AK38" s="4"/>
      <c r="AL38" s="4"/>
      <c r="AM38" s="4"/>
      <c r="AN38" s="4"/>
      <c r="AO38" s="4"/>
      <c r="AP38" s="4"/>
      <c r="AQ38" s="4"/>
      <c r="AR38" s="4"/>
      <c r="AS38" s="97" t="str">
        <f>"COMMENT ON COLUMN "&amp;エンティティ一覧!$O$2&amp;"."&amp;D$8&amp;"."&amp;D38&amp;" IS '"&amp;C38&amp;"';"</f>
        <v>COMMENT ON COLUMN milscm_2023_010.azn_202310_delivery_kanja_backborn_sum.c09 IS 'ARNIフラグ';</v>
      </c>
    </row>
    <row r="39" spans="1:52" s="25" customFormat="1">
      <c r="A39" s="4"/>
      <c r="B39" s="21">
        <f t="shared" si="2"/>
        <v>27</v>
      </c>
      <c r="C39" s="13" t="s">
        <v>4284</v>
      </c>
      <c r="D39" s="13" t="s">
        <v>4391</v>
      </c>
      <c r="E39" s="7"/>
      <c r="F39" s="7" t="s">
        <v>1845</v>
      </c>
      <c r="G39" s="7" t="str">
        <f t="shared" si="7"/>
        <v>integer</v>
      </c>
      <c r="H39" s="26"/>
      <c r="I39" s="10" t="s">
        <v>127</v>
      </c>
      <c r="J39" s="11" t="s">
        <v>4265</v>
      </c>
      <c r="M39" s="4"/>
      <c r="N39" s="97"/>
      <c r="O39" s="97"/>
      <c r="P39" s="97" t="str">
        <f t="shared" si="8"/>
        <v>,c10</v>
      </c>
      <c r="Q39" s="97" t="str">
        <f t="shared" si="9"/>
        <v>INTEGER</v>
      </c>
      <c r="R39" s="97" t="str">
        <f t="shared" si="10"/>
        <v/>
      </c>
      <c r="S39" s="97" t="str">
        <f t="shared" si="11"/>
        <v>NOT NULL</v>
      </c>
      <c r="T39" s="97" t="str">
        <f t="shared" si="12"/>
        <v>-- SGLT-2阻害薬（フォシーガ）フラグ</v>
      </c>
      <c r="U39" s="4"/>
      <c r="AA39" s="4"/>
      <c r="AB39" s="4"/>
      <c r="AC39" s="4"/>
      <c r="AD39" s="4"/>
      <c r="AE39" s="4"/>
      <c r="AF39" s="4"/>
      <c r="AG39" s="4"/>
      <c r="AH39" s="4"/>
      <c r="AI39" s="4"/>
      <c r="AJ39" s="97" t="str">
        <f>IF(E39="○",IF(COUNTA(E$13:E39)=1,"",",")&amp;D39,"")</f>
        <v/>
      </c>
      <c r="AK39" s="4"/>
      <c r="AL39" s="4"/>
      <c r="AM39" s="4"/>
      <c r="AN39" s="4"/>
      <c r="AO39" s="4"/>
      <c r="AP39" s="4"/>
      <c r="AQ39" s="4"/>
      <c r="AR39" s="4"/>
      <c r="AS39" s="97" t="str">
        <f>"COMMENT ON COLUMN "&amp;エンティティ一覧!$O$2&amp;"."&amp;D$8&amp;"."&amp;D39&amp;" IS '"&amp;C39&amp;"';"</f>
        <v>COMMENT ON COLUMN milscm_2023_010.azn_202310_delivery_kanja_backborn_sum.c10 IS 'SGLT-2阻害薬（フォシーガ）フラグ';</v>
      </c>
    </row>
    <row r="40" spans="1:52" s="25" customFormat="1" ht="32.25" thickBot="1">
      <c r="A40" s="4"/>
      <c r="B40" s="69">
        <f t="shared" si="2"/>
        <v>28</v>
      </c>
      <c r="C40" s="121" t="s">
        <v>4410</v>
      </c>
      <c r="D40" s="121" t="s">
        <v>4392</v>
      </c>
      <c r="E40" s="71"/>
      <c r="F40" s="71" t="s">
        <v>1845</v>
      </c>
      <c r="G40" s="71" t="str">
        <f t="shared" si="3"/>
        <v>integer</v>
      </c>
      <c r="H40" s="72"/>
      <c r="I40" s="73" t="s">
        <v>127</v>
      </c>
      <c r="J40" s="74" t="s">
        <v>4265</v>
      </c>
      <c r="M40" s="4"/>
      <c r="N40" s="97"/>
      <c r="O40" s="97"/>
      <c r="P40" s="97" t="str">
        <f t="shared" si="4"/>
        <v>,c11</v>
      </c>
      <c r="Q40" s="97" t="str">
        <f t="shared" si="0"/>
        <v>INTEGER</v>
      </c>
      <c r="R40" s="97" t="str">
        <f t="shared" si="1"/>
        <v/>
      </c>
      <c r="S40" s="97" t="str">
        <f t="shared" si="5"/>
        <v>NOT NULL</v>
      </c>
      <c r="T40" s="97" t="str">
        <f t="shared" si="6"/>
        <v>-- SGLT-2阻害薬（フォシーガ以外）フラグ</v>
      </c>
      <c r="U40" s="4"/>
      <c r="AA40" s="4"/>
      <c r="AB40" s="4"/>
      <c r="AC40" s="4"/>
      <c r="AD40" s="4"/>
      <c r="AE40" s="4"/>
      <c r="AF40" s="4"/>
      <c r="AG40" s="4"/>
      <c r="AH40" s="4"/>
      <c r="AI40" s="4"/>
      <c r="AJ40" s="97" t="str">
        <f>IF(E40="○",IF(COUNTA(E$13:E40)=1,"",",")&amp;D40,"")</f>
        <v/>
      </c>
      <c r="AK40" s="4"/>
      <c r="AL40" s="4"/>
      <c r="AM40" s="4"/>
      <c r="AN40" s="4"/>
      <c r="AO40" s="4"/>
      <c r="AP40" s="4"/>
      <c r="AQ40" s="4"/>
      <c r="AR40" s="4"/>
      <c r="AS40" s="97" t="str">
        <f>"COMMENT ON COLUMN "&amp;エンティティ一覧!$O$2&amp;"."&amp;D$8&amp;"."&amp;D40&amp;" IS '"&amp;C40&amp;"';"</f>
        <v>COMMENT ON COLUMN milscm_2023_010.azn_202310_delivery_kanja_backborn_sum.c11 IS 'SGLT-2阻害薬（フォシーガ以外）フラグ';</v>
      </c>
    </row>
    <row r="41" spans="1:52">
      <c r="L41" s="25"/>
      <c r="M41" s="25"/>
      <c r="N41" s="97" t="s">
        <v>142</v>
      </c>
      <c r="O41" s="97"/>
      <c r="P41" s="97"/>
      <c r="Q41" s="97"/>
      <c r="R41" s="97"/>
      <c r="S41" s="97"/>
      <c r="T41" s="97"/>
      <c r="V41" s="25"/>
      <c r="W41" s="25"/>
      <c r="X41" s="25"/>
      <c r="Y41" s="25"/>
      <c r="Z41" s="25"/>
      <c r="AJ41" s="97" t="s">
        <v>142</v>
      </c>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V55" s="25"/>
      <c r="AW55" s="25"/>
      <c r="AX55" s="25"/>
      <c r="AY55" s="25"/>
      <c r="AZ55" s="25"/>
    </row>
    <row r="56" spans="12:52">
      <c r="M56" s="25"/>
    </row>
    <row r="57" spans="12:52">
      <c r="M57" s="25"/>
    </row>
    <row r="58" spans="12:52">
      <c r="M58" s="25"/>
    </row>
    <row r="59" spans="12:52">
      <c r="M59" s="25"/>
    </row>
    <row r="60" spans="12:52">
      <c r="M60" s="25"/>
    </row>
    <row r="61" spans="12:52">
      <c r="M6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61</v>
      </c>
      <c r="E4" s="248"/>
      <c r="F4" s="248"/>
      <c r="G4" s="248"/>
      <c r="H4" s="248"/>
      <c r="I4" s="248"/>
      <c r="J4" s="249"/>
    </row>
    <row r="5" spans="1:45">
      <c r="B5" s="261" t="s">
        <v>3704</v>
      </c>
      <c r="C5" s="262"/>
      <c r="D5" s="271" t="str">
        <f>VLOOKUP(D7,エンティティ一覧!A1:'エンティティ一覧'!AM10203,7,FALSE)</f>
        <v>delivery</v>
      </c>
      <c r="E5" s="272"/>
      <c r="F5" s="272"/>
      <c r="G5" s="272"/>
      <c r="H5" s="272"/>
      <c r="I5" s="272"/>
      <c r="J5" s="273"/>
    </row>
    <row r="6" spans="1:45">
      <c r="B6" s="261" t="s">
        <v>3705</v>
      </c>
      <c r="C6" s="262"/>
      <c r="D6" s="271" t="str">
        <f>VLOOKUP(D7,エンティティ一覧!A1:'エンティティ一覧'!AM10203,15,FALSE)</f>
        <v>ENT_61_03</v>
      </c>
      <c r="E6" s="272"/>
      <c r="F6" s="272"/>
      <c r="G6" s="272"/>
      <c r="H6" s="272"/>
      <c r="I6" s="272"/>
      <c r="J6" s="273"/>
    </row>
    <row r="7" spans="1:45">
      <c r="B7" s="261" t="s">
        <v>115</v>
      </c>
      <c r="C7" s="262"/>
      <c r="D7" s="263" t="s">
        <v>4411</v>
      </c>
      <c r="E7" s="264"/>
      <c r="F7" s="264"/>
      <c r="G7" s="264"/>
      <c r="H7" s="264"/>
      <c r="I7" s="264"/>
      <c r="J7" s="265"/>
    </row>
    <row r="8" spans="1:45">
      <c r="B8" s="261" t="s">
        <v>116</v>
      </c>
      <c r="C8" s="262"/>
      <c r="D8" s="263" t="str">
        <f>エンティティ一覧!AE2&amp;"_"&amp;D5&amp;"_k_days"</f>
        <v>azn_202310_delivery_k_days</v>
      </c>
      <c r="E8" s="264"/>
      <c r="F8" s="264"/>
      <c r="G8" s="264"/>
      <c r="H8" s="264"/>
      <c r="I8" s="264"/>
      <c r="J8" s="265"/>
    </row>
    <row r="9" spans="1:45" ht="19.5" customHeight="1" thickBot="1">
      <c r="B9" s="266" t="s">
        <v>117</v>
      </c>
      <c r="C9" s="267"/>
      <c r="D9" s="268" t="s">
        <v>4498</v>
      </c>
      <c r="E9" s="269"/>
      <c r="F9" s="269"/>
      <c r="G9" s="269"/>
      <c r="H9" s="269"/>
      <c r="I9" s="269"/>
      <c r="J9" s="270"/>
    </row>
    <row r="10" spans="1:45">
      <c r="B10" s="19"/>
      <c r="C10" s="19"/>
      <c r="D10" s="5"/>
      <c r="E10" s="5"/>
      <c r="F10" s="5"/>
      <c r="G10" s="5"/>
      <c r="H10" s="5"/>
      <c r="I10" s="5"/>
      <c r="J10" s="18"/>
      <c r="N10" s="97" t="str">
        <f>"--DROP TABLE  "&amp;エンティティ一覧!$O$2&amp;"."&amp;D$8&amp;";"</f>
        <v>--DROP TABLE  milscm_2023_010.azn_202310_delivery_k_days;</v>
      </c>
      <c r="O10" s="97"/>
      <c r="P10" s="97"/>
      <c r="Q10" s="97"/>
      <c r="R10" s="97"/>
      <c r="S10" s="97"/>
      <c r="T10" s="97"/>
      <c r="AJ10" s="97" t="str">
        <f>"ALTER TABLE ONLY "&amp;エンティティ一覧!$O$2&amp;"."&amp;D$8</f>
        <v>ALTER TABLE ONLY milscm_2023_010.azn_202310_delivery_k_days</v>
      </c>
      <c r="AS10" s="97" t="str">
        <f>"ALTER TABLE "&amp;エンティティ一覧!$O$2&amp;"."&amp;D$8&amp;" OWNER TO pgmisgrp1;"</f>
        <v>ALTER TABLE milscm_2023_010.azn_202310_delivery_k_days OWNER TO pgmisgrp1;</v>
      </c>
    </row>
    <row r="11" spans="1:45" ht="19.5" thickBot="1">
      <c r="B11" s="20" t="s">
        <v>118</v>
      </c>
      <c r="C11" s="19"/>
      <c r="D11" s="5"/>
      <c r="E11" s="5"/>
      <c r="F11" s="5"/>
      <c r="G11" s="5"/>
      <c r="H11" s="5"/>
      <c r="I11" s="5"/>
      <c r="J11" s="18"/>
      <c r="N11" s="97" t="str">
        <f>"CREATE TABLE  "&amp;エンティティ一覧!$O$2&amp;"."&amp;D$8</f>
        <v>CREATE TABLE  milscm_2023_010.azn_202310_delivery_k_days</v>
      </c>
      <c r="O11" s="97"/>
      <c r="P11" s="97"/>
      <c r="Q11" s="97"/>
      <c r="R11" s="97"/>
      <c r="S11" s="97"/>
      <c r="T11" s="97"/>
      <c r="AJ11" s="97" t="str">
        <f>"ADD CONSTRAINT "&amp;D$8&amp;"_pkey PRIMARY KEY"</f>
        <v>ADD CONSTRAINT azn_202310_delivery_k_days_pkey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milscm_2023_010.azn_202310_delivery_k_days IS 'デリバリ_カリウム平均推移_日別';</v>
      </c>
    </row>
    <row r="13" spans="1:45" s="25" customFormat="1">
      <c r="A13" s="4"/>
      <c r="B13" s="21">
        <f>ROW()-12</f>
        <v>1</v>
      </c>
      <c r="C13" s="6" t="s">
        <v>4417</v>
      </c>
      <c r="D13" s="6" t="s">
        <v>4413</v>
      </c>
      <c r="E13" s="8" t="s">
        <v>127</v>
      </c>
      <c r="F13" s="8" t="s">
        <v>1735</v>
      </c>
      <c r="G13" s="7" t="str">
        <f>IF(F13="フラグ","boolean",IF(F13="文字列","text",IF(F13="整数","integer",IF(F13="実数","numeric",""))))</f>
        <v>text</v>
      </c>
      <c r="H13" s="9"/>
      <c r="I13" s="10" t="s">
        <v>127</v>
      </c>
      <c r="J13" s="11" t="s">
        <v>4422</v>
      </c>
      <c r="M13" s="4"/>
      <c r="N13" s="97"/>
      <c r="O13" s="97"/>
      <c r="P13" s="97" t="str">
        <f>IF(B13&lt;&gt;1,","&amp;D13,D13)</f>
        <v>cate_egfr_summary</v>
      </c>
      <c r="Q13" s="97" t="str">
        <f t="shared" ref="Q13:Q17" si="0">UPPER(G13)</f>
        <v>TEXT</v>
      </c>
      <c r="R13" s="97" t="str">
        <f t="shared" ref="R13:R17" si="1">IF(H13&lt;&gt;"","default "&amp;IF(G13="text","'"&amp;H13&amp;"'",H13),"")</f>
        <v/>
      </c>
      <c r="S13" s="97" t="str">
        <f>IF(I13="○","NOT NULL","")</f>
        <v>NOT NULL</v>
      </c>
      <c r="T13" s="97" t="str">
        <f>"-- "&amp;C13</f>
        <v>-- eGFRサマリ</v>
      </c>
      <c r="U13" s="4"/>
      <c r="AA13" s="4"/>
      <c r="AB13" s="4"/>
      <c r="AC13" s="4"/>
      <c r="AD13" s="4"/>
      <c r="AE13" s="4"/>
      <c r="AF13" s="4"/>
      <c r="AG13" s="4"/>
      <c r="AH13" s="4"/>
      <c r="AI13" s="4"/>
      <c r="AJ13" s="97" t="str">
        <f>IF(E13="○",IF(COUNTA(E$13:E13)=1,"",",")&amp;D13,"")</f>
        <v>cate_egfr_summary</v>
      </c>
      <c r="AK13" s="4"/>
      <c r="AL13" s="4"/>
      <c r="AM13" s="4"/>
      <c r="AN13" s="4"/>
      <c r="AO13" s="4"/>
      <c r="AP13" s="4"/>
      <c r="AQ13" s="4"/>
      <c r="AR13" s="4"/>
      <c r="AS13" s="97" t="str">
        <f>"COMMENT ON COLUMN "&amp;エンティティ一覧!$O$2&amp;"."&amp;D$8&amp;"."&amp;D13&amp;" IS '"&amp;C13&amp;"';"</f>
        <v>COMMENT ON COLUMN milscm_2023_010.azn_202310_delivery_k_days.cate_egfr_summary IS 'eGFRサマリ';</v>
      </c>
    </row>
    <row r="14" spans="1:45" s="25" customFormat="1">
      <c r="A14" s="4"/>
      <c r="B14" s="21">
        <f t="shared" ref="B14:B17" si="2">ROW()-12</f>
        <v>2</v>
      </c>
      <c r="C14" s="6" t="s">
        <v>4418</v>
      </c>
      <c r="D14" s="6" t="s">
        <v>4245</v>
      </c>
      <c r="E14" s="8" t="s">
        <v>127</v>
      </c>
      <c r="F14" s="8" t="s">
        <v>1845</v>
      </c>
      <c r="G14" s="7" t="str">
        <f t="shared" ref="G14:G17" si="3">IF(F14="フラグ","boolean",IF(F14="文字列","text",IF(F14="整数","integer",IF(F14="実数","numeric",""))))</f>
        <v>integer</v>
      </c>
      <c r="H14" s="26"/>
      <c r="I14" s="10" t="s">
        <v>127</v>
      </c>
      <c r="J14" s="11"/>
      <c r="M14" s="4"/>
      <c r="N14" s="97"/>
      <c r="O14" s="97"/>
      <c r="P14" s="97" t="str">
        <f t="shared" ref="P14:P17" si="4">IF(B14&lt;&gt;1,","&amp;D14,D14)</f>
        <v>,days</v>
      </c>
      <c r="Q14" s="97" t="str">
        <f t="shared" si="0"/>
        <v>INTEGER</v>
      </c>
      <c r="R14" s="97" t="str">
        <f t="shared" si="1"/>
        <v/>
      </c>
      <c r="S14" s="97" t="str">
        <f t="shared" ref="S14:S17" si="5">IF(I14="○","NOT NULL","")</f>
        <v>NOT NULL</v>
      </c>
      <c r="T14" s="97" t="str">
        <f t="shared" ref="T14:T17" si="6">"-- "&amp;C14</f>
        <v>-- 経過日</v>
      </c>
      <c r="U14" s="4"/>
      <c r="AA14" s="4"/>
      <c r="AB14" s="4"/>
      <c r="AC14" s="4"/>
      <c r="AD14" s="4"/>
      <c r="AE14" s="4"/>
      <c r="AF14" s="4"/>
      <c r="AG14" s="4"/>
      <c r="AH14" s="4"/>
      <c r="AI14" s="4"/>
      <c r="AJ14" s="97" t="str">
        <f>IF(E14="○",IF(COUNTA(E$13:E14)=1,"",",")&amp;D14,"")</f>
        <v>,days</v>
      </c>
      <c r="AK14" s="4"/>
      <c r="AL14" s="4"/>
      <c r="AM14" s="4"/>
      <c r="AN14" s="4"/>
      <c r="AO14" s="4"/>
      <c r="AP14" s="4"/>
      <c r="AQ14" s="4"/>
      <c r="AR14" s="4"/>
      <c r="AS14" s="97" t="str">
        <f>"COMMENT ON COLUMN "&amp;エンティティ一覧!$O$2&amp;"."&amp;D$8&amp;"."&amp;D14&amp;" IS '"&amp;C14&amp;"';"</f>
        <v>COMMENT ON COLUMN milscm_2023_010.azn_202310_delivery_k_days.days IS '経過日';</v>
      </c>
    </row>
    <row r="15" spans="1:45" s="25" customFormat="1">
      <c r="A15" s="4"/>
      <c r="B15" s="21">
        <f t="shared" si="2"/>
        <v>3</v>
      </c>
      <c r="C15" s="13" t="s">
        <v>4419</v>
      </c>
      <c r="D15" s="13" t="s">
        <v>4414</v>
      </c>
      <c r="E15" s="7"/>
      <c r="F15" s="8" t="s">
        <v>1742</v>
      </c>
      <c r="G15" s="7" t="str">
        <f t="shared" si="3"/>
        <v>numeric</v>
      </c>
      <c r="H15" s="26"/>
      <c r="I15" s="10" t="s">
        <v>127</v>
      </c>
      <c r="J15" s="11"/>
      <c r="M15" s="4"/>
      <c r="N15" s="97"/>
      <c r="O15" s="97"/>
      <c r="P15" s="97" t="str">
        <f t="shared" si="4"/>
        <v>,avg_value</v>
      </c>
      <c r="Q15" s="97" t="str">
        <f t="shared" si="0"/>
        <v>NUMERIC</v>
      </c>
      <c r="R15" s="97" t="str">
        <f t="shared" si="1"/>
        <v/>
      </c>
      <c r="S15" s="97" t="str">
        <f t="shared" si="5"/>
        <v>NOT NULL</v>
      </c>
      <c r="T15" s="97" t="str">
        <f t="shared" si="6"/>
        <v>-- 平均値</v>
      </c>
      <c r="U15" s="4"/>
      <c r="AA15" s="4"/>
      <c r="AB15" s="4"/>
      <c r="AC15" s="4"/>
      <c r="AD15" s="4"/>
      <c r="AE15" s="4"/>
      <c r="AF15" s="4"/>
      <c r="AG15" s="4"/>
      <c r="AH15" s="4"/>
      <c r="AI15" s="4"/>
      <c r="AJ15" s="97" t="str">
        <f>IF(E15="○",IF(COUNTA(E$13:E15)=1,"",",")&amp;D15,"")</f>
        <v/>
      </c>
      <c r="AK15" s="4"/>
      <c r="AL15" s="4"/>
      <c r="AM15" s="4"/>
      <c r="AN15" s="4"/>
      <c r="AO15" s="4"/>
      <c r="AP15" s="4"/>
      <c r="AQ15" s="4"/>
      <c r="AR15" s="4"/>
      <c r="AS15" s="97" t="str">
        <f>"COMMENT ON COLUMN "&amp;エンティティ一覧!$O$2&amp;"."&amp;D$8&amp;"."&amp;D15&amp;" IS '"&amp;C15&amp;"';"</f>
        <v>COMMENT ON COLUMN milscm_2023_010.azn_202310_delivery_k_days.avg_value IS '平均値';</v>
      </c>
    </row>
    <row r="16" spans="1:45" s="25" customFormat="1">
      <c r="A16" s="4"/>
      <c r="B16" s="21">
        <f t="shared" si="2"/>
        <v>4</v>
      </c>
      <c r="C16" s="13" t="s">
        <v>4420</v>
      </c>
      <c r="D16" s="13" t="s">
        <v>4415</v>
      </c>
      <c r="E16" s="7"/>
      <c r="F16" s="8" t="s">
        <v>1742</v>
      </c>
      <c r="G16" s="7" t="str">
        <f t="shared" si="3"/>
        <v>numeric</v>
      </c>
      <c r="H16" s="26"/>
      <c r="I16" s="10" t="s">
        <v>127</v>
      </c>
      <c r="J16" s="11"/>
      <c r="M16" s="4"/>
      <c r="N16" s="97"/>
      <c r="O16" s="97"/>
      <c r="P16" s="97" t="str">
        <f t="shared" si="4"/>
        <v>,std_value</v>
      </c>
      <c r="Q16" s="97" t="str">
        <f t="shared" si="0"/>
        <v>NUMERIC</v>
      </c>
      <c r="R16" s="97" t="str">
        <f t="shared" si="1"/>
        <v/>
      </c>
      <c r="S16" s="97" t="str">
        <f t="shared" si="5"/>
        <v>NOT NULL</v>
      </c>
      <c r="T16" s="97" t="str">
        <f t="shared" si="6"/>
        <v>-- 標準偏差値</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"&amp;エンティティ一覧!$O$2&amp;"."&amp;D$8&amp;"."&amp;D16&amp;" IS '"&amp;C16&amp;"';"</f>
        <v>COMMENT ON COLUMN milscm_2023_010.azn_202310_delivery_k_days.std_value IS '標準偏差値';</v>
      </c>
    </row>
    <row r="17" spans="1:52" s="25" customFormat="1" ht="19.5" thickBot="1">
      <c r="A17" s="4"/>
      <c r="B17" s="69">
        <f t="shared" si="2"/>
        <v>5</v>
      </c>
      <c r="C17" s="121" t="s">
        <v>4421</v>
      </c>
      <c r="D17" s="121" t="s">
        <v>4416</v>
      </c>
      <c r="E17" s="71"/>
      <c r="F17" s="71" t="s">
        <v>1845</v>
      </c>
      <c r="G17" s="71" t="str">
        <f t="shared" si="3"/>
        <v>integer</v>
      </c>
      <c r="H17" s="72"/>
      <c r="I17" s="73" t="s">
        <v>127</v>
      </c>
      <c r="J17" s="74"/>
      <c r="M17" s="4"/>
      <c r="N17" s="97"/>
      <c r="O17" s="97"/>
      <c r="P17" s="97" t="str">
        <f t="shared" si="4"/>
        <v>,patient_count</v>
      </c>
      <c r="Q17" s="97" t="str">
        <f t="shared" si="0"/>
        <v>INTEGER</v>
      </c>
      <c r="R17" s="97" t="str">
        <f t="shared" si="1"/>
        <v/>
      </c>
      <c r="S17" s="97" t="str">
        <f t="shared" si="5"/>
        <v>NOT NULL</v>
      </c>
      <c r="T17" s="97" t="str">
        <f t="shared" si="6"/>
        <v>-- 患者数カウント</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milscm_2023_010.azn_202310_delivery_k_days.patient_count IS '患者数カウント';</v>
      </c>
    </row>
    <row r="18" spans="1:52">
      <c r="L18" s="25"/>
      <c r="M18" s="25"/>
      <c r="N18" s="97" t="s">
        <v>142</v>
      </c>
      <c r="O18" s="97"/>
      <c r="P18" s="97"/>
      <c r="Q18" s="97"/>
      <c r="R18" s="97"/>
      <c r="S18" s="97"/>
      <c r="T18" s="97"/>
      <c r="V18" s="25"/>
      <c r="W18" s="25"/>
      <c r="X18" s="25"/>
      <c r="Y18" s="25"/>
      <c r="Z18" s="25"/>
      <c r="AJ18" s="97"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61</v>
      </c>
      <c r="E4" s="248"/>
      <c r="F4" s="248"/>
      <c r="G4" s="248"/>
      <c r="H4" s="248"/>
      <c r="I4" s="248"/>
      <c r="J4" s="249"/>
    </row>
    <row r="5" spans="1:45">
      <c r="B5" s="261" t="s">
        <v>3704</v>
      </c>
      <c r="C5" s="262"/>
      <c r="D5" s="271" t="str">
        <f>VLOOKUP(D7,エンティティ一覧!A1:'エンティティ一覧'!AM10203,7,FALSE)</f>
        <v>delivery</v>
      </c>
      <c r="E5" s="272"/>
      <c r="F5" s="272"/>
      <c r="G5" s="272"/>
      <c r="H5" s="272"/>
      <c r="I5" s="272"/>
      <c r="J5" s="273"/>
    </row>
    <row r="6" spans="1:45">
      <c r="B6" s="261" t="s">
        <v>3705</v>
      </c>
      <c r="C6" s="262"/>
      <c r="D6" s="271" t="str">
        <f>VLOOKUP(D7,エンティティ一覧!A1:'エンティティ一覧'!AM10203,15,FALSE)</f>
        <v>ENT_61_04</v>
      </c>
      <c r="E6" s="272"/>
      <c r="F6" s="272"/>
      <c r="G6" s="272"/>
      <c r="H6" s="272"/>
      <c r="I6" s="272"/>
      <c r="J6" s="273"/>
    </row>
    <row r="7" spans="1:45">
      <c r="B7" s="261" t="s">
        <v>115</v>
      </c>
      <c r="C7" s="262"/>
      <c r="D7" s="263" t="s">
        <v>4500</v>
      </c>
      <c r="E7" s="264"/>
      <c r="F7" s="264"/>
      <c r="G7" s="264"/>
      <c r="H7" s="264"/>
      <c r="I7" s="264"/>
      <c r="J7" s="265"/>
    </row>
    <row r="8" spans="1:45">
      <c r="B8" s="261" t="s">
        <v>116</v>
      </c>
      <c r="C8" s="262"/>
      <c r="D8" s="263" t="str">
        <f>エンティティ一覧!AE2&amp;"_"&amp;D5&amp;"_k_days_look30"</f>
        <v>azn_202310_delivery_k_days_look30</v>
      </c>
      <c r="E8" s="264"/>
      <c r="F8" s="264"/>
      <c r="G8" s="264"/>
      <c r="H8" s="264"/>
      <c r="I8" s="264"/>
      <c r="J8" s="265"/>
    </row>
    <row r="9" spans="1:45" ht="19.5" customHeight="1" thickBot="1">
      <c r="B9" s="266" t="s">
        <v>117</v>
      </c>
      <c r="C9" s="267"/>
      <c r="D9" s="268" t="s">
        <v>4499</v>
      </c>
      <c r="E9" s="269"/>
      <c r="F9" s="269"/>
      <c r="G9" s="269"/>
      <c r="H9" s="269"/>
      <c r="I9" s="269"/>
      <c r="J9" s="270"/>
    </row>
    <row r="10" spans="1:45">
      <c r="B10" s="19"/>
      <c r="C10" s="19"/>
      <c r="D10" s="5"/>
      <c r="E10" s="5"/>
      <c r="F10" s="5"/>
      <c r="G10" s="5"/>
      <c r="H10" s="5"/>
      <c r="I10" s="5"/>
      <c r="J10" s="18"/>
      <c r="N10" s="97" t="str">
        <f>"--DROP TABLE  "&amp;エンティティ一覧!$O$2&amp;"."&amp;D$8&amp;";"</f>
        <v>--DROP TABLE  milscm_2023_010.azn_202310_delivery_k_days_look30;</v>
      </c>
      <c r="O10" s="97"/>
      <c r="P10" s="97"/>
      <c r="Q10" s="97"/>
      <c r="R10" s="97"/>
      <c r="S10" s="97"/>
      <c r="T10" s="97"/>
      <c r="AJ10" s="97" t="str">
        <f>"ALTER TABLE ONLY "&amp;エンティティ一覧!$O$2&amp;"."&amp;D$8</f>
        <v>ALTER TABLE ONLY milscm_2023_010.azn_202310_delivery_k_days_look30</v>
      </c>
      <c r="AS10" s="97" t="str">
        <f>"ALTER TABLE "&amp;エンティティ一覧!$O$2&amp;"."&amp;D$8&amp;" OWNER TO pgmisgrp1;"</f>
        <v>ALTER TABLE milscm_2023_010.azn_202310_delivery_k_days_look30 OWNER TO pgmisgrp1;</v>
      </c>
    </row>
    <row r="11" spans="1:45" ht="19.5" thickBot="1">
      <c r="B11" s="20" t="s">
        <v>118</v>
      </c>
      <c r="C11" s="19"/>
      <c r="D11" s="5"/>
      <c r="E11" s="5"/>
      <c r="F11" s="5"/>
      <c r="G11" s="5"/>
      <c r="H11" s="5"/>
      <c r="I11" s="5"/>
      <c r="J11" s="18"/>
      <c r="N11" s="97" t="str">
        <f>"CREATE TABLE  "&amp;エンティティ一覧!$O$2&amp;"."&amp;D$8</f>
        <v>CREATE TABLE  milscm_2023_010.azn_202310_delivery_k_days_look30</v>
      </c>
      <c r="O11" s="97"/>
      <c r="P11" s="97"/>
      <c r="Q11" s="97"/>
      <c r="R11" s="97"/>
      <c r="S11" s="97"/>
      <c r="T11" s="97"/>
      <c r="AJ11" s="97" t="str">
        <f>"ADD CONSTRAINT "&amp;D$8&amp;"_pkey PRIMARY KEY"</f>
        <v>ADD CONSTRAINT azn_202310_delivery_k_days_look30_pkey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milscm_2023_010.azn_202310_delivery_k_days_look30 IS 'デリバリ_カリウム平均推移_日別_look back期間30日以上';</v>
      </c>
    </row>
    <row r="13" spans="1:45" s="25" customFormat="1">
      <c r="A13" s="4"/>
      <c r="B13" s="21">
        <f>ROW()-12</f>
        <v>1</v>
      </c>
      <c r="C13" s="6" t="s">
        <v>4417</v>
      </c>
      <c r="D13" s="6" t="s">
        <v>4413</v>
      </c>
      <c r="E13" s="8" t="s">
        <v>127</v>
      </c>
      <c r="F13" s="8" t="s">
        <v>1735</v>
      </c>
      <c r="G13" s="7" t="str">
        <f>IF(F13="フラグ","boolean",IF(F13="文字列","text",IF(F13="整数","integer",IF(F13="実数","numeric",""))))</f>
        <v>text</v>
      </c>
      <c r="H13" s="9"/>
      <c r="I13" s="10" t="s">
        <v>127</v>
      </c>
      <c r="J13" s="11" t="s">
        <v>4422</v>
      </c>
      <c r="M13" s="4"/>
      <c r="N13" s="97"/>
      <c r="O13" s="97"/>
      <c r="P13" s="97" t="str">
        <f>IF(B13&lt;&gt;1,","&amp;D13,D13)</f>
        <v>cate_egfr_summary</v>
      </c>
      <c r="Q13" s="97" t="str">
        <f t="shared" ref="Q13:Q17" si="0">UPPER(G13)</f>
        <v>TEXT</v>
      </c>
      <c r="R13" s="97" t="str">
        <f t="shared" ref="R13:R17" si="1">IF(H13&lt;&gt;"","default "&amp;IF(G13="text","'"&amp;H13&amp;"'",H13),"")</f>
        <v/>
      </c>
      <c r="S13" s="97" t="str">
        <f>IF(I13="○","NOT NULL","")</f>
        <v>NOT NULL</v>
      </c>
      <c r="T13" s="97" t="str">
        <f>"-- "&amp;C13</f>
        <v>-- eGFRサマリ</v>
      </c>
      <c r="U13" s="4"/>
      <c r="AA13" s="4"/>
      <c r="AB13" s="4"/>
      <c r="AC13" s="4"/>
      <c r="AD13" s="4"/>
      <c r="AE13" s="4"/>
      <c r="AF13" s="4"/>
      <c r="AG13" s="4"/>
      <c r="AH13" s="4"/>
      <c r="AI13" s="4"/>
      <c r="AJ13" s="97" t="str">
        <f>IF(E13="○",IF(COUNTA(E$13:E13)=1,"",",")&amp;D13,"")</f>
        <v>cate_egfr_summary</v>
      </c>
      <c r="AK13" s="4"/>
      <c r="AL13" s="4"/>
      <c r="AM13" s="4"/>
      <c r="AN13" s="4"/>
      <c r="AO13" s="4"/>
      <c r="AP13" s="4"/>
      <c r="AQ13" s="4"/>
      <c r="AR13" s="4"/>
      <c r="AS13" s="97" t="str">
        <f>"COMMENT ON COLUMN "&amp;エンティティ一覧!$O$2&amp;"."&amp;D$8&amp;"."&amp;D13&amp;" IS '"&amp;C13&amp;"';"</f>
        <v>COMMENT ON COLUMN milscm_2023_010.azn_202310_delivery_k_days_look30.cate_egfr_summary IS 'eGFRサマリ';</v>
      </c>
    </row>
    <row r="14" spans="1:45" s="25" customFormat="1">
      <c r="A14" s="4"/>
      <c r="B14" s="21">
        <f t="shared" ref="B14:B17" si="2">ROW()-12</f>
        <v>2</v>
      </c>
      <c r="C14" s="6" t="s">
        <v>4418</v>
      </c>
      <c r="D14" s="6" t="s">
        <v>4245</v>
      </c>
      <c r="E14" s="8" t="s">
        <v>127</v>
      </c>
      <c r="F14" s="8" t="s">
        <v>1845</v>
      </c>
      <c r="G14" s="7" t="str">
        <f t="shared" ref="G14:G17" si="3">IF(F14="フラグ","boolean",IF(F14="文字列","text",IF(F14="整数","integer",IF(F14="実数","numeric",""))))</f>
        <v>integer</v>
      </c>
      <c r="H14" s="26"/>
      <c r="I14" s="10" t="s">
        <v>127</v>
      </c>
      <c r="J14" s="11"/>
      <c r="M14" s="4"/>
      <c r="N14" s="97"/>
      <c r="O14" s="97"/>
      <c r="P14" s="97" t="str">
        <f t="shared" ref="P14:P17" si="4">IF(B14&lt;&gt;1,","&amp;D14,D14)</f>
        <v>,days</v>
      </c>
      <c r="Q14" s="97" t="str">
        <f t="shared" si="0"/>
        <v>INTEGER</v>
      </c>
      <c r="R14" s="97" t="str">
        <f t="shared" si="1"/>
        <v/>
      </c>
      <c r="S14" s="97" t="str">
        <f t="shared" ref="S14:S17" si="5">IF(I14="○","NOT NULL","")</f>
        <v>NOT NULL</v>
      </c>
      <c r="T14" s="97" t="str">
        <f t="shared" ref="T14:T17" si="6">"-- "&amp;C14</f>
        <v>-- 経過日</v>
      </c>
      <c r="U14" s="4"/>
      <c r="AA14" s="4"/>
      <c r="AB14" s="4"/>
      <c r="AC14" s="4"/>
      <c r="AD14" s="4"/>
      <c r="AE14" s="4"/>
      <c r="AF14" s="4"/>
      <c r="AG14" s="4"/>
      <c r="AH14" s="4"/>
      <c r="AI14" s="4"/>
      <c r="AJ14" s="97" t="str">
        <f>IF(E14="○",IF(COUNTA(E$13:E14)=1,"",",")&amp;D14,"")</f>
        <v>,days</v>
      </c>
      <c r="AK14" s="4"/>
      <c r="AL14" s="4"/>
      <c r="AM14" s="4"/>
      <c r="AN14" s="4"/>
      <c r="AO14" s="4"/>
      <c r="AP14" s="4"/>
      <c r="AQ14" s="4"/>
      <c r="AR14" s="4"/>
      <c r="AS14" s="97" t="str">
        <f>"COMMENT ON COLUMN "&amp;エンティティ一覧!$O$2&amp;"."&amp;D$8&amp;"."&amp;D14&amp;" IS '"&amp;C14&amp;"';"</f>
        <v>COMMENT ON COLUMN milscm_2023_010.azn_202310_delivery_k_days_look30.days IS '経過日';</v>
      </c>
    </row>
    <row r="15" spans="1:45" s="25" customFormat="1">
      <c r="A15" s="4"/>
      <c r="B15" s="21">
        <f t="shared" si="2"/>
        <v>3</v>
      </c>
      <c r="C15" s="13" t="s">
        <v>4419</v>
      </c>
      <c r="D15" s="13" t="s">
        <v>4414</v>
      </c>
      <c r="E15" s="7"/>
      <c r="F15" s="8" t="s">
        <v>1742</v>
      </c>
      <c r="G15" s="7" t="str">
        <f t="shared" si="3"/>
        <v>numeric</v>
      </c>
      <c r="H15" s="26"/>
      <c r="I15" s="10" t="s">
        <v>127</v>
      </c>
      <c r="J15" s="11"/>
      <c r="M15" s="4"/>
      <c r="N15" s="97"/>
      <c r="O15" s="97"/>
      <c r="P15" s="97" t="str">
        <f t="shared" si="4"/>
        <v>,avg_value</v>
      </c>
      <c r="Q15" s="97" t="str">
        <f t="shared" si="0"/>
        <v>NUMERIC</v>
      </c>
      <c r="R15" s="97" t="str">
        <f t="shared" si="1"/>
        <v/>
      </c>
      <c r="S15" s="97" t="str">
        <f t="shared" si="5"/>
        <v>NOT NULL</v>
      </c>
      <c r="T15" s="97" t="str">
        <f t="shared" si="6"/>
        <v>-- 平均値</v>
      </c>
      <c r="U15" s="4"/>
      <c r="AA15" s="4"/>
      <c r="AB15" s="4"/>
      <c r="AC15" s="4"/>
      <c r="AD15" s="4"/>
      <c r="AE15" s="4"/>
      <c r="AF15" s="4"/>
      <c r="AG15" s="4"/>
      <c r="AH15" s="4"/>
      <c r="AI15" s="4"/>
      <c r="AJ15" s="97" t="str">
        <f>IF(E15="○",IF(COUNTA(E$13:E15)=1,"",",")&amp;D15,"")</f>
        <v/>
      </c>
      <c r="AK15" s="4"/>
      <c r="AL15" s="4"/>
      <c r="AM15" s="4"/>
      <c r="AN15" s="4"/>
      <c r="AO15" s="4"/>
      <c r="AP15" s="4"/>
      <c r="AQ15" s="4"/>
      <c r="AR15" s="4"/>
      <c r="AS15" s="97" t="str">
        <f>"COMMENT ON COLUMN "&amp;エンティティ一覧!$O$2&amp;"."&amp;D$8&amp;"."&amp;D15&amp;" IS '"&amp;C15&amp;"';"</f>
        <v>COMMENT ON COLUMN milscm_2023_010.azn_202310_delivery_k_days_look30.avg_value IS '平均値';</v>
      </c>
    </row>
    <row r="16" spans="1:45" s="25" customFormat="1">
      <c r="A16" s="4"/>
      <c r="B16" s="21">
        <f t="shared" si="2"/>
        <v>4</v>
      </c>
      <c r="C16" s="13" t="s">
        <v>4420</v>
      </c>
      <c r="D16" s="13" t="s">
        <v>4415</v>
      </c>
      <c r="E16" s="7"/>
      <c r="F16" s="8" t="s">
        <v>1742</v>
      </c>
      <c r="G16" s="7" t="str">
        <f t="shared" si="3"/>
        <v>numeric</v>
      </c>
      <c r="H16" s="26"/>
      <c r="I16" s="10" t="s">
        <v>127</v>
      </c>
      <c r="J16" s="11"/>
      <c r="M16" s="4"/>
      <c r="N16" s="97"/>
      <c r="O16" s="97"/>
      <c r="P16" s="97" t="str">
        <f t="shared" si="4"/>
        <v>,std_value</v>
      </c>
      <c r="Q16" s="97" t="str">
        <f t="shared" si="0"/>
        <v>NUMERIC</v>
      </c>
      <c r="R16" s="97" t="str">
        <f t="shared" si="1"/>
        <v/>
      </c>
      <c r="S16" s="97" t="str">
        <f t="shared" si="5"/>
        <v>NOT NULL</v>
      </c>
      <c r="T16" s="97" t="str">
        <f t="shared" si="6"/>
        <v>-- 標準偏差値</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"&amp;エンティティ一覧!$O$2&amp;"."&amp;D$8&amp;"."&amp;D16&amp;" IS '"&amp;C16&amp;"';"</f>
        <v>COMMENT ON COLUMN milscm_2023_010.azn_202310_delivery_k_days_look30.std_value IS '標準偏差値';</v>
      </c>
    </row>
    <row r="17" spans="1:52" s="25" customFormat="1" ht="19.5" thickBot="1">
      <c r="A17" s="4"/>
      <c r="B17" s="69">
        <f t="shared" si="2"/>
        <v>5</v>
      </c>
      <c r="C17" s="121" t="s">
        <v>4421</v>
      </c>
      <c r="D17" s="121" t="s">
        <v>4416</v>
      </c>
      <c r="E17" s="71"/>
      <c r="F17" s="71" t="s">
        <v>1845</v>
      </c>
      <c r="G17" s="71" t="str">
        <f t="shared" si="3"/>
        <v>integer</v>
      </c>
      <c r="H17" s="72"/>
      <c r="I17" s="73" t="s">
        <v>127</v>
      </c>
      <c r="J17" s="74"/>
      <c r="M17" s="4"/>
      <c r="N17" s="97"/>
      <c r="O17" s="97"/>
      <c r="P17" s="97" t="str">
        <f t="shared" si="4"/>
        <v>,patient_count</v>
      </c>
      <c r="Q17" s="97" t="str">
        <f t="shared" si="0"/>
        <v>INTEGER</v>
      </c>
      <c r="R17" s="97" t="str">
        <f t="shared" si="1"/>
        <v/>
      </c>
      <c r="S17" s="97" t="str">
        <f t="shared" si="5"/>
        <v>NOT NULL</v>
      </c>
      <c r="T17" s="97" t="str">
        <f t="shared" si="6"/>
        <v>-- 患者数カウント</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milscm_2023_010.azn_202310_delivery_k_days_look30.patient_count IS '患者数カウント';</v>
      </c>
    </row>
    <row r="18" spans="1:52">
      <c r="L18" s="25"/>
      <c r="M18" s="25"/>
      <c r="N18" s="97" t="s">
        <v>142</v>
      </c>
      <c r="O18" s="97"/>
      <c r="P18" s="97"/>
      <c r="Q18" s="97"/>
      <c r="R18" s="97"/>
      <c r="S18" s="97"/>
      <c r="T18" s="97"/>
      <c r="V18" s="25"/>
      <c r="W18" s="25"/>
      <c r="X18" s="25"/>
      <c r="Y18" s="25"/>
      <c r="Z18" s="25"/>
      <c r="AJ18" s="97"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61</v>
      </c>
      <c r="E4" s="248"/>
      <c r="F4" s="248"/>
      <c r="G4" s="248"/>
      <c r="H4" s="248"/>
      <c r="I4" s="248"/>
      <c r="J4" s="249"/>
    </row>
    <row r="5" spans="1:45">
      <c r="B5" s="261" t="s">
        <v>3704</v>
      </c>
      <c r="C5" s="262"/>
      <c r="D5" s="271" t="str">
        <f>VLOOKUP(D7,エンティティ一覧!A1:'エンティティ一覧'!AM10203,7,FALSE)</f>
        <v>delivery</v>
      </c>
      <c r="E5" s="272"/>
      <c r="F5" s="272"/>
      <c r="G5" s="272"/>
      <c r="H5" s="272"/>
      <c r="I5" s="272"/>
      <c r="J5" s="273"/>
    </row>
    <row r="6" spans="1:45">
      <c r="B6" s="261" t="s">
        <v>3705</v>
      </c>
      <c r="C6" s="262"/>
      <c r="D6" s="271" t="str">
        <f>VLOOKUP(D7,エンティティ一覧!A1:'エンティティ一覧'!AM10203,15,FALSE)</f>
        <v>ENT_61_05</v>
      </c>
      <c r="E6" s="272"/>
      <c r="F6" s="272"/>
      <c r="G6" s="272"/>
      <c r="H6" s="272"/>
      <c r="I6" s="272"/>
      <c r="J6" s="273"/>
    </row>
    <row r="7" spans="1:45">
      <c r="B7" s="261" t="s">
        <v>115</v>
      </c>
      <c r="C7" s="262"/>
      <c r="D7" s="263" t="s">
        <v>4429</v>
      </c>
      <c r="E7" s="264"/>
      <c r="F7" s="264"/>
      <c r="G7" s="264"/>
      <c r="H7" s="264"/>
      <c r="I7" s="264"/>
      <c r="J7" s="265"/>
    </row>
    <row r="8" spans="1:45">
      <c r="B8" s="261" t="s">
        <v>116</v>
      </c>
      <c r="C8" s="262"/>
      <c r="D8" s="263" t="str">
        <f>エンティティ一覧!AE2&amp;"_"&amp;D5&amp;"_k_weeks"</f>
        <v>azn_202310_delivery_k_weeks</v>
      </c>
      <c r="E8" s="264"/>
      <c r="F8" s="264"/>
      <c r="G8" s="264"/>
      <c r="H8" s="264"/>
      <c r="I8" s="264"/>
      <c r="J8" s="265"/>
    </row>
    <row r="9" spans="1:45" ht="19.5" customHeight="1" thickBot="1">
      <c r="B9" s="266" t="s">
        <v>117</v>
      </c>
      <c r="C9" s="267"/>
      <c r="D9" s="268" t="s">
        <v>4511</v>
      </c>
      <c r="E9" s="269"/>
      <c r="F9" s="269"/>
      <c r="G9" s="269"/>
      <c r="H9" s="269"/>
      <c r="I9" s="269"/>
      <c r="J9" s="270"/>
    </row>
    <row r="10" spans="1:45">
      <c r="B10" s="19"/>
      <c r="C10" s="19"/>
      <c r="D10" s="5"/>
      <c r="E10" s="5"/>
      <c r="F10" s="5"/>
      <c r="G10" s="5"/>
      <c r="H10" s="5"/>
      <c r="I10" s="5"/>
      <c r="J10" s="18"/>
      <c r="N10" s="97" t="str">
        <f>"--DROP TABLE  "&amp;エンティティ一覧!$O$2&amp;"."&amp;D$8&amp;";"</f>
        <v>--DROP TABLE  milscm_2023_010.azn_202310_delivery_k_weeks;</v>
      </c>
      <c r="O10" s="97"/>
      <c r="P10" s="97"/>
      <c r="Q10" s="97"/>
      <c r="R10" s="97"/>
      <c r="S10" s="97"/>
      <c r="T10" s="97"/>
      <c r="AJ10" s="97" t="str">
        <f>"ALTER TABLE ONLY "&amp;エンティティ一覧!$O$2&amp;"."&amp;D$8</f>
        <v>ALTER TABLE ONLY milscm_2023_010.azn_202310_delivery_k_weeks</v>
      </c>
      <c r="AS10" s="97" t="str">
        <f>"ALTER TABLE "&amp;エンティティ一覧!$O$2&amp;"."&amp;D$8&amp;" OWNER TO pgmisgrp1;"</f>
        <v>ALTER TABLE milscm_2023_010.azn_202310_delivery_k_weeks OWNER TO pgmisgrp1;</v>
      </c>
    </row>
    <row r="11" spans="1:45" ht="19.5" thickBot="1">
      <c r="B11" s="20" t="s">
        <v>118</v>
      </c>
      <c r="C11" s="19"/>
      <c r="D11" s="5"/>
      <c r="E11" s="5"/>
      <c r="F11" s="5"/>
      <c r="G11" s="5"/>
      <c r="H11" s="5"/>
      <c r="I11" s="5"/>
      <c r="J11" s="18"/>
      <c r="N11" s="97" t="str">
        <f>"CREATE TABLE  "&amp;エンティティ一覧!$O$2&amp;"."&amp;D$8</f>
        <v>CREATE TABLE  milscm_2023_010.azn_202310_delivery_k_weeks</v>
      </c>
      <c r="O11" s="97"/>
      <c r="P11" s="97"/>
      <c r="Q11" s="97"/>
      <c r="R11" s="97"/>
      <c r="S11" s="97"/>
      <c r="T11" s="97"/>
      <c r="AJ11" s="97" t="str">
        <f>"ADD CONSTRAINT "&amp;D$8&amp;"_pkey PRIMARY KEY"</f>
        <v>ADD CONSTRAINT azn_202310_delivery_k_weeks_pkey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milscm_2023_010.azn_202310_delivery_k_weeks IS 'デリバリ_カリウム平均推移_週別';</v>
      </c>
    </row>
    <row r="13" spans="1:45" s="25" customFormat="1">
      <c r="A13" s="4"/>
      <c r="B13" s="21">
        <f>ROW()-12</f>
        <v>1</v>
      </c>
      <c r="C13" s="6" t="s">
        <v>4417</v>
      </c>
      <c r="D13" s="6" t="s">
        <v>4413</v>
      </c>
      <c r="E13" s="8" t="s">
        <v>127</v>
      </c>
      <c r="F13" s="8" t="s">
        <v>1735</v>
      </c>
      <c r="G13" s="7" t="str">
        <f>IF(F13="フラグ","boolean",IF(F13="文字列","text",IF(F13="整数","integer",IF(F13="実数","numeric",""))))</f>
        <v>text</v>
      </c>
      <c r="H13" s="9"/>
      <c r="I13" s="10" t="s">
        <v>127</v>
      </c>
      <c r="J13" s="11" t="s">
        <v>4422</v>
      </c>
      <c r="M13" s="4"/>
      <c r="N13" s="97"/>
      <c r="O13" s="97"/>
      <c r="P13" s="97" t="str">
        <f>IF(B13&lt;&gt;1,","&amp;D13,D13)</f>
        <v>cate_egfr_summary</v>
      </c>
      <c r="Q13" s="97" t="str">
        <f t="shared" ref="Q13:Q17" si="0">UPPER(G13)</f>
        <v>TEXT</v>
      </c>
      <c r="R13" s="97" t="str">
        <f t="shared" ref="R13:R17" si="1">IF(H13&lt;&gt;"","default "&amp;IF(G13="text","'"&amp;H13&amp;"'",H13),"")</f>
        <v/>
      </c>
      <c r="S13" s="97" t="str">
        <f>IF(I13="○","NOT NULL","")</f>
        <v>NOT NULL</v>
      </c>
      <c r="T13" s="97" t="str">
        <f>"-- "&amp;C13</f>
        <v>-- eGFRサマリ</v>
      </c>
      <c r="U13" s="4"/>
      <c r="AA13" s="4"/>
      <c r="AB13" s="4"/>
      <c r="AC13" s="4"/>
      <c r="AD13" s="4"/>
      <c r="AE13" s="4"/>
      <c r="AF13" s="4"/>
      <c r="AG13" s="4"/>
      <c r="AH13" s="4"/>
      <c r="AI13" s="4"/>
      <c r="AJ13" s="97" t="str">
        <f>IF(E13="○",IF(COUNTA(E$13:E13)=1,"",",")&amp;D13,"")</f>
        <v>cate_egfr_summary</v>
      </c>
      <c r="AK13" s="4"/>
      <c r="AL13" s="4"/>
      <c r="AM13" s="4"/>
      <c r="AN13" s="4"/>
      <c r="AO13" s="4"/>
      <c r="AP13" s="4"/>
      <c r="AQ13" s="4"/>
      <c r="AR13" s="4"/>
      <c r="AS13" s="97" t="str">
        <f>"COMMENT ON COLUMN "&amp;エンティティ一覧!$O$2&amp;"."&amp;D$8&amp;"."&amp;D13&amp;" IS '"&amp;C13&amp;"';"</f>
        <v>COMMENT ON COLUMN milscm_2023_010.azn_202310_delivery_k_weeks.cate_egfr_summary IS 'eGFRサマリ';</v>
      </c>
    </row>
    <row r="14" spans="1:45" s="25" customFormat="1">
      <c r="A14" s="4"/>
      <c r="B14" s="21">
        <f t="shared" ref="B14:B17" si="2">ROW()-12</f>
        <v>2</v>
      </c>
      <c r="C14" s="6" t="s">
        <v>4252</v>
      </c>
      <c r="D14" s="6" t="s">
        <v>4430</v>
      </c>
      <c r="E14" s="8" t="s">
        <v>127</v>
      </c>
      <c r="F14" s="8" t="s">
        <v>1845</v>
      </c>
      <c r="G14" s="7" t="str">
        <f t="shared" ref="G14:G17" si="3">IF(F14="フラグ","boolean",IF(F14="文字列","text",IF(F14="整数","integer",IF(F14="実数","numeric",""))))</f>
        <v>integer</v>
      </c>
      <c r="H14" s="26"/>
      <c r="I14" s="10" t="s">
        <v>127</v>
      </c>
      <c r="J14" s="11"/>
      <c r="M14" s="4"/>
      <c r="N14" s="97"/>
      <c r="O14" s="97"/>
      <c r="P14" s="97" t="str">
        <f t="shared" ref="P14:P17" si="4">IF(B14&lt;&gt;1,","&amp;D14,D14)</f>
        <v>,weeks</v>
      </c>
      <c r="Q14" s="97" t="str">
        <f t="shared" si="0"/>
        <v>INTEGER</v>
      </c>
      <c r="R14" s="97" t="str">
        <f t="shared" si="1"/>
        <v/>
      </c>
      <c r="S14" s="97" t="str">
        <f t="shared" ref="S14:S17" si="5">IF(I14="○","NOT NULL","")</f>
        <v>NOT NULL</v>
      </c>
      <c r="T14" s="97" t="str">
        <f t="shared" ref="T14:T17" si="6">"-- "&amp;C14</f>
        <v>-- 経過週</v>
      </c>
      <c r="U14" s="4"/>
      <c r="AA14" s="4"/>
      <c r="AB14" s="4"/>
      <c r="AC14" s="4"/>
      <c r="AD14" s="4"/>
      <c r="AE14" s="4"/>
      <c r="AF14" s="4"/>
      <c r="AG14" s="4"/>
      <c r="AH14" s="4"/>
      <c r="AI14" s="4"/>
      <c r="AJ14" s="97" t="str">
        <f>IF(E14="○",IF(COUNTA(E$13:E14)=1,"",",")&amp;D14,"")</f>
        <v>,weeks</v>
      </c>
      <c r="AK14" s="4"/>
      <c r="AL14" s="4"/>
      <c r="AM14" s="4"/>
      <c r="AN14" s="4"/>
      <c r="AO14" s="4"/>
      <c r="AP14" s="4"/>
      <c r="AQ14" s="4"/>
      <c r="AR14" s="4"/>
      <c r="AS14" s="97" t="str">
        <f>"COMMENT ON COLUMN "&amp;エンティティ一覧!$O$2&amp;"."&amp;D$8&amp;"."&amp;D14&amp;" IS '"&amp;C14&amp;"';"</f>
        <v>COMMENT ON COLUMN milscm_2023_010.azn_202310_delivery_k_weeks.weeks IS '経過週';</v>
      </c>
    </row>
    <row r="15" spans="1:45" s="25" customFormat="1">
      <c r="A15" s="4"/>
      <c r="B15" s="21">
        <f t="shared" si="2"/>
        <v>3</v>
      </c>
      <c r="C15" s="13" t="s">
        <v>4419</v>
      </c>
      <c r="D15" s="13" t="s">
        <v>4414</v>
      </c>
      <c r="E15" s="7"/>
      <c r="F15" s="8" t="s">
        <v>1742</v>
      </c>
      <c r="G15" s="7" t="str">
        <f t="shared" si="3"/>
        <v>numeric</v>
      </c>
      <c r="H15" s="26"/>
      <c r="I15" s="10" t="s">
        <v>127</v>
      </c>
      <c r="J15" s="11"/>
      <c r="M15" s="4"/>
      <c r="N15" s="97"/>
      <c r="O15" s="97"/>
      <c r="P15" s="97" t="str">
        <f t="shared" si="4"/>
        <v>,avg_value</v>
      </c>
      <c r="Q15" s="97" t="str">
        <f t="shared" si="0"/>
        <v>NUMERIC</v>
      </c>
      <c r="R15" s="97" t="str">
        <f t="shared" si="1"/>
        <v/>
      </c>
      <c r="S15" s="97" t="str">
        <f t="shared" si="5"/>
        <v>NOT NULL</v>
      </c>
      <c r="T15" s="97" t="str">
        <f t="shared" si="6"/>
        <v>-- 平均値</v>
      </c>
      <c r="U15" s="4"/>
      <c r="AA15" s="4"/>
      <c r="AB15" s="4"/>
      <c r="AC15" s="4"/>
      <c r="AD15" s="4"/>
      <c r="AE15" s="4"/>
      <c r="AF15" s="4"/>
      <c r="AG15" s="4"/>
      <c r="AH15" s="4"/>
      <c r="AI15" s="4"/>
      <c r="AJ15" s="97" t="str">
        <f>IF(E15="○",IF(COUNTA(E$13:E15)=1,"",",")&amp;D15,"")</f>
        <v/>
      </c>
      <c r="AK15" s="4"/>
      <c r="AL15" s="4"/>
      <c r="AM15" s="4"/>
      <c r="AN15" s="4"/>
      <c r="AO15" s="4"/>
      <c r="AP15" s="4"/>
      <c r="AQ15" s="4"/>
      <c r="AR15" s="4"/>
      <c r="AS15" s="97" t="str">
        <f>"COMMENT ON COLUMN "&amp;エンティティ一覧!$O$2&amp;"."&amp;D$8&amp;"."&amp;D15&amp;" IS '"&amp;C15&amp;"';"</f>
        <v>COMMENT ON COLUMN milscm_2023_010.azn_202310_delivery_k_weeks.avg_value IS '平均値';</v>
      </c>
    </row>
    <row r="16" spans="1:45" s="25" customFormat="1">
      <c r="A16" s="4"/>
      <c r="B16" s="21">
        <f t="shared" si="2"/>
        <v>4</v>
      </c>
      <c r="C16" s="13" t="s">
        <v>4420</v>
      </c>
      <c r="D16" s="13" t="s">
        <v>4415</v>
      </c>
      <c r="E16" s="7"/>
      <c r="F16" s="8" t="s">
        <v>1742</v>
      </c>
      <c r="G16" s="7" t="str">
        <f t="shared" si="3"/>
        <v>numeric</v>
      </c>
      <c r="H16" s="26"/>
      <c r="I16" s="10" t="s">
        <v>127</v>
      </c>
      <c r="J16" s="11"/>
      <c r="M16" s="4"/>
      <c r="N16" s="97"/>
      <c r="O16" s="97"/>
      <c r="P16" s="97" t="str">
        <f t="shared" si="4"/>
        <v>,std_value</v>
      </c>
      <c r="Q16" s="97" t="str">
        <f t="shared" si="0"/>
        <v>NUMERIC</v>
      </c>
      <c r="R16" s="97" t="str">
        <f t="shared" si="1"/>
        <v/>
      </c>
      <c r="S16" s="97" t="str">
        <f t="shared" si="5"/>
        <v>NOT NULL</v>
      </c>
      <c r="T16" s="97" t="str">
        <f t="shared" si="6"/>
        <v>-- 標準偏差値</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"&amp;エンティティ一覧!$O$2&amp;"."&amp;D$8&amp;"."&amp;D16&amp;" IS '"&amp;C16&amp;"';"</f>
        <v>COMMENT ON COLUMN milscm_2023_010.azn_202310_delivery_k_weeks.std_value IS '標準偏差値';</v>
      </c>
    </row>
    <row r="17" spans="1:52" s="25" customFormat="1" ht="19.5" thickBot="1">
      <c r="A17" s="4"/>
      <c r="B17" s="69">
        <f t="shared" si="2"/>
        <v>5</v>
      </c>
      <c r="C17" s="121" t="s">
        <v>4421</v>
      </c>
      <c r="D17" s="121" t="s">
        <v>4416</v>
      </c>
      <c r="E17" s="71"/>
      <c r="F17" s="71" t="s">
        <v>1845</v>
      </c>
      <c r="G17" s="71" t="str">
        <f t="shared" si="3"/>
        <v>integer</v>
      </c>
      <c r="H17" s="72"/>
      <c r="I17" s="73" t="s">
        <v>127</v>
      </c>
      <c r="J17" s="74"/>
      <c r="M17" s="4"/>
      <c r="N17" s="97"/>
      <c r="O17" s="97"/>
      <c r="P17" s="97" t="str">
        <f t="shared" si="4"/>
        <v>,patient_count</v>
      </c>
      <c r="Q17" s="97" t="str">
        <f t="shared" si="0"/>
        <v>INTEGER</v>
      </c>
      <c r="R17" s="97" t="str">
        <f t="shared" si="1"/>
        <v/>
      </c>
      <c r="S17" s="97" t="str">
        <f t="shared" si="5"/>
        <v>NOT NULL</v>
      </c>
      <c r="T17" s="97" t="str">
        <f t="shared" si="6"/>
        <v>-- 患者数カウント</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milscm_2023_010.azn_202310_delivery_k_weeks.patient_count IS '患者数カウント';</v>
      </c>
    </row>
    <row r="18" spans="1:52">
      <c r="L18" s="25"/>
      <c r="M18" s="25"/>
      <c r="N18" s="97" t="s">
        <v>142</v>
      </c>
      <c r="O18" s="97"/>
      <c r="P18" s="97"/>
      <c r="Q18" s="97"/>
      <c r="R18" s="97"/>
      <c r="S18" s="97"/>
      <c r="T18" s="97"/>
      <c r="V18" s="25"/>
      <c r="W18" s="25"/>
      <c r="X18" s="25"/>
      <c r="Y18" s="25"/>
      <c r="Z18" s="25"/>
      <c r="AJ18" s="97"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61</v>
      </c>
      <c r="E4" s="248"/>
      <c r="F4" s="248"/>
      <c r="G4" s="248"/>
      <c r="H4" s="248"/>
      <c r="I4" s="248"/>
      <c r="J4" s="249"/>
    </row>
    <row r="5" spans="1:45">
      <c r="B5" s="261" t="s">
        <v>3704</v>
      </c>
      <c r="C5" s="262"/>
      <c r="D5" s="271" t="str">
        <f>VLOOKUP(D7,エンティティ一覧!A1:'エンティティ一覧'!AM10203,7,FALSE)</f>
        <v>delivery</v>
      </c>
      <c r="E5" s="272"/>
      <c r="F5" s="272"/>
      <c r="G5" s="272"/>
      <c r="H5" s="272"/>
      <c r="I5" s="272"/>
      <c r="J5" s="273"/>
    </row>
    <row r="6" spans="1:45">
      <c r="B6" s="261" t="s">
        <v>3705</v>
      </c>
      <c r="C6" s="262"/>
      <c r="D6" s="271" t="str">
        <f>VLOOKUP(D7,エンティティ一覧!A1:'エンティティ一覧'!AM10203,15,FALSE)</f>
        <v>ENT_61_06</v>
      </c>
      <c r="E6" s="272"/>
      <c r="F6" s="272"/>
      <c r="G6" s="272"/>
      <c r="H6" s="272"/>
      <c r="I6" s="272"/>
      <c r="J6" s="273"/>
    </row>
    <row r="7" spans="1:45">
      <c r="B7" s="261" t="s">
        <v>115</v>
      </c>
      <c r="C7" s="262"/>
      <c r="D7" s="263" t="s">
        <v>4431</v>
      </c>
      <c r="E7" s="264"/>
      <c r="F7" s="264"/>
      <c r="G7" s="264"/>
      <c r="H7" s="264"/>
      <c r="I7" s="264"/>
      <c r="J7" s="265"/>
    </row>
    <row r="8" spans="1:45">
      <c r="B8" s="261" t="s">
        <v>116</v>
      </c>
      <c r="C8" s="262"/>
      <c r="D8" s="263" t="str">
        <f>エンティティ一覧!AE2&amp;"_"&amp;D5&amp;"_k_weeks_look30"</f>
        <v>azn_202310_delivery_k_weeks_look30</v>
      </c>
      <c r="E8" s="264"/>
      <c r="F8" s="264"/>
      <c r="G8" s="264"/>
      <c r="H8" s="264"/>
      <c r="I8" s="264"/>
      <c r="J8" s="265"/>
    </row>
    <row r="9" spans="1:45" ht="19.5" customHeight="1" thickBot="1">
      <c r="B9" s="266" t="s">
        <v>117</v>
      </c>
      <c r="C9" s="267"/>
      <c r="D9" s="268"/>
      <c r="E9" s="269"/>
      <c r="F9" s="269"/>
      <c r="G9" s="269"/>
      <c r="H9" s="269"/>
      <c r="I9" s="269"/>
      <c r="J9" s="270"/>
    </row>
    <row r="10" spans="1:45">
      <c r="B10" s="19"/>
      <c r="C10" s="19"/>
      <c r="D10" s="5"/>
      <c r="E10" s="5"/>
      <c r="F10" s="5"/>
      <c r="G10" s="5"/>
      <c r="H10" s="5"/>
      <c r="I10" s="5"/>
      <c r="J10" s="18"/>
      <c r="N10" s="97" t="str">
        <f>"--DROP TABLE  "&amp;エンティティ一覧!$O$2&amp;"."&amp;D$8&amp;";"</f>
        <v>--DROP TABLE  milscm_2023_010.azn_202310_delivery_k_weeks_look30;</v>
      </c>
      <c r="O10" s="97"/>
      <c r="P10" s="97"/>
      <c r="Q10" s="97"/>
      <c r="R10" s="97"/>
      <c r="S10" s="97"/>
      <c r="T10" s="97"/>
      <c r="AJ10" s="97" t="str">
        <f>"ALTER TABLE ONLY "&amp;エンティティ一覧!$O$2&amp;"."&amp;D$8</f>
        <v>ALTER TABLE ONLY milscm_2023_010.azn_202310_delivery_k_weeks_look30</v>
      </c>
      <c r="AS10" s="97" t="str">
        <f>"ALTER TABLE "&amp;エンティティ一覧!$O$2&amp;"."&amp;D$8&amp;" OWNER TO pgmisgrp1;"</f>
        <v>ALTER TABLE milscm_2023_010.azn_202310_delivery_k_weeks_look30 OWNER TO pgmisgrp1;</v>
      </c>
    </row>
    <row r="11" spans="1:45" ht="19.5" thickBot="1">
      <c r="B11" s="20" t="s">
        <v>118</v>
      </c>
      <c r="C11" s="19"/>
      <c r="D11" s="5"/>
      <c r="E11" s="5"/>
      <c r="F11" s="5"/>
      <c r="G11" s="5"/>
      <c r="H11" s="5"/>
      <c r="I11" s="5"/>
      <c r="J11" s="18"/>
      <c r="N11" s="97" t="str">
        <f>"CREATE TABLE  "&amp;エンティティ一覧!$O$2&amp;"."&amp;D$8</f>
        <v>CREATE TABLE  milscm_2023_010.azn_202310_delivery_k_weeks_look30</v>
      </c>
      <c r="O11" s="97"/>
      <c r="P11" s="97"/>
      <c r="Q11" s="97"/>
      <c r="R11" s="97"/>
      <c r="S11" s="97"/>
      <c r="T11" s="97"/>
      <c r="AJ11" s="97" t="str">
        <f>"ADD CONSTRAINT "&amp;D$8&amp;"_pkey PRIMARY KEY"</f>
        <v>ADD CONSTRAINT azn_202310_delivery_k_weeks_look30_pkey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milscm_2023_010.azn_202310_delivery_k_weeks_look30 IS 'デリバリ_カリウム平均推移_週別_lb30以上';</v>
      </c>
    </row>
    <row r="13" spans="1:45" s="25" customFormat="1">
      <c r="A13" s="4"/>
      <c r="B13" s="21">
        <f>ROW()-12</f>
        <v>1</v>
      </c>
      <c r="C13" s="6" t="s">
        <v>4417</v>
      </c>
      <c r="D13" s="6" t="s">
        <v>4413</v>
      </c>
      <c r="E13" s="8" t="s">
        <v>127</v>
      </c>
      <c r="F13" s="8" t="s">
        <v>1735</v>
      </c>
      <c r="G13" s="7" t="str">
        <f>IF(F13="フラグ","boolean",IF(F13="文字列","text",IF(F13="整数","integer",IF(F13="実数","numeric",""))))</f>
        <v>text</v>
      </c>
      <c r="H13" s="9"/>
      <c r="I13" s="10" t="s">
        <v>127</v>
      </c>
      <c r="J13" s="11" t="s">
        <v>4422</v>
      </c>
      <c r="M13" s="4"/>
      <c r="N13" s="97"/>
      <c r="O13" s="97"/>
      <c r="P13" s="97" t="str">
        <f>IF(B13&lt;&gt;1,","&amp;D13,D13)</f>
        <v>cate_egfr_summary</v>
      </c>
      <c r="Q13" s="97" t="str">
        <f t="shared" ref="Q13:Q17" si="0">UPPER(G13)</f>
        <v>TEXT</v>
      </c>
      <c r="R13" s="97" t="str">
        <f t="shared" ref="R13:R17" si="1">IF(H13&lt;&gt;"","default "&amp;IF(G13="text","'"&amp;H13&amp;"'",H13),"")</f>
        <v/>
      </c>
      <c r="S13" s="97" t="str">
        <f>IF(I13="○","NOT NULL","")</f>
        <v>NOT NULL</v>
      </c>
      <c r="T13" s="97" t="str">
        <f>"-- "&amp;C13</f>
        <v>-- eGFRサマリ</v>
      </c>
      <c r="U13" s="4"/>
      <c r="AA13" s="4"/>
      <c r="AB13" s="4"/>
      <c r="AC13" s="4"/>
      <c r="AD13" s="4"/>
      <c r="AE13" s="4"/>
      <c r="AF13" s="4"/>
      <c r="AG13" s="4"/>
      <c r="AH13" s="4"/>
      <c r="AI13" s="4"/>
      <c r="AJ13" s="97" t="str">
        <f>IF(E13="○",IF(COUNTA(E$13:E13)=1,"",",")&amp;D13,"")</f>
        <v>cate_egfr_summary</v>
      </c>
      <c r="AK13" s="4"/>
      <c r="AL13" s="4"/>
      <c r="AM13" s="4"/>
      <c r="AN13" s="4"/>
      <c r="AO13" s="4"/>
      <c r="AP13" s="4"/>
      <c r="AQ13" s="4"/>
      <c r="AR13" s="4"/>
      <c r="AS13" s="97" t="str">
        <f>"COMMENT ON COLUMN "&amp;エンティティ一覧!$O$2&amp;"."&amp;D$8&amp;"."&amp;D13&amp;" IS '"&amp;C13&amp;"';"</f>
        <v>COMMENT ON COLUMN milscm_2023_010.azn_202310_delivery_k_weeks_look30.cate_egfr_summary IS 'eGFRサマリ';</v>
      </c>
    </row>
    <row r="14" spans="1:45" s="25" customFormat="1">
      <c r="A14" s="4"/>
      <c r="B14" s="21">
        <f t="shared" ref="B14:B17" si="2">ROW()-12</f>
        <v>2</v>
      </c>
      <c r="C14" s="6" t="s">
        <v>4252</v>
      </c>
      <c r="D14" s="6" t="s">
        <v>4430</v>
      </c>
      <c r="E14" s="8" t="s">
        <v>127</v>
      </c>
      <c r="F14" s="8" t="s">
        <v>1845</v>
      </c>
      <c r="G14" s="7" t="str">
        <f t="shared" ref="G14:G17" si="3">IF(F14="フラグ","boolean",IF(F14="文字列","text",IF(F14="整数","integer",IF(F14="実数","numeric",""))))</f>
        <v>integer</v>
      </c>
      <c r="H14" s="26"/>
      <c r="I14" s="10" t="s">
        <v>127</v>
      </c>
      <c r="J14" s="11"/>
      <c r="M14" s="4"/>
      <c r="N14" s="97"/>
      <c r="O14" s="97"/>
      <c r="P14" s="97" t="str">
        <f t="shared" ref="P14:P17" si="4">IF(B14&lt;&gt;1,","&amp;D14,D14)</f>
        <v>,weeks</v>
      </c>
      <c r="Q14" s="97" t="str">
        <f t="shared" si="0"/>
        <v>INTEGER</v>
      </c>
      <c r="R14" s="97" t="str">
        <f t="shared" si="1"/>
        <v/>
      </c>
      <c r="S14" s="97" t="str">
        <f t="shared" ref="S14:S17" si="5">IF(I14="○","NOT NULL","")</f>
        <v>NOT NULL</v>
      </c>
      <c r="T14" s="97" t="str">
        <f t="shared" ref="T14:T17" si="6">"-- "&amp;C14</f>
        <v>-- 経過週</v>
      </c>
      <c r="U14" s="4"/>
      <c r="AA14" s="4"/>
      <c r="AB14" s="4"/>
      <c r="AC14" s="4"/>
      <c r="AD14" s="4"/>
      <c r="AE14" s="4"/>
      <c r="AF14" s="4"/>
      <c r="AG14" s="4"/>
      <c r="AH14" s="4"/>
      <c r="AI14" s="4"/>
      <c r="AJ14" s="97" t="str">
        <f>IF(E14="○",IF(COUNTA(E$13:E14)=1,"",",")&amp;D14,"")</f>
        <v>,weeks</v>
      </c>
      <c r="AK14" s="4"/>
      <c r="AL14" s="4"/>
      <c r="AM14" s="4"/>
      <c r="AN14" s="4"/>
      <c r="AO14" s="4"/>
      <c r="AP14" s="4"/>
      <c r="AQ14" s="4"/>
      <c r="AR14" s="4"/>
      <c r="AS14" s="97" t="str">
        <f>"COMMENT ON COLUMN "&amp;エンティティ一覧!$O$2&amp;"."&amp;D$8&amp;"."&amp;D14&amp;" IS '"&amp;C14&amp;"';"</f>
        <v>COMMENT ON COLUMN milscm_2023_010.azn_202310_delivery_k_weeks_look30.weeks IS '経過週';</v>
      </c>
    </row>
    <row r="15" spans="1:45" s="25" customFormat="1">
      <c r="A15" s="4"/>
      <c r="B15" s="21">
        <f t="shared" si="2"/>
        <v>3</v>
      </c>
      <c r="C15" s="13" t="s">
        <v>4419</v>
      </c>
      <c r="D15" s="13" t="s">
        <v>4414</v>
      </c>
      <c r="E15" s="7"/>
      <c r="F15" s="8" t="s">
        <v>1742</v>
      </c>
      <c r="G15" s="7" t="str">
        <f t="shared" si="3"/>
        <v>numeric</v>
      </c>
      <c r="H15" s="26"/>
      <c r="I15" s="10" t="s">
        <v>127</v>
      </c>
      <c r="J15" s="11"/>
      <c r="M15" s="4"/>
      <c r="N15" s="97"/>
      <c r="O15" s="97"/>
      <c r="P15" s="97" t="str">
        <f t="shared" si="4"/>
        <v>,avg_value</v>
      </c>
      <c r="Q15" s="97" t="str">
        <f t="shared" si="0"/>
        <v>NUMERIC</v>
      </c>
      <c r="R15" s="97" t="str">
        <f t="shared" si="1"/>
        <v/>
      </c>
      <c r="S15" s="97" t="str">
        <f t="shared" si="5"/>
        <v>NOT NULL</v>
      </c>
      <c r="T15" s="97" t="str">
        <f t="shared" si="6"/>
        <v>-- 平均値</v>
      </c>
      <c r="U15" s="4"/>
      <c r="AA15" s="4"/>
      <c r="AB15" s="4"/>
      <c r="AC15" s="4"/>
      <c r="AD15" s="4"/>
      <c r="AE15" s="4"/>
      <c r="AF15" s="4"/>
      <c r="AG15" s="4"/>
      <c r="AH15" s="4"/>
      <c r="AI15" s="4"/>
      <c r="AJ15" s="97" t="str">
        <f>IF(E15="○",IF(COUNTA(E$13:E15)=1,"",",")&amp;D15,"")</f>
        <v/>
      </c>
      <c r="AK15" s="4"/>
      <c r="AL15" s="4"/>
      <c r="AM15" s="4"/>
      <c r="AN15" s="4"/>
      <c r="AO15" s="4"/>
      <c r="AP15" s="4"/>
      <c r="AQ15" s="4"/>
      <c r="AR15" s="4"/>
      <c r="AS15" s="97" t="str">
        <f>"COMMENT ON COLUMN "&amp;エンティティ一覧!$O$2&amp;"."&amp;D$8&amp;"."&amp;D15&amp;" IS '"&amp;C15&amp;"';"</f>
        <v>COMMENT ON COLUMN milscm_2023_010.azn_202310_delivery_k_weeks_look30.avg_value IS '平均値';</v>
      </c>
    </row>
    <row r="16" spans="1:45" s="25" customFormat="1">
      <c r="A16" s="4"/>
      <c r="B16" s="21">
        <f t="shared" si="2"/>
        <v>4</v>
      </c>
      <c r="C16" s="13" t="s">
        <v>4420</v>
      </c>
      <c r="D16" s="13" t="s">
        <v>4415</v>
      </c>
      <c r="E16" s="7"/>
      <c r="F16" s="8" t="s">
        <v>1742</v>
      </c>
      <c r="G16" s="7" t="str">
        <f t="shared" si="3"/>
        <v>numeric</v>
      </c>
      <c r="H16" s="26"/>
      <c r="I16" s="10" t="s">
        <v>127</v>
      </c>
      <c r="J16" s="11"/>
      <c r="M16" s="4"/>
      <c r="N16" s="97"/>
      <c r="O16" s="97"/>
      <c r="P16" s="97" t="str">
        <f t="shared" si="4"/>
        <v>,std_value</v>
      </c>
      <c r="Q16" s="97" t="str">
        <f t="shared" si="0"/>
        <v>NUMERIC</v>
      </c>
      <c r="R16" s="97" t="str">
        <f t="shared" si="1"/>
        <v/>
      </c>
      <c r="S16" s="97" t="str">
        <f t="shared" si="5"/>
        <v>NOT NULL</v>
      </c>
      <c r="T16" s="97" t="str">
        <f t="shared" si="6"/>
        <v>-- 標準偏差値</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"&amp;エンティティ一覧!$O$2&amp;"."&amp;D$8&amp;"."&amp;D16&amp;" IS '"&amp;C16&amp;"';"</f>
        <v>COMMENT ON COLUMN milscm_2023_010.azn_202310_delivery_k_weeks_look30.std_value IS '標準偏差値';</v>
      </c>
    </row>
    <row r="17" spans="1:52" s="25" customFormat="1" ht="19.5" thickBot="1">
      <c r="A17" s="4"/>
      <c r="B17" s="69">
        <f t="shared" si="2"/>
        <v>5</v>
      </c>
      <c r="C17" s="121" t="s">
        <v>4421</v>
      </c>
      <c r="D17" s="121" t="s">
        <v>4416</v>
      </c>
      <c r="E17" s="71"/>
      <c r="F17" s="71" t="s">
        <v>1845</v>
      </c>
      <c r="G17" s="71" t="str">
        <f t="shared" si="3"/>
        <v>integer</v>
      </c>
      <c r="H17" s="72"/>
      <c r="I17" s="73" t="s">
        <v>127</v>
      </c>
      <c r="J17" s="74"/>
      <c r="M17" s="4"/>
      <c r="N17" s="97"/>
      <c r="O17" s="97"/>
      <c r="P17" s="97" t="str">
        <f t="shared" si="4"/>
        <v>,patient_count</v>
      </c>
      <c r="Q17" s="97" t="str">
        <f t="shared" si="0"/>
        <v>INTEGER</v>
      </c>
      <c r="R17" s="97" t="str">
        <f t="shared" si="1"/>
        <v/>
      </c>
      <c r="S17" s="97" t="str">
        <f t="shared" si="5"/>
        <v>NOT NULL</v>
      </c>
      <c r="T17" s="97" t="str">
        <f t="shared" si="6"/>
        <v>-- 患者数カウント</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milscm_2023_010.azn_202310_delivery_k_weeks_look30.patient_count IS '患者数カウント';</v>
      </c>
    </row>
    <row r="18" spans="1:52">
      <c r="L18" s="25"/>
      <c r="M18" s="25"/>
      <c r="N18" s="97" t="s">
        <v>142</v>
      </c>
      <c r="O18" s="97"/>
      <c r="P18" s="97"/>
      <c r="Q18" s="97"/>
      <c r="R18" s="97"/>
      <c r="S18" s="97"/>
      <c r="T18" s="97"/>
      <c r="V18" s="25"/>
      <c r="W18" s="25"/>
      <c r="X18" s="25"/>
      <c r="Y18" s="25"/>
      <c r="Z18" s="25"/>
      <c r="AJ18" s="97"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61</v>
      </c>
      <c r="E4" s="248"/>
      <c r="F4" s="248"/>
      <c r="G4" s="248"/>
      <c r="H4" s="248"/>
      <c r="I4" s="248"/>
      <c r="J4" s="249"/>
    </row>
    <row r="5" spans="1:45">
      <c r="B5" s="261" t="s">
        <v>3704</v>
      </c>
      <c r="C5" s="262"/>
      <c r="D5" s="271" t="str">
        <f>VLOOKUP(D7,エンティティ一覧!A1:'エンティティ一覧'!AM10203,7,FALSE)</f>
        <v>delivery</v>
      </c>
      <c r="E5" s="272"/>
      <c r="F5" s="272"/>
      <c r="G5" s="272"/>
      <c r="H5" s="272"/>
      <c r="I5" s="272"/>
      <c r="J5" s="273"/>
    </row>
    <row r="6" spans="1:45">
      <c r="B6" s="261" t="s">
        <v>3705</v>
      </c>
      <c r="C6" s="262"/>
      <c r="D6" s="271" t="str">
        <f>VLOOKUP(D7,エンティティ一覧!A1:'エンティティ一覧'!AM10203,15,FALSE)</f>
        <v>ENT_61_07</v>
      </c>
      <c r="E6" s="272"/>
      <c r="F6" s="272"/>
      <c r="G6" s="272"/>
      <c r="H6" s="272"/>
      <c r="I6" s="272"/>
      <c r="J6" s="273"/>
    </row>
    <row r="7" spans="1:45">
      <c r="B7" s="261" t="s">
        <v>115</v>
      </c>
      <c r="C7" s="262"/>
      <c r="D7" s="263" t="s">
        <v>4434</v>
      </c>
      <c r="E7" s="264"/>
      <c r="F7" s="264"/>
      <c r="G7" s="264"/>
      <c r="H7" s="264"/>
      <c r="I7" s="264"/>
      <c r="J7" s="265"/>
    </row>
    <row r="8" spans="1:45">
      <c r="B8" s="261" t="s">
        <v>116</v>
      </c>
      <c r="C8" s="262"/>
      <c r="D8" s="263" t="str">
        <f>エンティティ一覧!AE2&amp;"_"&amp;D5&amp;"_k_months"</f>
        <v>azn_202310_delivery_k_months</v>
      </c>
      <c r="E8" s="264"/>
      <c r="F8" s="264"/>
      <c r="G8" s="264"/>
      <c r="H8" s="264"/>
      <c r="I8" s="264"/>
      <c r="J8" s="265"/>
    </row>
    <row r="9" spans="1:45" ht="19.5" customHeight="1" thickBot="1">
      <c r="B9" s="266" t="s">
        <v>117</v>
      </c>
      <c r="C9" s="267"/>
      <c r="D9" s="268" t="s">
        <v>4512</v>
      </c>
      <c r="E9" s="269"/>
      <c r="F9" s="269"/>
      <c r="G9" s="269"/>
      <c r="H9" s="269"/>
      <c r="I9" s="269"/>
      <c r="J9" s="270"/>
    </row>
    <row r="10" spans="1:45">
      <c r="B10" s="19"/>
      <c r="C10" s="19"/>
      <c r="D10" s="5"/>
      <c r="E10" s="5"/>
      <c r="F10" s="5"/>
      <c r="G10" s="5"/>
      <c r="H10" s="5"/>
      <c r="I10" s="5"/>
      <c r="J10" s="18"/>
      <c r="N10" s="97" t="str">
        <f>"--DROP TABLE  "&amp;エンティティ一覧!$O$2&amp;"."&amp;D$8&amp;";"</f>
        <v>--DROP TABLE  milscm_2023_010.azn_202310_delivery_k_months;</v>
      </c>
      <c r="O10" s="97"/>
      <c r="P10" s="97"/>
      <c r="Q10" s="97"/>
      <c r="R10" s="97"/>
      <c r="S10" s="97"/>
      <c r="T10" s="97"/>
      <c r="AJ10" s="97" t="str">
        <f>"ALTER TABLE ONLY "&amp;エンティティ一覧!$O$2&amp;"."&amp;D$8</f>
        <v>ALTER TABLE ONLY milscm_2023_010.azn_202310_delivery_k_months</v>
      </c>
      <c r="AS10" s="97" t="str">
        <f>"ALTER TABLE "&amp;エンティティ一覧!$O$2&amp;"."&amp;D$8&amp;" OWNER TO pgmisgrp1;"</f>
        <v>ALTER TABLE milscm_2023_010.azn_202310_delivery_k_months OWNER TO pgmisgrp1;</v>
      </c>
    </row>
    <row r="11" spans="1:45" ht="19.5" thickBot="1">
      <c r="B11" s="20" t="s">
        <v>118</v>
      </c>
      <c r="C11" s="19"/>
      <c r="D11" s="5"/>
      <c r="E11" s="5"/>
      <c r="F11" s="5"/>
      <c r="G11" s="5"/>
      <c r="H11" s="5"/>
      <c r="I11" s="5"/>
      <c r="J11" s="18"/>
      <c r="N11" s="97" t="str">
        <f>"CREATE TABLE  "&amp;エンティティ一覧!$O$2&amp;"."&amp;D$8</f>
        <v>CREATE TABLE  milscm_2023_010.azn_202310_delivery_k_months</v>
      </c>
      <c r="O11" s="97"/>
      <c r="P11" s="97"/>
      <c r="Q11" s="97"/>
      <c r="R11" s="97"/>
      <c r="S11" s="97"/>
      <c r="T11" s="97"/>
      <c r="AJ11" s="97" t="str">
        <f>"ADD CONSTRAINT "&amp;D$8&amp;"_pkey PRIMARY KEY"</f>
        <v>ADD CONSTRAINT azn_202310_delivery_k_months_pkey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milscm_2023_010.azn_202310_delivery_k_months IS 'デリバリ_カリウム平均推移_月別';</v>
      </c>
    </row>
    <row r="13" spans="1:45" s="25" customFormat="1">
      <c r="A13" s="4"/>
      <c r="B13" s="21">
        <f>ROW()-12</f>
        <v>1</v>
      </c>
      <c r="C13" s="6" t="s">
        <v>4417</v>
      </c>
      <c r="D13" s="6" t="s">
        <v>4413</v>
      </c>
      <c r="E13" s="8" t="s">
        <v>127</v>
      </c>
      <c r="F13" s="8" t="s">
        <v>1735</v>
      </c>
      <c r="G13" s="7" t="str">
        <f>IF(F13="フラグ","boolean",IF(F13="文字列","text",IF(F13="整数","integer",IF(F13="実数","numeric",""))))</f>
        <v>text</v>
      </c>
      <c r="H13" s="9"/>
      <c r="I13" s="10" t="s">
        <v>127</v>
      </c>
      <c r="J13" s="11" t="s">
        <v>4422</v>
      </c>
      <c r="M13" s="4"/>
      <c r="N13" s="97"/>
      <c r="O13" s="97"/>
      <c r="P13" s="97" t="str">
        <f>IF(B13&lt;&gt;1,","&amp;D13,D13)</f>
        <v>cate_egfr_summary</v>
      </c>
      <c r="Q13" s="97" t="str">
        <f t="shared" ref="Q13:Q17" si="0">UPPER(G13)</f>
        <v>TEXT</v>
      </c>
      <c r="R13" s="97" t="str">
        <f t="shared" ref="R13:R17" si="1">IF(H13&lt;&gt;"","default "&amp;IF(G13="text","'"&amp;H13&amp;"'",H13),"")</f>
        <v/>
      </c>
      <c r="S13" s="97" t="str">
        <f>IF(I13="○","NOT NULL","")</f>
        <v>NOT NULL</v>
      </c>
      <c r="T13" s="97" t="str">
        <f>"-- "&amp;C13</f>
        <v>-- eGFRサマリ</v>
      </c>
      <c r="U13" s="4"/>
      <c r="AA13" s="4"/>
      <c r="AB13" s="4"/>
      <c r="AC13" s="4"/>
      <c r="AD13" s="4"/>
      <c r="AE13" s="4"/>
      <c r="AF13" s="4"/>
      <c r="AG13" s="4"/>
      <c r="AH13" s="4"/>
      <c r="AI13" s="4"/>
      <c r="AJ13" s="97" t="str">
        <f>IF(E13="○",IF(COUNTA(E$13:E13)=1,"",",")&amp;D13,"")</f>
        <v>cate_egfr_summary</v>
      </c>
      <c r="AK13" s="4"/>
      <c r="AL13" s="4"/>
      <c r="AM13" s="4"/>
      <c r="AN13" s="4"/>
      <c r="AO13" s="4"/>
      <c r="AP13" s="4"/>
      <c r="AQ13" s="4"/>
      <c r="AR13" s="4"/>
      <c r="AS13" s="97" t="str">
        <f>"COMMENT ON COLUMN "&amp;エンティティ一覧!$O$2&amp;"."&amp;D$8&amp;"."&amp;D13&amp;" IS '"&amp;C13&amp;"';"</f>
        <v>COMMENT ON COLUMN milscm_2023_010.azn_202310_delivery_k_months.cate_egfr_summary IS 'eGFRサマリ';</v>
      </c>
    </row>
    <row r="14" spans="1:45" s="25" customFormat="1">
      <c r="A14" s="4"/>
      <c r="B14" s="21">
        <f t="shared" ref="B14:B17" si="2">ROW()-12</f>
        <v>2</v>
      </c>
      <c r="C14" s="6" t="s">
        <v>4253</v>
      </c>
      <c r="D14" s="6" t="s">
        <v>4435</v>
      </c>
      <c r="E14" s="8" t="s">
        <v>127</v>
      </c>
      <c r="F14" s="8" t="s">
        <v>1845</v>
      </c>
      <c r="G14" s="7" t="str">
        <f t="shared" ref="G14:G17" si="3">IF(F14="フラグ","boolean",IF(F14="文字列","text",IF(F14="整数","integer",IF(F14="実数","numeric",""))))</f>
        <v>integer</v>
      </c>
      <c r="H14" s="26"/>
      <c r="I14" s="10" t="s">
        <v>127</v>
      </c>
      <c r="J14" s="11"/>
      <c r="M14" s="4"/>
      <c r="N14" s="97"/>
      <c r="O14" s="97"/>
      <c r="P14" s="97" t="str">
        <f t="shared" ref="P14:P17" si="4">IF(B14&lt;&gt;1,","&amp;D14,D14)</f>
        <v>,months</v>
      </c>
      <c r="Q14" s="97" t="str">
        <f t="shared" si="0"/>
        <v>INTEGER</v>
      </c>
      <c r="R14" s="97" t="str">
        <f t="shared" si="1"/>
        <v/>
      </c>
      <c r="S14" s="97" t="str">
        <f t="shared" ref="S14:S17" si="5">IF(I14="○","NOT NULL","")</f>
        <v>NOT NULL</v>
      </c>
      <c r="T14" s="97" t="str">
        <f t="shared" ref="T14:T17" si="6">"-- "&amp;C14</f>
        <v>-- 経過月</v>
      </c>
      <c r="U14" s="4"/>
      <c r="AA14" s="4"/>
      <c r="AB14" s="4"/>
      <c r="AC14" s="4"/>
      <c r="AD14" s="4"/>
      <c r="AE14" s="4"/>
      <c r="AF14" s="4"/>
      <c r="AG14" s="4"/>
      <c r="AH14" s="4"/>
      <c r="AI14" s="4"/>
      <c r="AJ14" s="97" t="str">
        <f>IF(E14="○",IF(COUNTA(E$13:E14)=1,"",",")&amp;D14,"")</f>
        <v>,months</v>
      </c>
      <c r="AK14" s="4"/>
      <c r="AL14" s="4"/>
      <c r="AM14" s="4"/>
      <c r="AN14" s="4"/>
      <c r="AO14" s="4"/>
      <c r="AP14" s="4"/>
      <c r="AQ14" s="4"/>
      <c r="AR14" s="4"/>
      <c r="AS14" s="97" t="str">
        <f>"COMMENT ON COLUMN "&amp;エンティティ一覧!$O$2&amp;"."&amp;D$8&amp;"."&amp;D14&amp;" IS '"&amp;C14&amp;"';"</f>
        <v>COMMENT ON COLUMN milscm_2023_010.azn_202310_delivery_k_months.months IS '経過月';</v>
      </c>
    </row>
    <row r="15" spans="1:45" s="25" customFormat="1">
      <c r="A15" s="4"/>
      <c r="B15" s="21">
        <f t="shared" si="2"/>
        <v>3</v>
      </c>
      <c r="C15" s="13" t="s">
        <v>4419</v>
      </c>
      <c r="D15" s="13" t="s">
        <v>4414</v>
      </c>
      <c r="E15" s="7"/>
      <c r="F15" s="8" t="s">
        <v>1742</v>
      </c>
      <c r="G15" s="7" t="str">
        <f t="shared" si="3"/>
        <v>numeric</v>
      </c>
      <c r="H15" s="26"/>
      <c r="I15" s="10" t="s">
        <v>127</v>
      </c>
      <c r="J15" s="11"/>
      <c r="M15" s="4"/>
      <c r="N15" s="97"/>
      <c r="O15" s="97"/>
      <c r="P15" s="97" t="str">
        <f t="shared" si="4"/>
        <v>,avg_value</v>
      </c>
      <c r="Q15" s="97" t="str">
        <f t="shared" si="0"/>
        <v>NUMERIC</v>
      </c>
      <c r="R15" s="97" t="str">
        <f t="shared" si="1"/>
        <v/>
      </c>
      <c r="S15" s="97" t="str">
        <f t="shared" si="5"/>
        <v>NOT NULL</v>
      </c>
      <c r="T15" s="97" t="str">
        <f t="shared" si="6"/>
        <v>-- 平均値</v>
      </c>
      <c r="U15" s="4"/>
      <c r="AA15" s="4"/>
      <c r="AB15" s="4"/>
      <c r="AC15" s="4"/>
      <c r="AD15" s="4"/>
      <c r="AE15" s="4"/>
      <c r="AF15" s="4"/>
      <c r="AG15" s="4"/>
      <c r="AH15" s="4"/>
      <c r="AI15" s="4"/>
      <c r="AJ15" s="97" t="str">
        <f>IF(E15="○",IF(COUNTA(E$13:E15)=1,"",",")&amp;D15,"")</f>
        <v/>
      </c>
      <c r="AK15" s="4"/>
      <c r="AL15" s="4"/>
      <c r="AM15" s="4"/>
      <c r="AN15" s="4"/>
      <c r="AO15" s="4"/>
      <c r="AP15" s="4"/>
      <c r="AQ15" s="4"/>
      <c r="AR15" s="4"/>
      <c r="AS15" s="97" t="str">
        <f>"COMMENT ON COLUMN "&amp;エンティティ一覧!$O$2&amp;"."&amp;D$8&amp;"."&amp;D15&amp;" IS '"&amp;C15&amp;"';"</f>
        <v>COMMENT ON COLUMN milscm_2023_010.azn_202310_delivery_k_months.avg_value IS '平均値';</v>
      </c>
    </row>
    <row r="16" spans="1:45" s="25" customFormat="1">
      <c r="A16" s="4"/>
      <c r="B16" s="21">
        <f t="shared" si="2"/>
        <v>4</v>
      </c>
      <c r="C16" s="13" t="s">
        <v>4420</v>
      </c>
      <c r="D16" s="13" t="s">
        <v>4415</v>
      </c>
      <c r="E16" s="7"/>
      <c r="F16" s="8" t="s">
        <v>1742</v>
      </c>
      <c r="G16" s="7" t="str">
        <f t="shared" si="3"/>
        <v>numeric</v>
      </c>
      <c r="H16" s="26"/>
      <c r="I16" s="10" t="s">
        <v>127</v>
      </c>
      <c r="J16" s="11"/>
      <c r="M16" s="4"/>
      <c r="N16" s="97"/>
      <c r="O16" s="97"/>
      <c r="P16" s="97" t="str">
        <f t="shared" si="4"/>
        <v>,std_value</v>
      </c>
      <c r="Q16" s="97" t="str">
        <f t="shared" si="0"/>
        <v>NUMERIC</v>
      </c>
      <c r="R16" s="97" t="str">
        <f t="shared" si="1"/>
        <v/>
      </c>
      <c r="S16" s="97" t="str">
        <f t="shared" si="5"/>
        <v>NOT NULL</v>
      </c>
      <c r="T16" s="97" t="str">
        <f t="shared" si="6"/>
        <v>-- 標準偏差値</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"&amp;エンティティ一覧!$O$2&amp;"."&amp;D$8&amp;"."&amp;D16&amp;" IS '"&amp;C16&amp;"';"</f>
        <v>COMMENT ON COLUMN milscm_2023_010.azn_202310_delivery_k_months.std_value IS '標準偏差値';</v>
      </c>
    </row>
    <row r="17" spans="1:52" s="25" customFormat="1" ht="19.5" thickBot="1">
      <c r="A17" s="4"/>
      <c r="B17" s="69">
        <f t="shared" si="2"/>
        <v>5</v>
      </c>
      <c r="C17" s="121" t="s">
        <v>4421</v>
      </c>
      <c r="D17" s="121" t="s">
        <v>4416</v>
      </c>
      <c r="E17" s="71"/>
      <c r="F17" s="71" t="s">
        <v>1845</v>
      </c>
      <c r="G17" s="71" t="str">
        <f t="shared" si="3"/>
        <v>integer</v>
      </c>
      <c r="H17" s="72"/>
      <c r="I17" s="73" t="s">
        <v>127</v>
      </c>
      <c r="J17" s="74"/>
      <c r="M17" s="4"/>
      <c r="N17" s="97"/>
      <c r="O17" s="97"/>
      <c r="P17" s="97" t="str">
        <f t="shared" si="4"/>
        <v>,patient_count</v>
      </c>
      <c r="Q17" s="97" t="str">
        <f t="shared" si="0"/>
        <v>INTEGER</v>
      </c>
      <c r="R17" s="97" t="str">
        <f t="shared" si="1"/>
        <v/>
      </c>
      <c r="S17" s="97" t="str">
        <f t="shared" si="5"/>
        <v>NOT NULL</v>
      </c>
      <c r="T17" s="97" t="str">
        <f t="shared" si="6"/>
        <v>-- 患者数カウント</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milscm_2023_010.azn_202310_delivery_k_months.patient_count IS '患者数カウント';</v>
      </c>
    </row>
    <row r="18" spans="1:52">
      <c r="L18" s="25"/>
      <c r="M18" s="25"/>
      <c r="N18" s="97" t="s">
        <v>142</v>
      </c>
      <c r="O18" s="97"/>
      <c r="P18" s="97"/>
      <c r="Q18" s="97"/>
      <c r="R18" s="97"/>
      <c r="S18" s="97"/>
      <c r="T18" s="97"/>
      <c r="V18" s="25"/>
      <c r="W18" s="25"/>
      <c r="X18" s="25"/>
      <c r="Y18" s="25"/>
      <c r="Z18" s="25"/>
      <c r="AJ18" s="97"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61</v>
      </c>
      <c r="E4" s="248"/>
      <c r="F4" s="248"/>
      <c r="G4" s="248"/>
      <c r="H4" s="248"/>
      <c r="I4" s="248"/>
      <c r="J4" s="249"/>
    </row>
    <row r="5" spans="1:45">
      <c r="B5" s="261" t="s">
        <v>3704</v>
      </c>
      <c r="C5" s="262"/>
      <c r="D5" s="271" t="str">
        <f>VLOOKUP(D7,エンティティ一覧!A1:'エンティティ一覧'!AM10203,7,FALSE)</f>
        <v>delivery</v>
      </c>
      <c r="E5" s="272"/>
      <c r="F5" s="272"/>
      <c r="G5" s="272"/>
      <c r="H5" s="272"/>
      <c r="I5" s="272"/>
      <c r="J5" s="273"/>
    </row>
    <row r="6" spans="1:45">
      <c r="B6" s="261" t="s">
        <v>3705</v>
      </c>
      <c r="C6" s="262"/>
      <c r="D6" s="271" t="str">
        <f>VLOOKUP(D7,エンティティ一覧!A1:'エンティティ一覧'!AM10203,15,FALSE)</f>
        <v>ENT_61_08</v>
      </c>
      <c r="E6" s="272"/>
      <c r="F6" s="272"/>
      <c r="G6" s="272"/>
      <c r="H6" s="272"/>
      <c r="I6" s="272"/>
      <c r="J6" s="273"/>
    </row>
    <row r="7" spans="1:45">
      <c r="B7" s="261" t="s">
        <v>115</v>
      </c>
      <c r="C7" s="262"/>
      <c r="D7" s="263" t="s">
        <v>4438</v>
      </c>
      <c r="E7" s="264"/>
      <c r="F7" s="264"/>
      <c r="G7" s="264"/>
      <c r="H7" s="264"/>
      <c r="I7" s="264"/>
      <c r="J7" s="265"/>
    </row>
    <row r="8" spans="1:45">
      <c r="B8" s="261" t="s">
        <v>116</v>
      </c>
      <c r="C8" s="262"/>
      <c r="D8" s="263" t="str">
        <f>エンティティ一覧!AE2&amp;"_"&amp;D5&amp;"_k_months_look30"</f>
        <v>azn_202310_delivery_k_months_look30</v>
      </c>
      <c r="E8" s="264"/>
      <c r="F8" s="264"/>
      <c r="G8" s="264"/>
      <c r="H8" s="264"/>
      <c r="I8" s="264"/>
      <c r="J8" s="265"/>
    </row>
    <row r="9" spans="1:45" ht="19.5" customHeight="1" thickBot="1">
      <c r="B9" s="266" t="s">
        <v>117</v>
      </c>
      <c r="C9" s="267"/>
      <c r="D9" s="268"/>
      <c r="E9" s="269"/>
      <c r="F9" s="269"/>
      <c r="G9" s="269"/>
      <c r="H9" s="269"/>
      <c r="I9" s="269"/>
      <c r="J9" s="270"/>
    </row>
    <row r="10" spans="1:45">
      <c r="B10" s="19"/>
      <c r="C10" s="19"/>
      <c r="D10" s="5"/>
      <c r="E10" s="5"/>
      <c r="F10" s="5"/>
      <c r="G10" s="5"/>
      <c r="H10" s="5"/>
      <c r="I10" s="5"/>
      <c r="J10" s="18"/>
      <c r="N10" s="97" t="str">
        <f>"--DROP TABLE  "&amp;エンティティ一覧!$O$2&amp;"."&amp;D$8&amp;";"</f>
        <v>--DROP TABLE  milscm_2023_010.azn_202310_delivery_k_months_look30;</v>
      </c>
      <c r="O10" s="97"/>
      <c r="P10" s="97"/>
      <c r="Q10" s="97"/>
      <c r="R10" s="97"/>
      <c r="S10" s="97"/>
      <c r="T10" s="97"/>
      <c r="AJ10" s="97" t="str">
        <f>"ALTER TABLE ONLY "&amp;エンティティ一覧!$O$2&amp;"."&amp;D$8</f>
        <v>ALTER TABLE ONLY milscm_2023_010.azn_202310_delivery_k_months_look30</v>
      </c>
      <c r="AS10" s="97" t="str">
        <f>"ALTER TABLE "&amp;エンティティ一覧!$O$2&amp;"."&amp;D$8&amp;" OWNER TO pgmisgrp1;"</f>
        <v>ALTER TABLE milscm_2023_010.azn_202310_delivery_k_months_look30 OWNER TO pgmisgrp1;</v>
      </c>
    </row>
    <row r="11" spans="1:45" ht="19.5" thickBot="1">
      <c r="B11" s="20" t="s">
        <v>118</v>
      </c>
      <c r="C11" s="19"/>
      <c r="D11" s="5"/>
      <c r="E11" s="5"/>
      <c r="F11" s="5"/>
      <c r="G11" s="5"/>
      <c r="H11" s="5"/>
      <c r="I11" s="5"/>
      <c r="J11" s="18"/>
      <c r="N11" s="97" t="str">
        <f>"CREATE TABLE  "&amp;エンティティ一覧!$O$2&amp;"."&amp;D$8</f>
        <v>CREATE TABLE  milscm_2023_010.azn_202310_delivery_k_months_look30</v>
      </c>
      <c r="O11" s="97"/>
      <c r="P11" s="97"/>
      <c r="Q11" s="97"/>
      <c r="R11" s="97"/>
      <c r="S11" s="97"/>
      <c r="T11" s="97"/>
      <c r="AJ11" s="97" t="str">
        <f>"ADD CONSTRAINT "&amp;D$8&amp;"_pkey PRIMARY KEY"</f>
        <v>ADD CONSTRAINT azn_202310_delivery_k_months_look30_pkey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milscm_2023_010.azn_202310_delivery_k_months_look30 IS 'デリバリ_カリウム平均推移_月別_lb30以上';</v>
      </c>
    </row>
    <row r="13" spans="1:45" s="25" customFormat="1">
      <c r="A13" s="4"/>
      <c r="B13" s="21">
        <f>ROW()-12</f>
        <v>1</v>
      </c>
      <c r="C13" s="6" t="s">
        <v>4417</v>
      </c>
      <c r="D13" s="6" t="s">
        <v>4413</v>
      </c>
      <c r="E13" s="8" t="s">
        <v>127</v>
      </c>
      <c r="F13" s="8" t="s">
        <v>1735</v>
      </c>
      <c r="G13" s="7" t="str">
        <f>IF(F13="フラグ","boolean",IF(F13="文字列","text",IF(F13="整数","integer",IF(F13="実数","numeric",""))))</f>
        <v>text</v>
      </c>
      <c r="H13" s="9"/>
      <c r="I13" s="10" t="s">
        <v>127</v>
      </c>
      <c r="J13" s="11" t="s">
        <v>4422</v>
      </c>
      <c r="M13" s="4"/>
      <c r="N13" s="97"/>
      <c r="O13" s="97"/>
      <c r="P13" s="97" t="str">
        <f>IF(B13&lt;&gt;1,","&amp;D13,D13)</f>
        <v>cate_egfr_summary</v>
      </c>
      <c r="Q13" s="97" t="str">
        <f t="shared" ref="Q13:Q17" si="0">UPPER(G13)</f>
        <v>TEXT</v>
      </c>
      <c r="R13" s="97" t="str">
        <f t="shared" ref="R13:R17" si="1">IF(H13&lt;&gt;"","default "&amp;IF(G13="text","'"&amp;H13&amp;"'",H13),"")</f>
        <v/>
      </c>
      <c r="S13" s="97" t="str">
        <f>IF(I13="○","NOT NULL","")</f>
        <v>NOT NULL</v>
      </c>
      <c r="T13" s="97" t="str">
        <f>"-- "&amp;C13</f>
        <v>-- eGFRサマリ</v>
      </c>
      <c r="U13" s="4"/>
      <c r="AA13" s="4"/>
      <c r="AB13" s="4"/>
      <c r="AC13" s="4"/>
      <c r="AD13" s="4"/>
      <c r="AE13" s="4"/>
      <c r="AF13" s="4"/>
      <c r="AG13" s="4"/>
      <c r="AH13" s="4"/>
      <c r="AI13" s="4"/>
      <c r="AJ13" s="97" t="str">
        <f>IF(E13="○",IF(COUNTA(E$13:E13)=1,"",",")&amp;D13,"")</f>
        <v>cate_egfr_summary</v>
      </c>
      <c r="AK13" s="4"/>
      <c r="AL13" s="4"/>
      <c r="AM13" s="4"/>
      <c r="AN13" s="4"/>
      <c r="AO13" s="4"/>
      <c r="AP13" s="4"/>
      <c r="AQ13" s="4"/>
      <c r="AR13" s="4"/>
      <c r="AS13" s="97" t="str">
        <f>"COMMENT ON COLUMN "&amp;エンティティ一覧!$O$2&amp;"."&amp;D$8&amp;"."&amp;D13&amp;" IS '"&amp;C13&amp;"';"</f>
        <v>COMMENT ON COLUMN milscm_2023_010.azn_202310_delivery_k_months_look30.cate_egfr_summary IS 'eGFRサマリ';</v>
      </c>
    </row>
    <row r="14" spans="1:45" s="25" customFormat="1">
      <c r="A14" s="4"/>
      <c r="B14" s="21">
        <f t="shared" ref="B14:B17" si="2">ROW()-12</f>
        <v>2</v>
      </c>
      <c r="C14" s="6" t="s">
        <v>4253</v>
      </c>
      <c r="D14" s="6" t="s">
        <v>4435</v>
      </c>
      <c r="E14" s="8" t="s">
        <v>127</v>
      </c>
      <c r="F14" s="8" t="s">
        <v>1845</v>
      </c>
      <c r="G14" s="7" t="str">
        <f t="shared" ref="G14:G17" si="3">IF(F14="フラグ","boolean",IF(F14="文字列","text",IF(F14="整数","integer",IF(F14="実数","numeric",""))))</f>
        <v>integer</v>
      </c>
      <c r="H14" s="26"/>
      <c r="I14" s="10" t="s">
        <v>127</v>
      </c>
      <c r="J14" s="11"/>
      <c r="M14" s="4"/>
      <c r="N14" s="97"/>
      <c r="O14" s="97"/>
      <c r="P14" s="97" t="str">
        <f t="shared" ref="P14:P17" si="4">IF(B14&lt;&gt;1,","&amp;D14,D14)</f>
        <v>,months</v>
      </c>
      <c r="Q14" s="97" t="str">
        <f t="shared" si="0"/>
        <v>INTEGER</v>
      </c>
      <c r="R14" s="97" t="str">
        <f t="shared" si="1"/>
        <v/>
      </c>
      <c r="S14" s="97" t="str">
        <f t="shared" ref="S14:S17" si="5">IF(I14="○","NOT NULL","")</f>
        <v>NOT NULL</v>
      </c>
      <c r="T14" s="97" t="str">
        <f t="shared" ref="T14:T17" si="6">"-- "&amp;C14</f>
        <v>-- 経過月</v>
      </c>
      <c r="U14" s="4"/>
      <c r="AA14" s="4"/>
      <c r="AB14" s="4"/>
      <c r="AC14" s="4"/>
      <c r="AD14" s="4"/>
      <c r="AE14" s="4"/>
      <c r="AF14" s="4"/>
      <c r="AG14" s="4"/>
      <c r="AH14" s="4"/>
      <c r="AI14" s="4"/>
      <c r="AJ14" s="97" t="str">
        <f>IF(E14="○",IF(COUNTA(E$13:E14)=1,"",",")&amp;D14,"")</f>
        <v>,months</v>
      </c>
      <c r="AK14" s="4"/>
      <c r="AL14" s="4"/>
      <c r="AM14" s="4"/>
      <c r="AN14" s="4"/>
      <c r="AO14" s="4"/>
      <c r="AP14" s="4"/>
      <c r="AQ14" s="4"/>
      <c r="AR14" s="4"/>
      <c r="AS14" s="97" t="str">
        <f>"COMMENT ON COLUMN "&amp;エンティティ一覧!$O$2&amp;"."&amp;D$8&amp;"."&amp;D14&amp;" IS '"&amp;C14&amp;"';"</f>
        <v>COMMENT ON COLUMN milscm_2023_010.azn_202310_delivery_k_months_look30.months IS '経過月';</v>
      </c>
    </row>
    <row r="15" spans="1:45" s="25" customFormat="1">
      <c r="A15" s="4"/>
      <c r="B15" s="21">
        <f t="shared" si="2"/>
        <v>3</v>
      </c>
      <c r="C15" s="13" t="s">
        <v>4419</v>
      </c>
      <c r="D15" s="13" t="s">
        <v>4414</v>
      </c>
      <c r="E15" s="7"/>
      <c r="F15" s="8" t="s">
        <v>1742</v>
      </c>
      <c r="G15" s="7" t="str">
        <f t="shared" si="3"/>
        <v>numeric</v>
      </c>
      <c r="H15" s="26"/>
      <c r="I15" s="10" t="s">
        <v>127</v>
      </c>
      <c r="J15" s="11"/>
      <c r="M15" s="4"/>
      <c r="N15" s="97"/>
      <c r="O15" s="97"/>
      <c r="P15" s="97" t="str">
        <f t="shared" si="4"/>
        <v>,avg_value</v>
      </c>
      <c r="Q15" s="97" t="str">
        <f t="shared" si="0"/>
        <v>NUMERIC</v>
      </c>
      <c r="R15" s="97" t="str">
        <f t="shared" si="1"/>
        <v/>
      </c>
      <c r="S15" s="97" t="str">
        <f t="shared" si="5"/>
        <v>NOT NULL</v>
      </c>
      <c r="T15" s="97" t="str">
        <f t="shared" si="6"/>
        <v>-- 平均値</v>
      </c>
      <c r="U15" s="4"/>
      <c r="AA15" s="4"/>
      <c r="AB15" s="4"/>
      <c r="AC15" s="4"/>
      <c r="AD15" s="4"/>
      <c r="AE15" s="4"/>
      <c r="AF15" s="4"/>
      <c r="AG15" s="4"/>
      <c r="AH15" s="4"/>
      <c r="AI15" s="4"/>
      <c r="AJ15" s="97" t="str">
        <f>IF(E15="○",IF(COUNTA(E$13:E15)=1,"",",")&amp;D15,"")</f>
        <v/>
      </c>
      <c r="AK15" s="4"/>
      <c r="AL15" s="4"/>
      <c r="AM15" s="4"/>
      <c r="AN15" s="4"/>
      <c r="AO15" s="4"/>
      <c r="AP15" s="4"/>
      <c r="AQ15" s="4"/>
      <c r="AR15" s="4"/>
      <c r="AS15" s="97" t="str">
        <f>"COMMENT ON COLUMN "&amp;エンティティ一覧!$O$2&amp;"."&amp;D$8&amp;"."&amp;D15&amp;" IS '"&amp;C15&amp;"';"</f>
        <v>COMMENT ON COLUMN milscm_2023_010.azn_202310_delivery_k_months_look30.avg_value IS '平均値';</v>
      </c>
    </row>
    <row r="16" spans="1:45" s="25" customFormat="1">
      <c r="A16" s="4"/>
      <c r="B16" s="21">
        <f t="shared" si="2"/>
        <v>4</v>
      </c>
      <c r="C16" s="13" t="s">
        <v>4420</v>
      </c>
      <c r="D16" s="13" t="s">
        <v>4415</v>
      </c>
      <c r="E16" s="7"/>
      <c r="F16" s="8" t="s">
        <v>1742</v>
      </c>
      <c r="G16" s="7" t="str">
        <f t="shared" si="3"/>
        <v>numeric</v>
      </c>
      <c r="H16" s="26"/>
      <c r="I16" s="10" t="s">
        <v>127</v>
      </c>
      <c r="J16" s="11"/>
      <c r="M16" s="4"/>
      <c r="N16" s="97"/>
      <c r="O16" s="97"/>
      <c r="P16" s="97" t="str">
        <f t="shared" si="4"/>
        <v>,std_value</v>
      </c>
      <c r="Q16" s="97" t="str">
        <f t="shared" si="0"/>
        <v>NUMERIC</v>
      </c>
      <c r="R16" s="97" t="str">
        <f t="shared" si="1"/>
        <v/>
      </c>
      <c r="S16" s="97" t="str">
        <f t="shared" si="5"/>
        <v>NOT NULL</v>
      </c>
      <c r="T16" s="97" t="str">
        <f t="shared" si="6"/>
        <v>-- 標準偏差値</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"&amp;エンティティ一覧!$O$2&amp;"."&amp;D$8&amp;"."&amp;D16&amp;" IS '"&amp;C16&amp;"';"</f>
        <v>COMMENT ON COLUMN milscm_2023_010.azn_202310_delivery_k_months_look30.std_value IS '標準偏差値';</v>
      </c>
    </row>
    <row r="17" spans="1:52" s="25" customFormat="1" ht="19.5" thickBot="1">
      <c r="A17" s="4"/>
      <c r="B17" s="69">
        <f t="shared" si="2"/>
        <v>5</v>
      </c>
      <c r="C17" s="121" t="s">
        <v>4421</v>
      </c>
      <c r="D17" s="121" t="s">
        <v>4416</v>
      </c>
      <c r="E17" s="71"/>
      <c r="F17" s="71" t="s">
        <v>1845</v>
      </c>
      <c r="G17" s="71" t="str">
        <f t="shared" si="3"/>
        <v>integer</v>
      </c>
      <c r="H17" s="72"/>
      <c r="I17" s="73" t="s">
        <v>127</v>
      </c>
      <c r="J17" s="74"/>
      <c r="M17" s="4"/>
      <c r="N17" s="97"/>
      <c r="O17" s="97"/>
      <c r="P17" s="97" t="str">
        <f t="shared" si="4"/>
        <v>,patient_count</v>
      </c>
      <c r="Q17" s="97" t="str">
        <f t="shared" si="0"/>
        <v>INTEGER</v>
      </c>
      <c r="R17" s="97" t="str">
        <f t="shared" si="1"/>
        <v/>
      </c>
      <c r="S17" s="97" t="str">
        <f t="shared" si="5"/>
        <v>NOT NULL</v>
      </c>
      <c r="T17" s="97" t="str">
        <f t="shared" si="6"/>
        <v>-- 患者数カウント</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milscm_2023_010.azn_202310_delivery_k_months_look30.patient_count IS '患者数カウント';</v>
      </c>
    </row>
    <row r="18" spans="1:52">
      <c r="L18" s="25"/>
      <c r="M18" s="25"/>
      <c r="N18" s="97" t="s">
        <v>142</v>
      </c>
      <c r="O18" s="97"/>
      <c r="P18" s="97"/>
      <c r="Q18" s="97"/>
      <c r="R18" s="97"/>
      <c r="S18" s="97"/>
      <c r="T18" s="97"/>
      <c r="V18" s="25"/>
      <c r="W18" s="25"/>
      <c r="X18" s="25"/>
      <c r="Y18" s="25"/>
      <c r="Z18" s="25"/>
      <c r="AJ18" s="97"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61</v>
      </c>
      <c r="E4" s="248"/>
      <c r="F4" s="248"/>
      <c r="G4" s="248"/>
      <c r="H4" s="248"/>
      <c r="I4" s="248"/>
      <c r="J4" s="249"/>
    </row>
    <row r="5" spans="1:45">
      <c r="B5" s="261" t="s">
        <v>3704</v>
      </c>
      <c r="C5" s="262"/>
      <c r="D5" s="271" t="str">
        <f>VLOOKUP(D7,エンティティ一覧!A1:'エンティティ一覧'!AM10203,7,FALSE)</f>
        <v>delivery</v>
      </c>
      <c r="E5" s="272"/>
      <c r="F5" s="272"/>
      <c r="G5" s="272"/>
      <c r="H5" s="272"/>
      <c r="I5" s="272"/>
      <c r="J5" s="273"/>
    </row>
    <row r="6" spans="1:45">
      <c r="B6" s="261" t="s">
        <v>3705</v>
      </c>
      <c r="C6" s="262"/>
      <c r="D6" s="271" t="str">
        <f>VLOOKUP(D7,エンティティ一覧!A1:'エンティティ一覧'!AM10203,15,FALSE)</f>
        <v>ENT_61_09</v>
      </c>
      <c r="E6" s="272"/>
      <c r="F6" s="272"/>
      <c r="G6" s="272"/>
      <c r="H6" s="272"/>
      <c r="I6" s="272"/>
      <c r="J6" s="273"/>
    </row>
    <row r="7" spans="1:45">
      <c r="B7" s="261" t="s">
        <v>115</v>
      </c>
      <c r="C7" s="262"/>
      <c r="D7" s="263" t="s">
        <v>4442</v>
      </c>
      <c r="E7" s="264"/>
      <c r="F7" s="264"/>
      <c r="G7" s="264"/>
      <c r="H7" s="264"/>
      <c r="I7" s="264"/>
      <c r="J7" s="265"/>
    </row>
    <row r="8" spans="1:45">
      <c r="B8" s="261" t="s">
        <v>116</v>
      </c>
      <c r="C8" s="262"/>
      <c r="D8" s="263" t="str">
        <f>エンティティ一覧!AE2&amp;"_"&amp;D5&amp;"_k_days_all"</f>
        <v>azn_202310_delivery_k_days_all</v>
      </c>
      <c r="E8" s="264"/>
      <c r="F8" s="264"/>
      <c r="G8" s="264"/>
      <c r="H8" s="264"/>
      <c r="I8" s="264"/>
      <c r="J8" s="265"/>
    </row>
    <row r="9" spans="1:45" ht="19.5" customHeight="1" thickBot="1">
      <c r="B9" s="266" t="s">
        <v>117</v>
      </c>
      <c r="C9" s="267"/>
      <c r="D9" s="268" t="s">
        <v>4513</v>
      </c>
      <c r="E9" s="269"/>
      <c r="F9" s="269"/>
      <c r="G9" s="269"/>
      <c r="H9" s="269"/>
      <c r="I9" s="269"/>
      <c r="J9" s="270"/>
    </row>
    <row r="10" spans="1:45">
      <c r="B10" s="19"/>
      <c r="C10" s="19"/>
      <c r="D10" s="5"/>
      <c r="E10" s="5"/>
      <c r="F10" s="5"/>
      <c r="G10" s="5"/>
      <c r="H10" s="5"/>
      <c r="I10" s="5"/>
      <c r="J10" s="18"/>
      <c r="N10" s="97" t="str">
        <f>"--DROP TABLE  "&amp;エンティティ一覧!$O$2&amp;"."&amp;D$8&amp;";"</f>
        <v>--DROP TABLE  milscm_2023_010.azn_202310_delivery_k_days_all;</v>
      </c>
      <c r="O10" s="97"/>
      <c r="P10" s="97"/>
      <c r="Q10" s="97"/>
      <c r="R10" s="97"/>
      <c r="S10" s="97"/>
      <c r="T10" s="97"/>
      <c r="AJ10" s="97" t="str">
        <f>"ALTER TABLE ONLY "&amp;エンティティ一覧!$O$2&amp;"."&amp;D$8</f>
        <v>ALTER TABLE ONLY milscm_2023_010.azn_202310_delivery_k_days_all</v>
      </c>
      <c r="AS10" s="97" t="str">
        <f>"ALTER TABLE "&amp;エンティティ一覧!$O$2&amp;"."&amp;D$8&amp;" OWNER TO pgmisgrp1;"</f>
        <v>ALTER TABLE milscm_2023_010.azn_202310_delivery_k_days_all OWNER TO pgmisgrp1;</v>
      </c>
    </row>
    <row r="11" spans="1:45" ht="19.5" thickBot="1">
      <c r="B11" s="20" t="s">
        <v>118</v>
      </c>
      <c r="C11" s="19"/>
      <c r="D11" s="5"/>
      <c r="E11" s="5"/>
      <c r="F11" s="5"/>
      <c r="G11" s="5"/>
      <c r="H11" s="5"/>
      <c r="I11" s="5"/>
      <c r="J11" s="18"/>
      <c r="N11" s="97" t="str">
        <f>"CREATE TABLE  "&amp;エンティティ一覧!$O$2&amp;"."&amp;D$8</f>
        <v>CREATE TABLE  milscm_2023_010.azn_202310_delivery_k_days_all</v>
      </c>
      <c r="O11" s="97"/>
      <c r="P11" s="97"/>
      <c r="Q11" s="97"/>
      <c r="R11" s="97"/>
      <c r="S11" s="97"/>
      <c r="T11" s="97"/>
      <c r="AJ11" s="97" t="str">
        <f>"ADD CONSTRAINT "&amp;D$8&amp;"_pkey PRIMARY KEY"</f>
        <v>ADD CONSTRAINT azn_202310_delivery_k_days_all_pkey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milscm_2023_010.azn_202310_delivery_k_days_all IS 'デリバリ_カリウム平均推移_日別_全患者';</v>
      </c>
    </row>
    <row r="13" spans="1:45" s="25" customFormat="1">
      <c r="A13" s="4"/>
      <c r="B13" s="21">
        <f>ROW()-12</f>
        <v>1</v>
      </c>
      <c r="C13" s="6" t="s">
        <v>4417</v>
      </c>
      <c r="D13" s="6" t="s">
        <v>4413</v>
      </c>
      <c r="E13" s="8" t="s">
        <v>127</v>
      </c>
      <c r="F13" s="8" t="s">
        <v>1735</v>
      </c>
      <c r="G13" s="7" t="str">
        <f>IF(F13="フラグ","boolean",IF(F13="文字列","text",IF(F13="整数","integer",IF(F13="実数","numeric",""))))</f>
        <v>text</v>
      </c>
      <c r="H13" s="9"/>
      <c r="I13" s="10" t="s">
        <v>127</v>
      </c>
      <c r="J13" s="11" t="s">
        <v>4445</v>
      </c>
      <c r="M13" s="4"/>
      <c r="N13" s="97"/>
      <c r="O13" s="97"/>
      <c r="P13" s="97" t="str">
        <f>IF(B13&lt;&gt;1,","&amp;D13,D13)</f>
        <v>cate_egfr_summary</v>
      </c>
      <c r="Q13" s="97" t="str">
        <f t="shared" ref="Q13:Q17" si="0">UPPER(G13)</f>
        <v>TEXT</v>
      </c>
      <c r="R13" s="97" t="str">
        <f t="shared" ref="R13:R17" si="1">IF(H13&lt;&gt;"","default "&amp;IF(G13="text","'"&amp;H13&amp;"'",H13),"")</f>
        <v/>
      </c>
      <c r="S13" s="97" t="str">
        <f>IF(I13="○","NOT NULL","")</f>
        <v>NOT NULL</v>
      </c>
      <c r="T13" s="97" t="str">
        <f>"-- "&amp;C13</f>
        <v>-- eGFRサマリ</v>
      </c>
      <c r="U13" s="4"/>
      <c r="AA13" s="4"/>
      <c r="AB13" s="4"/>
      <c r="AC13" s="4"/>
      <c r="AD13" s="4"/>
      <c r="AE13" s="4"/>
      <c r="AF13" s="4"/>
      <c r="AG13" s="4"/>
      <c r="AH13" s="4"/>
      <c r="AI13" s="4"/>
      <c r="AJ13" s="97" t="str">
        <f>IF(E13="○",IF(COUNTA(E$13:E13)=1,"",",")&amp;D13,"")</f>
        <v>cate_egfr_summary</v>
      </c>
      <c r="AK13" s="4"/>
      <c r="AL13" s="4"/>
      <c r="AM13" s="4"/>
      <c r="AN13" s="4"/>
      <c r="AO13" s="4"/>
      <c r="AP13" s="4"/>
      <c r="AQ13" s="4"/>
      <c r="AR13" s="4"/>
      <c r="AS13" s="97" t="str">
        <f>"COMMENT ON COLUMN "&amp;エンティティ一覧!$O$2&amp;"."&amp;D$8&amp;"."&amp;D13&amp;" IS '"&amp;C13&amp;"';"</f>
        <v>COMMENT ON COLUMN milscm_2023_010.azn_202310_delivery_k_days_all.cate_egfr_summary IS 'eGFRサマリ';</v>
      </c>
    </row>
    <row r="14" spans="1:45" s="25" customFormat="1">
      <c r="A14" s="4"/>
      <c r="B14" s="21">
        <f t="shared" ref="B14:B17" si="2">ROW()-12</f>
        <v>2</v>
      </c>
      <c r="C14" s="6" t="s">
        <v>4418</v>
      </c>
      <c r="D14" s="6" t="s">
        <v>4245</v>
      </c>
      <c r="E14" s="8" t="s">
        <v>127</v>
      </c>
      <c r="F14" s="8" t="s">
        <v>1845</v>
      </c>
      <c r="G14" s="7" t="str">
        <f t="shared" ref="G14:G17" si="3">IF(F14="フラグ","boolean",IF(F14="文字列","text",IF(F14="整数","integer",IF(F14="実数","numeric",""))))</f>
        <v>integer</v>
      </c>
      <c r="H14" s="26"/>
      <c r="I14" s="10" t="s">
        <v>127</v>
      </c>
      <c r="J14" s="11"/>
      <c r="M14" s="4"/>
      <c r="N14" s="97"/>
      <c r="O14" s="97"/>
      <c r="P14" s="97" t="str">
        <f t="shared" ref="P14:P17" si="4">IF(B14&lt;&gt;1,","&amp;D14,D14)</f>
        <v>,days</v>
      </c>
      <c r="Q14" s="97" t="str">
        <f t="shared" si="0"/>
        <v>INTEGER</v>
      </c>
      <c r="R14" s="97" t="str">
        <f t="shared" si="1"/>
        <v/>
      </c>
      <c r="S14" s="97" t="str">
        <f t="shared" ref="S14:S17" si="5">IF(I14="○","NOT NULL","")</f>
        <v>NOT NULL</v>
      </c>
      <c r="T14" s="97" t="str">
        <f t="shared" ref="T14:T17" si="6">"-- "&amp;C14</f>
        <v>-- 経過日</v>
      </c>
      <c r="U14" s="4"/>
      <c r="AA14" s="4"/>
      <c r="AB14" s="4"/>
      <c r="AC14" s="4"/>
      <c r="AD14" s="4"/>
      <c r="AE14" s="4"/>
      <c r="AF14" s="4"/>
      <c r="AG14" s="4"/>
      <c r="AH14" s="4"/>
      <c r="AI14" s="4"/>
      <c r="AJ14" s="97" t="str">
        <f>IF(E14="○",IF(COUNTA(E$13:E14)=1,"",",")&amp;D14,"")</f>
        <v>,days</v>
      </c>
      <c r="AK14" s="4"/>
      <c r="AL14" s="4"/>
      <c r="AM14" s="4"/>
      <c r="AN14" s="4"/>
      <c r="AO14" s="4"/>
      <c r="AP14" s="4"/>
      <c r="AQ14" s="4"/>
      <c r="AR14" s="4"/>
      <c r="AS14" s="97" t="str">
        <f>"COMMENT ON COLUMN "&amp;エンティティ一覧!$O$2&amp;"."&amp;D$8&amp;"."&amp;D14&amp;" IS '"&amp;C14&amp;"';"</f>
        <v>COMMENT ON COLUMN milscm_2023_010.azn_202310_delivery_k_days_all.days IS '経過日';</v>
      </c>
    </row>
    <row r="15" spans="1:45" s="25" customFormat="1">
      <c r="A15" s="4"/>
      <c r="B15" s="21">
        <f t="shared" si="2"/>
        <v>3</v>
      </c>
      <c r="C15" s="13" t="s">
        <v>4419</v>
      </c>
      <c r="D15" s="13" t="s">
        <v>4414</v>
      </c>
      <c r="E15" s="7"/>
      <c r="F15" s="8" t="s">
        <v>1742</v>
      </c>
      <c r="G15" s="7" t="str">
        <f t="shared" si="3"/>
        <v>numeric</v>
      </c>
      <c r="H15" s="26"/>
      <c r="I15" s="10" t="s">
        <v>127</v>
      </c>
      <c r="J15" s="11"/>
      <c r="M15" s="4"/>
      <c r="N15" s="97"/>
      <c r="O15" s="97"/>
      <c r="P15" s="97" t="str">
        <f t="shared" si="4"/>
        <v>,avg_value</v>
      </c>
      <c r="Q15" s="97" t="str">
        <f t="shared" si="0"/>
        <v>NUMERIC</v>
      </c>
      <c r="R15" s="97" t="str">
        <f t="shared" si="1"/>
        <v/>
      </c>
      <c r="S15" s="97" t="str">
        <f t="shared" si="5"/>
        <v>NOT NULL</v>
      </c>
      <c r="T15" s="97" t="str">
        <f t="shared" si="6"/>
        <v>-- 平均値</v>
      </c>
      <c r="U15" s="4"/>
      <c r="AA15" s="4"/>
      <c r="AB15" s="4"/>
      <c r="AC15" s="4"/>
      <c r="AD15" s="4"/>
      <c r="AE15" s="4"/>
      <c r="AF15" s="4"/>
      <c r="AG15" s="4"/>
      <c r="AH15" s="4"/>
      <c r="AI15" s="4"/>
      <c r="AJ15" s="97" t="str">
        <f>IF(E15="○",IF(COUNTA(E$13:E15)=1,"",",")&amp;D15,"")</f>
        <v/>
      </c>
      <c r="AK15" s="4"/>
      <c r="AL15" s="4"/>
      <c r="AM15" s="4"/>
      <c r="AN15" s="4"/>
      <c r="AO15" s="4"/>
      <c r="AP15" s="4"/>
      <c r="AQ15" s="4"/>
      <c r="AR15" s="4"/>
      <c r="AS15" s="97" t="str">
        <f>"COMMENT ON COLUMN "&amp;エンティティ一覧!$O$2&amp;"."&amp;D$8&amp;"."&amp;D15&amp;" IS '"&amp;C15&amp;"';"</f>
        <v>COMMENT ON COLUMN milscm_2023_010.azn_202310_delivery_k_days_all.avg_value IS '平均値';</v>
      </c>
    </row>
    <row r="16" spans="1:45" s="25" customFormat="1">
      <c r="A16" s="4"/>
      <c r="B16" s="21">
        <f t="shared" si="2"/>
        <v>4</v>
      </c>
      <c r="C16" s="13" t="s">
        <v>4420</v>
      </c>
      <c r="D16" s="13" t="s">
        <v>4415</v>
      </c>
      <c r="E16" s="7"/>
      <c r="F16" s="8" t="s">
        <v>1742</v>
      </c>
      <c r="G16" s="7" t="str">
        <f t="shared" si="3"/>
        <v>numeric</v>
      </c>
      <c r="H16" s="26"/>
      <c r="I16" s="10" t="s">
        <v>127</v>
      </c>
      <c r="J16" s="11"/>
      <c r="M16" s="4"/>
      <c r="N16" s="97"/>
      <c r="O16" s="97"/>
      <c r="P16" s="97" t="str">
        <f t="shared" si="4"/>
        <v>,std_value</v>
      </c>
      <c r="Q16" s="97" t="str">
        <f t="shared" si="0"/>
        <v>NUMERIC</v>
      </c>
      <c r="R16" s="97" t="str">
        <f t="shared" si="1"/>
        <v/>
      </c>
      <c r="S16" s="97" t="str">
        <f t="shared" si="5"/>
        <v>NOT NULL</v>
      </c>
      <c r="T16" s="97" t="str">
        <f t="shared" si="6"/>
        <v>-- 標準偏差値</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"&amp;エンティティ一覧!$O$2&amp;"."&amp;D$8&amp;"."&amp;D16&amp;" IS '"&amp;C16&amp;"';"</f>
        <v>COMMENT ON COLUMN milscm_2023_010.azn_202310_delivery_k_days_all.std_value IS '標準偏差値';</v>
      </c>
    </row>
    <row r="17" spans="1:52" s="25" customFormat="1" ht="19.5" thickBot="1">
      <c r="A17" s="4"/>
      <c r="B17" s="69">
        <f t="shared" si="2"/>
        <v>5</v>
      </c>
      <c r="C17" s="121" t="s">
        <v>4421</v>
      </c>
      <c r="D17" s="121" t="s">
        <v>4416</v>
      </c>
      <c r="E17" s="71"/>
      <c r="F17" s="71" t="s">
        <v>1845</v>
      </c>
      <c r="G17" s="71" t="str">
        <f t="shared" si="3"/>
        <v>integer</v>
      </c>
      <c r="H17" s="72"/>
      <c r="I17" s="73" t="s">
        <v>127</v>
      </c>
      <c r="J17" s="74"/>
      <c r="M17" s="4"/>
      <c r="N17" s="97"/>
      <c r="O17" s="97"/>
      <c r="P17" s="97" t="str">
        <f t="shared" si="4"/>
        <v>,patient_count</v>
      </c>
      <c r="Q17" s="97" t="str">
        <f t="shared" si="0"/>
        <v>INTEGER</v>
      </c>
      <c r="R17" s="97" t="str">
        <f t="shared" si="1"/>
        <v/>
      </c>
      <c r="S17" s="97" t="str">
        <f t="shared" si="5"/>
        <v>NOT NULL</v>
      </c>
      <c r="T17" s="97" t="str">
        <f t="shared" si="6"/>
        <v>-- 患者数カウント</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milscm_2023_010.azn_202310_delivery_k_days_all.patient_count IS '患者数カウント';</v>
      </c>
    </row>
    <row r="18" spans="1:52">
      <c r="L18" s="25"/>
      <c r="M18" s="25"/>
      <c r="N18" s="97" t="s">
        <v>142</v>
      </c>
      <c r="O18" s="97"/>
      <c r="P18" s="97"/>
      <c r="Q18" s="97"/>
      <c r="R18" s="97"/>
      <c r="S18" s="97"/>
      <c r="T18" s="97"/>
      <c r="V18" s="25"/>
      <c r="W18" s="25"/>
      <c r="X18" s="25"/>
      <c r="Y18" s="25"/>
      <c r="Z18" s="25"/>
      <c r="AJ18" s="97"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61</v>
      </c>
      <c r="E4" s="248"/>
      <c r="F4" s="248"/>
      <c r="G4" s="248"/>
      <c r="H4" s="248"/>
      <c r="I4" s="248"/>
      <c r="J4" s="249"/>
    </row>
    <row r="5" spans="1:45">
      <c r="B5" s="261" t="s">
        <v>3704</v>
      </c>
      <c r="C5" s="262"/>
      <c r="D5" s="271" t="str">
        <f>VLOOKUP(D7,エンティティ一覧!A1:'エンティティ一覧'!AM10203,7,FALSE)</f>
        <v>delivery</v>
      </c>
      <c r="E5" s="272"/>
      <c r="F5" s="272"/>
      <c r="G5" s="272"/>
      <c r="H5" s="272"/>
      <c r="I5" s="272"/>
      <c r="J5" s="273"/>
    </row>
    <row r="6" spans="1:45">
      <c r="B6" s="261" t="s">
        <v>3705</v>
      </c>
      <c r="C6" s="262"/>
      <c r="D6" s="271" t="str">
        <f>VLOOKUP(D7,エンティティ一覧!A1:'エンティティ一覧'!AM10203,15,FALSE)</f>
        <v>ENT_61_10</v>
      </c>
      <c r="E6" s="272"/>
      <c r="F6" s="272"/>
      <c r="G6" s="272"/>
      <c r="H6" s="272"/>
      <c r="I6" s="272"/>
      <c r="J6" s="273"/>
    </row>
    <row r="7" spans="1:45">
      <c r="B7" s="261" t="s">
        <v>115</v>
      </c>
      <c r="C7" s="262"/>
      <c r="D7" s="263" t="s">
        <v>4447</v>
      </c>
      <c r="E7" s="264"/>
      <c r="F7" s="264"/>
      <c r="G7" s="264"/>
      <c r="H7" s="264"/>
      <c r="I7" s="264"/>
      <c r="J7" s="265"/>
    </row>
    <row r="8" spans="1:45">
      <c r="B8" s="261" t="s">
        <v>116</v>
      </c>
      <c r="C8" s="262"/>
      <c r="D8" s="263" t="str">
        <f>エンティティ一覧!AE2&amp;"_"&amp;D5&amp;"_k_days_all_look30"</f>
        <v>azn_202310_delivery_k_days_all_look30</v>
      </c>
      <c r="E8" s="264"/>
      <c r="F8" s="264"/>
      <c r="G8" s="264"/>
      <c r="H8" s="264"/>
      <c r="I8" s="264"/>
      <c r="J8" s="265"/>
    </row>
    <row r="9" spans="1:45" ht="19.5" customHeight="1" thickBot="1">
      <c r="B9" s="266" t="s">
        <v>117</v>
      </c>
      <c r="C9" s="267"/>
      <c r="D9" s="268"/>
      <c r="E9" s="269"/>
      <c r="F9" s="269"/>
      <c r="G9" s="269"/>
      <c r="H9" s="269"/>
      <c r="I9" s="269"/>
      <c r="J9" s="270"/>
    </row>
    <row r="10" spans="1:45">
      <c r="B10" s="19"/>
      <c r="C10" s="19"/>
      <c r="D10" s="5"/>
      <c r="E10" s="5"/>
      <c r="F10" s="5"/>
      <c r="G10" s="5"/>
      <c r="H10" s="5"/>
      <c r="I10" s="5"/>
      <c r="J10" s="18"/>
      <c r="N10" s="97" t="str">
        <f>"--DROP TABLE  "&amp;エンティティ一覧!$O$2&amp;"."&amp;D$8&amp;";"</f>
        <v>--DROP TABLE  milscm_2023_010.azn_202310_delivery_k_days_all_look30;</v>
      </c>
      <c r="O10" s="97"/>
      <c r="P10" s="97"/>
      <c r="Q10" s="97"/>
      <c r="R10" s="97"/>
      <c r="S10" s="97"/>
      <c r="T10" s="97"/>
      <c r="AJ10" s="97" t="str">
        <f>"ALTER TABLE ONLY "&amp;エンティティ一覧!$O$2&amp;"."&amp;D$8</f>
        <v>ALTER TABLE ONLY milscm_2023_010.azn_202310_delivery_k_days_all_look30</v>
      </c>
      <c r="AS10" s="97" t="str">
        <f>"ALTER TABLE "&amp;エンティティ一覧!$O$2&amp;"."&amp;D$8&amp;" OWNER TO pgmisgrp1;"</f>
        <v>ALTER TABLE milscm_2023_010.azn_202310_delivery_k_days_all_look30 OWNER TO pgmisgrp1;</v>
      </c>
    </row>
    <row r="11" spans="1:45" ht="19.5" thickBot="1">
      <c r="B11" s="20" t="s">
        <v>118</v>
      </c>
      <c r="C11" s="19"/>
      <c r="D11" s="5"/>
      <c r="E11" s="5"/>
      <c r="F11" s="5"/>
      <c r="G11" s="5"/>
      <c r="H11" s="5"/>
      <c r="I11" s="5"/>
      <c r="J11" s="18"/>
      <c r="N11" s="97" t="str">
        <f>"CREATE TABLE  "&amp;エンティティ一覧!$O$2&amp;"."&amp;D$8</f>
        <v>CREATE TABLE  milscm_2023_010.azn_202310_delivery_k_days_all_look30</v>
      </c>
      <c r="O11" s="97"/>
      <c r="P11" s="97"/>
      <c r="Q11" s="97"/>
      <c r="R11" s="97"/>
      <c r="S11" s="97"/>
      <c r="T11" s="97"/>
      <c r="AJ11" s="97" t="str">
        <f>"ADD CONSTRAINT "&amp;D$8&amp;"_pkey PRIMARY KEY"</f>
        <v>ADD CONSTRAINT azn_202310_delivery_k_days_all_look30_pkey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milscm_2023_010.azn_202310_delivery_k_days_all_look30 IS 'デリバリ_カリウム平均推移_日別_全患者_lb30以上';</v>
      </c>
    </row>
    <row r="13" spans="1:45" s="25" customFormat="1">
      <c r="A13" s="4"/>
      <c r="B13" s="21">
        <f>ROW()-12</f>
        <v>1</v>
      </c>
      <c r="C13" s="6" t="s">
        <v>4417</v>
      </c>
      <c r="D13" s="6" t="s">
        <v>4413</v>
      </c>
      <c r="E13" s="8" t="s">
        <v>127</v>
      </c>
      <c r="F13" s="8" t="s">
        <v>1735</v>
      </c>
      <c r="G13" s="7" t="str">
        <f>IF(F13="フラグ","boolean",IF(F13="文字列","text",IF(F13="整数","integer",IF(F13="実数","numeric",""))))</f>
        <v>text</v>
      </c>
      <c r="H13" s="9"/>
      <c r="I13" s="10" t="s">
        <v>127</v>
      </c>
      <c r="J13" s="11" t="s">
        <v>4445</v>
      </c>
      <c r="M13" s="4"/>
      <c r="N13" s="97"/>
      <c r="O13" s="97"/>
      <c r="P13" s="97" t="str">
        <f>IF(B13&lt;&gt;1,","&amp;D13,D13)</f>
        <v>cate_egfr_summary</v>
      </c>
      <c r="Q13" s="97" t="str">
        <f t="shared" ref="Q13:Q17" si="0">UPPER(G13)</f>
        <v>TEXT</v>
      </c>
      <c r="R13" s="97" t="str">
        <f t="shared" ref="R13:R17" si="1">IF(H13&lt;&gt;"","default "&amp;IF(G13="text","'"&amp;H13&amp;"'",H13),"")</f>
        <v/>
      </c>
      <c r="S13" s="97" t="str">
        <f>IF(I13="○","NOT NULL","")</f>
        <v>NOT NULL</v>
      </c>
      <c r="T13" s="97" t="str">
        <f>"-- "&amp;C13</f>
        <v>-- eGFRサマリ</v>
      </c>
      <c r="U13" s="4"/>
      <c r="AA13" s="4"/>
      <c r="AB13" s="4"/>
      <c r="AC13" s="4"/>
      <c r="AD13" s="4"/>
      <c r="AE13" s="4"/>
      <c r="AF13" s="4"/>
      <c r="AG13" s="4"/>
      <c r="AH13" s="4"/>
      <c r="AI13" s="4"/>
      <c r="AJ13" s="97" t="str">
        <f>IF(E13="○",IF(COUNTA(E$13:E13)=1,"",",")&amp;D13,"")</f>
        <v>cate_egfr_summary</v>
      </c>
      <c r="AK13" s="4"/>
      <c r="AL13" s="4"/>
      <c r="AM13" s="4"/>
      <c r="AN13" s="4"/>
      <c r="AO13" s="4"/>
      <c r="AP13" s="4"/>
      <c r="AQ13" s="4"/>
      <c r="AR13" s="4"/>
      <c r="AS13" s="97" t="str">
        <f>"COMMENT ON COLUMN "&amp;エンティティ一覧!$O$2&amp;"."&amp;D$8&amp;"."&amp;D13&amp;" IS '"&amp;C13&amp;"';"</f>
        <v>COMMENT ON COLUMN milscm_2023_010.azn_202310_delivery_k_days_all_look30.cate_egfr_summary IS 'eGFRサマリ';</v>
      </c>
    </row>
    <row r="14" spans="1:45" s="25" customFormat="1">
      <c r="A14" s="4"/>
      <c r="B14" s="21">
        <f t="shared" ref="B14:B17" si="2">ROW()-12</f>
        <v>2</v>
      </c>
      <c r="C14" s="6" t="s">
        <v>4418</v>
      </c>
      <c r="D14" s="6" t="s">
        <v>4245</v>
      </c>
      <c r="E14" s="8" t="s">
        <v>127</v>
      </c>
      <c r="F14" s="8" t="s">
        <v>1845</v>
      </c>
      <c r="G14" s="7" t="str">
        <f t="shared" ref="G14:G17" si="3">IF(F14="フラグ","boolean",IF(F14="文字列","text",IF(F14="整数","integer",IF(F14="実数","numeric",""))))</f>
        <v>integer</v>
      </c>
      <c r="H14" s="26"/>
      <c r="I14" s="10" t="s">
        <v>127</v>
      </c>
      <c r="J14" s="11"/>
      <c r="M14" s="4"/>
      <c r="N14" s="97"/>
      <c r="O14" s="97"/>
      <c r="P14" s="97" t="str">
        <f t="shared" ref="P14:P17" si="4">IF(B14&lt;&gt;1,","&amp;D14,D14)</f>
        <v>,days</v>
      </c>
      <c r="Q14" s="97" t="str">
        <f t="shared" si="0"/>
        <v>INTEGER</v>
      </c>
      <c r="R14" s="97" t="str">
        <f t="shared" si="1"/>
        <v/>
      </c>
      <c r="S14" s="97" t="str">
        <f t="shared" ref="S14:S17" si="5">IF(I14="○","NOT NULL","")</f>
        <v>NOT NULL</v>
      </c>
      <c r="T14" s="97" t="str">
        <f t="shared" ref="T14:T17" si="6">"-- "&amp;C14</f>
        <v>-- 経過日</v>
      </c>
      <c r="U14" s="4"/>
      <c r="AA14" s="4"/>
      <c r="AB14" s="4"/>
      <c r="AC14" s="4"/>
      <c r="AD14" s="4"/>
      <c r="AE14" s="4"/>
      <c r="AF14" s="4"/>
      <c r="AG14" s="4"/>
      <c r="AH14" s="4"/>
      <c r="AI14" s="4"/>
      <c r="AJ14" s="97" t="str">
        <f>IF(E14="○",IF(COUNTA(E$13:E14)=1,"",",")&amp;D14,"")</f>
        <v>,days</v>
      </c>
      <c r="AK14" s="4"/>
      <c r="AL14" s="4"/>
      <c r="AM14" s="4"/>
      <c r="AN14" s="4"/>
      <c r="AO14" s="4"/>
      <c r="AP14" s="4"/>
      <c r="AQ14" s="4"/>
      <c r="AR14" s="4"/>
      <c r="AS14" s="97" t="str">
        <f>"COMMENT ON COLUMN "&amp;エンティティ一覧!$O$2&amp;"."&amp;D$8&amp;"."&amp;D14&amp;" IS '"&amp;C14&amp;"';"</f>
        <v>COMMENT ON COLUMN milscm_2023_010.azn_202310_delivery_k_days_all_look30.days IS '経過日';</v>
      </c>
    </row>
    <row r="15" spans="1:45" s="25" customFormat="1">
      <c r="A15" s="4"/>
      <c r="B15" s="21">
        <f t="shared" si="2"/>
        <v>3</v>
      </c>
      <c r="C15" s="13" t="s">
        <v>4419</v>
      </c>
      <c r="D15" s="13" t="s">
        <v>4414</v>
      </c>
      <c r="E15" s="7"/>
      <c r="F15" s="8" t="s">
        <v>1742</v>
      </c>
      <c r="G15" s="7" t="str">
        <f t="shared" si="3"/>
        <v>numeric</v>
      </c>
      <c r="H15" s="26"/>
      <c r="I15" s="10" t="s">
        <v>127</v>
      </c>
      <c r="J15" s="11"/>
      <c r="M15" s="4"/>
      <c r="N15" s="97"/>
      <c r="O15" s="97"/>
      <c r="P15" s="97" t="str">
        <f t="shared" si="4"/>
        <v>,avg_value</v>
      </c>
      <c r="Q15" s="97" t="str">
        <f t="shared" si="0"/>
        <v>NUMERIC</v>
      </c>
      <c r="R15" s="97" t="str">
        <f t="shared" si="1"/>
        <v/>
      </c>
      <c r="S15" s="97" t="str">
        <f t="shared" si="5"/>
        <v>NOT NULL</v>
      </c>
      <c r="T15" s="97" t="str">
        <f t="shared" si="6"/>
        <v>-- 平均値</v>
      </c>
      <c r="U15" s="4"/>
      <c r="AA15" s="4"/>
      <c r="AB15" s="4"/>
      <c r="AC15" s="4"/>
      <c r="AD15" s="4"/>
      <c r="AE15" s="4"/>
      <c r="AF15" s="4"/>
      <c r="AG15" s="4"/>
      <c r="AH15" s="4"/>
      <c r="AI15" s="4"/>
      <c r="AJ15" s="97" t="str">
        <f>IF(E15="○",IF(COUNTA(E$13:E15)=1,"",",")&amp;D15,"")</f>
        <v/>
      </c>
      <c r="AK15" s="4"/>
      <c r="AL15" s="4"/>
      <c r="AM15" s="4"/>
      <c r="AN15" s="4"/>
      <c r="AO15" s="4"/>
      <c r="AP15" s="4"/>
      <c r="AQ15" s="4"/>
      <c r="AR15" s="4"/>
      <c r="AS15" s="97" t="str">
        <f>"COMMENT ON COLUMN "&amp;エンティティ一覧!$O$2&amp;"."&amp;D$8&amp;"."&amp;D15&amp;" IS '"&amp;C15&amp;"';"</f>
        <v>COMMENT ON COLUMN milscm_2023_010.azn_202310_delivery_k_days_all_look30.avg_value IS '平均値';</v>
      </c>
    </row>
    <row r="16" spans="1:45" s="25" customFormat="1">
      <c r="A16" s="4"/>
      <c r="B16" s="21">
        <f t="shared" si="2"/>
        <v>4</v>
      </c>
      <c r="C16" s="13" t="s">
        <v>4420</v>
      </c>
      <c r="D16" s="13" t="s">
        <v>4415</v>
      </c>
      <c r="E16" s="7"/>
      <c r="F16" s="8" t="s">
        <v>1742</v>
      </c>
      <c r="G16" s="7" t="str">
        <f t="shared" si="3"/>
        <v>numeric</v>
      </c>
      <c r="H16" s="26"/>
      <c r="I16" s="10" t="s">
        <v>127</v>
      </c>
      <c r="J16" s="11"/>
      <c r="M16" s="4"/>
      <c r="N16" s="97"/>
      <c r="O16" s="97"/>
      <c r="P16" s="97" t="str">
        <f t="shared" si="4"/>
        <v>,std_value</v>
      </c>
      <c r="Q16" s="97" t="str">
        <f t="shared" si="0"/>
        <v>NUMERIC</v>
      </c>
      <c r="R16" s="97" t="str">
        <f t="shared" si="1"/>
        <v/>
      </c>
      <c r="S16" s="97" t="str">
        <f t="shared" si="5"/>
        <v>NOT NULL</v>
      </c>
      <c r="T16" s="97" t="str">
        <f t="shared" si="6"/>
        <v>-- 標準偏差値</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"&amp;エンティティ一覧!$O$2&amp;"."&amp;D$8&amp;"."&amp;D16&amp;" IS '"&amp;C16&amp;"';"</f>
        <v>COMMENT ON COLUMN milscm_2023_010.azn_202310_delivery_k_days_all_look30.std_value IS '標準偏差値';</v>
      </c>
    </row>
    <row r="17" spans="1:52" s="25" customFormat="1" ht="19.5" thickBot="1">
      <c r="A17" s="4"/>
      <c r="B17" s="69">
        <f t="shared" si="2"/>
        <v>5</v>
      </c>
      <c r="C17" s="121" t="s">
        <v>4421</v>
      </c>
      <c r="D17" s="121" t="s">
        <v>4416</v>
      </c>
      <c r="E17" s="71"/>
      <c r="F17" s="71" t="s">
        <v>1845</v>
      </c>
      <c r="G17" s="71" t="str">
        <f t="shared" si="3"/>
        <v>integer</v>
      </c>
      <c r="H17" s="72"/>
      <c r="I17" s="73" t="s">
        <v>127</v>
      </c>
      <c r="J17" s="74"/>
      <c r="M17" s="4"/>
      <c r="N17" s="97"/>
      <c r="O17" s="97"/>
      <c r="P17" s="97" t="str">
        <f t="shared" si="4"/>
        <v>,patient_count</v>
      </c>
      <c r="Q17" s="97" t="str">
        <f t="shared" si="0"/>
        <v>INTEGER</v>
      </c>
      <c r="R17" s="97" t="str">
        <f t="shared" si="1"/>
        <v/>
      </c>
      <c r="S17" s="97" t="str">
        <f t="shared" si="5"/>
        <v>NOT NULL</v>
      </c>
      <c r="T17" s="97" t="str">
        <f t="shared" si="6"/>
        <v>-- 患者数カウント</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milscm_2023_010.azn_202310_delivery_k_days_all_look30.patient_count IS '患者数カウント';</v>
      </c>
    </row>
    <row r="18" spans="1:52">
      <c r="L18" s="25"/>
      <c r="M18" s="25"/>
      <c r="N18" s="97" t="s">
        <v>142</v>
      </c>
      <c r="O18" s="97"/>
      <c r="P18" s="97"/>
      <c r="Q18" s="97"/>
      <c r="R18" s="97"/>
      <c r="S18" s="97"/>
      <c r="T18" s="97"/>
      <c r="V18" s="25"/>
      <c r="W18" s="25"/>
      <c r="X18" s="25"/>
      <c r="Y18" s="25"/>
      <c r="Z18" s="25"/>
      <c r="AJ18" s="97"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61</v>
      </c>
      <c r="E4" s="248"/>
      <c r="F4" s="248"/>
      <c r="G4" s="248"/>
      <c r="H4" s="248"/>
      <c r="I4" s="248"/>
      <c r="J4" s="249"/>
    </row>
    <row r="5" spans="1:45">
      <c r="B5" s="261" t="s">
        <v>3704</v>
      </c>
      <c r="C5" s="262"/>
      <c r="D5" s="271" t="str">
        <f>VLOOKUP(D7,エンティティ一覧!A1:'エンティティ一覧'!AM10203,7,FALSE)</f>
        <v>delivery</v>
      </c>
      <c r="E5" s="272"/>
      <c r="F5" s="272"/>
      <c r="G5" s="272"/>
      <c r="H5" s="272"/>
      <c r="I5" s="272"/>
      <c r="J5" s="273"/>
    </row>
    <row r="6" spans="1:45">
      <c r="B6" s="261" t="s">
        <v>3705</v>
      </c>
      <c r="C6" s="262"/>
      <c r="D6" s="271" t="str">
        <f>VLOOKUP(D7,エンティティ一覧!A1:'エンティティ一覧'!AM10203,15,FALSE)</f>
        <v>ENT_61_11</v>
      </c>
      <c r="E6" s="272"/>
      <c r="F6" s="272"/>
      <c r="G6" s="272"/>
      <c r="H6" s="272"/>
      <c r="I6" s="272"/>
      <c r="J6" s="273"/>
    </row>
    <row r="7" spans="1:45">
      <c r="B7" s="261" t="s">
        <v>115</v>
      </c>
      <c r="C7" s="262"/>
      <c r="D7" s="263" t="s">
        <v>4450</v>
      </c>
      <c r="E7" s="264"/>
      <c r="F7" s="264"/>
      <c r="G7" s="264"/>
      <c r="H7" s="264"/>
      <c r="I7" s="264"/>
      <c r="J7" s="265"/>
    </row>
    <row r="8" spans="1:45">
      <c r="B8" s="261" t="s">
        <v>116</v>
      </c>
      <c r="C8" s="262"/>
      <c r="D8" s="263" t="str">
        <f>エンティティ一覧!AE2&amp;"_"&amp;D5&amp;"_k_weeks_all"</f>
        <v>azn_202310_delivery_k_weeks_all</v>
      </c>
      <c r="E8" s="264"/>
      <c r="F8" s="264"/>
      <c r="G8" s="264"/>
      <c r="H8" s="264"/>
      <c r="I8" s="264"/>
      <c r="J8" s="265"/>
    </row>
    <row r="9" spans="1:45" ht="19.5" customHeight="1" thickBot="1">
      <c r="B9" s="266" t="s">
        <v>117</v>
      </c>
      <c r="C9" s="267"/>
      <c r="D9" s="268" t="s">
        <v>4514</v>
      </c>
      <c r="E9" s="269"/>
      <c r="F9" s="269"/>
      <c r="G9" s="269"/>
      <c r="H9" s="269"/>
      <c r="I9" s="269"/>
      <c r="J9" s="270"/>
    </row>
    <row r="10" spans="1:45">
      <c r="B10" s="19"/>
      <c r="C10" s="19"/>
      <c r="D10" s="5"/>
      <c r="E10" s="5"/>
      <c r="F10" s="5"/>
      <c r="G10" s="5"/>
      <c r="H10" s="5"/>
      <c r="I10" s="5"/>
      <c r="J10" s="18"/>
      <c r="N10" s="97" t="str">
        <f>"--DROP TABLE  "&amp;エンティティ一覧!$O$2&amp;"."&amp;D$8&amp;";"</f>
        <v>--DROP TABLE  milscm_2023_010.azn_202310_delivery_k_weeks_all;</v>
      </c>
      <c r="O10" s="97"/>
      <c r="P10" s="97"/>
      <c r="Q10" s="97"/>
      <c r="R10" s="97"/>
      <c r="S10" s="97"/>
      <c r="T10" s="97"/>
      <c r="AJ10" s="97" t="str">
        <f>"ALTER TABLE ONLY "&amp;エンティティ一覧!$O$2&amp;"."&amp;D$8</f>
        <v>ALTER TABLE ONLY milscm_2023_010.azn_202310_delivery_k_weeks_all</v>
      </c>
      <c r="AS10" s="97" t="str">
        <f>"ALTER TABLE "&amp;エンティティ一覧!$O$2&amp;"."&amp;D$8&amp;" OWNER TO pgmisgrp1;"</f>
        <v>ALTER TABLE milscm_2023_010.azn_202310_delivery_k_weeks_all OWNER TO pgmisgrp1;</v>
      </c>
    </row>
    <row r="11" spans="1:45" ht="19.5" thickBot="1">
      <c r="B11" s="20" t="s">
        <v>118</v>
      </c>
      <c r="C11" s="19"/>
      <c r="D11" s="5"/>
      <c r="E11" s="5"/>
      <c r="F11" s="5"/>
      <c r="G11" s="5"/>
      <c r="H11" s="5"/>
      <c r="I11" s="5"/>
      <c r="J11" s="18"/>
      <c r="N11" s="97" t="str">
        <f>"CREATE TABLE  "&amp;エンティティ一覧!$O$2&amp;"."&amp;D$8</f>
        <v>CREATE TABLE  milscm_2023_010.azn_202310_delivery_k_weeks_all</v>
      </c>
      <c r="O11" s="97"/>
      <c r="P11" s="97"/>
      <c r="Q11" s="97"/>
      <c r="R11" s="97"/>
      <c r="S11" s="97"/>
      <c r="T11" s="97"/>
      <c r="AJ11" s="97" t="str">
        <f>"ADD CONSTRAINT "&amp;D$8&amp;"_pkey PRIMARY KEY"</f>
        <v>ADD CONSTRAINT azn_202310_delivery_k_weeks_all_pkey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milscm_2023_010.azn_202310_delivery_k_weeks_all IS 'デリバリ_カリウム平均推移_週別_全患者';</v>
      </c>
    </row>
    <row r="13" spans="1:45" s="25" customFormat="1">
      <c r="A13" s="4"/>
      <c r="B13" s="21">
        <f>ROW()-12</f>
        <v>1</v>
      </c>
      <c r="C13" s="6" t="s">
        <v>4417</v>
      </c>
      <c r="D13" s="6" t="s">
        <v>4413</v>
      </c>
      <c r="E13" s="8" t="s">
        <v>127</v>
      </c>
      <c r="F13" s="8" t="s">
        <v>1735</v>
      </c>
      <c r="G13" s="7" t="str">
        <f>IF(F13="フラグ","boolean",IF(F13="文字列","text",IF(F13="整数","integer",IF(F13="実数","numeric",""))))</f>
        <v>text</v>
      </c>
      <c r="H13" s="9"/>
      <c r="I13" s="10" t="s">
        <v>127</v>
      </c>
      <c r="J13" s="11" t="s">
        <v>4445</v>
      </c>
      <c r="M13" s="4"/>
      <c r="N13" s="97"/>
      <c r="O13" s="97"/>
      <c r="P13" s="97" t="str">
        <f>IF(B13&lt;&gt;1,","&amp;D13,D13)</f>
        <v>cate_egfr_summary</v>
      </c>
      <c r="Q13" s="97" t="str">
        <f t="shared" ref="Q13:Q17" si="0">UPPER(G13)</f>
        <v>TEXT</v>
      </c>
      <c r="R13" s="97" t="str">
        <f t="shared" ref="R13:R17" si="1">IF(H13&lt;&gt;"","default "&amp;IF(G13="text","'"&amp;H13&amp;"'",H13),"")</f>
        <v/>
      </c>
      <c r="S13" s="97" t="str">
        <f>IF(I13="○","NOT NULL","")</f>
        <v>NOT NULL</v>
      </c>
      <c r="T13" s="97" t="str">
        <f>"-- "&amp;C13</f>
        <v>-- eGFRサマリ</v>
      </c>
      <c r="U13" s="4"/>
      <c r="AA13" s="4"/>
      <c r="AB13" s="4"/>
      <c r="AC13" s="4"/>
      <c r="AD13" s="4"/>
      <c r="AE13" s="4"/>
      <c r="AF13" s="4"/>
      <c r="AG13" s="4"/>
      <c r="AH13" s="4"/>
      <c r="AI13" s="4"/>
      <c r="AJ13" s="97" t="str">
        <f>IF(E13="○",IF(COUNTA(E$13:E13)=1,"",",")&amp;D13,"")</f>
        <v>cate_egfr_summary</v>
      </c>
      <c r="AK13" s="4"/>
      <c r="AL13" s="4"/>
      <c r="AM13" s="4"/>
      <c r="AN13" s="4"/>
      <c r="AO13" s="4"/>
      <c r="AP13" s="4"/>
      <c r="AQ13" s="4"/>
      <c r="AR13" s="4"/>
      <c r="AS13" s="97" t="str">
        <f>"COMMENT ON COLUMN "&amp;エンティティ一覧!$O$2&amp;"."&amp;D$8&amp;"."&amp;D13&amp;" IS '"&amp;C13&amp;"';"</f>
        <v>COMMENT ON COLUMN milscm_2023_010.azn_202310_delivery_k_weeks_all.cate_egfr_summary IS 'eGFRサマリ';</v>
      </c>
    </row>
    <row r="14" spans="1:45" s="25" customFormat="1">
      <c r="A14" s="4"/>
      <c r="B14" s="21">
        <f t="shared" ref="B14:B17" si="2">ROW()-12</f>
        <v>2</v>
      </c>
      <c r="C14" s="6" t="s">
        <v>4252</v>
      </c>
      <c r="D14" s="6" t="s">
        <v>4430</v>
      </c>
      <c r="E14" s="8" t="s">
        <v>127</v>
      </c>
      <c r="F14" s="8" t="s">
        <v>1845</v>
      </c>
      <c r="G14" s="7" t="str">
        <f t="shared" ref="G14:G17" si="3">IF(F14="フラグ","boolean",IF(F14="文字列","text",IF(F14="整数","integer",IF(F14="実数","numeric",""))))</f>
        <v>integer</v>
      </c>
      <c r="H14" s="26"/>
      <c r="I14" s="10" t="s">
        <v>127</v>
      </c>
      <c r="J14" s="11"/>
      <c r="M14" s="4"/>
      <c r="N14" s="97"/>
      <c r="O14" s="97"/>
      <c r="P14" s="97" t="str">
        <f t="shared" ref="P14:P17" si="4">IF(B14&lt;&gt;1,","&amp;D14,D14)</f>
        <v>,weeks</v>
      </c>
      <c r="Q14" s="97" t="str">
        <f t="shared" si="0"/>
        <v>INTEGER</v>
      </c>
      <c r="R14" s="97" t="str">
        <f t="shared" si="1"/>
        <v/>
      </c>
      <c r="S14" s="97" t="str">
        <f t="shared" ref="S14:S17" si="5">IF(I14="○","NOT NULL","")</f>
        <v>NOT NULL</v>
      </c>
      <c r="T14" s="97" t="str">
        <f t="shared" ref="T14:T17" si="6">"-- "&amp;C14</f>
        <v>-- 経過週</v>
      </c>
      <c r="U14" s="4"/>
      <c r="AA14" s="4"/>
      <c r="AB14" s="4"/>
      <c r="AC14" s="4"/>
      <c r="AD14" s="4"/>
      <c r="AE14" s="4"/>
      <c r="AF14" s="4"/>
      <c r="AG14" s="4"/>
      <c r="AH14" s="4"/>
      <c r="AI14" s="4"/>
      <c r="AJ14" s="97" t="str">
        <f>IF(E14="○",IF(COUNTA(E$13:E14)=1,"",",")&amp;D14,"")</f>
        <v>,weeks</v>
      </c>
      <c r="AK14" s="4"/>
      <c r="AL14" s="4"/>
      <c r="AM14" s="4"/>
      <c r="AN14" s="4"/>
      <c r="AO14" s="4"/>
      <c r="AP14" s="4"/>
      <c r="AQ14" s="4"/>
      <c r="AR14" s="4"/>
      <c r="AS14" s="97" t="str">
        <f>"COMMENT ON COLUMN "&amp;エンティティ一覧!$O$2&amp;"."&amp;D$8&amp;"."&amp;D14&amp;" IS '"&amp;C14&amp;"';"</f>
        <v>COMMENT ON COLUMN milscm_2023_010.azn_202310_delivery_k_weeks_all.weeks IS '経過週';</v>
      </c>
    </row>
    <row r="15" spans="1:45" s="25" customFormat="1">
      <c r="A15" s="4"/>
      <c r="B15" s="21">
        <f t="shared" si="2"/>
        <v>3</v>
      </c>
      <c r="C15" s="13" t="s">
        <v>4419</v>
      </c>
      <c r="D15" s="13" t="s">
        <v>4414</v>
      </c>
      <c r="E15" s="7"/>
      <c r="F15" s="8" t="s">
        <v>1742</v>
      </c>
      <c r="G15" s="7" t="str">
        <f t="shared" si="3"/>
        <v>numeric</v>
      </c>
      <c r="H15" s="26"/>
      <c r="I15" s="10" t="s">
        <v>127</v>
      </c>
      <c r="J15" s="11"/>
      <c r="M15" s="4"/>
      <c r="N15" s="97"/>
      <c r="O15" s="97"/>
      <c r="P15" s="97" t="str">
        <f t="shared" si="4"/>
        <v>,avg_value</v>
      </c>
      <c r="Q15" s="97" t="str">
        <f t="shared" si="0"/>
        <v>NUMERIC</v>
      </c>
      <c r="R15" s="97" t="str">
        <f t="shared" si="1"/>
        <v/>
      </c>
      <c r="S15" s="97" t="str">
        <f t="shared" si="5"/>
        <v>NOT NULL</v>
      </c>
      <c r="T15" s="97" t="str">
        <f t="shared" si="6"/>
        <v>-- 平均値</v>
      </c>
      <c r="U15" s="4"/>
      <c r="AA15" s="4"/>
      <c r="AB15" s="4"/>
      <c r="AC15" s="4"/>
      <c r="AD15" s="4"/>
      <c r="AE15" s="4"/>
      <c r="AF15" s="4"/>
      <c r="AG15" s="4"/>
      <c r="AH15" s="4"/>
      <c r="AI15" s="4"/>
      <c r="AJ15" s="97" t="str">
        <f>IF(E15="○",IF(COUNTA(E$13:E15)=1,"",",")&amp;D15,"")</f>
        <v/>
      </c>
      <c r="AK15" s="4"/>
      <c r="AL15" s="4"/>
      <c r="AM15" s="4"/>
      <c r="AN15" s="4"/>
      <c r="AO15" s="4"/>
      <c r="AP15" s="4"/>
      <c r="AQ15" s="4"/>
      <c r="AR15" s="4"/>
      <c r="AS15" s="97" t="str">
        <f>"COMMENT ON COLUMN "&amp;エンティティ一覧!$O$2&amp;"."&amp;D$8&amp;"."&amp;D15&amp;" IS '"&amp;C15&amp;"';"</f>
        <v>COMMENT ON COLUMN milscm_2023_010.azn_202310_delivery_k_weeks_all.avg_value IS '平均値';</v>
      </c>
    </row>
    <row r="16" spans="1:45" s="25" customFormat="1">
      <c r="A16" s="4"/>
      <c r="B16" s="21">
        <f t="shared" si="2"/>
        <v>4</v>
      </c>
      <c r="C16" s="13" t="s">
        <v>4420</v>
      </c>
      <c r="D16" s="13" t="s">
        <v>4415</v>
      </c>
      <c r="E16" s="7"/>
      <c r="F16" s="8" t="s">
        <v>1742</v>
      </c>
      <c r="G16" s="7" t="str">
        <f t="shared" si="3"/>
        <v>numeric</v>
      </c>
      <c r="H16" s="26"/>
      <c r="I16" s="10" t="s">
        <v>127</v>
      </c>
      <c r="J16" s="11"/>
      <c r="M16" s="4"/>
      <c r="N16" s="97"/>
      <c r="O16" s="97"/>
      <c r="P16" s="97" t="str">
        <f t="shared" si="4"/>
        <v>,std_value</v>
      </c>
      <c r="Q16" s="97" t="str">
        <f t="shared" si="0"/>
        <v>NUMERIC</v>
      </c>
      <c r="R16" s="97" t="str">
        <f t="shared" si="1"/>
        <v/>
      </c>
      <c r="S16" s="97" t="str">
        <f t="shared" si="5"/>
        <v>NOT NULL</v>
      </c>
      <c r="T16" s="97" t="str">
        <f t="shared" si="6"/>
        <v>-- 標準偏差値</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"&amp;エンティティ一覧!$O$2&amp;"."&amp;D$8&amp;"."&amp;D16&amp;" IS '"&amp;C16&amp;"';"</f>
        <v>COMMENT ON COLUMN milscm_2023_010.azn_202310_delivery_k_weeks_all.std_value IS '標準偏差値';</v>
      </c>
    </row>
    <row r="17" spans="1:52" s="25" customFormat="1" ht="19.5" thickBot="1">
      <c r="A17" s="4"/>
      <c r="B17" s="69">
        <f t="shared" si="2"/>
        <v>5</v>
      </c>
      <c r="C17" s="121" t="s">
        <v>4421</v>
      </c>
      <c r="D17" s="121" t="s">
        <v>4416</v>
      </c>
      <c r="E17" s="71"/>
      <c r="F17" s="71" t="s">
        <v>1845</v>
      </c>
      <c r="G17" s="71" t="str">
        <f t="shared" si="3"/>
        <v>integer</v>
      </c>
      <c r="H17" s="72"/>
      <c r="I17" s="73" t="s">
        <v>127</v>
      </c>
      <c r="J17" s="74"/>
      <c r="M17" s="4"/>
      <c r="N17" s="97"/>
      <c r="O17" s="97"/>
      <c r="P17" s="97" t="str">
        <f t="shared" si="4"/>
        <v>,patient_count</v>
      </c>
      <c r="Q17" s="97" t="str">
        <f t="shared" si="0"/>
        <v>INTEGER</v>
      </c>
      <c r="R17" s="97" t="str">
        <f t="shared" si="1"/>
        <v/>
      </c>
      <c r="S17" s="97" t="str">
        <f t="shared" si="5"/>
        <v>NOT NULL</v>
      </c>
      <c r="T17" s="97" t="str">
        <f t="shared" si="6"/>
        <v>-- 患者数カウント</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milscm_2023_010.azn_202310_delivery_k_weeks_all.patient_count IS '患者数カウント';</v>
      </c>
    </row>
    <row r="18" spans="1:52">
      <c r="L18" s="25"/>
      <c r="M18" s="25"/>
      <c r="N18" s="97" t="s">
        <v>142</v>
      </c>
      <c r="O18" s="97"/>
      <c r="P18" s="97"/>
      <c r="Q18" s="97"/>
      <c r="R18" s="97"/>
      <c r="S18" s="97"/>
      <c r="T18" s="97"/>
      <c r="V18" s="25"/>
      <c r="W18" s="25"/>
      <c r="X18" s="25"/>
      <c r="Y18" s="25"/>
      <c r="Z18" s="25"/>
      <c r="AJ18" s="97"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61</v>
      </c>
      <c r="E4" s="248"/>
      <c r="F4" s="248"/>
      <c r="G4" s="248"/>
      <c r="H4" s="248"/>
      <c r="I4" s="248"/>
      <c r="J4" s="249"/>
    </row>
    <row r="5" spans="1:45">
      <c r="B5" s="261" t="s">
        <v>3704</v>
      </c>
      <c r="C5" s="262"/>
      <c r="D5" s="271" t="str">
        <f>VLOOKUP(D7,エンティティ一覧!A1:'エンティティ一覧'!AM10203,7,FALSE)</f>
        <v>delivery</v>
      </c>
      <c r="E5" s="272"/>
      <c r="F5" s="272"/>
      <c r="G5" s="272"/>
      <c r="H5" s="272"/>
      <c r="I5" s="272"/>
      <c r="J5" s="273"/>
    </row>
    <row r="6" spans="1:45">
      <c r="B6" s="261" t="s">
        <v>3705</v>
      </c>
      <c r="C6" s="262"/>
      <c r="D6" s="271" t="str">
        <f>VLOOKUP(D7,エンティティ一覧!A1:'エンティティ一覧'!AM10203,15,FALSE)</f>
        <v>ENT_61_12</v>
      </c>
      <c r="E6" s="272"/>
      <c r="F6" s="272"/>
      <c r="G6" s="272"/>
      <c r="H6" s="272"/>
      <c r="I6" s="272"/>
      <c r="J6" s="273"/>
    </row>
    <row r="7" spans="1:45">
      <c r="B7" s="261" t="s">
        <v>115</v>
      </c>
      <c r="C7" s="262"/>
      <c r="D7" s="263" t="s">
        <v>4452</v>
      </c>
      <c r="E7" s="264"/>
      <c r="F7" s="264"/>
      <c r="G7" s="264"/>
      <c r="H7" s="264"/>
      <c r="I7" s="264"/>
      <c r="J7" s="265"/>
    </row>
    <row r="8" spans="1:45">
      <c r="B8" s="261" t="s">
        <v>116</v>
      </c>
      <c r="C8" s="262"/>
      <c r="D8" s="263" t="str">
        <f>エンティティ一覧!AE2&amp;"_"&amp;D5&amp;"_k_weeks_all_look30"</f>
        <v>azn_202310_delivery_k_weeks_all_look30</v>
      </c>
      <c r="E8" s="264"/>
      <c r="F8" s="264"/>
      <c r="G8" s="264"/>
      <c r="H8" s="264"/>
      <c r="I8" s="264"/>
      <c r="J8" s="265"/>
    </row>
    <row r="9" spans="1:45" ht="19.5" customHeight="1" thickBot="1">
      <c r="B9" s="266" t="s">
        <v>117</v>
      </c>
      <c r="C9" s="267"/>
      <c r="D9" s="268"/>
      <c r="E9" s="269"/>
      <c r="F9" s="269"/>
      <c r="G9" s="269"/>
      <c r="H9" s="269"/>
      <c r="I9" s="269"/>
      <c r="J9" s="270"/>
    </row>
    <row r="10" spans="1:45">
      <c r="B10" s="19"/>
      <c r="C10" s="19"/>
      <c r="D10" s="5"/>
      <c r="E10" s="5"/>
      <c r="F10" s="5"/>
      <c r="G10" s="5"/>
      <c r="H10" s="5"/>
      <c r="I10" s="5"/>
      <c r="J10" s="18"/>
      <c r="N10" s="97" t="str">
        <f>"--DROP TABLE  "&amp;エンティティ一覧!$O$2&amp;"."&amp;D$8&amp;";"</f>
        <v>--DROP TABLE  milscm_2023_010.azn_202310_delivery_k_weeks_all_look30;</v>
      </c>
      <c r="O10" s="97"/>
      <c r="P10" s="97"/>
      <c r="Q10" s="97"/>
      <c r="R10" s="97"/>
      <c r="S10" s="97"/>
      <c r="T10" s="97"/>
      <c r="AJ10" s="97" t="str">
        <f>"ALTER TABLE ONLY "&amp;エンティティ一覧!$O$2&amp;"."&amp;D$8</f>
        <v>ALTER TABLE ONLY milscm_2023_010.azn_202310_delivery_k_weeks_all_look30</v>
      </c>
      <c r="AS10" s="97" t="str">
        <f>"ALTER TABLE "&amp;エンティティ一覧!$O$2&amp;"."&amp;D$8&amp;" OWNER TO pgmisgrp1;"</f>
        <v>ALTER TABLE milscm_2023_010.azn_202310_delivery_k_weeks_all_look30 OWNER TO pgmisgrp1;</v>
      </c>
    </row>
    <row r="11" spans="1:45" ht="19.5" thickBot="1">
      <c r="B11" s="20" t="s">
        <v>118</v>
      </c>
      <c r="C11" s="19"/>
      <c r="D11" s="5"/>
      <c r="E11" s="5"/>
      <c r="F11" s="5"/>
      <c r="G11" s="5"/>
      <c r="H11" s="5"/>
      <c r="I11" s="5"/>
      <c r="J11" s="18"/>
      <c r="N11" s="97" t="str">
        <f>"CREATE TABLE  "&amp;エンティティ一覧!$O$2&amp;"."&amp;D$8</f>
        <v>CREATE TABLE  milscm_2023_010.azn_202310_delivery_k_weeks_all_look30</v>
      </c>
      <c r="O11" s="97"/>
      <c r="P11" s="97"/>
      <c r="Q11" s="97"/>
      <c r="R11" s="97"/>
      <c r="S11" s="97"/>
      <c r="T11" s="97"/>
      <c r="AJ11" s="97" t="str">
        <f>"ADD CONSTRAINT "&amp;D$8&amp;"_pkey PRIMARY KEY"</f>
        <v>ADD CONSTRAINT azn_202310_delivery_k_weeks_all_look30_pkey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milscm_2023_010.azn_202310_delivery_k_weeks_all_look30 IS 'デリバリ_カリウム平均推移_週別_全患者_lb30以上';</v>
      </c>
    </row>
    <row r="13" spans="1:45" s="25" customFormat="1">
      <c r="A13" s="4"/>
      <c r="B13" s="21">
        <f>ROW()-12</f>
        <v>1</v>
      </c>
      <c r="C13" s="6" t="s">
        <v>4417</v>
      </c>
      <c r="D13" s="6" t="s">
        <v>4413</v>
      </c>
      <c r="E13" s="8" t="s">
        <v>127</v>
      </c>
      <c r="F13" s="8" t="s">
        <v>1735</v>
      </c>
      <c r="G13" s="7" t="str">
        <f>IF(F13="フラグ","boolean",IF(F13="文字列","text",IF(F13="整数","integer",IF(F13="実数","numeric",""))))</f>
        <v>text</v>
      </c>
      <c r="H13" s="9"/>
      <c r="I13" s="10" t="s">
        <v>127</v>
      </c>
      <c r="J13" s="11" t="s">
        <v>4445</v>
      </c>
      <c r="M13" s="4"/>
      <c r="N13" s="97"/>
      <c r="O13" s="97"/>
      <c r="P13" s="97" t="str">
        <f>IF(B13&lt;&gt;1,","&amp;D13,D13)</f>
        <v>cate_egfr_summary</v>
      </c>
      <c r="Q13" s="97" t="str">
        <f t="shared" ref="Q13:Q17" si="0">UPPER(G13)</f>
        <v>TEXT</v>
      </c>
      <c r="R13" s="97" t="str">
        <f t="shared" ref="R13:R17" si="1">IF(H13&lt;&gt;"","default "&amp;IF(G13="text","'"&amp;H13&amp;"'",H13),"")</f>
        <v/>
      </c>
      <c r="S13" s="97" t="str">
        <f>IF(I13="○","NOT NULL","")</f>
        <v>NOT NULL</v>
      </c>
      <c r="T13" s="97" t="str">
        <f>"-- "&amp;C13</f>
        <v>-- eGFRサマリ</v>
      </c>
      <c r="U13" s="4"/>
      <c r="AA13" s="4"/>
      <c r="AB13" s="4"/>
      <c r="AC13" s="4"/>
      <c r="AD13" s="4"/>
      <c r="AE13" s="4"/>
      <c r="AF13" s="4"/>
      <c r="AG13" s="4"/>
      <c r="AH13" s="4"/>
      <c r="AI13" s="4"/>
      <c r="AJ13" s="97" t="str">
        <f>IF(E13="○",IF(COUNTA(E$13:E13)=1,"",",")&amp;D13,"")</f>
        <v>cate_egfr_summary</v>
      </c>
      <c r="AK13" s="4"/>
      <c r="AL13" s="4"/>
      <c r="AM13" s="4"/>
      <c r="AN13" s="4"/>
      <c r="AO13" s="4"/>
      <c r="AP13" s="4"/>
      <c r="AQ13" s="4"/>
      <c r="AR13" s="4"/>
      <c r="AS13" s="97" t="str">
        <f>"COMMENT ON COLUMN "&amp;エンティティ一覧!$O$2&amp;"."&amp;D$8&amp;"."&amp;D13&amp;" IS '"&amp;C13&amp;"';"</f>
        <v>COMMENT ON COLUMN milscm_2023_010.azn_202310_delivery_k_weeks_all_look30.cate_egfr_summary IS 'eGFRサマリ';</v>
      </c>
    </row>
    <row r="14" spans="1:45" s="25" customFormat="1">
      <c r="A14" s="4"/>
      <c r="B14" s="21">
        <f t="shared" ref="B14:B17" si="2">ROW()-12</f>
        <v>2</v>
      </c>
      <c r="C14" s="6" t="s">
        <v>4252</v>
      </c>
      <c r="D14" s="6" t="s">
        <v>4430</v>
      </c>
      <c r="E14" s="8" t="s">
        <v>127</v>
      </c>
      <c r="F14" s="8" t="s">
        <v>1845</v>
      </c>
      <c r="G14" s="7" t="str">
        <f t="shared" ref="G14:G17" si="3">IF(F14="フラグ","boolean",IF(F14="文字列","text",IF(F14="整数","integer",IF(F14="実数","numeric",""))))</f>
        <v>integer</v>
      </c>
      <c r="H14" s="26"/>
      <c r="I14" s="10" t="s">
        <v>127</v>
      </c>
      <c r="J14" s="11"/>
      <c r="M14" s="4"/>
      <c r="N14" s="97"/>
      <c r="O14" s="97"/>
      <c r="P14" s="97" t="str">
        <f t="shared" ref="P14:P17" si="4">IF(B14&lt;&gt;1,","&amp;D14,D14)</f>
        <v>,weeks</v>
      </c>
      <c r="Q14" s="97" t="str">
        <f t="shared" si="0"/>
        <v>INTEGER</v>
      </c>
      <c r="R14" s="97" t="str">
        <f t="shared" si="1"/>
        <v/>
      </c>
      <c r="S14" s="97" t="str">
        <f t="shared" ref="S14:S17" si="5">IF(I14="○","NOT NULL","")</f>
        <v>NOT NULL</v>
      </c>
      <c r="T14" s="97" t="str">
        <f t="shared" ref="T14:T17" si="6">"-- "&amp;C14</f>
        <v>-- 経過週</v>
      </c>
      <c r="U14" s="4"/>
      <c r="AA14" s="4"/>
      <c r="AB14" s="4"/>
      <c r="AC14" s="4"/>
      <c r="AD14" s="4"/>
      <c r="AE14" s="4"/>
      <c r="AF14" s="4"/>
      <c r="AG14" s="4"/>
      <c r="AH14" s="4"/>
      <c r="AI14" s="4"/>
      <c r="AJ14" s="97" t="str">
        <f>IF(E14="○",IF(COUNTA(E$13:E14)=1,"",",")&amp;D14,"")</f>
        <v>,weeks</v>
      </c>
      <c r="AK14" s="4"/>
      <c r="AL14" s="4"/>
      <c r="AM14" s="4"/>
      <c r="AN14" s="4"/>
      <c r="AO14" s="4"/>
      <c r="AP14" s="4"/>
      <c r="AQ14" s="4"/>
      <c r="AR14" s="4"/>
      <c r="AS14" s="97" t="str">
        <f>"COMMENT ON COLUMN "&amp;エンティティ一覧!$O$2&amp;"."&amp;D$8&amp;"."&amp;D14&amp;" IS '"&amp;C14&amp;"';"</f>
        <v>COMMENT ON COLUMN milscm_2023_010.azn_202310_delivery_k_weeks_all_look30.weeks IS '経過週';</v>
      </c>
    </row>
    <row r="15" spans="1:45" s="25" customFormat="1">
      <c r="A15" s="4"/>
      <c r="B15" s="21">
        <f t="shared" si="2"/>
        <v>3</v>
      </c>
      <c r="C15" s="13" t="s">
        <v>4419</v>
      </c>
      <c r="D15" s="13" t="s">
        <v>4414</v>
      </c>
      <c r="E15" s="7"/>
      <c r="F15" s="8" t="s">
        <v>1742</v>
      </c>
      <c r="G15" s="7" t="str">
        <f t="shared" si="3"/>
        <v>numeric</v>
      </c>
      <c r="H15" s="26"/>
      <c r="I15" s="10" t="s">
        <v>127</v>
      </c>
      <c r="J15" s="11"/>
      <c r="M15" s="4"/>
      <c r="N15" s="97"/>
      <c r="O15" s="97"/>
      <c r="P15" s="97" t="str">
        <f t="shared" si="4"/>
        <v>,avg_value</v>
      </c>
      <c r="Q15" s="97" t="str">
        <f t="shared" si="0"/>
        <v>NUMERIC</v>
      </c>
      <c r="R15" s="97" t="str">
        <f t="shared" si="1"/>
        <v/>
      </c>
      <c r="S15" s="97" t="str">
        <f t="shared" si="5"/>
        <v>NOT NULL</v>
      </c>
      <c r="T15" s="97" t="str">
        <f t="shared" si="6"/>
        <v>-- 平均値</v>
      </c>
      <c r="U15" s="4"/>
      <c r="AA15" s="4"/>
      <c r="AB15" s="4"/>
      <c r="AC15" s="4"/>
      <c r="AD15" s="4"/>
      <c r="AE15" s="4"/>
      <c r="AF15" s="4"/>
      <c r="AG15" s="4"/>
      <c r="AH15" s="4"/>
      <c r="AI15" s="4"/>
      <c r="AJ15" s="97" t="str">
        <f>IF(E15="○",IF(COUNTA(E$13:E15)=1,"",",")&amp;D15,"")</f>
        <v/>
      </c>
      <c r="AK15" s="4"/>
      <c r="AL15" s="4"/>
      <c r="AM15" s="4"/>
      <c r="AN15" s="4"/>
      <c r="AO15" s="4"/>
      <c r="AP15" s="4"/>
      <c r="AQ15" s="4"/>
      <c r="AR15" s="4"/>
      <c r="AS15" s="97" t="str">
        <f>"COMMENT ON COLUMN "&amp;エンティティ一覧!$O$2&amp;"."&amp;D$8&amp;"."&amp;D15&amp;" IS '"&amp;C15&amp;"';"</f>
        <v>COMMENT ON COLUMN milscm_2023_010.azn_202310_delivery_k_weeks_all_look30.avg_value IS '平均値';</v>
      </c>
    </row>
    <row r="16" spans="1:45" s="25" customFormat="1">
      <c r="A16" s="4"/>
      <c r="B16" s="21">
        <f t="shared" si="2"/>
        <v>4</v>
      </c>
      <c r="C16" s="13" t="s">
        <v>4420</v>
      </c>
      <c r="D16" s="13" t="s">
        <v>4415</v>
      </c>
      <c r="E16" s="7"/>
      <c r="F16" s="8" t="s">
        <v>1742</v>
      </c>
      <c r="G16" s="7" t="str">
        <f t="shared" si="3"/>
        <v>numeric</v>
      </c>
      <c r="H16" s="26"/>
      <c r="I16" s="10" t="s">
        <v>127</v>
      </c>
      <c r="J16" s="11"/>
      <c r="M16" s="4"/>
      <c r="N16" s="97"/>
      <c r="O16" s="97"/>
      <c r="P16" s="97" t="str">
        <f t="shared" si="4"/>
        <v>,std_value</v>
      </c>
      <c r="Q16" s="97" t="str">
        <f t="shared" si="0"/>
        <v>NUMERIC</v>
      </c>
      <c r="R16" s="97" t="str">
        <f t="shared" si="1"/>
        <v/>
      </c>
      <c r="S16" s="97" t="str">
        <f t="shared" si="5"/>
        <v>NOT NULL</v>
      </c>
      <c r="T16" s="97" t="str">
        <f t="shared" si="6"/>
        <v>-- 標準偏差値</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"&amp;エンティティ一覧!$O$2&amp;"."&amp;D$8&amp;"."&amp;D16&amp;" IS '"&amp;C16&amp;"';"</f>
        <v>COMMENT ON COLUMN milscm_2023_010.azn_202310_delivery_k_weeks_all_look30.std_value IS '標準偏差値';</v>
      </c>
    </row>
    <row r="17" spans="1:52" s="25" customFormat="1" ht="19.5" thickBot="1">
      <c r="A17" s="4"/>
      <c r="B17" s="69">
        <f t="shared" si="2"/>
        <v>5</v>
      </c>
      <c r="C17" s="121" t="s">
        <v>4421</v>
      </c>
      <c r="D17" s="121" t="s">
        <v>4416</v>
      </c>
      <c r="E17" s="71"/>
      <c r="F17" s="71" t="s">
        <v>1845</v>
      </c>
      <c r="G17" s="71" t="str">
        <f t="shared" si="3"/>
        <v>integer</v>
      </c>
      <c r="H17" s="72"/>
      <c r="I17" s="73" t="s">
        <v>127</v>
      </c>
      <c r="J17" s="74"/>
      <c r="M17" s="4"/>
      <c r="N17" s="97"/>
      <c r="O17" s="97"/>
      <c r="P17" s="97" t="str">
        <f t="shared" si="4"/>
        <v>,patient_count</v>
      </c>
      <c r="Q17" s="97" t="str">
        <f t="shared" si="0"/>
        <v>INTEGER</v>
      </c>
      <c r="R17" s="97" t="str">
        <f t="shared" si="1"/>
        <v/>
      </c>
      <c r="S17" s="97" t="str">
        <f t="shared" si="5"/>
        <v>NOT NULL</v>
      </c>
      <c r="T17" s="97" t="str">
        <f t="shared" si="6"/>
        <v>-- 患者数カウント</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milscm_2023_010.azn_202310_delivery_k_weeks_all_look30.patient_count IS '患者数カウント';</v>
      </c>
    </row>
    <row r="18" spans="1:52">
      <c r="L18" s="25"/>
      <c r="M18" s="25"/>
      <c r="N18" s="97" t="s">
        <v>142</v>
      </c>
      <c r="O18" s="97"/>
      <c r="P18" s="97"/>
      <c r="Q18" s="97"/>
      <c r="R18" s="97"/>
      <c r="S18" s="97"/>
      <c r="T18" s="97"/>
      <c r="V18" s="25"/>
      <c r="W18" s="25"/>
      <c r="X18" s="25"/>
      <c r="Y18" s="25"/>
      <c r="Z18" s="25"/>
      <c r="AJ18" s="97"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61</v>
      </c>
      <c r="E4" s="248"/>
      <c r="F4" s="248"/>
      <c r="G4" s="248"/>
      <c r="H4" s="248"/>
      <c r="I4" s="248"/>
      <c r="J4" s="249"/>
    </row>
    <row r="5" spans="1:45">
      <c r="B5" s="261" t="s">
        <v>3704</v>
      </c>
      <c r="C5" s="262"/>
      <c r="D5" s="271" t="str">
        <f>VLOOKUP(D7,エンティティ一覧!A1:'エンティティ一覧'!AM10203,7,FALSE)</f>
        <v>delivery</v>
      </c>
      <c r="E5" s="272"/>
      <c r="F5" s="272"/>
      <c r="G5" s="272"/>
      <c r="H5" s="272"/>
      <c r="I5" s="272"/>
      <c r="J5" s="273"/>
    </row>
    <row r="6" spans="1:45">
      <c r="B6" s="261" t="s">
        <v>3705</v>
      </c>
      <c r="C6" s="262"/>
      <c r="D6" s="271" t="str">
        <f>VLOOKUP(D7,エンティティ一覧!A1:'エンティティ一覧'!AM10203,15,FALSE)</f>
        <v>ENT_61_13</v>
      </c>
      <c r="E6" s="272"/>
      <c r="F6" s="272"/>
      <c r="G6" s="272"/>
      <c r="H6" s="272"/>
      <c r="I6" s="272"/>
      <c r="J6" s="273"/>
    </row>
    <row r="7" spans="1:45">
      <c r="B7" s="261" t="s">
        <v>115</v>
      </c>
      <c r="C7" s="262"/>
      <c r="D7" s="263" t="s">
        <v>4456</v>
      </c>
      <c r="E7" s="264"/>
      <c r="F7" s="264"/>
      <c r="G7" s="264"/>
      <c r="H7" s="264"/>
      <c r="I7" s="264"/>
      <c r="J7" s="265"/>
    </row>
    <row r="8" spans="1:45">
      <c r="B8" s="261" t="s">
        <v>116</v>
      </c>
      <c r="C8" s="262"/>
      <c r="D8" s="263" t="str">
        <f>エンティティ一覧!AE2&amp;"_"&amp;D5&amp;"_k_months_all"</f>
        <v>azn_202310_delivery_k_months_all</v>
      </c>
      <c r="E8" s="264"/>
      <c r="F8" s="264"/>
      <c r="G8" s="264"/>
      <c r="H8" s="264"/>
      <c r="I8" s="264"/>
      <c r="J8" s="265"/>
    </row>
    <row r="9" spans="1:45" ht="19.5" customHeight="1" thickBot="1">
      <c r="B9" s="266" t="s">
        <v>117</v>
      </c>
      <c r="C9" s="267"/>
      <c r="D9" s="268" t="s">
        <v>4513</v>
      </c>
      <c r="E9" s="269"/>
      <c r="F9" s="269"/>
      <c r="G9" s="269"/>
      <c r="H9" s="269"/>
      <c r="I9" s="269"/>
      <c r="J9" s="270"/>
    </row>
    <row r="10" spans="1:45">
      <c r="B10" s="19"/>
      <c r="C10" s="19"/>
      <c r="D10" s="5"/>
      <c r="E10" s="5"/>
      <c r="F10" s="5"/>
      <c r="G10" s="5"/>
      <c r="H10" s="5"/>
      <c r="I10" s="5"/>
      <c r="J10" s="18"/>
      <c r="N10" s="97" t="str">
        <f>"--DROP TABLE  "&amp;エンティティ一覧!$O$2&amp;"."&amp;D$8&amp;";"</f>
        <v>--DROP TABLE  milscm_2023_010.azn_202310_delivery_k_months_all;</v>
      </c>
      <c r="O10" s="97"/>
      <c r="P10" s="97"/>
      <c r="Q10" s="97"/>
      <c r="R10" s="97"/>
      <c r="S10" s="97"/>
      <c r="T10" s="97"/>
      <c r="AJ10" s="97" t="str">
        <f>"ALTER TABLE ONLY "&amp;エンティティ一覧!$O$2&amp;"."&amp;D$8</f>
        <v>ALTER TABLE ONLY milscm_2023_010.azn_202310_delivery_k_months_all</v>
      </c>
      <c r="AS10" s="97" t="str">
        <f>"ALTER TABLE "&amp;エンティティ一覧!$O$2&amp;"."&amp;D$8&amp;" OWNER TO pgmisgrp1;"</f>
        <v>ALTER TABLE milscm_2023_010.azn_202310_delivery_k_months_all OWNER TO pgmisgrp1;</v>
      </c>
    </row>
    <row r="11" spans="1:45" ht="19.5" thickBot="1">
      <c r="B11" s="20" t="s">
        <v>118</v>
      </c>
      <c r="C11" s="19"/>
      <c r="D11" s="5"/>
      <c r="E11" s="5"/>
      <c r="F11" s="5"/>
      <c r="G11" s="5"/>
      <c r="H11" s="5"/>
      <c r="I11" s="5"/>
      <c r="J11" s="18"/>
      <c r="N11" s="97" t="str">
        <f>"CREATE TABLE  "&amp;エンティティ一覧!$O$2&amp;"."&amp;D$8</f>
        <v>CREATE TABLE  milscm_2023_010.azn_202310_delivery_k_months_all</v>
      </c>
      <c r="O11" s="97"/>
      <c r="P11" s="97"/>
      <c r="Q11" s="97"/>
      <c r="R11" s="97"/>
      <c r="S11" s="97"/>
      <c r="T11" s="97"/>
      <c r="AJ11" s="97" t="str">
        <f>"ADD CONSTRAINT "&amp;D$8&amp;"_pkey PRIMARY KEY"</f>
        <v>ADD CONSTRAINT azn_202310_delivery_k_months_all_pkey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milscm_2023_010.azn_202310_delivery_k_months_all IS 'デリバリ_カリウム平均推移_月別_全患者';</v>
      </c>
    </row>
    <row r="13" spans="1:45" s="25" customFormat="1">
      <c r="A13" s="4"/>
      <c r="B13" s="21">
        <f>ROW()-12</f>
        <v>1</v>
      </c>
      <c r="C13" s="6" t="s">
        <v>4417</v>
      </c>
      <c r="D13" s="6" t="s">
        <v>4413</v>
      </c>
      <c r="E13" s="8" t="s">
        <v>127</v>
      </c>
      <c r="F13" s="8" t="s">
        <v>1735</v>
      </c>
      <c r="G13" s="7" t="str">
        <f>IF(F13="フラグ","boolean",IF(F13="文字列","text",IF(F13="整数","integer",IF(F13="実数","numeric",""))))</f>
        <v>text</v>
      </c>
      <c r="H13" s="9"/>
      <c r="I13" s="10" t="s">
        <v>127</v>
      </c>
      <c r="J13" s="11" t="s">
        <v>4445</v>
      </c>
      <c r="M13" s="4"/>
      <c r="N13" s="97"/>
      <c r="O13" s="97"/>
      <c r="P13" s="97" t="str">
        <f>IF(B13&lt;&gt;1,","&amp;D13,D13)</f>
        <v>cate_egfr_summary</v>
      </c>
      <c r="Q13" s="97" t="str">
        <f t="shared" ref="Q13:Q17" si="0">UPPER(G13)</f>
        <v>TEXT</v>
      </c>
      <c r="R13" s="97" t="str">
        <f t="shared" ref="R13:R17" si="1">IF(H13&lt;&gt;"","default "&amp;IF(G13="text","'"&amp;H13&amp;"'",H13),"")</f>
        <v/>
      </c>
      <c r="S13" s="97" t="str">
        <f>IF(I13="○","NOT NULL","")</f>
        <v>NOT NULL</v>
      </c>
      <c r="T13" s="97" t="str">
        <f>"-- "&amp;C13</f>
        <v>-- eGFRサマリ</v>
      </c>
      <c r="U13" s="4"/>
      <c r="AA13" s="4"/>
      <c r="AB13" s="4"/>
      <c r="AC13" s="4"/>
      <c r="AD13" s="4"/>
      <c r="AE13" s="4"/>
      <c r="AF13" s="4"/>
      <c r="AG13" s="4"/>
      <c r="AH13" s="4"/>
      <c r="AI13" s="4"/>
      <c r="AJ13" s="97" t="str">
        <f>IF(E13="○",IF(COUNTA(E$13:E13)=1,"",",")&amp;D13,"")</f>
        <v>cate_egfr_summary</v>
      </c>
      <c r="AK13" s="4"/>
      <c r="AL13" s="4"/>
      <c r="AM13" s="4"/>
      <c r="AN13" s="4"/>
      <c r="AO13" s="4"/>
      <c r="AP13" s="4"/>
      <c r="AQ13" s="4"/>
      <c r="AR13" s="4"/>
      <c r="AS13" s="97" t="str">
        <f>"COMMENT ON COLUMN "&amp;エンティティ一覧!$O$2&amp;"."&amp;D$8&amp;"."&amp;D13&amp;" IS '"&amp;C13&amp;"';"</f>
        <v>COMMENT ON COLUMN milscm_2023_010.azn_202310_delivery_k_months_all.cate_egfr_summary IS 'eGFRサマリ';</v>
      </c>
    </row>
    <row r="14" spans="1:45" s="25" customFormat="1">
      <c r="A14" s="4"/>
      <c r="B14" s="21">
        <f t="shared" ref="B14:B17" si="2">ROW()-12</f>
        <v>2</v>
      </c>
      <c r="C14" s="6" t="s">
        <v>4253</v>
      </c>
      <c r="D14" s="6" t="s">
        <v>4435</v>
      </c>
      <c r="E14" s="8" t="s">
        <v>127</v>
      </c>
      <c r="F14" s="8" t="s">
        <v>1845</v>
      </c>
      <c r="G14" s="7" t="str">
        <f t="shared" ref="G14:G17" si="3">IF(F14="フラグ","boolean",IF(F14="文字列","text",IF(F14="整数","integer",IF(F14="実数","numeric",""))))</f>
        <v>integer</v>
      </c>
      <c r="H14" s="26"/>
      <c r="I14" s="10" t="s">
        <v>127</v>
      </c>
      <c r="J14" s="11"/>
      <c r="M14" s="4"/>
      <c r="N14" s="97"/>
      <c r="O14" s="97"/>
      <c r="P14" s="97" t="str">
        <f t="shared" ref="P14:P17" si="4">IF(B14&lt;&gt;1,","&amp;D14,D14)</f>
        <v>,months</v>
      </c>
      <c r="Q14" s="97" t="str">
        <f t="shared" si="0"/>
        <v>INTEGER</v>
      </c>
      <c r="R14" s="97" t="str">
        <f t="shared" si="1"/>
        <v/>
      </c>
      <c r="S14" s="97" t="str">
        <f t="shared" ref="S14:S17" si="5">IF(I14="○","NOT NULL","")</f>
        <v>NOT NULL</v>
      </c>
      <c r="T14" s="97" t="str">
        <f t="shared" ref="T14:T17" si="6">"-- "&amp;C14</f>
        <v>-- 経過月</v>
      </c>
      <c r="U14" s="4"/>
      <c r="AA14" s="4"/>
      <c r="AB14" s="4"/>
      <c r="AC14" s="4"/>
      <c r="AD14" s="4"/>
      <c r="AE14" s="4"/>
      <c r="AF14" s="4"/>
      <c r="AG14" s="4"/>
      <c r="AH14" s="4"/>
      <c r="AI14" s="4"/>
      <c r="AJ14" s="97" t="str">
        <f>IF(E14="○",IF(COUNTA(E$13:E14)=1,"",",")&amp;D14,"")</f>
        <v>,months</v>
      </c>
      <c r="AK14" s="4"/>
      <c r="AL14" s="4"/>
      <c r="AM14" s="4"/>
      <c r="AN14" s="4"/>
      <c r="AO14" s="4"/>
      <c r="AP14" s="4"/>
      <c r="AQ14" s="4"/>
      <c r="AR14" s="4"/>
      <c r="AS14" s="97" t="str">
        <f>"COMMENT ON COLUMN "&amp;エンティティ一覧!$O$2&amp;"."&amp;D$8&amp;"."&amp;D14&amp;" IS '"&amp;C14&amp;"';"</f>
        <v>COMMENT ON COLUMN milscm_2023_010.azn_202310_delivery_k_months_all.months IS '経過月';</v>
      </c>
    </row>
    <row r="15" spans="1:45" s="25" customFormat="1">
      <c r="A15" s="4"/>
      <c r="B15" s="21">
        <f t="shared" si="2"/>
        <v>3</v>
      </c>
      <c r="C15" s="13" t="s">
        <v>4419</v>
      </c>
      <c r="D15" s="13" t="s">
        <v>4414</v>
      </c>
      <c r="E15" s="7"/>
      <c r="F15" s="8" t="s">
        <v>1742</v>
      </c>
      <c r="G15" s="7" t="str">
        <f t="shared" si="3"/>
        <v>numeric</v>
      </c>
      <c r="H15" s="26"/>
      <c r="I15" s="10" t="s">
        <v>127</v>
      </c>
      <c r="J15" s="11"/>
      <c r="M15" s="4"/>
      <c r="N15" s="97"/>
      <c r="O15" s="97"/>
      <c r="P15" s="97" t="str">
        <f t="shared" si="4"/>
        <v>,avg_value</v>
      </c>
      <c r="Q15" s="97" t="str">
        <f t="shared" si="0"/>
        <v>NUMERIC</v>
      </c>
      <c r="R15" s="97" t="str">
        <f t="shared" si="1"/>
        <v/>
      </c>
      <c r="S15" s="97" t="str">
        <f t="shared" si="5"/>
        <v>NOT NULL</v>
      </c>
      <c r="T15" s="97" t="str">
        <f t="shared" si="6"/>
        <v>-- 平均値</v>
      </c>
      <c r="U15" s="4"/>
      <c r="AA15" s="4"/>
      <c r="AB15" s="4"/>
      <c r="AC15" s="4"/>
      <c r="AD15" s="4"/>
      <c r="AE15" s="4"/>
      <c r="AF15" s="4"/>
      <c r="AG15" s="4"/>
      <c r="AH15" s="4"/>
      <c r="AI15" s="4"/>
      <c r="AJ15" s="97" t="str">
        <f>IF(E15="○",IF(COUNTA(E$13:E15)=1,"",",")&amp;D15,"")</f>
        <v/>
      </c>
      <c r="AK15" s="4"/>
      <c r="AL15" s="4"/>
      <c r="AM15" s="4"/>
      <c r="AN15" s="4"/>
      <c r="AO15" s="4"/>
      <c r="AP15" s="4"/>
      <c r="AQ15" s="4"/>
      <c r="AR15" s="4"/>
      <c r="AS15" s="97" t="str">
        <f>"COMMENT ON COLUMN "&amp;エンティティ一覧!$O$2&amp;"."&amp;D$8&amp;"."&amp;D15&amp;" IS '"&amp;C15&amp;"';"</f>
        <v>COMMENT ON COLUMN milscm_2023_010.azn_202310_delivery_k_months_all.avg_value IS '平均値';</v>
      </c>
    </row>
    <row r="16" spans="1:45" s="25" customFormat="1">
      <c r="A16" s="4"/>
      <c r="B16" s="21">
        <f t="shared" si="2"/>
        <v>4</v>
      </c>
      <c r="C16" s="13" t="s">
        <v>4420</v>
      </c>
      <c r="D16" s="13" t="s">
        <v>4415</v>
      </c>
      <c r="E16" s="7"/>
      <c r="F16" s="8" t="s">
        <v>1742</v>
      </c>
      <c r="G16" s="7" t="str">
        <f t="shared" si="3"/>
        <v>numeric</v>
      </c>
      <c r="H16" s="26"/>
      <c r="I16" s="10" t="s">
        <v>127</v>
      </c>
      <c r="J16" s="11"/>
      <c r="M16" s="4"/>
      <c r="N16" s="97"/>
      <c r="O16" s="97"/>
      <c r="P16" s="97" t="str">
        <f t="shared" si="4"/>
        <v>,std_value</v>
      </c>
      <c r="Q16" s="97" t="str">
        <f t="shared" si="0"/>
        <v>NUMERIC</v>
      </c>
      <c r="R16" s="97" t="str">
        <f t="shared" si="1"/>
        <v/>
      </c>
      <c r="S16" s="97" t="str">
        <f t="shared" si="5"/>
        <v>NOT NULL</v>
      </c>
      <c r="T16" s="97" t="str">
        <f t="shared" si="6"/>
        <v>-- 標準偏差値</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"&amp;エンティティ一覧!$O$2&amp;"."&amp;D$8&amp;"."&amp;D16&amp;" IS '"&amp;C16&amp;"';"</f>
        <v>COMMENT ON COLUMN milscm_2023_010.azn_202310_delivery_k_months_all.std_value IS '標準偏差値';</v>
      </c>
    </row>
    <row r="17" spans="1:52" s="25" customFormat="1" ht="19.5" thickBot="1">
      <c r="A17" s="4"/>
      <c r="B17" s="69">
        <f t="shared" si="2"/>
        <v>5</v>
      </c>
      <c r="C17" s="121" t="s">
        <v>4421</v>
      </c>
      <c r="D17" s="121" t="s">
        <v>4416</v>
      </c>
      <c r="E17" s="71"/>
      <c r="F17" s="71" t="s">
        <v>1845</v>
      </c>
      <c r="G17" s="71" t="str">
        <f t="shared" si="3"/>
        <v>integer</v>
      </c>
      <c r="H17" s="72"/>
      <c r="I17" s="73" t="s">
        <v>127</v>
      </c>
      <c r="J17" s="74"/>
      <c r="M17" s="4"/>
      <c r="N17" s="97"/>
      <c r="O17" s="97"/>
      <c r="P17" s="97" t="str">
        <f t="shared" si="4"/>
        <v>,patient_count</v>
      </c>
      <c r="Q17" s="97" t="str">
        <f t="shared" si="0"/>
        <v>INTEGER</v>
      </c>
      <c r="R17" s="97" t="str">
        <f t="shared" si="1"/>
        <v/>
      </c>
      <c r="S17" s="97" t="str">
        <f t="shared" si="5"/>
        <v>NOT NULL</v>
      </c>
      <c r="T17" s="97" t="str">
        <f t="shared" si="6"/>
        <v>-- 患者数カウント</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milscm_2023_010.azn_202310_delivery_k_months_all.patient_count IS '患者数カウント';</v>
      </c>
    </row>
    <row r="18" spans="1:52">
      <c r="L18" s="25"/>
      <c r="M18" s="25"/>
      <c r="N18" s="97" t="s">
        <v>142</v>
      </c>
      <c r="O18" s="97"/>
      <c r="P18" s="97"/>
      <c r="Q18" s="97"/>
      <c r="R18" s="97"/>
      <c r="S18" s="97"/>
      <c r="T18" s="97"/>
      <c r="V18" s="25"/>
      <c r="W18" s="25"/>
      <c r="X18" s="25"/>
      <c r="Y18" s="25"/>
      <c r="Z18" s="25"/>
      <c r="AJ18" s="97"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61</v>
      </c>
      <c r="E4" s="248"/>
      <c r="F4" s="248"/>
      <c r="G4" s="248"/>
      <c r="H4" s="248"/>
      <c r="I4" s="248"/>
      <c r="J4" s="249"/>
    </row>
    <row r="5" spans="1:45">
      <c r="B5" s="261" t="s">
        <v>3704</v>
      </c>
      <c r="C5" s="262"/>
      <c r="D5" s="271" t="str">
        <f>VLOOKUP(D7,エンティティ一覧!A1:'エンティティ一覧'!AM10203,7,FALSE)</f>
        <v>delivery</v>
      </c>
      <c r="E5" s="272"/>
      <c r="F5" s="272"/>
      <c r="G5" s="272"/>
      <c r="H5" s="272"/>
      <c r="I5" s="272"/>
      <c r="J5" s="273"/>
    </row>
    <row r="6" spans="1:45">
      <c r="B6" s="261" t="s">
        <v>3705</v>
      </c>
      <c r="C6" s="262"/>
      <c r="D6" s="271" t="str">
        <f>VLOOKUP(D7,エンティティ一覧!A1:'エンティティ一覧'!AM10203,15,FALSE)</f>
        <v>ENT_61_14</v>
      </c>
      <c r="E6" s="272"/>
      <c r="F6" s="272"/>
      <c r="G6" s="272"/>
      <c r="H6" s="272"/>
      <c r="I6" s="272"/>
      <c r="J6" s="273"/>
    </row>
    <row r="7" spans="1:45">
      <c r="B7" s="261" t="s">
        <v>115</v>
      </c>
      <c r="C7" s="262"/>
      <c r="D7" s="263" t="s">
        <v>4458</v>
      </c>
      <c r="E7" s="264"/>
      <c r="F7" s="264"/>
      <c r="G7" s="264"/>
      <c r="H7" s="264"/>
      <c r="I7" s="264"/>
      <c r="J7" s="265"/>
    </row>
    <row r="8" spans="1:45">
      <c r="B8" s="261" t="s">
        <v>116</v>
      </c>
      <c r="C8" s="262"/>
      <c r="D8" s="263" t="str">
        <f>エンティティ一覧!AE2&amp;"_"&amp;D5&amp;"_k_months_all_look30"</f>
        <v>azn_202310_delivery_k_months_all_look30</v>
      </c>
      <c r="E8" s="264"/>
      <c r="F8" s="264"/>
      <c r="G8" s="264"/>
      <c r="H8" s="264"/>
      <c r="I8" s="264"/>
      <c r="J8" s="265"/>
    </row>
    <row r="9" spans="1:45" ht="19.5" customHeight="1" thickBot="1">
      <c r="B9" s="266" t="s">
        <v>117</v>
      </c>
      <c r="C9" s="267"/>
      <c r="D9" s="268"/>
      <c r="E9" s="269"/>
      <c r="F9" s="269"/>
      <c r="G9" s="269"/>
      <c r="H9" s="269"/>
      <c r="I9" s="269"/>
      <c r="J9" s="270"/>
    </row>
    <row r="10" spans="1:45">
      <c r="B10" s="19"/>
      <c r="C10" s="19"/>
      <c r="D10" s="5"/>
      <c r="E10" s="5"/>
      <c r="F10" s="5"/>
      <c r="G10" s="5"/>
      <c r="H10" s="5"/>
      <c r="I10" s="5"/>
      <c r="J10" s="18"/>
      <c r="N10" s="97" t="str">
        <f>"--DROP TABLE  "&amp;エンティティ一覧!$O$2&amp;"."&amp;D$8&amp;";"</f>
        <v>--DROP TABLE  milscm_2023_010.azn_202310_delivery_k_months_all_look30;</v>
      </c>
      <c r="O10" s="97"/>
      <c r="P10" s="97"/>
      <c r="Q10" s="97"/>
      <c r="R10" s="97"/>
      <c r="S10" s="97"/>
      <c r="T10" s="97"/>
      <c r="AJ10" s="97" t="str">
        <f>"ALTER TABLE ONLY "&amp;エンティティ一覧!$O$2&amp;"."&amp;D$8</f>
        <v>ALTER TABLE ONLY milscm_2023_010.azn_202310_delivery_k_months_all_look30</v>
      </c>
      <c r="AS10" s="97" t="str">
        <f>"ALTER TABLE "&amp;エンティティ一覧!$O$2&amp;"."&amp;D$8&amp;" OWNER TO pgmisgrp1;"</f>
        <v>ALTER TABLE milscm_2023_010.azn_202310_delivery_k_months_all_look30 OWNER TO pgmisgrp1;</v>
      </c>
    </row>
    <row r="11" spans="1:45" ht="19.5" thickBot="1">
      <c r="B11" s="20" t="s">
        <v>118</v>
      </c>
      <c r="C11" s="19"/>
      <c r="D11" s="5"/>
      <c r="E11" s="5"/>
      <c r="F11" s="5"/>
      <c r="G11" s="5"/>
      <c r="H11" s="5"/>
      <c r="I11" s="5"/>
      <c r="J11" s="18"/>
      <c r="N11" s="97" t="str">
        <f>"CREATE TABLE  "&amp;エンティティ一覧!$O$2&amp;"."&amp;D$8</f>
        <v>CREATE TABLE  milscm_2023_010.azn_202310_delivery_k_months_all_look30</v>
      </c>
      <c r="O11" s="97"/>
      <c r="P11" s="97"/>
      <c r="Q11" s="97"/>
      <c r="R11" s="97"/>
      <c r="S11" s="97"/>
      <c r="T11" s="97"/>
      <c r="AJ11" s="97" t="str">
        <f>"ADD CONSTRAINT "&amp;D$8&amp;"_pkey PRIMARY KEY"</f>
        <v>ADD CONSTRAINT azn_202310_delivery_k_months_all_look30_pkey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milscm_2023_010.azn_202310_delivery_k_months_all_look30 IS 'デリバリ_カリウム平均推移_月別_全患者_lb30以上';</v>
      </c>
    </row>
    <row r="13" spans="1:45" s="25" customFormat="1">
      <c r="A13" s="4"/>
      <c r="B13" s="21">
        <f>ROW()-12</f>
        <v>1</v>
      </c>
      <c r="C13" s="6" t="s">
        <v>4417</v>
      </c>
      <c r="D13" s="6" t="s">
        <v>4413</v>
      </c>
      <c r="E13" s="8" t="s">
        <v>127</v>
      </c>
      <c r="F13" s="8" t="s">
        <v>1735</v>
      </c>
      <c r="G13" s="7" t="str">
        <f>IF(F13="フラグ","boolean",IF(F13="文字列","text",IF(F13="整数","integer",IF(F13="実数","numeric",""))))</f>
        <v>text</v>
      </c>
      <c r="H13" s="9"/>
      <c r="I13" s="10" t="s">
        <v>127</v>
      </c>
      <c r="J13" s="11" t="s">
        <v>4445</v>
      </c>
      <c r="M13" s="4"/>
      <c r="N13" s="97"/>
      <c r="O13" s="97"/>
      <c r="P13" s="97" t="str">
        <f>IF(B13&lt;&gt;1,","&amp;D13,D13)</f>
        <v>cate_egfr_summary</v>
      </c>
      <c r="Q13" s="97" t="str">
        <f t="shared" ref="Q13:Q17" si="0">UPPER(G13)</f>
        <v>TEXT</v>
      </c>
      <c r="R13" s="97" t="str">
        <f t="shared" ref="R13:R17" si="1">IF(H13&lt;&gt;"","default "&amp;IF(G13="text","'"&amp;H13&amp;"'",H13),"")</f>
        <v/>
      </c>
      <c r="S13" s="97" t="str">
        <f>IF(I13="○","NOT NULL","")</f>
        <v>NOT NULL</v>
      </c>
      <c r="T13" s="97" t="str">
        <f>"-- "&amp;C13</f>
        <v>-- eGFRサマリ</v>
      </c>
      <c r="U13" s="4"/>
      <c r="AA13" s="4"/>
      <c r="AB13" s="4"/>
      <c r="AC13" s="4"/>
      <c r="AD13" s="4"/>
      <c r="AE13" s="4"/>
      <c r="AF13" s="4"/>
      <c r="AG13" s="4"/>
      <c r="AH13" s="4"/>
      <c r="AI13" s="4"/>
      <c r="AJ13" s="97" t="str">
        <f>IF(E13="○",IF(COUNTA(E$13:E13)=1,"",",")&amp;D13,"")</f>
        <v>cate_egfr_summary</v>
      </c>
      <c r="AK13" s="4"/>
      <c r="AL13" s="4"/>
      <c r="AM13" s="4"/>
      <c r="AN13" s="4"/>
      <c r="AO13" s="4"/>
      <c r="AP13" s="4"/>
      <c r="AQ13" s="4"/>
      <c r="AR13" s="4"/>
      <c r="AS13" s="97" t="str">
        <f>"COMMENT ON COLUMN "&amp;エンティティ一覧!$O$2&amp;"."&amp;D$8&amp;"."&amp;D13&amp;" IS '"&amp;C13&amp;"';"</f>
        <v>COMMENT ON COLUMN milscm_2023_010.azn_202310_delivery_k_months_all_look30.cate_egfr_summary IS 'eGFRサマリ';</v>
      </c>
    </row>
    <row r="14" spans="1:45" s="25" customFormat="1">
      <c r="A14" s="4"/>
      <c r="B14" s="21">
        <f t="shared" ref="B14:B17" si="2">ROW()-12</f>
        <v>2</v>
      </c>
      <c r="C14" s="6" t="s">
        <v>4253</v>
      </c>
      <c r="D14" s="6" t="s">
        <v>4435</v>
      </c>
      <c r="E14" s="8" t="s">
        <v>127</v>
      </c>
      <c r="F14" s="8" t="s">
        <v>1845</v>
      </c>
      <c r="G14" s="7" t="str">
        <f t="shared" ref="G14:G17" si="3">IF(F14="フラグ","boolean",IF(F14="文字列","text",IF(F14="整数","integer",IF(F14="実数","numeric",""))))</f>
        <v>integer</v>
      </c>
      <c r="H14" s="26"/>
      <c r="I14" s="10" t="s">
        <v>127</v>
      </c>
      <c r="J14" s="11"/>
      <c r="M14" s="4"/>
      <c r="N14" s="97"/>
      <c r="O14" s="97"/>
      <c r="P14" s="97" t="str">
        <f t="shared" ref="P14:P17" si="4">IF(B14&lt;&gt;1,","&amp;D14,D14)</f>
        <v>,months</v>
      </c>
      <c r="Q14" s="97" t="str">
        <f t="shared" si="0"/>
        <v>INTEGER</v>
      </c>
      <c r="R14" s="97" t="str">
        <f t="shared" si="1"/>
        <v/>
      </c>
      <c r="S14" s="97" t="str">
        <f t="shared" ref="S14:S17" si="5">IF(I14="○","NOT NULL","")</f>
        <v>NOT NULL</v>
      </c>
      <c r="T14" s="97" t="str">
        <f t="shared" ref="T14:T17" si="6">"-- "&amp;C14</f>
        <v>-- 経過月</v>
      </c>
      <c r="U14" s="4"/>
      <c r="AA14" s="4"/>
      <c r="AB14" s="4"/>
      <c r="AC14" s="4"/>
      <c r="AD14" s="4"/>
      <c r="AE14" s="4"/>
      <c r="AF14" s="4"/>
      <c r="AG14" s="4"/>
      <c r="AH14" s="4"/>
      <c r="AI14" s="4"/>
      <c r="AJ14" s="97" t="str">
        <f>IF(E14="○",IF(COUNTA(E$13:E14)=1,"",",")&amp;D14,"")</f>
        <v>,months</v>
      </c>
      <c r="AK14" s="4"/>
      <c r="AL14" s="4"/>
      <c r="AM14" s="4"/>
      <c r="AN14" s="4"/>
      <c r="AO14" s="4"/>
      <c r="AP14" s="4"/>
      <c r="AQ14" s="4"/>
      <c r="AR14" s="4"/>
      <c r="AS14" s="97" t="str">
        <f>"COMMENT ON COLUMN "&amp;エンティティ一覧!$O$2&amp;"."&amp;D$8&amp;"."&amp;D14&amp;" IS '"&amp;C14&amp;"';"</f>
        <v>COMMENT ON COLUMN milscm_2023_010.azn_202310_delivery_k_months_all_look30.months IS '経過月';</v>
      </c>
    </row>
    <row r="15" spans="1:45" s="25" customFormat="1">
      <c r="A15" s="4"/>
      <c r="B15" s="21">
        <f t="shared" si="2"/>
        <v>3</v>
      </c>
      <c r="C15" s="13" t="s">
        <v>4419</v>
      </c>
      <c r="D15" s="13" t="s">
        <v>4414</v>
      </c>
      <c r="E15" s="7"/>
      <c r="F15" s="8" t="s">
        <v>1742</v>
      </c>
      <c r="G15" s="7" t="str">
        <f t="shared" si="3"/>
        <v>numeric</v>
      </c>
      <c r="H15" s="26"/>
      <c r="I15" s="10" t="s">
        <v>127</v>
      </c>
      <c r="J15" s="11"/>
      <c r="M15" s="4"/>
      <c r="N15" s="97"/>
      <c r="O15" s="97"/>
      <c r="P15" s="97" t="str">
        <f t="shared" si="4"/>
        <v>,avg_value</v>
      </c>
      <c r="Q15" s="97" t="str">
        <f t="shared" si="0"/>
        <v>NUMERIC</v>
      </c>
      <c r="R15" s="97" t="str">
        <f t="shared" si="1"/>
        <v/>
      </c>
      <c r="S15" s="97" t="str">
        <f t="shared" si="5"/>
        <v>NOT NULL</v>
      </c>
      <c r="T15" s="97" t="str">
        <f t="shared" si="6"/>
        <v>-- 平均値</v>
      </c>
      <c r="U15" s="4"/>
      <c r="AA15" s="4"/>
      <c r="AB15" s="4"/>
      <c r="AC15" s="4"/>
      <c r="AD15" s="4"/>
      <c r="AE15" s="4"/>
      <c r="AF15" s="4"/>
      <c r="AG15" s="4"/>
      <c r="AH15" s="4"/>
      <c r="AI15" s="4"/>
      <c r="AJ15" s="97" t="str">
        <f>IF(E15="○",IF(COUNTA(E$13:E15)=1,"",",")&amp;D15,"")</f>
        <v/>
      </c>
      <c r="AK15" s="4"/>
      <c r="AL15" s="4"/>
      <c r="AM15" s="4"/>
      <c r="AN15" s="4"/>
      <c r="AO15" s="4"/>
      <c r="AP15" s="4"/>
      <c r="AQ15" s="4"/>
      <c r="AR15" s="4"/>
      <c r="AS15" s="97" t="str">
        <f>"COMMENT ON COLUMN "&amp;エンティティ一覧!$O$2&amp;"."&amp;D$8&amp;"."&amp;D15&amp;" IS '"&amp;C15&amp;"';"</f>
        <v>COMMENT ON COLUMN milscm_2023_010.azn_202310_delivery_k_months_all_look30.avg_value IS '平均値';</v>
      </c>
    </row>
    <row r="16" spans="1:45" s="25" customFormat="1">
      <c r="A16" s="4"/>
      <c r="B16" s="21">
        <f t="shared" si="2"/>
        <v>4</v>
      </c>
      <c r="C16" s="13" t="s">
        <v>4420</v>
      </c>
      <c r="D16" s="13" t="s">
        <v>4415</v>
      </c>
      <c r="E16" s="7"/>
      <c r="F16" s="8" t="s">
        <v>1742</v>
      </c>
      <c r="G16" s="7" t="str">
        <f t="shared" si="3"/>
        <v>numeric</v>
      </c>
      <c r="H16" s="26"/>
      <c r="I16" s="10" t="s">
        <v>127</v>
      </c>
      <c r="J16" s="11"/>
      <c r="M16" s="4"/>
      <c r="N16" s="97"/>
      <c r="O16" s="97"/>
      <c r="P16" s="97" t="str">
        <f t="shared" si="4"/>
        <v>,std_value</v>
      </c>
      <c r="Q16" s="97" t="str">
        <f t="shared" si="0"/>
        <v>NUMERIC</v>
      </c>
      <c r="R16" s="97" t="str">
        <f t="shared" si="1"/>
        <v/>
      </c>
      <c r="S16" s="97" t="str">
        <f t="shared" si="5"/>
        <v>NOT NULL</v>
      </c>
      <c r="T16" s="97" t="str">
        <f t="shared" si="6"/>
        <v>-- 標準偏差値</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"&amp;エンティティ一覧!$O$2&amp;"."&amp;D$8&amp;"."&amp;D16&amp;" IS '"&amp;C16&amp;"';"</f>
        <v>COMMENT ON COLUMN milscm_2023_010.azn_202310_delivery_k_months_all_look30.std_value IS '標準偏差値';</v>
      </c>
    </row>
    <row r="17" spans="1:52" s="25" customFormat="1" ht="19.5" thickBot="1">
      <c r="A17" s="4"/>
      <c r="B17" s="69">
        <f t="shared" si="2"/>
        <v>5</v>
      </c>
      <c r="C17" s="121" t="s">
        <v>4421</v>
      </c>
      <c r="D17" s="121" t="s">
        <v>4416</v>
      </c>
      <c r="E17" s="71"/>
      <c r="F17" s="71" t="s">
        <v>1845</v>
      </c>
      <c r="G17" s="71" t="str">
        <f t="shared" si="3"/>
        <v>integer</v>
      </c>
      <c r="H17" s="72"/>
      <c r="I17" s="73" t="s">
        <v>127</v>
      </c>
      <c r="J17" s="74"/>
      <c r="M17" s="4"/>
      <c r="N17" s="97"/>
      <c r="O17" s="97"/>
      <c r="P17" s="97" t="str">
        <f t="shared" si="4"/>
        <v>,patient_count</v>
      </c>
      <c r="Q17" s="97" t="str">
        <f t="shared" si="0"/>
        <v>INTEGER</v>
      </c>
      <c r="R17" s="97" t="str">
        <f t="shared" si="1"/>
        <v/>
      </c>
      <c r="S17" s="97" t="str">
        <f t="shared" si="5"/>
        <v>NOT NULL</v>
      </c>
      <c r="T17" s="97" t="str">
        <f t="shared" si="6"/>
        <v>-- 患者数カウント</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milscm_2023_010.azn_202310_delivery_k_months_all_look30.patient_count IS '患者数カウント';</v>
      </c>
    </row>
    <row r="18" spans="1:52">
      <c r="L18" s="25"/>
      <c r="M18" s="25"/>
      <c r="N18" s="97" t="s">
        <v>142</v>
      </c>
      <c r="O18" s="97"/>
      <c r="P18" s="97"/>
      <c r="Q18" s="97"/>
      <c r="R18" s="97"/>
      <c r="S18" s="97"/>
      <c r="T18" s="97"/>
      <c r="V18" s="25"/>
      <c r="W18" s="25"/>
      <c r="X18" s="25"/>
      <c r="Y18" s="25"/>
      <c r="Z18" s="25"/>
      <c r="AJ18" s="97"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61</v>
      </c>
      <c r="E4" s="248"/>
      <c r="F4" s="248"/>
      <c r="G4" s="248"/>
      <c r="H4" s="248"/>
      <c r="I4" s="248"/>
      <c r="J4" s="249"/>
    </row>
    <row r="5" spans="1:45">
      <c r="B5" s="261" t="s">
        <v>3704</v>
      </c>
      <c r="C5" s="262"/>
      <c r="D5" s="271" t="str">
        <f>VLOOKUP(D7,エンティティ一覧!A1:'エンティティ一覧'!AM10203,7,FALSE)</f>
        <v>delivery</v>
      </c>
      <c r="E5" s="272"/>
      <c r="F5" s="272"/>
      <c r="G5" s="272"/>
      <c r="H5" s="272"/>
      <c r="I5" s="272"/>
      <c r="J5" s="273"/>
    </row>
    <row r="6" spans="1:45">
      <c r="B6" s="261" t="s">
        <v>3705</v>
      </c>
      <c r="C6" s="262"/>
      <c r="D6" s="271" t="str">
        <f>VLOOKUP(D7,エンティティ一覧!A1:'エンティティ一覧'!AM10203,15,FALSE)</f>
        <v>ENT_61_15</v>
      </c>
      <c r="E6" s="272"/>
      <c r="F6" s="272"/>
      <c r="G6" s="272"/>
      <c r="H6" s="272"/>
      <c r="I6" s="272"/>
      <c r="J6" s="273"/>
    </row>
    <row r="7" spans="1:45">
      <c r="B7" s="261" t="s">
        <v>115</v>
      </c>
      <c r="C7" s="262"/>
      <c r="D7" s="263" t="s">
        <v>4462</v>
      </c>
      <c r="E7" s="264"/>
      <c r="F7" s="264"/>
      <c r="G7" s="264"/>
      <c r="H7" s="264"/>
      <c r="I7" s="264"/>
      <c r="J7" s="265"/>
    </row>
    <row r="8" spans="1:45">
      <c r="B8" s="261" t="s">
        <v>116</v>
      </c>
      <c r="C8" s="262"/>
      <c r="D8" s="263" t="str">
        <f>エンティティ一覧!AE2&amp;"_"&amp;D5&amp;"_k_weeks_shoho_term"</f>
        <v>azn_202310_delivery_k_weeks_shoho_term</v>
      </c>
      <c r="E8" s="264"/>
      <c r="F8" s="264"/>
      <c r="G8" s="264"/>
      <c r="H8" s="264"/>
      <c r="I8" s="264"/>
      <c r="J8" s="265"/>
    </row>
    <row r="9" spans="1:45" ht="19.5" customHeight="1" thickBot="1">
      <c r="B9" s="266" t="s">
        <v>117</v>
      </c>
      <c r="C9" s="267"/>
      <c r="D9" s="268" t="s">
        <v>4515</v>
      </c>
      <c r="E9" s="269"/>
      <c r="F9" s="269"/>
      <c r="G9" s="269"/>
      <c r="H9" s="269"/>
      <c r="I9" s="269"/>
      <c r="J9" s="270"/>
    </row>
    <row r="10" spans="1:45">
      <c r="B10" s="19"/>
      <c r="C10" s="19"/>
      <c r="D10" s="5"/>
      <c r="E10" s="5"/>
      <c r="F10" s="5"/>
      <c r="G10" s="5"/>
      <c r="H10" s="5"/>
      <c r="I10" s="5"/>
      <c r="J10" s="18"/>
      <c r="N10" s="97" t="str">
        <f>"--DROP TABLE  "&amp;エンティティ一覧!$O$2&amp;"."&amp;D$8&amp;";"</f>
        <v>--DROP TABLE  milscm_2023_010.azn_202310_delivery_k_weeks_shoho_term;</v>
      </c>
      <c r="O10" s="97"/>
      <c r="P10" s="97"/>
      <c r="Q10" s="97"/>
      <c r="R10" s="97"/>
      <c r="S10" s="97"/>
      <c r="T10" s="97"/>
      <c r="AJ10" s="97" t="str">
        <f>"ALTER TABLE ONLY "&amp;エンティティ一覧!$O$2&amp;"."&amp;D$8</f>
        <v>ALTER TABLE ONLY milscm_2023_010.azn_202310_delivery_k_weeks_shoho_term</v>
      </c>
      <c r="AS10" s="97" t="str">
        <f>"ALTER TABLE "&amp;エンティティ一覧!$O$2&amp;"."&amp;D$8&amp;" OWNER TO pgmisgrp1;"</f>
        <v>ALTER TABLE milscm_2023_010.azn_202310_delivery_k_weeks_shoho_term OWNER TO pgmisgrp1;</v>
      </c>
    </row>
    <row r="11" spans="1:45" ht="19.5" thickBot="1">
      <c r="B11" s="20" t="s">
        <v>118</v>
      </c>
      <c r="C11" s="19"/>
      <c r="D11" s="5"/>
      <c r="E11" s="5"/>
      <c r="F11" s="5"/>
      <c r="G11" s="5"/>
      <c r="H11" s="5"/>
      <c r="I11" s="5"/>
      <c r="J11" s="18"/>
      <c r="N11" s="97" t="str">
        <f>"CREATE TABLE  "&amp;エンティティ一覧!$O$2&amp;"."&amp;D$8</f>
        <v>CREATE TABLE  milscm_2023_010.azn_202310_delivery_k_weeks_shoho_term</v>
      </c>
      <c r="O11" s="97"/>
      <c r="P11" s="97"/>
      <c r="Q11" s="97"/>
      <c r="R11" s="97"/>
      <c r="S11" s="97"/>
      <c r="T11" s="97"/>
      <c r="AJ11" s="97" t="str">
        <f>"ADD CONSTRAINT "&amp;D$8&amp;"_pkey PRIMARY KEY"</f>
        <v>ADD CONSTRAINT azn_202310_delivery_k_weeks_shoho_term_pkey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milscm_2023_010.azn_202310_delivery_k_weeks_shoho_term IS 'デリバリ_カリウム平均推移_週別_処方期間別';</v>
      </c>
    </row>
    <row r="13" spans="1:45" s="25" customFormat="1" ht="37.5">
      <c r="A13" s="4"/>
      <c r="B13" s="21">
        <f>ROW()-12</f>
        <v>1</v>
      </c>
      <c r="C13" s="6" t="s">
        <v>4417</v>
      </c>
      <c r="D13" s="6" t="s">
        <v>4413</v>
      </c>
      <c r="E13" s="8" t="s">
        <v>127</v>
      </c>
      <c r="F13" s="8" t="s">
        <v>1735</v>
      </c>
      <c r="G13" s="7" t="str">
        <f>IF(F13="フラグ","boolean",IF(F13="文字列","text",IF(F13="整数","integer",IF(F13="実数","numeric",""))))</f>
        <v>text</v>
      </c>
      <c r="H13" s="9"/>
      <c r="I13" s="10" t="s">
        <v>127</v>
      </c>
      <c r="J13" s="11" t="s">
        <v>4471</v>
      </c>
      <c r="M13" s="4"/>
      <c r="N13" s="97"/>
      <c r="O13" s="97"/>
      <c r="P13" s="97" t="str">
        <f>IF(B13&lt;&gt;1,","&amp;D13,D13)</f>
        <v>cate_egfr_summary</v>
      </c>
      <c r="Q13" s="97" t="str">
        <f t="shared" ref="Q13:Q17" si="0">UPPER(G13)</f>
        <v>TEXT</v>
      </c>
      <c r="R13" s="97" t="str">
        <f t="shared" ref="R13:R17" si="1">IF(H13&lt;&gt;"","default "&amp;IF(G13="text","'"&amp;H13&amp;"'",H13),"")</f>
        <v/>
      </c>
      <c r="S13" s="97" t="str">
        <f>IF(I13="○","NOT NULL","")</f>
        <v>NOT NULL</v>
      </c>
      <c r="T13" s="97" t="str">
        <f>"-- "&amp;C13</f>
        <v>-- eGFRサマリ</v>
      </c>
      <c r="U13" s="4"/>
      <c r="AA13" s="4"/>
      <c r="AB13" s="4"/>
      <c r="AC13" s="4"/>
      <c r="AD13" s="4"/>
      <c r="AE13" s="4"/>
      <c r="AF13" s="4"/>
      <c r="AG13" s="4"/>
      <c r="AH13" s="4"/>
      <c r="AI13" s="4"/>
      <c r="AJ13" s="97" t="str">
        <f>IF(E13="○",IF(COUNTA(E$13:E13)=1,"",",")&amp;D13,"")</f>
        <v>cate_egfr_summary</v>
      </c>
      <c r="AK13" s="4"/>
      <c r="AL13" s="4"/>
      <c r="AM13" s="4"/>
      <c r="AN13" s="4"/>
      <c r="AO13" s="4"/>
      <c r="AP13" s="4"/>
      <c r="AQ13" s="4"/>
      <c r="AR13" s="4"/>
      <c r="AS13" s="97" t="str">
        <f>"COMMENT ON COLUMN "&amp;エンティティ一覧!$O$2&amp;"."&amp;D$8&amp;"."&amp;D13&amp;" IS '"&amp;C13&amp;"';"</f>
        <v>COMMENT ON COLUMN milscm_2023_010.azn_202310_delivery_k_weeks_shoho_term.cate_egfr_summary IS 'eGFRサマリ';</v>
      </c>
    </row>
    <row r="14" spans="1:45" s="25" customFormat="1">
      <c r="A14" s="4"/>
      <c r="B14" s="21">
        <f t="shared" ref="B14:B17" si="2">ROW()-12</f>
        <v>2</v>
      </c>
      <c r="C14" s="6" t="s">
        <v>4252</v>
      </c>
      <c r="D14" s="6" t="s">
        <v>4430</v>
      </c>
      <c r="E14" s="8" t="s">
        <v>127</v>
      </c>
      <c r="F14" s="8" t="s">
        <v>1845</v>
      </c>
      <c r="G14" s="7" t="str">
        <f t="shared" ref="G14:G17" si="3">IF(F14="フラグ","boolean",IF(F14="文字列","text",IF(F14="整数","integer",IF(F14="実数","numeric",""))))</f>
        <v>integer</v>
      </c>
      <c r="H14" s="26"/>
      <c r="I14" s="10" t="s">
        <v>127</v>
      </c>
      <c r="J14" s="11"/>
      <c r="M14" s="4"/>
      <c r="N14" s="97"/>
      <c r="O14" s="97"/>
      <c r="P14" s="97" t="str">
        <f t="shared" ref="P14:P17" si="4">IF(B14&lt;&gt;1,","&amp;D14,D14)</f>
        <v>,weeks</v>
      </c>
      <c r="Q14" s="97" t="str">
        <f t="shared" si="0"/>
        <v>INTEGER</v>
      </c>
      <c r="R14" s="97" t="str">
        <f t="shared" si="1"/>
        <v/>
      </c>
      <c r="S14" s="97" t="str">
        <f t="shared" ref="S14:S17" si="5">IF(I14="○","NOT NULL","")</f>
        <v>NOT NULL</v>
      </c>
      <c r="T14" s="97" t="str">
        <f t="shared" ref="T14:T17" si="6">"-- "&amp;C14</f>
        <v>-- 経過週</v>
      </c>
      <c r="U14" s="4"/>
      <c r="AA14" s="4"/>
      <c r="AB14" s="4"/>
      <c r="AC14" s="4"/>
      <c r="AD14" s="4"/>
      <c r="AE14" s="4"/>
      <c r="AF14" s="4"/>
      <c r="AG14" s="4"/>
      <c r="AH14" s="4"/>
      <c r="AI14" s="4"/>
      <c r="AJ14" s="97" t="str">
        <f>IF(E14="○",IF(COUNTA(E$13:E14)=1,"",",")&amp;D14,"")</f>
        <v>,weeks</v>
      </c>
      <c r="AK14" s="4"/>
      <c r="AL14" s="4"/>
      <c r="AM14" s="4"/>
      <c r="AN14" s="4"/>
      <c r="AO14" s="4"/>
      <c r="AP14" s="4"/>
      <c r="AQ14" s="4"/>
      <c r="AR14" s="4"/>
      <c r="AS14" s="97" t="str">
        <f>"COMMENT ON COLUMN "&amp;エンティティ一覧!$O$2&amp;"."&amp;D$8&amp;"."&amp;D14&amp;" IS '"&amp;C14&amp;"';"</f>
        <v>COMMENT ON COLUMN milscm_2023_010.azn_202310_delivery_k_weeks_shoho_term.weeks IS '経過週';</v>
      </c>
    </row>
    <row r="15" spans="1:45" s="25" customFormat="1">
      <c r="A15" s="4"/>
      <c r="B15" s="21">
        <f t="shared" si="2"/>
        <v>3</v>
      </c>
      <c r="C15" s="13" t="s">
        <v>4419</v>
      </c>
      <c r="D15" s="13" t="s">
        <v>4414</v>
      </c>
      <c r="E15" s="7"/>
      <c r="F15" s="8" t="s">
        <v>1742</v>
      </c>
      <c r="G15" s="7" t="str">
        <f t="shared" si="3"/>
        <v>numeric</v>
      </c>
      <c r="H15" s="26"/>
      <c r="I15" s="10" t="s">
        <v>127</v>
      </c>
      <c r="J15" s="11"/>
      <c r="M15" s="4"/>
      <c r="N15" s="97"/>
      <c r="O15" s="97"/>
      <c r="P15" s="97" t="str">
        <f t="shared" si="4"/>
        <v>,avg_value</v>
      </c>
      <c r="Q15" s="97" t="str">
        <f t="shared" si="0"/>
        <v>NUMERIC</v>
      </c>
      <c r="R15" s="97" t="str">
        <f t="shared" si="1"/>
        <v/>
      </c>
      <c r="S15" s="97" t="str">
        <f t="shared" si="5"/>
        <v>NOT NULL</v>
      </c>
      <c r="T15" s="97" t="str">
        <f t="shared" si="6"/>
        <v>-- 平均値</v>
      </c>
      <c r="U15" s="4"/>
      <c r="AA15" s="4"/>
      <c r="AB15" s="4"/>
      <c r="AC15" s="4"/>
      <c r="AD15" s="4"/>
      <c r="AE15" s="4"/>
      <c r="AF15" s="4"/>
      <c r="AG15" s="4"/>
      <c r="AH15" s="4"/>
      <c r="AI15" s="4"/>
      <c r="AJ15" s="97" t="str">
        <f>IF(E15="○",IF(COUNTA(E$13:E15)=1,"",",")&amp;D15,"")</f>
        <v/>
      </c>
      <c r="AK15" s="4"/>
      <c r="AL15" s="4"/>
      <c r="AM15" s="4"/>
      <c r="AN15" s="4"/>
      <c r="AO15" s="4"/>
      <c r="AP15" s="4"/>
      <c r="AQ15" s="4"/>
      <c r="AR15" s="4"/>
      <c r="AS15" s="97" t="str">
        <f>"COMMENT ON COLUMN "&amp;エンティティ一覧!$O$2&amp;"."&amp;D$8&amp;"."&amp;D15&amp;" IS '"&amp;C15&amp;"';"</f>
        <v>COMMENT ON COLUMN milscm_2023_010.azn_202310_delivery_k_weeks_shoho_term.avg_value IS '平均値';</v>
      </c>
    </row>
    <row r="16" spans="1:45" s="25" customFormat="1">
      <c r="A16" s="4"/>
      <c r="B16" s="21">
        <f t="shared" si="2"/>
        <v>4</v>
      </c>
      <c r="C16" s="13" t="s">
        <v>4420</v>
      </c>
      <c r="D16" s="13" t="s">
        <v>4415</v>
      </c>
      <c r="E16" s="7"/>
      <c r="F16" s="8" t="s">
        <v>1742</v>
      </c>
      <c r="G16" s="7" t="str">
        <f t="shared" si="3"/>
        <v>numeric</v>
      </c>
      <c r="H16" s="26"/>
      <c r="I16" s="10" t="s">
        <v>127</v>
      </c>
      <c r="J16" s="11"/>
      <c r="M16" s="4"/>
      <c r="N16" s="97"/>
      <c r="O16" s="97"/>
      <c r="P16" s="97" t="str">
        <f t="shared" si="4"/>
        <v>,std_value</v>
      </c>
      <c r="Q16" s="97" t="str">
        <f t="shared" si="0"/>
        <v>NUMERIC</v>
      </c>
      <c r="R16" s="97" t="str">
        <f t="shared" si="1"/>
        <v/>
      </c>
      <c r="S16" s="97" t="str">
        <f t="shared" si="5"/>
        <v>NOT NULL</v>
      </c>
      <c r="T16" s="97" t="str">
        <f t="shared" si="6"/>
        <v>-- 標準偏差値</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"&amp;エンティティ一覧!$O$2&amp;"."&amp;D$8&amp;"."&amp;D16&amp;" IS '"&amp;C16&amp;"';"</f>
        <v>COMMENT ON COLUMN milscm_2023_010.azn_202310_delivery_k_weeks_shoho_term.std_value IS '標準偏差値';</v>
      </c>
    </row>
    <row r="17" spans="1:52" s="25" customFormat="1" ht="19.5" thickBot="1">
      <c r="A17" s="4"/>
      <c r="B17" s="69">
        <f t="shared" si="2"/>
        <v>5</v>
      </c>
      <c r="C17" s="121" t="s">
        <v>4421</v>
      </c>
      <c r="D17" s="121" t="s">
        <v>4416</v>
      </c>
      <c r="E17" s="71"/>
      <c r="F17" s="71" t="s">
        <v>1845</v>
      </c>
      <c r="G17" s="71" t="str">
        <f t="shared" si="3"/>
        <v>integer</v>
      </c>
      <c r="H17" s="72"/>
      <c r="I17" s="73" t="s">
        <v>127</v>
      </c>
      <c r="J17" s="74"/>
      <c r="M17" s="4"/>
      <c r="N17" s="97"/>
      <c r="O17" s="97"/>
      <c r="P17" s="97" t="str">
        <f t="shared" si="4"/>
        <v>,patient_count</v>
      </c>
      <c r="Q17" s="97" t="str">
        <f t="shared" si="0"/>
        <v>INTEGER</v>
      </c>
      <c r="R17" s="97" t="str">
        <f t="shared" si="1"/>
        <v/>
      </c>
      <c r="S17" s="97" t="str">
        <f t="shared" si="5"/>
        <v>NOT NULL</v>
      </c>
      <c r="T17" s="97" t="str">
        <f t="shared" si="6"/>
        <v>-- 患者数カウント</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milscm_2023_010.azn_202310_delivery_k_weeks_shoho_term.patient_count IS '患者数カウント';</v>
      </c>
    </row>
    <row r="18" spans="1:52">
      <c r="L18" s="25"/>
      <c r="M18" s="25"/>
      <c r="N18" s="97" t="s">
        <v>142</v>
      </c>
      <c r="O18" s="97"/>
      <c r="P18" s="97"/>
      <c r="Q18" s="97"/>
      <c r="R18" s="97"/>
      <c r="S18" s="97"/>
      <c r="T18" s="97"/>
      <c r="V18" s="25"/>
      <c r="W18" s="25"/>
      <c r="X18" s="25"/>
      <c r="Y18" s="25"/>
      <c r="Z18" s="25"/>
      <c r="AJ18" s="97"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61</v>
      </c>
      <c r="E4" s="248"/>
      <c r="F4" s="248"/>
      <c r="G4" s="248"/>
      <c r="H4" s="248"/>
      <c r="I4" s="248"/>
      <c r="J4" s="249"/>
    </row>
    <row r="5" spans="1:45">
      <c r="B5" s="261" t="s">
        <v>3704</v>
      </c>
      <c r="C5" s="262"/>
      <c r="D5" s="271" t="str">
        <f>VLOOKUP(D7,エンティティ一覧!A1:'エンティティ一覧'!AM10203,7,FALSE)</f>
        <v>delivery</v>
      </c>
      <c r="E5" s="272"/>
      <c r="F5" s="272"/>
      <c r="G5" s="272"/>
      <c r="H5" s="272"/>
      <c r="I5" s="272"/>
      <c r="J5" s="273"/>
    </row>
    <row r="6" spans="1:45">
      <c r="B6" s="261" t="s">
        <v>3705</v>
      </c>
      <c r="C6" s="262"/>
      <c r="D6" s="271" t="str">
        <f>VLOOKUP(D7,エンティティ一覧!A1:'エンティティ一覧'!AM10203,15,FALSE)</f>
        <v>ENT_61_16</v>
      </c>
      <c r="E6" s="272"/>
      <c r="F6" s="272"/>
      <c r="G6" s="272"/>
      <c r="H6" s="272"/>
      <c r="I6" s="272"/>
      <c r="J6" s="273"/>
    </row>
    <row r="7" spans="1:45">
      <c r="B7" s="261" t="s">
        <v>115</v>
      </c>
      <c r="C7" s="262"/>
      <c r="D7" s="263" t="s">
        <v>4468</v>
      </c>
      <c r="E7" s="264"/>
      <c r="F7" s="264"/>
      <c r="G7" s="264"/>
      <c r="H7" s="264"/>
      <c r="I7" s="264"/>
      <c r="J7" s="265"/>
    </row>
    <row r="8" spans="1:45">
      <c r="B8" s="261" t="s">
        <v>116</v>
      </c>
      <c r="C8" s="262"/>
      <c r="D8" s="263" t="str">
        <f>エンティティ一覧!AE2&amp;"_"&amp;D5&amp;"_k_weeks_shoho_term_no_lb"</f>
        <v>azn_202310_delivery_k_weeks_shoho_term_no_lb</v>
      </c>
      <c r="E8" s="264"/>
      <c r="F8" s="264"/>
      <c r="G8" s="264"/>
      <c r="H8" s="264"/>
      <c r="I8" s="264"/>
      <c r="J8" s="265"/>
    </row>
    <row r="9" spans="1:45" ht="19.5" customHeight="1" thickBot="1">
      <c r="B9" s="266" t="s">
        <v>117</v>
      </c>
      <c r="C9" s="267"/>
      <c r="D9" s="268"/>
      <c r="E9" s="269"/>
      <c r="F9" s="269"/>
      <c r="G9" s="269"/>
      <c r="H9" s="269"/>
      <c r="I9" s="269"/>
      <c r="J9" s="270"/>
    </row>
    <row r="10" spans="1:45">
      <c r="B10" s="19"/>
      <c r="C10" s="19"/>
      <c r="D10" s="5"/>
      <c r="E10" s="5"/>
      <c r="F10" s="5"/>
      <c r="G10" s="5"/>
      <c r="H10" s="5"/>
      <c r="I10" s="5"/>
      <c r="J10" s="18"/>
      <c r="N10" s="97" t="str">
        <f>"--DROP TABLE  "&amp;エンティティ一覧!$O$2&amp;"."&amp;D$8&amp;";"</f>
        <v>--DROP TABLE  milscm_2023_010.azn_202310_delivery_k_weeks_shoho_term_no_lb;</v>
      </c>
      <c r="O10" s="97"/>
      <c r="P10" s="97"/>
      <c r="Q10" s="97"/>
      <c r="R10" s="97"/>
      <c r="S10" s="97"/>
      <c r="T10" s="97"/>
      <c r="AJ10" s="97" t="str">
        <f>"ALTER TABLE ONLY "&amp;エンティティ一覧!$O$2&amp;"."&amp;D$8</f>
        <v>ALTER TABLE ONLY milscm_2023_010.azn_202310_delivery_k_weeks_shoho_term_no_lb</v>
      </c>
      <c r="AS10" s="97" t="str">
        <f>"ALTER TABLE "&amp;エンティティ一覧!$O$2&amp;"."&amp;D$8&amp;" OWNER TO pgmisgrp1;"</f>
        <v>ALTER TABLE milscm_2023_010.azn_202310_delivery_k_weeks_shoho_term_no_lb OWNER TO pgmisgrp1;</v>
      </c>
    </row>
    <row r="11" spans="1:45" ht="19.5" thickBot="1">
      <c r="B11" s="20" t="s">
        <v>118</v>
      </c>
      <c r="C11" s="19"/>
      <c r="D11" s="5"/>
      <c r="E11" s="5"/>
      <c r="F11" s="5"/>
      <c r="G11" s="5"/>
      <c r="H11" s="5"/>
      <c r="I11" s="5"/>
      <c r="J11" s="18"/>
      <c r="N11" s="97" t="str">
        <f>"CREATE TABLE  "&amp;エンティティ一覧!$O$2&amp;"."&amp;D$8</f>
        <v>CREATE TABLE  milscm_2023_010.azn_202310_delivery_k_weeks_shoho_term_no_lb</v>
      </c>
      <c r="O11" s="97"/>
      <c r="P11" s="97"/>
      <c r="Q11" s="97"/>
      <c r="R11" s="97"/>
      <c r="S11" s="97"/>
      <c r="T11" s="97"/>
      <c r="AJ11" s="97" t="str">
        <f>"ADD CONSTRAINT "&amp;D$8&amp;"_pkey PRIMARY KEY"</f>
        <v>ADD CONSTRAINT azn_202310_delivery_k_weeks_shoho_term_no_lb_pkey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milscm_2023_010.azn_202310_delivery_k_weeks_shoho_term_no_lb IS 'デリバリ_カリウム平均推移_週別_処方期間別_lbなし';</v>
      </c>
    </row>
    <row r="13" spans="1:45" s="25" customFormat="1" ht="37.5">
      <c r="A13" s="4"/>
      <c r="B13" s="21">
        <f>ROW()-12</f>
        <v>1</v>
      </c>
      <c r="C13" s="6" t="s">
        <v>4417</v>
      </c>
      <c r="D13" s="6" t="s">
        <v>4413</v>
      </c>
      <c r="E13" s="8" t="s">
        <v>127</v>
      </c>
      <c r="F13" s="8" t="s">
        <v>1735</v>
      </c>
      <c r="G13" s="7" t="str">
        <f>IF(F13="フラグ","boolean",IF(F13="文字列","text",IF(F13="整数","integer",IF(F13="実数","numeric",""))))</f>
        <v>text</v>
      </c>
      <c r="H13" s="9"/>
      <c r="I13" s="10" t="s">
        <v>127</v>
      </c>
      <c r="J13" s="11" t="s">
        <v>4471</v>
      </c>
      <c r="M13" s="4"/>
      <c r="N13" s="97"/>
      <c r="O13" s="97"/>
      <c r="P13" s="97" t="str">
        <f>IF(B13&lt;&gt;1,","&amp;D13,D13)</f>
        <v>cate_egfr_summary</v>
      </c>
      <c r="Q13" s="97" t="str">
        <f t="shared" ref="Q13:Q18" si="0">UPPER(G13)</f>
        <v>TEXT</v>
      </c>
      <c r="R13" s="97" t="str">
        <f t="shared" ref="R13:R18" si="1">IF(H13&lt;&gt;"","default "&amp;IF(G13="text","'"&amp;H13&amp;"'",H13),"")</f>
        <v/>
      </c>
      <c r="S13" s="97" t="str">
        <f>IF(I13="○","NOT NULL","")</f>
        <v>NOT NULL</v>
      </c>
      <c r="T13" s="97" t="str">
        <f>"-- "&amp;C13</f>
        <v>-- eGFRサマリ</v>
      </c>
      <c r="U13" s="4"/>
      <c r="AA13" s="4"/>
      <c r="AB13" s="4"/>
      <c r="AC13" s="4"/>
      <c r="AD13" s="4"/>
      <c r="AE13" s="4"/>
      <c r="AF13" s="4"/>
      <c r="AG13" s="4"/>
      <c r="AH13" s="4"/>
      <c r="AI13" s="4"/>
      <c r="AJ13" s="97" t="str">
        <f>IF(E13="○",IF(COUNTA(E$13:E13)=1,"",",")&amp;D13,"")</f>
        <v>cate_egfr_summary</v>
      </c>
      <c r="AK13" s="4"/>
      <c r="AL13" s="4"/>
      <c r="AM13" s="4"/>
      <c r="AN13" s="4"/>
      <c r="AO13" s="4"/>
      <c r="AP13" s="4"/>
      <c r="AQ13" s="4"/>
      <c r="AR13" s="4"/>
      <c r="AS13" s="97" t="str">
        <f>"COMMENT ON COLUMN "&amp;エンティティ一覧!$O$2&amp;"."&amp;D$8&amp;"."&amp;D13&amp;" IS '"&amp;C13&amp;"';"</f>
        <v>COMMENT ON COLUMN milscm_2023_010.azn_202310_delivery_k_weeks_shoho_term_no_lb.cate_egfr_summary IS 'eGFRサマリ';</v>
      </c>
    </row>
    <row r="14" spans="1:45" s="25" customFormat="1">
      <c r="A14" s="4"/>
      <c r="B14" s="21">
        <f t="shared" ref="B14:B18" si="2">ROW()-12</f>
        <v>2</v>
      </c>
      <c r="C14" s="6" t="s">
        <v>4470</v>
      </c>
      <c r="D14" s="6" t="s">
        <v>4469</v>
      </c>
      <c r="E14" s="8" t="s">
        <v>127</v>
      </c>
      <c r="F14" s="8" t="s">
        <v>1735</v>
      </c>
      <c r="G14" s="7" t="str">
        <f t="shared" ref="G14:G18" si="3">IF(F14="フラグ","boolean",IF(F14="文字列","text",IF(F14="整数","integer",IF(F14="実数","numeric",""))))</f>
        <v>text</v>
      </c>
      <c r="H14" s="26"/>
      <c r="I14" s="10" t="s">
        <v>127</v>
      </c>
      <c r="J14" s="11" t="s">
        <v>4396</v>
      </c>
      <c r="M14" s="4"/>
      <c r="N14" s="97"/>
      <c r="O14" s="97"/>
      <c r="P14" s="97" t="str">
        <f t="shared" ref="P14:P18" si="4">IF(B14&lt;&gt;1,","&amp;D14,D14)</f>
        <v>,shoho_cate</v>
      </c>
      <c r="Q14" s="97" t="str">
        <f t="shared" si="0"/>
        <v>TEXT</v>
      </c>
      <c r="R14" s="97" t="str">
        <f t="shared" si="1"/>
        <v/>
      </c>
      <c r="S14" s="97" t="str">
        <f t="shared" ref="S14:S18" si="5">IF(I14="○","NOT NULL","")</f>
        <v>NOT NULL</v>
      </c>
      <c r="T14" s="97" t="str">
        <f t="shared" ref="T14:T18" si="6">"-- "&amp;C14</f>
        <v>-- 処方カテゴリ</v>
      </c>
      <c r="U14" s="4"/>
      <c r="AA14" s="4"/>
      <c r="AB14" s="4"/>
      <c r="AC14" s="4"/>
      <c r="AD14" s="4"/>
      <c r="AE14" s="4"/>
      <c r="AF14" s="4"/>
      <c r="AG14" s="4"/>
      <c r="AH14" s="4"/>
      <c r="AI14" s="4"/>
      <c r="AJ14" s="97" t="str">
        <f>IF(E14="○",IF(COUNTA(E$13:E14)=1,"",",")&amp;D14,"")</f>
        <v>,shoho_cate</v>
      </c>
      <c r="AK14" s="4"/>
      <c r="AL14" s="4"/>
      <c r="AM14" s="4"/>
      <c r="AN14" s="4"/>
      <c r="AO14" s="4"/>
      <c r="AP14" s="4"/>
      <c r="AQ14" s="4"/>
      <c r="AR14" s="4"/>
      <c r="AS14" s="97" t="str">
        <f>"COMMENT ON COLUMN "&amp;エンティティ一覧!$O$2&amp;"."&amp;D$8&amp;"."&amp;D14&amp;" IS '"&amp;C14&amp;"';"</f>
        <v>COMMENT ON COLUMN milscm_2023_010.azn_202310_delivery_k_weeks_shoho_term_no_lb.shoho_cate IS '処方カテゴリ';</v>
      </c>
    </row>
    <row r="15" spans="1:45" s="25" customFormat="1">
      <c r="A15" s="4"/>
      <c r="B15" s="21">
        <f t="shared" si="2"/>
        <v>3</v>
      </c>
      <c r="C15" s="6" t="s">
        <v>4252</v>
      </c>
      <c r="D15" s="6" t="s">
        <v>4430</v>
      </c>
      <c r="E15" s="8" t="s">
        <v>127</v>
      </c>
      <c r="F15" s="8" t="s">
        <v>1845</v>
      </c>
      <c r="G15" s="7" t="str">
        <f t="shared" si="3"/>
        <v>integer</v>
      </c>
      <c r="H15" s="26"/>
      <c r="I15" s="10" t="s">
        <v>127</v>
      </c>
      <c r="J15" s="11"/>
      <c r="M15" s="4"/>
      <c r="N15" s="97"/>
      <c r="O15" s="97"/>
      <c r="P15" s="97" t="str">
        <f t="shared" si="4"/>
        <v>,weeks</v>
      </c>
      <c r="Q15" s="97" t="str">
        <f t="shared" si="0"/>
        <v>INTEGER</v>
      </c>
      <c r="R15" s="97" t="str">
        <f t="shared" si="1"/>
        <v/>
      </c>
      <c r="S15" s="97" t="str">
        <f t="shared" si="5"/>
        <v>NOT NULL</v>
      </c>
      <c r="T15" s="97" t="str">
        <f t="shared" si="6"/>
        <v>-- 経過週</v>
      </c>
      <c r="U15" s="4"/>
      <c r="AA15" s="4"/>
      <c r="AB15" s="4"/>
      <c r="AC15" s="4"/>
      <c r="AD15" s="4"/>
      <c r="AE15" s="4"/>
      <c r="AF15" s="4"/>
      <c r="AG15" s="4"/>
      <c r="AH15" s="4"/>
      <c r="AI15" s="4"/>
      <c r="AJ15" s="97" t="str">
        <f>IF(E15="○",IF(COUNTA(E$13:E15)=1,"",",")&amp;D15,"")</f>
        <v>,weeks</v>
      </c>
      <c r="AK15" s="4"/>
      <c r="AL15" s="4"/>
      <c r="AM15" s="4"/>
      <c r="AN15" s="4"/>
      <c r="AO15" s="4"/>
      <c r="AP15" s="4"/>
      <c r="AQ15" s="4"/>
      <c r="AR15" s="4"/>
      <c r="AS15" s="97" t="str">
        <f>"COMMENT ON COLUMN "&amp;エンティティ一覧!$O$2&amp;"."&amp;D$8&amp;"."&amp;D15&amp;" IS '"&amp;C15&amp;"';"</f>
        <v>COMMENT ON COLUMN milscm_2023_010.azn_202310_delivery_k_weeks_shoho_term_no_lb.weeks IS '経過週';</v>
      </c>
    </row>
    <row r="16" spans="1:45" s="25" customFormat="1">
      <c r="A16" s="4"/>
      <c r="B16" s="21">
        <f t="shared" si="2"/>
        <v>4</v>
      </c>
      <c r="C16" s="13" t="s">
        <v>4419</v>
      </c>
      <c r="D16" s="13" t="s">
        <v>4414</v>
      </c>
      <c r="E16" s="7"/>
      <c r="F16" s="8" t="s">
        <v>1742</v>
      </c>
      <c r="G16" s="7" t="str">
        <f t="shared" si="3"/>
        <v>numeric</v>
      </c>
      <c r="H16" s="26"/>
      <c r="I16" s="10" t="s">
        <v>127</v>
      </c>
      <c r="J16" s="11"/>
      <c r="M16" s="4"/>
      <c r="N16" s="97"/>
      <c r="O16" s="97"/>
      <c r="P16" s="97" t="str">
        <f t="shared" si="4"/>
        <v>,avg_value</v>
      </c>
      <c r="Q16" s="97" t="str">
        <f t="shared" si="0"/>
        <v>NUMERIC</v>
      </c>
      <c r="R16" s="97" t="str">
        <f t="shared" si="1"/>
        <v/>
      </c>
      <c r="S16" s="97" t="str">
        <f t="shared" si="5"/>
        <v>NOT NULL</v>
      </c>
      <c r="T16" s="97" t="str">
        <f t="shared" si="6"/>
        <v>-- 平均値</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"&amp;エンティティ一覧!$O$2&amp;"."&amp;D$8&amp;"."&amp;D16&amp;" IS '"&amp;C16&amp;"';"</f>
        <v>COMMENT ON COLUMN milscm_2023_010.azn_202310_delivery_k_weeks_shoho_term_no_lb.avg_value IS '平均値';</v>
      </c>
    </row>
    <row r="17" spans="1:52" s="25" customFormat="1">
      <c r="A17" s="4"/>
      <c r="B17" s="21">
        <f t="shared" si="2"/>
        <v>5</v>
      </c>
      <c r="C17" s="13" t="s">
        <v>4420</v>
      </c>
      <c r="D17" s="13" t="s">
        <v>4415</v>
      </c>
      <c r="E17" s="7"/>
      <c r="F17" s="8" t="s">
        <v>1742</v>
      </c>
      <c r="G17" s="7" t="str">
        <f t="shared" si="3"/>
        <v>numeric</v>
      </c>
      <c r="H17" s="26"/>
      <c r="I17" s="10" t="s">
        <v>127</v>
      </c>
      <c r="J17" s="11"/>
      <c r="M17" s="4"/>
      <c r="N17" s="97"/>
      <c r="O17" s="97"/>
      <c r="P17" s="97" t="str">
        <f t="shared" si="4"/>
        <v>,std_value</v>
      </c>
      <c r="Q17" s="97" t="str">
        <f t="shared" si="0"/>
        <v>NUMERIC</v>
      </c>
      <c r="R17" s="97" t="str">
        <f t="shared" si="1"/>
        <v/>
      </c>
      <c r="S17" s="97" t="str">
        <f t="shared" si="5"/>
        <v>NOT NULL</v>
      </c>
      <c r="T17" s="97" t="str">
        <f t="shared" si="6"/>
        <v>-- 標準偏差値</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milscm_2023_010.azn_202310_delivery_k_weeks_shoho_term_no_lb.std_value IS '標準偏差値';</v>
      </c>
    </row>
    <row r="18" spans="1:52" s="25" customFormat="1" ht="19.5" thickBot="1">
      <c r="A18" s="4"/>
      <c r="B18" s="69">
        <f t="shared" si="2"/>
        <v>6</v>
      </c>
      <c r="C18" s="121" t="s">
        <v>4421</v>
      </c>
      <c r="D18" s="121" t="s">
        <v>4416</v>
      </c>
      <c r="E18" s="71"/>
      <c r="F18" s="71" t="s">
        <v>1845</v>
      </c>
      <c r="G18" s="71" t="str">
        <f t="shared" si="3"/>
        <v>integer</v>
      </c>
      <c r="H18" s="72"/>
      <c r="I18" s="73" t="s">
        <v>127</v>
      </c>
      <c r="J18" s="74"/>
      <c r="M18" s="4"/>
      <c r="N18" s="97"/>
      <c r="O18" s="97"/>
      <c r="P18" s="97" t="str">
        <f t="shared" si="4"/>
        <v>,patient_count</v>
      </c>
      <c r="Q18" s="97" t="str">
        <f t="shared" si="0"/>
        <v>INTEGER</v>
      </c>
      <c r="R18" s="97" t="str">
        <f t="shared" si="1"/>
        <v/>
      </c>
      <c r="S18" s="97" t="str">
        <f t="shared" si="5"/>
        <v>NOT NULL</v>
      </c>
      <c r="T18" s="97" t="str">
        <f t="shared" si="6"/>
        <v>-- 患者数カウント</v>
      </c>
      <c r="U18" s="4"/>
      <c r="AA18" s="4"/>
      <c r="AB18" s="4"/>
      <c r="AC18" s="4"/>
      <c r="AD18" s="4"/>
      <c r="AE18" s="4"/>
      <c r="AF18" s="4"/>
      <c r="AG18" s="4"/>
      <c r="AH18" s="4"/>
      <c r="AI18" s="4"/>
      <c r="AJ18" s="97" t="str">
        <f>IF(E18="○",IF(COUNTA(E$13:E18)=1,"",",")&amp;D18,"")</f>
        <v/>
      </c>
      <c r="AK18" s="4"/>
      <c r="AL18" s="4"/>
      <c r="AM18" s="4"/>
      <c r="AN18" s="4"/>
      <c r="AO18" s="4"/>
      <c r="AP18" s="4"/>
      <c r="AQ18" s="4"/>
      <c r="AR18" s="4"/>
      <c r="AS18" s="97" t="str">
        <f>"COMMENT ON COLUMN "&amp;エンティティ一覧!$O$2&amp;"."&amp;D$8&amp;"."&amp;D18&amp;" IS '"&amp;C18&amp;"';"</f>
        <v>COMMENT ON COLUMN milscm_2023_010.azn_202310_delivery_k_weeks_shoho_term_no_lb.patient_count IS '患者数カウント';</v>
      </c>
    </row>
    <row r="19" spans="1:52">
      <c r="L19" s="25"/>
      <c r="M19" s="25"/>
      <c r="N19" s="97" t="s">
        <v>142</v>
      </c>
      <c r="O19" s="97"/>
      <c r="P19" s="97"/>
      <c r="Q19" s="97"/>
      <c r="R19" s="97"/>
      <c r="S19" s="97"/>
      <c r="T19" s="97"/>
      <c r="V19" s="25"/>
      <c r="W19" s="25"/>
      <c r="X19" s="25"/>
      <c r="Y19" s="25"/>
      <c r="Z19" s="25"/>
      <c r="AJ19" s="97"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61</v>
      </c>
      <c r="E4" s="248"/>
      <c r="F4" s="248"/>
      <c r="G4" s="248"/>
      <c r="H4" s="248"/>
      <c r="I4" s="248"/>
      <c r="J4" s="249"/>
    </row>
    <row r="5" spans="1:45">
      <c r="B5" s="261" t="s">
        <v>3704</v>
      </c>
      <c r="C5" s="262"/>
      <c r="D5" s="271" t="str">
        <f>VLOOKUP(D7,エンティティ一覧!A1:'エンティティ一覧'!AM10203,7,FALSE)</f>
        <v>delivery</v>
      </c>
      <c r="E5" s="272"/>
      <c r="F5" s="272"/>
      <c r="G5" s="272"/>
      <c r="H5" s="272"/>
      <c r="I5" s="272"/>
      <c r="J5" s="273"/>
    </row>
    <row r="6" spans="1:45">
      <c r="B6" s="261" t="s">
        <v>3705</v>
      </c>
      <c r="C6" s="262"/>
      <c r="D6" s="271" t="str">
        <f>VLOOKUP(D7,エンティティ一覧!A1:'エンティティ一覧'!AM10203,15,FALSE)</f>
        <v>ENT_61_17</v>
      </c>
      <c r="E6" s="272"/>
      <c r="F6" s="272"/>
      <c r="G6" s="272"/>
      <c r="H6" s="272"/>
      <c r="I6" s="272"/>
      <c r="J6" s="273"/>
    </row>
    <row r="7" spans="1:45">
      <c r="B7" s="261" t="s">
        <v>115</v>
      </c>
      <c r="C7" s="262"/>
      <c r="D7" s="263" t="s">
        <v>4473</v>
      </c>
      <c r="E7" s="264"/>
      <c r="F7" s="264"/>
      <c r="G7" s="264"/>
      <c r="H7" s="264"/>
      <c r="I7" s="264"/>
      <c r="J7" s="265"/>
    </row>
    <row r="8" spans="1:45">
      <c r="B8" s="261" t="s">
        <v>116</v>
      </c>
      <c r="C8" s="262"/>
      <c r="D8" s="263" t="str">
        <f>エンティティ一覧!AE2&amp;"_"&amp;D5&amp;"_k_weeks_shoho_term_lb"</f>
        <v>azn_202310_delivery_k_weeks_shoho_term_lb</v>
      </c>
      <c r="E8" s="264"/>
      <c r="F8" s="264"/>
      <c r="G8" s="264"/>
      <c r="H8" s="264"/>
      <c r="I8" s="264"/>
      <c r="J8" s="265"/>
    </row>
    <row r="9" spans="1:45" ht="19.5" customHeight="1" thickBot="1">
      <c r="B9" s="266" t="s">
        <v>117</v>
      </c>
      <c r="C9" s="267"/>
      <c r="D9" s="268"/>
      <c r="E9" s="269"/>
      <c r="F9" s="269"/>
      <c r="G9" s="269"/>
      <c r="H9" s="269"/>
      <c r="I9" s="269"/>
      <c r="J9" s="270"/>
    </row>
    <row r="10" spans="1:45">
      <c r="B10" s="19"/>
      <c r="C10" s="19"/>
      <c r="D10" s="5"/>
      <c r="E10" s="5"/>
      <c r="F10" s="5"/>
      <c r="G10" s="5"/>
      <c r="H10" s="5"/>
      <c r="I10" s="5"/>
      <c r="J10" s="18"/>
      <c r="N10" s="97" t="str">
        <f>"--DROP TABLE  "&amp;エンティティ一覧!$O$2&amp;"."&amp;D$8&amp;";"</f>
        <v>--DROP TABLE  milscm_2023_010.azn_202310_delivery_k_weeks_shoho_term_lb;</v>
      </c>
      <c r="O10" s="97"/>
      <c r="P10" s="97"/>
      <c r="Q10" s="97"/>
      <c r="R10" s="97"/>
      <c r="S10" s="97"/>
      <c r="T10" s="97"/>
      <c r="AJ10" s="97" t="str">
        <f>"ALTER TABLE ONLY "&amp;エンティティ一覧!$O$2&amp;"."&amp;D$8</f>
        <v>ALTER TABLE ONLY milscm_2023_010.azn_202310_delivery_k_weeks_shoho_term_lb</v>
      </c>
      <c r="AS10" s="97" t="str">
        <f>"ALTER TABLE "&amp;エンティティ一覧!$O$2&amp;"."&amp;D$8&amp;" OWNER TO pgmisgrp1;"</f>
        <v>ALTER TABLE milscm_2023_010.azn_202310_delivery_k_weeks_shoho_term_lb OWNER TO pgmisgrp1;</v>
      </c>
    </row>
    <row r="11" spans="1:45" ht="19.5" thickBot="1">
      <c r="B11" s="20" t="s">
        <v>118</v>
      </c>
      <c r="C11" s="19"/>
      <c r="D11" s="5"/>
      <c r="E11" s="5"/>
      <c r="F11" s="5"/>
      <c r="G11" s="5"/>
      <c r="H11" s="5"/>
      <c r="I11" s="5"/>
      <c r="J11" s="18"/>
      <c r="N11" s="97" t="str">
        <f>"CREATE TABLE  "&amp;エンティティ一覧!$O$2&amp;"."&amp;D$8</f>
        <v>CREATE TABLE  milscm_2023_010.azn_202310_delivery_k_weeks_shoho_term_lb</v>
      </c>
      <c r="O11" s="97"/>
      <c r="P11" s="97"/>
      <c r="Q11" s="97"/>
      <c r="R11" s="97"/>
      <c r="S11" s="97"/>
      <c r="T11" s="97"/>
      <c r="AJ11" s="97" t="str">
        <f>"ADD CONSTRAINT "&amp;D$8&amp;"_pkey PRIMARY KEY"</f>
        <v>ADD CONSTRAINT azn_202310_delivery_k_weeks_shoho_term_lb_pkey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milscm_2023_010.azn_202310_delivery_k_weeks_shoho_term_lb IS 'デリバリ_カリウム平均推移_週別_処方期間別_lbあり';</v>
      </c>
    </row>
    <row r="13" spans="1:45" s="25" customFormat="1" ht="37.5">
      <c r="A13" s="4"/>
      <c r="B13" s="21">
        <f>ROW()-12</f>
        <v>1</v>
      </c>
      <c r="C13" s="6" t="s">
        <v>4417</v>
      </c>
      <c r="D13" s="6" t="s">
        <v>4413</v>
      </c>
      <c r="E13" s="8" t="s">
        <v>127</v>
      </c>
      <c r="F13" s="8" t="s">
        <v>1735</v>
      </c>
      <c r="G13" s="7" t="str">
        <f>IF(F13="フラグ","boolean",IF(F13="文字列","text",IF(F13="整数","integer",IF(F13="実数","numeric",""))))</f>
        <v>text</v>
      </c>
      <c r="H13" s="9"/>
      <c r="I13" s="10" t="s">
        <v>127</v>
      </c>
      <c r="J13" s="11" t="s">
        <v>4471</v>
      </c>
      <c r="M13" s="4"/>
      <c r="N13" s="97"/>
      <c r="O13" s="97"/>
      <c r="P13" s="97" t="str">
        <f>IF(B13&lt;&gt;1,","&amp;D13,D13)</f>
        <v>cate_egfr_summary</v>
      </c>
      <c r="Q13" s="97" t="str">
        <f t="shared" ref="Q13:Q18" si="0">UPPER(G13)</f>
        <v>TEXT</v>
      </c>
      <c r="R13" s="97" t="str">
        <f t="shared" ref="R13:R18" si="1">IF(H13&lt;&gt;"","default "&amp;IF(G13="text","'"&amp;H13&amp;"'",H13),"")</f>
        <v/>
      </c>
      <c r="S13" s="97" t="str">
        <f>IF(I13="○","NOT NULL","")</f>
        <v>NOT NULL</v>
      </c>
      <c r="T13" s="97" t="str">
        <f>"-- "&amp;C13</f>
        <v>-- eGFRサマリ</v>
      </c>
      <c r="U13" s="4"/>
      <c r="AA13" s="4"/>
      <c r="AB13" s="4"/>
      <c r="AC13" s="4"/>
      <c r="AD13" s="4"/>
      <c r="AE13" s="4"/>
      <c r="AF13" s="4"/>
      <c r="AG13" s="4"/>
      <c r="AH13" s="4"/>
      <c r="AI13" s="4"/>
      <c r="AJ13" s="97" t="str">
        <f>IF(E13="○",IF(COUNTA(E$13:E13)=1,"",",")&amp;D13,"")</f>
        <v>cate_egfr_summary</v>
      </c>
      <c r="AK13" s="4"/>
      <c r="AL13" s="4"/>
      <c r="AM13" s="4"/>
      <c r="AN13" s="4"/>
      <c r="AO13" s="4"/>
      <c r="AP13" s="4"/>
      <c r="AQ13" s="4"/>
      <c r="AR13" s="4"/>
      <c r="AS13" s="97" t="str">
        <f>"COMMENT ON COLUMN "&amp;エンティティ一覧!$O$2&amp;"."&amp;D$8&amp;"."&amp;D13&amp;" IS '"&amp;C13&amp;"';"</f>
        <v>COMMENT ON COLUMN milscm_2023_010.azn_202310_delivery_k_weeks_shoho_term_lb.cate_egfr_summary IS 'eGFRサマリ';</v>
      </c>
    </row>
    <row r="14" spans="1:45" s="25" customFormat="1">
      <c r="A14" s="4"/>
      <c r="B14" s="21">
        <f t="shared" ref="B14:B18" si="2">ROW()-12</f>
        <v>2</v>
      </c>
      <c r="C14" s="6" t="s">
        <v>4470</v>
      </c>
      <c r="D14" s="6" t="s">
        <v>4469</v>
      </c>
      <c r="E14" s="8" t="s">
        <v>127</v>
      </c>
      <c r="F14" s="8" t="s">
        <v>1735</v>
      </c>
      <c r="G14" s="7" t="str">
        <f t="shared" ref="G14:G18" si="3">IF(F14="フラグ","boolean",IF(F14="文字列","text",IF(F14="整数","integer",IF(F14="実数","numeric",""))))</f>
        <v>text</v>
      </c>
      <c r="H14" s="26"/>
      <c r="I14" s="10" t="s">
        <v>127</v>
      </c>
      <c r="J14" s="11" t="s">
        <v>4396</v>
      </c>
      <c r="M14" s="4"/>
      <c r="N14" s="97"/>
      <c r="O14" s="97"/>
      <c r="P14" s="97" t="str">
        <f t="shared" ref="P14:P18" si="4">IF(B14&lt;&gt;1,","&amp;D14,D14)</f>
        <v>,shoho_cate</v>
      </c>
      <c r="Q14" s="97" t="str">
        <f t="shared" si="0"/>
        <v>TEXT</v>
      </c>
      <c r="R14" s="97" t="str">
        <f t="shared" si="1"/>
        <v/>
      </c>
      <c r="S14" s="97" t="str">
        <f t="shared" ref="S14:S18" si="5">IF(I14="○","NOT NULL","")</f>
        <v>NOT NULL</v>
      </c>
      <c r="T14" s="97" t="str">
        <f t="shared" ref="T14:T18" si="6">"-- "&amp;C14</f>
        <v>-- 処方カテゴリ</v>
      </c>
      <c r="U14" s="4"/>
      <c r="AA14" s="4"/>
      <c r="AB14" s="4"/>
      <c r="AC14" s="4"/>
      <c r="AD14" s="4"/>
      <c r="AE14" s="4"/>
      <c r="AF14" s="4"/>
      <c r="AG14" s="4"/>
      <c r="AH14" s="4"/>
      <c r="AI14" s="4"/>
      <c r="AJ14" s="97" t="str">
        <f>IF(E14="○",IF(COUNTA(E$13:E14)=1,"",",")&amp;D14,"")</f>
        <v>,shoho_cate</v>
      </c>
      <c r="AK14" s="4"/>
      <c r="AL14" s="4"/>
      <c r="AM14" s="4"/>
      <c r="AN14" s="4"/>
      <c r="AO14" s="4"/>
      <c r="AP14" s="4"/>
      <c r="AQ14" s="4"/>
      <c r="AR14" s="4"/>
      <c r="AS14" s="97" t="str">
        <f>"COMMENT ON COLUMN "&amp;エンティティ一覧!$O$2&amp;"."&amp;D$8&amp;"."&amp;D14&amp;" IS '"&amp;C14&amp;"';"</f>
        <v>COMMENT ON COLUMN milscm_2023_010.azn_202310_delivery_k_weeks_shoho_term_lb.shoho_cate IS '処方カテゴリ';</v>
      </c>
    </row>
    <row r="15" spans="1:45" s="25" customFormat="1">
      <c r="A15" s="4"/>
      <c r="B15" s="21">
        <f t="shared" si="2"/>
        <v>3</v>
      </c>
      <c r="C15" s="6" t="s">
        <v>4252</v>
      </c>
      <c r="D15" s="6" t="s">
        <v>4430</v>
      </c>
      <c r="E15" s="8" t="s">
        <v>127</v>
      </c>
      <c r="F15" s="8" t="s">
        <v>1845</v>
      </c>
      <c r="G15" s="7" t="str">
        <f t="shared" si="3"/>
        <v>integer</v>
      </c>
      <c r="H15" s="26"/>
      <c r="I15" s="10" t="s">
        <v>127</v>
      </c>
      <c r="J15" s="11"/>
      <c r="M15" s="4"/>
      <c r="N15" s="97"/>
      <c r="O15" s="97"/>
      <c r="P15" s="97" t="str">
        <f t="shared" si="4"/>
        <v>,weeks</v>
      </c>
      <c r="Q15" s="97" t="str">
        <f t="shared" si="0"/>
        <v>INTEGER</v>
      </c>
      <c r="R15" s="97" t="str">
        <f t="shared" si="1"/>
        <v/>
      </c>
      <c r="S15" s="97" t="str">
        <f t="shared" si="5"/>
        <v>NOT NULL</v>
      </c>
      <c r="T15" s="97" t="str">
        <f t="shared" si="6"/>
        <v>-- 経過週</v>
      </c>
      <c r="U15" s="4"/>
      <c r="AA15" s="4"/>
      <c r="AB15" s="4"/>
      <c r="AC15" s="4"/>
      <c r="AD15" s="4"/>
      <c r="AE15" s="4"/>
      <c r="AF15" s="4"/>
      <c r="AG15" s="4"/>
      <c r="AH15" s="4"/>
      <c r="AI15" s="4"/>
      <c r="AJ15" s="97" t="str">
        <f>IF(E15="○",IF(COUNTA(E$13:E15)=1,"",",")&amp;D15,"")</f>
        <v>,weeks</v>
      </c>
      <c r="AK15" s="4"/>
      <c r="AL15" s="4"/>
      <c r="AM15" s="4"/>
      <c r="AN15" s="4"/>
      <c r="AO15" s="4"/>
      <c r="AP15" s="4"/>
      <c r="AQ15" s="4"/>
      <c r="AR15" s="4"/>
      <c r="AS15" s="97" t="str">
        <f>"COMMENT ON COLUMN "&amp;エンティティ一覧!$O$2&amp;"."&amp;D$8&amp;"."&amp;D15&amp;" IS '"&amp;C15&amp;"';"</f>
        <v>COMMENT ON COLUMN milscm_2023_010.azn_202310_delivery_k_weeks_shoho_term_lb.weeks IS '経過週';</v>
      </c>
    </row>
    <row r="16" spans="1:45" s="25" customFormat="1">
      <c r="A16" s="4"/>
      <c r="B16" s="21">
        <f t="shared" si="2"/>
        <v>4</v>
      </c>
      <c r="C16" s="13" t="s">
        <v>4419</v>
      </c>
      <c r="D16" s="13" t="s">
        <v>4414</v>
      </c>
      <c r="E16" s="7"/>
      <c r="F16" s="8" t="s">
        <v>1742</v>
      </c>
      <c r="G16" s="7" t="str">
        <f t="shared" si="3"/>
        <v>numeric</v>
      </c>
      <c r="H16" s="26"/>
      <c r="I16" s="10" t="s">
        <v>127</v>
      </c>
      <c r="J16" s="11"/>
      <c r="M16" s="4"/>
      <c r="N16" s="97"/>
      <c r="O16" s="97"/>
      <c r="P16" s="97" t="str">
        <f t="shared" si="4"/>
        <v>,avg_value</v>
      </c>
      <c r="Q16" s="97" t="str">
        <f t="shared" si="0"/>
        <v>NUMERIC</v>
      </c>
      <c r="R16" s="97" t="str">
        <f t="shared" si="1"/>
        <v/>
      </c>
      <c r="S16" s="97" t="str">
        <f t="shared" si="5"/>
        <v>NOT NULL</v>
      </c>
      <c r="T16" s="97" t="str">
        <f t="shared" si="6"/>
        <v>-- 平均値</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"&amp;エンティティ一覧!$O$2&amp;"."&amp;D$8&amp;"."&amp;D16&amp;" IS '"&amp;C16&amp;"';"</f>
        <v>COMMENT ON COLUMN milscm_2023_010.azn_202310_delivery_k_weeks_shoho_term_lb.avg_value IS '平均値';</v>
      </c>
    </row>
    <row r="17" spans="1:52" s="25" customFormat="1">
      <c r="A17" s="4"/>
      <c r="B17" s="21">
        <f t="shared" si="2"/>
        <v>5</v>
      </c>
      <c r="C17" s="13" t="s">
        <v>4420</v>
      </c>
      <c r="D17" s="13" t="s">
        <v>4415</v>
      </c>
      <c r="E17" s="7"/>
      <c r="F17" s="8" t="s">
        <v>1742</v>
      </c>
      <c r="G17" s="7" t="str">
        <f t="shared" si="3"/>
        <v>numeric</v>
      </c>
      <c r="H17" s="26"/>
      <c r="I17" s="10" t="s">
        <v>127</v>
      </c>
      <c r="J17" s="11"/>
      <c r="M17" s="4"/>
      <c r="N17" s="97"/>
      <c r="O17" s="97"/>
      <c r="P17" s="97" t="str">
        <f t="shared" si="4"/>
        <v>,std_value</v>
      </c>
      <c r="Q17" s="97" t="str">
        <f t="shared" si="0"/>
        <v>NUMERIC</v>
      </c>
      <c r="R17" s="97" t="str">
        <f t="shared" si="1"/>
        <v/>
      </c>
      <c r="S17" s="97" t="str">
        <f t="shared" si="5"/>
        <v>NOT NULL</v>
      </c>
      <c r="T17" s="97" t="str">
        <f t="shared" si="6"/>
        <v>-- 標準偏差値</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milscm_2023_010.azn_202310_delivery_k_weeks_shoho_term_lb.std_value IS '標準偏差値';</v>
      </c>
    </row>
    <row r="18" spans="1:52" s="25" customFormat="1" ht="19.5" thickBot="1">
      <c r="A18" s="4"/>
      <c r="B18" s="69">
        <f t="shared" si="2"/>
        <v>6</v>
      </c>
      <c r="C18" s="121" t="s">
        <v>4421</v>
      </c>
      <c r="D18" s="121" t="s">
        <v>4416</v>
      </c>
      <c r="E18" s="71"/>
      <c r="F18" s="71" t="s">
        <v>1845</v>
      </c>
      <c r="G18" s="71" t="str">
        <f t="shared" si="3"/>
        <v>integer</v>
      </c>
      <c r="H18" s="72"/>
      <c r="I18" s="73" t="s">
        <v>127</v>
      </c>
      <c r="J18" s="74"/>
      <c r="M18" s="4"/>
      <c r="N18" s="97"/>
      <c r="O18" s="97"/>
      <c r="P18" s="97" t="str">
        <f t="shared" si="4"/>
        <v>,patient_count</v>
      </c>
      <c r="Q18" s="97" t="str">
        <f t="shared" si="0"/>
        <v>INTEGER</v>
      </c>
      <c r="R18" s="97" t="str">
        <f t="shared" si="1"/>
        <v/>
      </c>
      <c r="S18" s="97" t="str">
        <f t="shared" si="5"/>
        <v>NOT NULL</v>
      </c>
      <c r="T18" s="97" t="str">
        <f t="shared" si="6"/>
        <v>-- 患者数カウント</v>
      </c>
      <c r="U18" s="4"/>
      <c r="AA18" s="4"/>
      <c r="AB18" s="4"/>
      <c r="AC18" s="4"/>
      <c r="AD18" s="4"/>
      <c r="AE18" s="4"/>
      <c r="AF18" s="4"/>
      <c r="AG18" s="4"/>
      <c r="AH18" s="4"/>
      <c r="AI18" s="4"/>
      <c r="AJ18" s="97" t="str">
        <f>IF(E18="○",IF(COUNTA(E$13:E18)=1,"",",")&amp;D18,"")</f>
        <v/>
      </c>
      <c r="AK18" s="4"/>
      <c r="AL18" s="4"/>
      <c r="AM18" s="4"/>
      <c r="AN18" s="4"/>
      <c r="AO18" s="4"/>
      <c r="AP18" s="4"/>
      <c r="AQ18" s="4"/>
      <c r="AR18" s="4"/>
      <c r="AS18" s="97" t="str">
        <f>"COMMENT ON COLUMN "&amp;エンティティ一覧!$O$2&amp;"."&amp;D$8&amp;"."&amp;D18&amp;" IS '"&amp;C18&amp;"';"</f>
        <v>COMMENT ON COLUMN milscm_2023_010.azn_202310_delivery_k_weeks_shoho_term_lb.patient_count IS '患者数カウント';</v>
      </c>
    </row>
    <row r="19" spans="1:52">
      <c r="L19" s="25"/>
      <c r="M19" s="25"/>
      <c r="N19" s="97" t="s">
        <v>142</v>
      </c>
      <c r="O19" s="97"/>
      <c r="P19" s="97"/>
      <c r="Q19" s="97"/>
      <c r="R19" s="97"/>
      <c r="S19" s="97"/>
      <c r="T19" s="97"/>
      <c r="V19" s="25"/>
      <c r="W19" s="25"/>
      <c r="X19" s="25"/>
      <c r="Y19" s="25"/>
      <c r="Z19" s="25"/>
      <c r="AJ19" s="97"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61</v>
      </c>
      <c r="E4" s="248"/>
      <c r="F4" s="248"/>
      <c r="G4" s="248"/>
      <c r="H4" s="248"/>
      <c r="I4" s="248"/>
      <c r="J4" s="249"/>
    </row>
    <row r="5" spans="1:45">
      <c r="B5" s="261" t="s">
        <v>3704</v>
      </c>
      <c r="C5" s="262"/>
      <c r="D5" s="271" t="str">
        <f>VLOOKUP(D7,エンティティ一覧!A1:'エンティティ一覧'!AM10203,7,FALSE)</f>
        <v>delivery</v>
      </c>
      <c r="E5" s="272"/>
      <c r="F5" s="272"/>
      <c r="G5" s="272"/>
      <c r="H5" s="272"/>
      <c r="I5" s="272"/>
      <c r="J5" s="273"/>
    </row>
    <row r="6" spans="1:45">
      <c r="B6" s="261" t="s">
        <v>3705</v>
      </c>
      <c r="C6" s="262"/>
      <c r="D6" s="271" t="str">
        <f>VLOOKUP(D7,エンティティ一覧!A1:'エンティティ一覧'!AM10203,15,FALSE)</f>
        <v>ENT_61_18</v>
      </c>
      <c r="E6" s="272"/>
      <c r="F6" s="272"/>
      <c r="G6" s="272"/>
      <c r="H6" s="272"/>
      <c r="I6" s="272"/>
      <c r="J6" s="273"/>
    </row>
    <row r="7" spans="1:45">
      <c r="B7" s="261" t="s">
        <v>115</v>
      </c>
      <c r="C7" s="262"/>
      <c r="D7" s="263" t="s">
        <v>4523</v>
      </c>
      <c r="E7" s="264"/>
      <c r="F7" s="264"/>
      <c r="G7" s="264"/>
      <c r="H7" s="264"/>
      <c r="I7" s="264"/>
      <c r="J7" s="265"/>
    </row>
    <row r="8" spans="1:45">
      <c r="B8" s="261" t="s">
        <v>116</v>
      </c>
      <c r="C8" s="262"/>
      <c r="D8" s="263" t="str">
        <f>エンティティ一覧!AE2&amp;"_"&amp;D5&amp;"_k_weeks_shoho_term_no_lb2"</f>
        <v>azn_202310_delivery_k_weeks_shoho_term_no_lb2</v>
      </c>
      <c r="E8" s="264"/>
      <c r="F8" s="264"/>
      <c r="G8" s="264"/>
      <c r="H8" s="264"/>
      <c r="I8" s="264"/>
      <c r="J8" s="265"/>
    </row>
    <row r="9" spans="1:45" ht="19.5" customHeight="1" thickBot="1">
      <c r="B9" s="266" t="s">
        <v>117</v>
      </c>
      <c r="C9" s="267"/>
      <c r="D9" s="268"/>
      <c r="E9" s="269"/>
      <c r="F9" s="269"/>
      <c r="G9" s="269"/>
      <c r="H9" s="269"/>
      <c r="I9" s="269"/>
      <c r="J9" s="270"/>
    </row>
    <row r="10" spans="1:45">
      <c r="B10" s="19"/>
      <c r="C10" s="19"/>
      <c r="D10" s="5"/>
      <c r="E10" s="5"/>
      <c r="F10" s="5"/>
      <c r="G10" s="5"/>
      <c r="H10" s="5"/>
      <c r="I10" s="5"/>
      <c r="J10" s="18"/>
      <c r="N10" s="97" t="str">
        <f>"--DROP TABLE  "&amp;エンティティ一覧!$O$2&amp;"."&amp;D$8&amp;";"</f>
        <v>--DROP TABLE  milscm_2023_010.azn_202310_delivery_k_weeks_shoho_term_no_lb2;</v>
      </c>
      <c r="O10" s="97"/>
      <c r="P10" s="97"/>
      <c r="Q10" s="97"/>
      <c r="R10" s="97"/>
      <c r="S10" s="97"/>
      <c r="T10" s="97"/>
      <c r="AJ10" s="97" t="str">
        <f>"ALTER TABLE ONLY "&amp;エンティティ一覧!$O$2&amp;"."&amp;D$8</f>
        <v>ALTER TABLE ONLY milscm_2023_010.azn_202310_delivery_k_weeks_shoho_term_no_lb2</v>
      </c>
      <c r="AS10" s="97" t="str">
        <f>"ALTER TABLE "&amp;エンティティ一覧!$O$2&amp;"."&amp;D$8&amp;" OWNER TO pgmisgrp1;"</f>
        <v>ALTER TABLE milscm_2023_010.azn_202310_delivery_k_weeks_shoho_term_no_lb2 OWNER TO pgmisgrp1;</v>
      </c>
    </row>
    <row r="11" spans="1:45" ht="19.5" thickBot="1">
      <c r="B11" s="20" t="s">
        <v>118</v>
      </c>
      <c r="C11" s="19"/>
      <c r="D11" s="5"/>
      <c r="E11" s="5"/>
      <c r="F11" s="5"/>
      <c r="G11" s="5"/>
      <c r="H11" s="5"/>
      <c r="I11" s="5"/>
      <c r="J11" s="18"/>
      <c r="N11" s="97" t="str">
        <f>"CREATE TABLE  "&amp;エンティティ一覧!$O$2&amp;"."&amp;D$8</f>
        <v>CREATE TABLE  milscm_2023_010.azn_202310_delivery_k_weeks_shoho_term_no_lb2</v>
      </c>
      <c r="O11" s="97"/>
      <c r="P11" s="97"/>
      <c r="Q11" s="97"/>
      <c r="R11" s="97"/>
      <c r="S11" s="97"/>
      <c r="T11" s="97"/>
      <c r="AJ11" s="97" t="str">
        <f>"ADD CONSTRAINT "&amp;D$8&amp;"_pkey PRIMARY KEY"</f>
        <v>ADD CONSTRAINT azn_202310_delivery_k_weeks_shoho_term_no_lb2_pkey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milscm_2023_010.azn_202310_delivery_k_weeks_shoho_term_no_lb2 IS 'デリバリ_カリウム平均推移_週別_処方期間別_lbなし2';</v>
      </c>
    </row>
    <row r="13" spans="1:45" s="25" customFormat="1">
      <c r="A13" s="4"/>
      <c r="B13" s="21">
        <f>ROW()-12</f>
        <v>1</v>
      </c>
      <c r="C13" s="6" t="s">
        <v>4470</v>
      </c>
      <c r="D13" s="6" t="s">
        <v>4525</v>
      </c>
      <c r="E13" s="8" t="s">
        <v>127</v>
      </c>
      <c r="F13" s="8" t="s">
        <v>1735</v>
      </c>
      <c r="G13" s="7" t="str">
        <f>IF(F13="フラグ","boolean",IF(F13="文字列","text",IF(F13="整数","integer",IF(F13="実数","numeric",""))))</f>
        <v>text</v>
      </c>
      <c r="H13" s="9"/>
      <c r="I13" s="10" t="s">
        <v>127</v>
      </c>
      <c r="J13" s="11" t="s">
        <v>4528</v>
      </c>
      <c r="M13" s="4"/>
      <c r="N13" s="97"/>
      <c r="O13" s="97"/>
      <c r="P13" s="97" t="str">
        <f>IF(B13&lt;&gt;1,","&amp;D13,D13)</f>
        <v>shoho_cate</v>
      </c>
      <c r="Q13" s="97" t="str">
        <f t="shared" ref="Q13:Q17" si="0">UPPER(G13)</f>
        <v>TEXT</v>
      </c>
      <c r="R13" s="97" t="str">
        <f t="shared" ref="R13:R17" si="1">IF(H13&lt;&gt;"","default "&amp;IF(G13="text","'"&amp;H13&amp;"'",H13),"")</f>
        <v/>
      </c>
      <c r="S13" s="97" t="str">
        <f>IF(I13="○","NOT NULL","")</f>
        <v>NOT NULL</v>
      </c>
      <c r="T13" s="97" t="str">
        <f>"-- "&amp;C13</f>
        <v>-- 処方カテゴリ</v>
      </c>
      <c r="U13" s="4"/>
      <c r="AA13" s="4"/>
      <c r="AB13" s="4"/>
      <c r="AC13" s="4"/>
      <c r="AD13" s="4"/>
      <c r="AE13" s="4"/>
      <c r="AF13" s="4"/>
      <c r="AG13" s="4"/>
      <c r="AH13" s="4"/>
      <c r="AI13" s="4"/>
      <c r="AJ13" s="97" t="str">
        <f>IF(E13="○",IF(COUNTA(E$13:E13)=1,"",",")&amp;D13,"")</f>
        <v>shoho_cate</v>
      </c>
      <c r="AK13" s="4"/>
      <c r="AL13" s="4"/>
      <c r="AM13" s="4"/>
      <c r="AN13" s="4"/>
      <c r="AO13" s="4"/>
      <c r="AP13" s="4"/>
      <c r="AQ13" s="4"/>
      <c r="AR13" s="4"/>
      <c r="AS13" s="97" t="str">
        <f>"COMMENT ON COLUMN "&amp;エンティティ一覧!$O$2&amp;"."&amp;D$8&amp;"."&amp;D13&amp;" IS '"&amp;C13&amp;"';"</f>
        <v>COMMENT ON COLUMN milscm_2023_010.azn_202310_delivery_k_weeks_shoho_term_no_lb2.shoho_cate IS '処方カテゴリ';</v>
      </c>
    </row>
    <row r="14" spans="1:45" s="25" customFormat="1">
      <c r="A14" s="4"/>
      <c r="B14" s="21">
        <f t="shared" ref="B14:B17" si="2">ROW()-12</f>
        <v>2</v>
      </c>
      <c r="C14" s="6" t="s">
        <v>4252</v>
      </c>
      <c r="D14" s="6" t="s">
        <v>4430</v>
      </c>
      <c r="E14" s="8" t="s">
        <v>127</v>
      </c>
      <c r="F14" s="8" t="s">
        <v>1845</v>
      </c>
      <c r="G14" s="7" t="str">
        <f t="shared" ref="G14:G17" si="3">IF(F14="フラグ","boolean",IF(F14="文字列","text",IF(F14="整数","integer",IF(F14="実数","numeric",""))))</f>
        <v>integer</v>
      </c>
      <c r="H14" s="26"/>
      <c r="I14" s="10" t="s">
        <v>127</v>
      </c>
      <c r="J14" s="11"/>
      <c r="M14" s="4"/>
      <c r="N14" s="97"/>
      <c r="O14" s="97"/>
      <c r="P14" s="97" t="str">
        <f t="shared" ref="P14:P17" si="4">IF(B14&lt;&gt;1,","&amp;D14,D14)</f>
        <v>,weeks</v>
      </c>
      <c r="Q14" s="97" t="str">
        <f t="shared" si="0"/>
        <v>INTEGER</v>
      </c>
      <c r="R14" s="97" t="str">
        <f t="shared" si="1"/>
        <v/>
      </c>
      <c r="S14" s="97" t="str">
        <f t="shared" ref="S14:S17" si="5">IF(I14="○","NOT NULL","")</f>
        <v>NOT NULL</v>
      </c>
      <c r="T14" s="97" t="str">
        <f t="shared" ref="T14:T17" si="6">"-- "&amp;C14</f>
        <v>-- 経過週</v>
      </c>
      <c r="U14" s="4"/>
      <c r="AA14" s="4"/>
      <c r="AB14" s="4"/>
      <c r="AC14" s="4"/>
      <c r="AD14" s="4"/>
      <c r="AE14" s="4"/>
      <c r="AF14" s="4"/>
      <c r="AG14" s="4"/>
      <c r="AH14" s="4"/>
      <c r="AI14" s="4"/>
      <c r="AJ14" s="97" t="str">
        <f>IF(E14="○",IF(COUNTA(E$13:E14)=1,"",",")&amp;D14,"")</f>
        <v>,weeks</v>
      </c>
      <c r="AK14" s="4"/>
      <c r="AL14" s="4"/>
      <c r="AM14" s="4"/>
      <c r="AN14" s="4"/>
      <c r="AO14" s="4"/>
      <c r="AP14" s="4"/>
      <c r="AQ14" s="4"/>
      <c r="AR14" s="4"/>
      <c r="AS14" s="97" t="str">
        <f>"COMMENT ON COLUMN "&amp;エンティティ一覧!$O$2&amp;"."&amp;D$8&amp;"."&amp;D14&amp;" IS '"&amp;C14&amp;"';"</f>
        <v>COMMENT ON COLUMN milscm_2023_010.azn_202310_delivery_k_weeks_shoho_term_no_lb2.weeks IS '経過週';</v>
      </c>
    </row>
    <row r="15" spans="1:45" s="25" customFormat="1">
      <c r="A15" s="4"/>
      <c r="B15" s="21">
        <f t="shared" si="2"/>
        <v>3</v>
      </c>
      <c r="C15" s="6" t="s">
        <v>4419</v>
      </c>
      <c r="D15" s="6" t="s">
        <v>4526</v>
      </c>
      <c r="E15" s="8"/>
      <c r="F15" s="8" t="s">
        <v>1742</v>
      </c>
      <c r="G15" s="7" t="str">
        <f t="shared" si="3"/>
        <v>numeric</v>
      </c>
      <c r="H15" s="26"/>
      <c r="I15" s="10" t="s">
        <v>127</v>
      </c>
      <c r="J15" s="11"/>
      <c r="M15" s="4"/>
      <c r="N15" s="97"/>
      <c r="O15" s="97"/>
      <c r="P15" s="97" t="str">
        <f t="shared" si="4"/>
        <v>,avg_value</v>
      </c>
      <c r="Q15" s="97" t="str">
        <f t="shared" si="0"/>
        <v>NUMERIC</v>
      </c>
      <c r="R15" s="97" t="str">
        <f t="shared" si="1"/>
        <v/>
      </c>
      <c r="S15" s="97" t="str">
        <f t="shared" si="5"/>
        <v>NOT NULL</v>
      </c>
      <c r="T15" s="97" t="str">
        <f t="shared" si="6"/>
        <v>-- 平均値</v>
      </c>
      <c r="U15" s="4"/>
      <c r="AA15" s="4"/>
      <c r="AB15" s="4"/>
      <c r="AC15" s="4"/>
      <c r="AD15" s="4"/>
      <c r="AE15" s="4"/>
      <c r="AF15" s="4"/>
      <c r="AG15" s="4"/>
      <c r="AH15" s="4"/>
      <c r="AI15" s="4"/>
      <c r="AJ15" s="97" t="str">
        <f>IF(E15="○",IF(COUNTA(E$13:E15)=1,"",",")&amp;D15,"")</f>
        <v/>
      </c>
      <c r="AK15" s="4"/>
      <c r="AL15" s="4"/>
      <c r="AM15" s="4"/>
      <c r="AN15" s="4"/>
      <c r="AO15" s="4"/>
      <c r="AP15" s="4"/>
      <c r="AQ15" s="4"/>
      <c r="AR15" s="4"/>
      <c r="AS15" s="97" t="str">
        <f>"COMMENT ON COLUMN "&amp;エンティティ一覧!$O$2&amp;"."&amp;D$8&amp;"."&amp;D15&amp;" IS '"&amp;C15&amp;"';"</f>
        <v>COMMENT ON COLUMN milscm_2023_010.azn_202310_delivery_k_weeks_shoho_term_no_lb2.avg_value IS '平均値';</v>
      </c>
    </row>
    <row r="16" spans="1:45" s="25" customFormat="1">
      <c r="A16" s="4"/>
      <c r="B16" s="21">
        <f t="shared" si="2"/>
        <v>4</v>
      </c>
      <c r="C16" s="13" t="s">
        <v>4420</v>
      </c>
      <c r="D16" s="13" t="s">
        <v>4527</v>
      </c>
      <c r="E16" s="7"/>
      <c r="F16" s="8" t="s">
        <v>1742</v>
      </c>
      <c r="G16" s="7" t="str">
        <f t="shared" si="3"/>
        <v>numeric</v>
      </c>
      <c r="H16" s="26"/>
      <c r="I16" s="10" t="s">
        <v>127</v>
      </c>
      <c r="J16" s="11"/>
      <c r="M16" s="4"/>
      <c r="N16" s="97"/>
      <c r="O16" s="97"/>
      <c r="P16" s="97" t="str">
        <f t="shared" si="4"/>
        <v>,std_value</v>
      </c>
      <c r="Q16" s="97" t="str">
        <f t="shared" si="0"/>
        <v>NUMERIC</v>
      </c>
      <c r="R16" s="97" t="str">
        <f t="shared" si="1"/>
        <v/>
      </c>
      <c r="S16" s="97" t="str">
        <f t="shared" si="5"/>
        <v>NOT NULL</v>
      </c>
      <c r="T16" s="97" t="str">
        <f t="shared" si="6"/>
        <v>-- 標準偏差値</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"&amp;エンティティ一覧!$O$2&amp;"."&amp;D$8&amp;"."&amp;D16&amp;" IS '"&amp;C16&amp;"';"</f>
        <v>COMMENT ON COLUMN milscm_2023_010.azn_202310_delivery_k_weeks_shoho_term_no_lb2.std_value IS '標準偏差値';</v>
      </c>
    </row>
    <row r="17" spans="1:52" s="25" customFormat="1" ht="19.5" thickBot="1">
      <c r="A17" s="4"/>
      <c r="B17" s="69">
        <f t="shared" si="2"/>
        <v>5</v>
      </c>
      <c r="C17" s="121" t="s">
        <v>4421</v>
      </c>
      <c r="D17" s="121" t="s">
        <v>4416</v>
      </c>
      <c r="E17" s="71"/>
      <c r="F17" s="71" t="s">
        <v>1845</v>
      </c>
      <c r="G17" s="71" t="str">
        <f t="shared" si="3"/>
        <v>integer</v>
      </c>
      <c r="H17" s="72"/>
      <c r="I17" s="73" t="s">
        <v>127</v>
      </c>
      <c r="J17" s="74"/>
      <c r="M17" s="4"/>
      <c r="N17" s="97"/>
      <c r="O17" s="97"/>
      <c r="P17" s="97" t="str">
        <f t="shared" si="4"/>
        <v>,patient_count</v>
      </c>
      <c r="Q17" s="97" t="str">
        <f t="shared" si="0"/>
        <v>INTEGER</v>
      </c>
      <c r="R17" s="97" t="str">
        <f t="shared" si="1"/>
        <v/>
      </c>
      <c r="S17" s="97" t="str">
        <f t="shared" si="5"/>
        <v>NOT NULL</v>
      </c>
      <c r="T17" s="97" t="str">
        <f t="shared" si="6"/>
        <v>-- 患者数カウント</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milscm_2023_010.azn_202310_delivery_k_weeks_shoho_term_no_lb2.patient_count IS '患者数カウント';</v>
      </c>
    </row>
    <row r="18" spans="1:52">
      <c r="L18" s="25"/>
      <c r="M18" s="25"/>
      <c r="N18" s="97" t="s">
        <v>142</v>
      </c>
      <c r="O18" s="97"/>
      <c r="P18" s="97"/>
      <c r="Q18" s="97"/>
      <c r="R18" s="97"/>
      <c r="S18" s="97"/>
      <c r="T18" s="97"/>
      <c r="V18" s="25"/>
      <c r="W18" s="25"/>
      <c r="X18" s="25"/>
      <c r="Y18" s="25"/>
      <c r="Z18" s="25"/>
      <c r="AJ18" s="97"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61</v>
      </c>
      <c r="E4" s="248"/>
      <c r="F4" s="248"/>
      <c r="G4" s="248"/>
      <c r="H4" s="248"/>
      <c r="I4" s="248"/>
      <c r="J4" s="249"/>
    </row>
    <row r="5" spans="1:45">
      <c r="B5" s="261" t="s">
        <v>3704</v>
      </c>
      <c r="C5" s="262"/>
      <c r="D5" s="271" t="str">
        <f>VLOOKUP(D7,エンティティ一覧!A1:'エンティティ一覧'!AM10203,7,FALSE)</f>
        <v>delivery</v>
      </c>
      <c r="E5" s="272"/>
      <c r="F5" s="272"/>
      <c r="G5" s="272"/>
      <c r="H5" s="272"/>
      <c r="I5" s="272"/>
      <c r="J5" s="273"/>
    </row>
    <row r="6" spans="1:45">
      <c r="B6" s="261" t="s">
        <v>3705</v>
      </c>
      <c r="C6" s="262"/>
      <c r="D6" s="271" t="str">
        <f>VLOOKUP(D7,エンティティ一覧!A1:'エンティティ一覧'!AM10203,15,FALSE)</f>
        <v>ENT_61_19</v>
      </c>
      <c r="E6" s="272"/>
      <c r="F6" s="272"/>
      <c r="G6" s="272"/>
      <c r="H6" s="272"/>
      <c r="I6" s="272"/>
      <c r="J6" s="273"/>
    </row>
    <row r="7" spans="1:45">
      <c r="B7" s="261" t="s">
        <v>115</v>
      </c>
      <c r="C7" s="262"/>
      <c r="D7" s="263" t="s">
        <v>4524</v>
      </c>
      <c r="E7" s="264"/>
      <c r="F7" s="264"/>
      <c r="G7" s="264"/>
      <c r="H7" s="264"/>
      <c r="I7" s="264"/>
      <c r="J7" s="265"/>
    </row>
    <row r="8" spans="1:45">
      <c r="B8" s="261" t="s">
        <v>116</v>
      </c>
      <c r="C8" s="262"/>
      <c r="D8" s="263" t="str">
        <f>エンティティ一覧!AE2&amp;"_"&amp;D5&amp;"_k_weeks_shoho_term_lb2"</f>
        <v>azn_202310_delivery_k_weeks_shoho_term_lb2</v>
      </c>
      <c r="E8" s="264"/>
      <c r="F8" s="264"/>
      <c r="G8" s="264"/>
      <c r="H8" s="264"/>
      <c r="I8" s="264"/>
      <c r="J8" s="265"/>
    </row>
    <row r="9" spans="1:45" ht="19.5" customHeight="1" thickBot="1">
      <c r="B9" s="266" t="s">
        <v>117</v>
      </c>
      <c r="C9" s="267"/>
      <c r="D9" s="268"/>
      <c r="E9" s="269"/>
      <c r="F9" s="269"/>
      <c r="G9" s="269"/>
      <c r="H9" s="269"/>
      <c r="I9" s="269"/>
      <c r="J9" s="270"/>
    </row>
    <row r="10" spans="1:45">
      <c r="B10" s="19"/>
      <c r="C10" s="19"/>
      <c r="D10" s="5"/>
      <c r="E10" s="5"/>
      <c r="F10" s="5"/>
      <c r="G10" s="5"/>
      <c r="H10" s="5"/>
      <c r="I10" s="5"/>
      <c r="J10" s="18"/>
      <c r="N10" s="97" t="str">
        <f>"--DROP TABLE  "&amp;エンティティ一覧!$O$2&amp;"."&amp;D$8&amp;";"</f>
        <v>--DROP TABLE  milscm_2023_010.azn_202310_delivery_k_weeks_shoho_term_lb2;</v>
      </c>
      <c r="O10" s="97"/>
      <c r="P10" s="97"/>
      <c r="Q10" s="97"/>
      <c r="R10" s="97"/>
      <c r="S10" s="97"/>
      <c r="T10" s="97"/>
      <c r="AJ10" s="97" t="str">
        <f>"ALTER TABLE ONLY "&amp;エンティティ一覧!$O$2&amp;"."&amp;D$8</f>
        <v>ALTER TABLE ONLY milscm_2023_010.azn_202310_delivery_k_weeks_shoho_term_lb2</v>
      </c>
      <c r="AS10" s="97" t="str">
        <f>"ALTER TABLE "&amp;エンティティ一覧!$O$2&amp;"."&amp;D$8&amp;" OWNER TO pgmisgrp1;"</f>
        <v>ALTER TABLE milscm_2023_010.azn_202310_delivery_k_weeks_shoho_term_lb2 OWNER TO pgmisgrp1;</v>
      </c>
    </row>
    <row r="11" spans="1:45" ht="19.5" thickBot="1">
      <c r="B11" s="20" t="s">
        <v>118</v>
      </c>
      <c r="C11" s="19"/>
      <c r="D11" s="5"/>
      <c r="E11" s="5"/>
      <c r="F11" s="5"/>
      <c r="G11" s="5"/>
      <c r="H11" s="5"/>
      <c r="I11" s="5"/>
      <c r="J11" s="18"/>
      <c r="N11" s="97" t="str">
        <f>"CREATE TABLE  "&amp;エンティティ一覧!$O$2&amp;"."&amp;D$8</f>
        <v>CREATE TABLE  milscm_2023_010.azn_202310_delivery_k_weeks_shoho_term_lb2</v>
      </c>
      <c r="O11" s="97"/>
      <c r="P11" s="97"/>
      <c r="Q11" s="97"/>
      <c r="R11" s="97"/>
      <c r="S11" s="97"/>
      <c r="T11" s="97"/>
      <c r="AJ11" s="97" t="str">
        <f>"ADD CONSTRAINT "&amp;D$8&amp;"_pkey PRIMARY KEY"</f>
        <v>ADD CONSTRAINT azn_202310_delivery_k_weeks_shoho_term_lb2_pkey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milscm_2023_010.azn_202310_delivery_k_weeks_shoho_term_lb2 IS 'デリバリ_カリウム平均推移_週別_処方期間別_lbあり2';</v>
      </c>
    </row>
    <row r="13" spans="1:45" s="25" customFormat="1">
      <c r="A13" s="4"/>
      <c r="B13" s="21">
        <f>ROW()-12</f>
        <v>1</v>
      </c>
      <c r="C13" s="6" t="s">
        <v>4470</v>
      </c>
      <c r="D13" s="6" t="s">
        <v>4525</v>
      </c>
      <c r="E13" s="8" t="s">
        <v>127</v>
      </c>
      <c r="F13" s="8" t="s">
        <v>1735</v>
      </c>
      <c r="G13" s="7" t="str">
        <f>IF(F13="フラグ","boolean",IF(F13="文字列","text",IF(F13="整数","integer",IF(F13="実数","numeric",""))))</f>
        <v>text</v>
      </c>
      <c r="H13" s="9"/>
      <c r="I13" s="10" t="s">
        <v>127</v>
      </c>
      <c r="J13" s="11" t="s">
        <v>4528</v>
      </c>
      <c r="M13" s="4"/>
      <c r="N13" s="97"/>
      <c r="O13" s="97"/>
      <c r="P13" s="97" t="str">
        <f>IF(B13&lt;&gt;1,","&amp;D13,D13)</f>
        <v>shoho_cate</v>
      </c>
      <c r="Q13" s="97" t="str">
        <f t="shared" ref="Q13:Q17" si="0">UPPER(G13)</f>
        <v>TEXT</v>
      </c>
      <c r="R13" s="97" t="str">
        <f t="shared" ref="R13:R17" si="1">IF(H13&lt;&gt;"","default "&amp;IF(G13="text","'"&amp;H13&amp;"'",H13),"")</f>
        <v/>
      </c>
      <c r="S13" s="97" t="str">
        <f>IF(I13="○","NOT NULL","")</f>
        <v>NOT NULL</v>
      </c>
      <c r="T13" s="97" t="str">
        <f>"-- "&amp;C13</f>
        <v>-- 処方カテゴリ</v>
      </c>
      <c r="U13" s="4"/>
      <c r="AA13" s="4"/>
      <c r="AB13" s="4"/>
      <c r="AC13" s="4"/>
      <c r="AD13" s="4"/>
      <c r="AE13" s="4"/>
      <c r="AF13" s="4"/>
      <c r="AG13" s="4"/>
      <c r="AH13" s="4"/>
      <c r="AI13" s="4"/>
      <c r="AJ13" s="97" t="str">
        <f>IF(E13="○",IF(COUNTA(E$13:E13)=1,"",",")&amp;D13,"")</f>
        <v>shoho_cate</v>
      </c>
      <c r="AK13" s="4"/>
      <c r="AL13" s="4"/>
      <c r="AM13" s="4"/>
      <c r="AN13" s="4"/>
      <c r="AO13" s="4"/>
      <c r="AP13" s="4"/>
      <c r="AQ13" s="4"/>
      <c r="AR13" s="4"/>
      <c r="AS13" s="97" t="str">
        <f>"COMMENT ON COLUMN "&amp;エンティティ一覧!$O$2&amp;"."&amp;D$8&amp;"."&amp;D13&amp;" IS '"&amp;C13&amp;"';"</f>
        <v>COMMENT ON COLUMN milscm_2023_010.azn_202310_delivery_k_weeks_shoho_term_lb2.shoho_cate IS '処方カテゴリ';</v>
      </c>
    </row>
    <row r="14" spans="1:45" s="25" customFormat="1">
      <c r="A14" s="4"/>
      <c r="B14" s="21">
        <f t="shared" ref="B14:B17" si="2">ROW()-12</f>
        <v>2</v>
      </c>
      <c r="C14" s="6" t="s">
        <v>4252</v>
      </c>
      <c r="D14" s="6" t="s">
        <v>4430</v>
      </c>
      <c r="E14" s="8" t="s">
        <v>127</v>
      </c>
      <c r="F14" s="8" t="s">
        <v>1845</v>
      </c>
      <c r="G14" s="7" t="str">
        <f t="shared" ref="G14:G17" si="3">IF(F14="フラグ","boolean",IF(F14="文字列","text",IF(F14="整数","integer",IF(F14="実数","numeric",""))))</f>
        <v>integer</v>
      </c>
      <c r="H14" s="26"/>
      <c r="I14" s="10" t="s">
        <v>127</v>
      </c>
      <c r="J14" s="11"/>
      <c r="M14" s="4"/>
      <c r="N14" s="97"/>
      <c r="O14" s="97"/>
      <c r="P14" s="97" t="str">
        <f t="shared" ref="P14:P17" si="4">IF(B14&lt;&gt;1,","&amp;D14,D14)</f>
        <v>,weeks</v>
      </c>
      <c r="Q14" s="97" t="str">
        <f t="shared" si="0"/>
        <v>INTEGER</v>
      </c>
      <c r="R14" s="97" t="str">
        <f t="shared" si="1"/>
        <v/>
      </c>
      <c r="S14" s="97" t="str">
        <f t="shared" ref="S14:S17" si="5">IF(I14="○","NOT NULL","")</f>
        <v>NOT NULL</v>
      </c>
      <c r="T14" s="97" t="str">
        <f t="shared" ref="T14:T17" si="6">"-- "&amp;C14</f>
        <v>-- 経過週</v>
      </c>
      <c r="U14" s="4"/>
      <c r="AA14" s="4"/>
      <c r="AB14" s="4"/>
      <c r="AC14" s="4"/>
      <c r="AD14" s="4"/>
      <c r="AE14" s="4"/>
      <c r="AF14" s="4"/>
      <c r="AG14" s="4"/>
      <c r="AH14" s="4"/>
      <c r="AI14" s="4"/>
      <c r="AJ14" s="97" t="str">
        <f>IF(E14="○",IF(COUNTA(E$13:E14)=1,"",",")&amp;D14,"")</f>
        <v>,weeks</v>
      </c>
      <c r="AK14" s="4"/>
      <c r="AL14" s="4"/>
      <c r="AM14" s="4"/>
      <c r="AN14" s="4"/>
      <c r="AO14" s="4"/>
      <c r="AP14" s="4"/>
      <c r="AQ14" s="4"/>
      <c r="AR14" s="4"/>
      <c r="AS14" s="97" t="str">
        <f>"COMMENT ON COLUMN "&amp;エンティティ一覧!$O$2&amp;"."&amp;D$8&amp;"."&amp;D14&amp;" IS '"&amp;C14&amp;"';"</f>
        <v>COMMENT ON COLUMN milscm_2023_010.azn_202310_delivery_k_weeks_shoho_term_lb2.weeks IS '経過週';</v>
      </c>
    </row>
    <row r="15" spans="1:45" s="25" customFormat="1">
      <c r="A15" s="4"/>
      <c r="B15" s="21">
        <f t="shared" si="2"/>
        <v>3</v>
      </c>
      <c r="C15" s="6" t="s">
        <v>4419</v>
      </c>
      <c r="D15" s="6" t="s">
        <v>4526</v>
      </c>
      <c r="E15" s="8"/>
      <c r="F15" s="8" t="s">
        <v>1742</v>
      </c>
      <c r="G15" s="7" t="str">
        <f t="shared" si="3"/>
        <v>numeric</v>
      </c>
      <c r="H15" s="26"/>
      <c r="I15" s="10" t="s">
        <v>127</v>
      </c>
      <c r="J15" s="11"/>
      <c r="M15" s="4"/>
      <c r="N15" s="97"/>
      <c r="O15" s="97"/>
      <c r="P15" s="97" t="str">
        <f t="shared" si="4"/>
        <v>,avg_value</v>
      </c>
      <c r="Q15" s="97" t="str">
        <f t="shared" si="0"/>
        <v>NUMERIC</v>
      </c>
      <c r="R15" s="97" t="str">
        <f t="shared" si="1"/>
        <v/>
      </c>
      <c r="S15" s="97" t="str">
        <f t="shared" si="5"/>
        <v>NOT NULL</v>
      </c>
      <c r="T15" s="97" t="str">
        <f t="shared" si="6"/>
        <v>-- 平均値</v>
      </c>
      <c r="U15" s="4"/>
      <c r="AA15" s="4"/>
      <c r="AB15" s="4"/>
      <c r="AC15" s="4"/>
      <c r="AD15" s="4"/>
      <c r="AE15" s="4"/>
      <c r="AF15" s="4"/>
      <c r="AG15" s="4"/>
      <c r="AH15" s="4"/>
      <c r="AI15" s="4"/>
      <c r="AJ15" s="97" t="str">
        <f>IF(E15="○",IF(COUNTA(E$13:E15)=1,"",",")&amp;D15,"")</f>
        <v/>
      </c>
      <c r="AK15" s="4"/>
      <c r="AL15" s="4"/>
      <c r="AM15" s="4"/>
      <c r="AN15" s="4"/>
      <c r="AO15" s="4"/>
      <c r="AP15" s="4"/>
      <c r="AQ15" s="4"/>
      <c r="AR15" s="4"/>
      <c r="AS15" s="97" t="str">
        <f>"COMMENT ON COLUMN "&amp;エンティティ一覧!$O$2&amp;"."&amp;D$8&amp;"."&amp;D15&amp;" IS '"&amp;C15&amp;"';"</f>
        <v>COMMENT ON COLUMN milscm_2023_010.azn_202310_delivery_k_weeks_shoho_term_lb2.avg_value IS '平均値';</v>
      </c>
    </row>
    <row r="16" spans="1:45" s="25" customFormat="1">
      <c r="A16" s="4"/>
      <c r="B16" s="21">
        <f t="shared" si="2"/>
        <v>4</v>
      </c>
      <c r="C16" s="13" t="s">
        <v>4420</v>
      </c>
      <c r="D16" s="13" t="s">
        <v>4415</v>
      </c>
      <c r="E16" s="7"/>
      <c r="F16" s="8" t="s">
        <v>1742</v>
      </c>
      <c r="G16" s="7" t="str">
        <f t="shared" si="3"/>
        <v>numeric</v>
      </c>
      <c r="H16" s="26"/>
      <c r="I16" s="10" t="s">
        <v>127</v>
      </c>
      <c r="J16" s="11"/>
      <c r="M16" s="4"/>
      <c r="N16" s="97"/>
      <c r="O16" s="97"/>
      <c r="P16" s="97" t="str">
        <f t="shared" si="4"/>
        <v>,std_value</v>
      </c>
      <c r="Q16" s="97" t="str">
        <f t="shared" si="0"/>
        <v>NUMERIC</v>
      </c>
      <c r="R16" s="97" t="str">
        <f t="shared" si="1"/>
        <v/>
      </c>
      <c r="S16" s="97" t="str">
        <f t="shared" si="5"/>
        <v>NOT NULL</v>
      </c>
      <c r="T16" s="97" t="str">
        <f t="shared" si="6"/>
        <v>-- 標準偏差値</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"&amp;エンティティ一覧!$O$2&amp;"."&amp;D$8&amp;"."&amp;D16&amp;" IS '"&amp;C16&amp;"';"</f>
        <v>COMMENT ON COLUMN milscm_2023_010.azn_202310_delivery_k_weeks_shoho_term_lb2.std_value IS '標準偏差値';</v>
      </c>
    </row>
    <row r="17" spans="1:52" s="25" customFormat="1" ht="19.5" thickBot="1">
      <c r="A17" s="4"/>
      <c r="B17" s="69">
        <f t="shared" si="2"/>
        <v>5</v>
      </c>
      <c r="C17" s="121" t="s">
        <v>4421</v>
      </c>
      <c r="D17" s="121" t="s">
        <v>4416</v>
      </c>
      <c r="E17" s="71"/>
      <c r="F17" s="71" t="s">
        <v>1845</v>
      </c>
      <c r="G17" s="71" t="str">
        <f t="shared" si="3"/>
        <v>integer</v>
      </c>
      <c r="H17" s="72"/>
      <c r="I17" s="73" t="s">
        <v>127</v>
      </c>
      <c r="J17" s="74"/>
      <c r="M17" s="4"/>
      <c r="N17" s="97"/>
      <c r="O17" s="97"/>
      <c r="P17" s="97" t="str">
        <f t="shared" si="4"/>
        <v>,patient_count</v>
      </c>
      <c r="Q17" s="97" t="str">
        <f t="shared" si="0"/>
        <v>INTEGER</v>
      </c>
      <c r="R17" s="97" t="str">
        <f t="shared" si="1"/>
        <v/>
      </c>
      <c r="S17" s="97" t="str">
        <f t="shared" si="5"/>
        <v>NOT NULL</v>
      </c>
      <c r="T17" s="97" t="str">
        <f t="shared" si="6"/>
        <v>-- 患者数カウント</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milscm_2023_010.azn_202310_delivery_k_weeks_shoho_term_lb2.patient_count IS '患者数カウント';</v>
      </c>
    </row>
    <row r="18" spans="1:52">
      <c r="L18" s="25"/>
      <c r="M18" s="25"/>
      <c r="N18" s="97" t="s">
        <v>142</v>
      </c>
      <c r="O18" s="97"/>
      <c r="P18" s="97"/>
      <c r="Q18" s="97"/>
      <c r="R18" s="97"/>
      <c r="S18" s="97"/>
      <c r="T18" s="97"/>
      <c r="V18" s="25"/>
      <c r="W18" s="25"/>
      <c r="X18" s="25"/>
      <c r="Y18" s="25"/>
      <c r="Z18" s="25"/>
      <c r="AJ18" s="97"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0" t="s">
        <v>110</v>
      </c>
      <c r="C1" s="251"/>
      <c r="D1" s="254" t="s">
        <v>111</v>
      </c>
      <c r="E1" s="255"/>
      <c r="F1" s="255"/>
      <c r="G1" s="246"/>
      <c r="H1" s="254" t="s">
        <v>112</v>
      </c>
      <c r="I1" s="246"/>
      <c r="J1" s="15" t="s">
        <v>113</v>
      </c>
    </row>
    <row r="2" spans="1:45" ht="19.5" thickBot="1">
      <c r="B2" s="252"/>
      <c r="C2" s="253"/>
      <c r="D2" s="256" t="s">
        <v>114</v>
      </c>
      <c r="E2" s="257"/>
      <c r="F2" s="257"/>
      <c r="G2" s="258"/>
      <c r="H2" s="259"/>
      <c r="I2" s="260"/>
      <c r="J2" s="17"/>
    </row>
    <row r="3" spans="1:45" ht="19.5" thickBot="1">
      <c r="B3" s="5"/>
      <c r="C3" s="5"/>
      <c r="D3" s="5"/>
      <c r="E3" s="5"/>
      <c r="F3" s="5"/>
      <c r="G3" s="5"/>
      <c r="H3" s="5"/>
      <c r="I3" s="5"/>
      <c r="J3" s="18"/>
    </row>
    <row r="4" spans="1:45">
      <c r="B4" s="245" t="s">
        <v>3703</v>
      </c>
      <c r="C4" s="246"/>
      <c r="D4" s="247" t="str">
        <f>VLOOKUP(D7,エンティティ一覧!A1:'エンティティ一覧'!AM10203,2,FALSE)</f>
        <v>61</v>
      </c>
      <c r="E4" s="248"/>
      <c r="F4" s="248"/>
      <c r="G4" s="248"/>
      <c r="H4" s="248"/>
      <c r="I4" s="248"/>
      <c r="J4" s="249"/>
    </row>
    <row r="5" spans="1:45">
      <c r="B5" s="261" t="s">
        <v>3704</v>
      </c>
      <c r="C5" s="262"/>
      <c r="D5" s="271" t="str">
        <f>VLOOKUP(D7,エンティティ一覧!A1:'エンティティ一覧'!AM10203,7,FALSE)</f>
        <v>delivery</v>
      </c>
      <c r="E5" s="272"/>
      <c r="F5" s="272"/>
      <c r="G5" s="272"/>
      <c r="H5" s="272"/>
      <c r="I5" s="272"/>
      <c r="J5" s="273"/>
    </row>
    <row r="6" spans="1:45">
      <c r="B6" s="261" t="s">
        <v>3705</v>
      </c>
      <c r="C6" s="262"/>
      <c r="D6" s="271" t="str">
        <f>VLOOKUP(D7,エンティティ一覧!A1:'エンティティ一覧'!AM10203,15,FALSE)</f>
        <v>ENT_61_20</v>
      </c>
      <c r="E6" s="272"/>
      <c r="F6" s="272"/>
      <c r="G6" s="272"/>
      <c r="H6" s="272"/>
      <c r="I6" s="272"/>
      <c r="J6" s="273"/>
    </row>
    <row r="7" spans="1:45">
      <c r="B7" s="261" t="s">
        <v>115</v>
      </c>
      <c r="C7" s="262"/>
      <c r="D7" s="263" t="s">
        <v>4475</v>
      </c>
      <c r="E7" s="264"/>
      <c r="F7" s="264"/>
      <c r="G7" s="264"/>
      <c r="H7" s="264"/>
      <c r="I7" s="264"/>
      <c r="J7" s="265"/>
    </row>
    <row r="8" spans="1:45">
      <c r="B8" s="261" t="s">
        <v>116</v>
      </c>
      <c r="C8" s="262"/>
      <c r="D8" s="263" t="str">
        <f>エンティティ一覧!AE2&amp;"_"&amp;D5&amp;"_kanja_bmi"</f>
        <v>azn_202310_delivery_kanja_bmi</v>
      </c>
      <c r="E8" s="264"/>
      <c r="F8" s="264"/>
      <c r="G8" s="264"/>
      <c r="H8" s="264"/>
      <c r="I8" s="264"/>
      <c r="J8" s="265"/>
    </row>
    <row r="9" spans="1:45" ht="19.5" customHeight="1" thickBot="1">
      <c r="B9" s="266" t="s">
        <v>117</v>
      </c>
      <c r="C9" s="267"/>
      <c r="D9" s="268" t="s">
        <v>4516</v>
      </c>
      <c r="E9" s="269"/>
      <c r="F9" s="269"/>
      <c r="G9" s="269"/>
      <c r="H9" s="269"/>
      <c r="I9" s="269"/>
      <c r="J9" s="270"/>
    </row>
    <row r="10" spans="1:45">
      <c r="B10" s="19"/>
      <c r="C10" s="19"/>
      <c r="D10" s="5"/>
      <c r="E10" s="5"/>
      <c r="F10" s="5"/>
      <c r="G10" s="5"/>
      <c r="H10" s="5"/>
      <c r="I10" s="5"/>
      <c r="J10" s="18"/>
      <c r="N10" s="97" t="str">
        <f>"--DROP TABLE  "&amp;エンティティ一覧!$O$2&amp;"."&amp;D$8&amp;";"</f>
        <v>--DROP TABLE  milscm_2023_010.azn_202310_delivery_kanja_bmi;</v>
      </c>
      <c r="O10" s="97"/>
      <c r="P10" s="97"/>
      <c r="Q10" s="97"/>
      <c r="R10" s="97"/>
      <c r="S10" s="97"/>
      <c r="T10" s="97"/>
      <c r="AJ10" s="97" t="str">
        <f>"ALTER TABLE ONLY "&amp;エンティティ一覧!$O$2&amp;"."&amp;D$8</f>
        <v>ALTER TABLE ONLY milscm_2023_010.azn_202310_delivery_kanja_bmi</v>
      </c>
      <c r="AS10" s="97" t="str">
        <f>"ALTER TABLE "&amp;エンティティ一覧!$O$2&amp;"."&amp;D$8&amp;" OWNER TO pgmisgrp1;"</f>
        <v>ALTER TABLE milscm_2023_010.azn_202310_delivery_kanja_bmi OWNER TO pgmisgrp1;</v>
      </c>
    </row>
    <row r="11" spans="1:45" ht="19.5" thickBot="1">
      <c r="B11" s="20" t="s">
        <v>118</v>
      </c>
      <c r="C11" s="19"/>
      <c r="D11" s="5"/>
      <c r="E11" s="5"/>
      <c r="F11" s="5"/>
      <c r="G11" s="5"/>
      <c r="H11" s="5"/>
      <c r="I11" s="5"/>
      <c r="J11" s="18"/>
      <c r="N11" s="97" t="str">
        <f>"CREATE TABLE  "&amp;エンティティ一覧!$O$2&amp;"."&amp;D$8</f>
        <v>CREATE TABLE  milscm_2023_010.azn_202310_delivery_kanja_bmi</v>
      </c>
      <c r="O11" s="97"/>
      <c r="P11" s="97"/>
      <c r="Q11" s="97"/>
      <c r="R11" s="97"/>
      <c r="S11" s="97"/>
      <c r="T11" s="97"/>
      <c r="AJ11" s="97" t="str">
        <f>"ADD CONSTRAINT "&amp;D$8&amp;"_pkey PRIMARY KEY"</f>
        <v>ADD CONSTRAINT azn_202310_delivery_kanja_bmi_pkey PRIMARY KEY</v>
      </c>
      <c r="AS11" s="97"/>
    </row>
    <row r="12" spans="1:45">
      <c r="B12" s="47" t="s">
        <v>119</v>
      </c>
      <c r="C12" s="48" t="s">
        <v>120</v>
      </c>
      <c r="D12" s="46" t="s">
        <v>121</v>
      </c>
      <c r="E12" s="44" t="s">
        <v>161</v>
      </c>
      <c r="F12" s="49" t="s">
        <v>122</v>
      </c>
      <c r="G12" s="49" t="s">
        <v>123</v>
      </c>
      <c r="H12" s="44" t="s">
        <v>124</v>
      </c>
      <c r="I12" s="44" t="s">
        <v>125</v>
      </c>
      <c r="J12" s="45" t="s">
        <v>126</v>
      </c>
      <c r="N12" s="97" t="s">
        <v>141</v>
      </c>
      <c r="O12" s="97"/>
      <c r="P12" s="97"/>
      <c r="Q12" s="97"/>
      <c r="R12" s="97"/>
      <c r="S12" s="97"/>
      <c r="T12" s="97"/>
      <c r="AJ12" s="97" t="s">
        <v>141</v>
      </c>
      <c r="AS12" s="97" t="str">
        <f>"COMMENT ON TABLE "&amp;エンティティ一覧!$O$2&amp;"."&amp;D$8&amp;" IS '"&amp;D7&amp;"';"</f>
        <v>COMMENT ON TABLE milscm_2023_010.azn_202310_delivery_kanja_bmi IS 'デリバリ_患者_BMI';</v>
      </c>
    </row>
    <row r="13" spans="1:45" s="25" customFormat="1">
      <c r="A13" s="4"/>
      <c r="B13" s="21">
        <f>ROW()-12</f>
        <v>1</v>
      </c>
      <c r="C13" s="6" t="s">
        <v>137</v>
      </c>
      <c r="D13" s="6" t="s">
        <v>128</v>
      </c>
      <c r="E13" s="8" t="s">
        <v>127</v>
      </c>
      <c r="F13" s="8" t="s">
        <v>1735</v>
      </c>
      <c r="G13" s="7" t="str">
        <f>IF(F13="フラグ","boolean",IF(F13="文字列","text",IF(F13="整数","integer",IF(F13="実数","numeric",""))))</f>
        <v>text</v>
      </c>
      <c r="H13" s="9"/>
      <c r="I13" s="10" t="s">
        <v>127</v>
      </c>
      <c r="J13" s="11"/>
      <c r="M13" s="4"/>
      <c r="N13" s="97"/>
      <c r="O13" s="97"/>
      <c r="P13" s="97" t="str">
        <f>IF(B13&lt;&gt;1,","&amp;D13,D13)</f>
        <v>facility_id</v>
      </c>
      <c r="Q13" s="97" t="str">
        <f t="shared" ref="Q13:Q17" si="0">UPPER(G13)</f>
        <v>TEXT</v>
      </c>
      <c r="R13" s="97" t="str">
        <f t="shared" ref="R13:R17" si="1">IF(H13&lt;&gt;"","default "&amp;IF(G13="text","'"&amp;H13&amp;"'",H13),"")</f>
        <v/>
      </c>
      <c r="S13" s="97" t="str">
        <f>IF(I13="○","NOT NULL","")</f>
        <v>NOT NULL</v>
      </c>
      <c r="T13" s="97" t="str">
        <f>"-- "&amp;C13</f>
        <v>-- 施設ID</v>
      </c>
      <c r="U13" s="4"/>
      <c r="AA13" s="4"/>
      <c r="AB13" s="4"/>
      <c r="AC13" s="4"/>
      <c r="AD13" s="4"/>
      <c r="AE13" s="4"/>
      <c r="AF13" s="4"/>
      <c r="AG13" s="4"/>
      <c r="AH13" s="4"/>
      <c r="AI13" s="4"/>
      <c r="AJ13" s="97" t="str">
        <f>IF(E13="○",IF(COUNTA(E$13:E13)=1,"",",")&amp;D13,"")</f>
        <v>facility_id</v>
      </c>
      <c r="AK13" s="4"/>
      <c r="AL13" s="4"/>
      <c r="AM13" s="4"/>
      <c r="AN13" s="4"/>
      <c r="AO13" s="4"/>
      <c r="AP13" s="4"/>
      <c r="AQ13" s="4"/>
      <c r="AR13" s="4"/>
      <c r="AS13" s="97" t="str">
        <f>"COMMENT ON COLUMN "&amp;エンティティ一覧!$O$2&amp;"."&amp;D$8&amp;"."&amp;D13&amp;" IS '"&amp;C13&amp;"';"</f>
        <v>COMMENT ON COLUMN milscm_2023_010.azn_202310_delivery_kanja_bmi.facility_id IS '施設ID';</v>
      </c>
    </row>
    <row r="14" spans="1:45" s="25" customFormat="1">
      <c r="A14" s="4"/>
      <c r="B14" s="21">
        <f t="shared" ref="B14:B17" si="2">ROW()-12</f>
        <v>2</v>
      </c>
      <c r="C14" s="6" t="s">
        <v>4015</v>
      </c>
      <c r="D14" s="6" t="s">
        <v>1843</v>
      </c>
      <c r="E14" s="8" t="s">
        <v>127</v>
      </c>
      <c r="F14" s="8" t="s">
        <v>1735</v>
      </c>
      <c r="G14" s="7" t="str">
        <f t="shared" ref="G14:G17" si="3">IF(F14="フラグ","boolean",IF(F14="文字列","text",IF(F14="整数","integer",IF(F14="実数","numeric",""))))</f>
        <v>text</v>
      </c>
      <c r="H14" s="26"/>
      <c r="I14" s="10" t="s">
        <v>127</v>
      </c>
      <c r="J14" s="11"/>
      <c r="M14" s="4"/>
      <c r="N14" s="97"/>
      <c r="O14" s="97"/>
      <c r="P14" s="97" t="str">
        <f t="shared" ref="P14:P17" si="4">IF(B14&lt;&gt;1,","&amp;D14,D14)</f>
        <v>,himoduke_id</v>
      </c>
      <c r="Q14" s="97" t="str">
        <f t="shared" si="0"/>
        <v>TEXT</v>
      </c>
      <c r="R14" s="97" t="str">
        <f t="shared" si="1"/>
        <v/>
      </c>
      <c r="S14" s="97" t="str">
        <f t="shared" ref="S14:S17" si="5">IF(I14="○","NOT NULL","")</f>
        <v>NOT NULL</v>
      </c>
      <c r="T14" s="97" t="str">
        <f t="shared" ref="T14:T17" si="6">"-- "&amp;C14</f>
        <v>-- 紐付けID</v>
      </c>
      <c r="U14" s="4"/>
      <c r="AA14" s="4"/>
      <c r="AB14" s="4"/>
      <c r="AC14" s="4"/>
      <c r="AD14" s="4"/>
      <c r="AE14" s="4"/>
      <c r="AF14" s="4"/>
      <c r="AG14" s="4"/>
      <c r="AH14" s="4"/>
      <c r="AI14" s="4"/>
      <c r="AJ14" s="97" t="str">
        <f>IF(E14="○",IF(COUNTA(E$13:E14)=1,"",",")&amp;D14,"")</f>
        <v>,himoduke_id</v>
      </c>
      <c r="AK14" s="4"/>
      <c r="AL14" s="4"/>
      <c r="AM14" s="4"/>
      <c r="AN14" s="4"/>
      <c r="AO14" s="4"/>
      <c r="AP14" s="4"/>
      <c r="AQ14" s="4"/>
      <c r="AR14" s="4"/>
      <c r="AS14" s="97" t="str">
        <f>"COMMENT ON COLUMN "&amp;エンティティ一覧!$O$2&amp;"."&amp;D$8&amp;"."&amp;D14&amp;" IS '"&amp;C14&amp;"';"</f>
        <v>COMMENT ON COLUMN milscm_2023_010.azn_202310_delivery_kanja_bmi.himoduke_id IS '紐付けID';</v>
      </c>
    </row>
    <row r="15" spans="1:45" s="25" customFormat="1">
      <c r="A15" s="4"/>
      <c r="B15" s="21">
        <f t="shared" si="2"/>
        <v>3</v>
      </c>
      <c r="C15" s="6" t="s">
        <v>4480</v>
      </c>
      <c r="D15" s="6" t="s">
        <v>4476</v>
      </c>
      <c r="E15" s="8"/>
      <c r="F15" s="7" t="s">
        <v>1742</v>
      </c>
      <c r="G15" s="7" t="str">
        <f t="shared" si="3"/>
        <v>numeric</v>
      </c>
      <c r="H15" s="26"/>
      <c r="I15" s="10"/>
      <c r="J15" s="11"/>
      <c r="M15" s="4"/>
      <c r="N15" s="97"/>
      <c r="O15" s="97"/>
      <c r="P15" s="97" t="str">
        <f t="shared" si="4"/>
        <v>,height</v>
      </c>
      <c r="Q15" s="97" t="str">
        <f t="shared" si="0"/>
        <v>NUMERIC</v>
      </c>
      <c r="R15" s="97" t="str">
        <f t="shared" si="1"/>
        <v/>
      </c>
      <c r="S15" s="97" t="str">
        <f t="shared" si="5"/>
        <v/>
      </c>
      <c r="T15" s="97" t="str">
        <f t="shared" si="6"/>
        <v>-- 身長</v>
      </c>
      <c r="U15" s="4"/>
      <c r="AA15" s="4"/>
      <c r="AB15" s="4"/>
      <c r="AC15" s="4"/>
      <c r="AD15" s="4"/>
      <c r="AE15" s="4"/>
      <c r="AF15" s="4"/>
      <c r="AG15" s="4"/>
      <c r="AH15" s="4"/>
      <c r="AI15" s="4"/>
      <c r="AJ15" s="97" t="str">
        <f>IF(E15="○",IF(COUNTA(E$13:E15)=1,"",",")&amp;D15,"")</f>
        <v/>
      </c>
      <c r="AK15" s="4"/>
      <c r="AL15" s="4"/>
      <c r="AM15" s="4"/>
      <c r="AN15" s="4"/>
      <c r="AO15" s="4"/>
      <c r="AP15" s="4"/>
      <c r="AQ15" s="4"/>
      <c r="AR15" s="4"/>
      <c r="AS15" s="97" t="str">
        <f>"COMMENT ON COLUMN "&amp;エンティティ一覧!$O$2&amp;"."&amp;D$8&amp;"."&amp;D15&amp;" IS '"&amp;C15&amp;"';"</f>
        <v>COMMENT ON COLUMN milscm_2023_010.azn_202310_delivery_kanja_bmi.height IS '身長';</v>
      </c>
    </row>
    <row r="16" spans="1:45" s="25" customFormat="1">
      <c r="A16" s="4"/>
      <c r="B16" s="21">
        <f t="shared" si="2"/>
        <v>4</v>
      </c>
      <c r="C16" s="6" t="s">
        <v>4481</v>
      </c>
      <c r="D16" s="6" t="s">
        <v>4477</v>
      </c>
      <c r="E16" s="8"/>
      <c r="F16" s="7" t="s">
        <v>1742</v>
      </c>
      <c r="G16" s="7" t="str">
        <f t="shared" ref="G16" si="7">IF(F16="フラグ","boolean",IF(F16="文字列","text",IF(F16="整数","integer",IF(F16="実数","numeric",""))))</f>
        <v>numeric</v>
      </c>
      <c r="H16" s="26"/>
      <c r="I16" s="10"/>
      <c r="J16" s="11"/>
      <c r="M16" s="4"/>
      <c r="N16" s="97"/>
      <c r="O16" s="97"/>
      <c r="P16" s="97" t="str">
        <f t="shared" ref="P16" si="8">IF(B16&lt;&gt;1,","&amp;D16,D16)</f>
        <v>,weight</v>
      </c>
      <c r="Q16" s="97" t="str">
        <f t="shared" ref="Q16" si="9">UPPER(G16)</f>
        <v>NUMERIC</v>
      </c>
      <c r="R16" s="97" t="str">
        <f t="shared" ref="R16" si="10">IF(H16&lt;&gt;"","default "&amp;IF(G16="text","'"&amp;H16&amp;"'",H16),"")</f>
        <v/>
      </c>
      <c r="S16" s="97" t="str">
        <f t="shared" ref="S16" si="11">IF(I16="○","NOT NULL","")</f>
        <v/>
      </c>
      <c r="T16" s="97" t="str">
        <f t="shared" ref="T16" si="12">"-- "&amp;C16</f>
        <v>-- 体重</v>
      </c>
      <c r="U16" s="4"/>
      <c r="AA16" s="4"/>
      <c r="AB16" s="4"/>
      <c r="AC16" s="4"/>
      <c r="AD16" s="4"/>
      <c r="AE16" s="4"/>
      <c r="AF16" s="4"/>
      <c r="AG16" s="4"/>
      <c r="AH16" s="4"/>
      <c r="AI16" s="4"/>
      <c r="AJ16" s="97" t="str">
        <f>IF(E16="○",IF(COUNTA(E$13:E16)=1,"",",")&amp;D16,"")</f>
        <v/>
      </c>
      <c r="AK16" s="4"/>
      <c r="AL16" s="4"/>
      <c r="AM16" s="4"/>
      <c r="AN16" s="4"/>
      <c r="AO16" s="4"/>
      <c r="AP16" s="4"/>
      <c r="AQ16" s="4"/>
      <c r="AR16" s="4"/>
      <c r="AS16" s="97" t="str">
        <f>"COMMENT ON COLUMN "&amp;エンティティ一覧!$O$2&amp;"."&amp;D$8&amp;"."&amp;D16&amp;" IS '"&amp;C16&amp;"';"</f>
        <v>COMMENT ON COLUMN milscm_2023_010.azn_202310_delivery_kanja_bmi.weight IS '体重';</v>
      </c>
    </row>
    <row r="17" spans="1:52" s="25" customFormat="1" ht="19.5" thickBot="1">
      <c r="A17" s="4"/>
      <c r="B17" s="69">
        <f t="shared" si="2"/>
        <v>5</v>
      </c>
      <c r="C17" s="121" t="s">
        <v>4479</v>
      </c>
      <c r="D17" s="121" t="s">
        <v>4478</v>
      </c>
      <c r="E17" s="71"/>
      <c r="F17" s="71" t="s">
        <v>1742</v>
      </c>
      <c r="G17" s="71" t="str">
        <f t="shared" si="3"/>
        <v>numeric</v>
      </c>
      <c r="H17" s="72"/>
      <c r="I17" s="73"/>
      <c r="J17" s="74"/>
      <c r="M17" s="4"/>
      <c r="N17" s="97"/>
      <c r="O17" s="97"/>
      <c r="P17" s="97" t="str">
        <f t="shared" si="4"/>
        <v>,bmi</v>
      </c>
      <c r="Q17" s="97" t="str">
        <f t="shared" si="0"/>
        <v>NUMERIC</v>
      </c>
      <c r="R17" s="97" t="str">
        <f t="shared" si="1"/>
        <v/>
      </c>
      <c r="S17" s="97" t="str">
        <f t="shared" si="5"/>
        <v/>
      </c>
      <c r="T17" s="97" t="str">
        <f t="shared" si="6"/>
        <v>-- BMI</v>
      </c>
      <c r="U17" s="4"/>
      <c r="AA17" s="4"/>
      <c r="AB17" s="4"/>
      <c r="AC17" s="4"/>
      <c r="AD17" s="4"/>
      <c r="AE17" s="4"/>
      <c r="AF17" s="4"/>
      <c r="AG17" s="4"/>
      <c r="AH17" s="4"/>
      <c r="AI17" s="4"/>
      <c r="AJ17" s="97" t="str">
        <f>IF(E17="○",IF(COUNTA(E$13:E17)=1,"",",")&amp;D17,"")</f>
        <v/>
      </c>
      <c r="AK17" s="4"/>
      <c r="AL17" s="4"/>
      <c r="AM17" s="4"/>
      <c r="AN17" s="4"/>
      <c r="AO17" s="4"/>
      <c r="AP17" s="4"/>
      <c r="AQ17" s="4"/>
      <c r="AR17" s="4"/>
      <c r="AS17" s="97" t="str">
        <f>"COMMENT ON COLUMN "&amp;エンティティ一覧!$O$2&amp;"."&amp;D$8&amp;"."&amp;D17&amp;" IS '"&amp;C17&amp;"';"</f>
        <v>COMMENT ON COLUMN milscm_2023_010.azn_202310_delivery_kanja_bmi.bmi IS 'BMI';</v>
      </c>
    </row>
    <row r="18" spans="1:52">
      <c r="L18" s="25"/>
      <c r="M18" s="25"/>
      <c r="N18" s="97" t="s">
        <v>142</v>
      </c>
      <c r="O18" s="97"/>
      <c r="P18" s="97"/>
      <c r="Q18" s="97"/>
      <c r="R18" s="97"/>
      <c r="S18" s="97"/>
      <c r="T18" s="97"/>
      <c r="V18" s="25"/>
      <c r="W18" s="25"/>
      <c r="X18" s="25"/>
      <c r="Y18" s="25"/>
      <c r="Z18" s="25"/>
      <c r="AJ18" s="97"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251</vt:i4>
      </vt:variant>
      <vt:variant>
        <vt:lpstr>名前付き一覧</vt:lpstr>
      </vt:variant>
      <vt:variant>
        <vt:i4>1</vt:i4>
      </vt:variant>
    </vt:vector>
  </HeadingPairs>
  <TitlesOfParts>
    <vt:vector size="252" baseType="lpstr">
      <vt:lpstr>Sheet1</vt:lpstr>
      <vt:lpstr>データフロー_backup</vt:lpstr>
      <vt:lpstr>データフロー_enroll</vt:lpstr>
      <vt:lpstr>データフロー_mt</vt:lpstr>
      <vt:lpstr>データフロー_base</vt:lpstr>
      <vt:lpstr>データフロー_work</vt:lpstr>
      <vt:lpstr>データフロー_select</vt:lpstr>
      <vt:lpstr>データフロー_deli</vt:lpstr>
      <vt:lpstr>エンティティ一覧</vt:lpstr>
      <vt:lpstr>バックアップ_処方データ_組入れ第一条件</vt:lpstr>
      <vt:lpstr>バックアップ_患者マスタ_組入れ第一条件</vt:lpstr>
      <vt:lpstr>バックアップ_処方データ</vt:lpstr>
      <vt:lpstr>バックアップ_診療行為データ</vt:lpstr>
      <vt:lpstr>バックアップ_疾患データ</vt:lpstr>
      <vt:lpstr>バックアップ_疾患診療科データ</vt:lpstr>
      <vt:lpstr>バックアップ_入院退院データ</vt:lpstr>
      <vt:lpstr>バックアップ_二次利用DB登録患者データ</vt:lpstr>
      <vt:lpstr>バックアップ_二次利用DB登録患者データ_DPC</vt:lpstr>
      <vt:lpstr>バックアップ_二次利用DB登録患者データ_レセプト</vt:lpstr>
      <vt:lpstr>バックアップ_二次利用DB登録患者データ_MML</vt:lpstr>
      <vt:lpstr>バックアップ_二次利用DB登録患者紐付けデータ</vt:lpstr>
      <vt:lpstr>バックアップ_エラー患者データ</vt:lpstr>
      <vt:lpstr>バックアップ_患者基本データ</vt:lpstr>
      <vt:lpstr>バックアップ_施設属性マスタ取込用</vt:lpstr>
      <vt:lpstr>バックアップ_二次医療圏マスタ取込用</vt:lpstr>
      <vt:lpstr>バックアップ_新旧医薬品コードマスタ取込用</vt:lpstr>
      <vt:lpstr>バックアップ_DPC6ICD10対応表マスタ取込用</vt:lpstr>
      <vt:lpstr>バックアップ_修飾語マスタ取込用</vt:lpstr>
      <vt:lpstr>バックアップ_コメントマスタ取込用</vt:lpstr>
      <vt:lpstr>バックアップ_成分量マスタ取込用</vt:lpstr>
      <vt:lpstr>バックアップ_成分名マスタ取込用</vt:lpstr>
      <vt:lpstr>バックアップ_単位マスタ取込用</vt:lpstr>
      <vt:lpstr>バックアップ_適応病名レセ病名組み合わせ関係リンクマスタ取込用</vt:lpstr>
      <vt:lpstr>BK_適応病名レセ病名組み合わせ関係リンク親子マスタ取込用</vt:lpstr>
      <vt:lpstr>バックアップ_適用病名マスタ取込用</vt:lpstr>
      <vt:lpstr>バックアップ_ＹＪコード医薬品コードリンクマスタ取込用</vt:lpstr>
      <vt:lpstr>バックアップ_診療行為付加情報マスタ取込用</vt:lpstr>
      <vt:lpstr>バックアップ_処理対象施設マスタ</vt:lpstr>
      <vt:lpstr>バックアップ_処理対象施設マスタ管理</vt:lpstr>
      <vt:lpstr>バックアップ_医薬品マスタ</vt:lpstr>
      <vt:lpstr>バックアップ_医薬品ブランドマスタ</vt:lpstr>
      <vt:lpstr>バックアップ_医薬品一般名マスタ</vt:lpstr>
      <vt:lpstr>バックアップ_医薬品販売会社マスタ</vt:lpstr>
      <vt:lpstr>バックアップ_メーカマスタ</vt:lpstr>
      <vt:lpstr>バックアップ_薬価マスタ</vt:lpstr>
      <vt:lpstr>バックアップ_薬効ATC分類1マスタ</vt:lpstr>
      <vt:lpstr>バックアップ_薬効ATC分類2マスタ</vt:lpstr>
      <vt:lpstr>バックアップ_薬効ATC分類3マスタ</vt:lpstr>
      <vt:lpstr>バックアップ_薬効ATC分類4マスタ</vt:lpstr>
      <vt:lpstr>バックアップ_薬効ATC分類5マスタ</vt:lpstr>
      <vt:lpstr>バックアップ_疾病マスタ</vt:lpstr>
      <vt:lpstr>バックアップ_ICD10大分類マスタ</vt:lpstr>
      <vt:lpstr>バックアップ_ICD10中分類マスタ</vt:lpstr>
      <vt:lpstr>バックアップ_ICD10小分類マスタ</vt:lpstr>
      <vt:lpstr>バックアップ_ICD10細分類マスタ</vt:lpstr>
      <vt:lpstr>バックアップ_DPC2桁マスタ</vt:lpstr>
      <vt:lpstr>バックアップ_DPC6桁マスタ</vt:lpstr>
      <vt:lpstr>バックアップ_郵便番号マスタ</vt:lpstr>
      <vt:lpstr>バックアップ_特定機材マスタ</vt:lpstr>
      <vt:lpstr>バックアップ_年度マスタ</vt:lpstr>
      <vt:lpstr>バックアップ_都道府県地方コードマスタ</vt:lpstr>
      <vt:lpstr>バックアップ_施設属性マスタ</vt:lpstr>
      <vt:lpstr>バックアップ_二次医療圏マスタ</vt:lpstr>
      <vt:lpstr>バックアップ_施設ID対応マスタ</vt:lpstr>
      <vt:lpstr>バックアップ_医薬品関連マスタ</vt:lpstr>
      <vt:lpstr>バックアップ_薬価関連マスタ</vt:lpstr>
      <vt:lpstr>バックアップ_診療行為関連マスタ</vt:lpstr>
      <vt:lpstr>バックアップ_特定器材関連マスタ</vt:lpstr>
      <vt:lpstr>バックアップ_DPC関連マスタ</vt:lpstr>
      <vt:lpstr>バックアップ_疾患関連マスタ</vt:lpstr>
      <vt:lpstr>バックアップ_医薬品成分関連マスタ</vt:lpstr>
      <vt:lpstr>バックアップ_医薬品適用病名関連マスタ</vt:lpstr>
      <vt:lpstr>バックアップ_MML共通</vt:lpstr>
      <vt:lpstr>バックアップ_MML_診断履歴情報モジュール_本文</vt:lpstr>
      <vt:lpstr>バックアップ_MML_診断履歴情報モジュール_病名</vt:lpstr>
      <vt:lpstr>バックアップ_MML_診断履歴情報モジュール_カテゴリ名</vt:lpstr>
      <vt:lpstr>バックアップ_MML_検歴情報モジュール_本文</vt:lpstr>
      <vt:lpstr>バックアップ_MML_検歴情報モジュール_報告コメント</vt:lpstr>
      <vt:lpstr>バックアップ_MML_検歴情報モジュール_検体検査結果情報</vt:lpstr>
      <vt:lpstr>バックアップ_MML_検歴情報モジュール_検体コメント</vt:lpstr>
      <vt:lpstr>バックアップ_MML_検歴情報モジュール_検査項目</vt:lpstr>
      <vt:lpstr>バックアップ_MML_検歴情報モジュール_検査項目コメント</vt:lpstr>
      <vt:lpstr>バックアップ_MML_処方箋モジュール_本文</vt:lpstr>
      <vt:lpstr>バックアップ_MML_処方箋モジュール_投薬</vt:lpstr>
      <vt:lpstr>バックアップ_MML_処方箋モジュール_薬剤</vt:lpstr>
      <vt:lpstr>バックアップ_MML_注射記録モジュール_本文</vt:lpstr>
      <vt:lpstr>バックアップ_MML_注射記録モジュール_投薬</vt:lpstr>
      <vt:lpstr>バックアップ_MML_注射記録モジュール_薬剤</vt:lpstr>
      <vt:lpstr>バックアップ_MML_手術モジュール_手術項目</vt:lpstr>
      <vt:lpstr>バックアップ_MML_手術モジュール_診療科情報</vt:lpstr>
      <vt:lpstr>バックアップ_MML_手術モジュール_診断履歴情報</vt:lpstr>
      <vt:lpstr>バックアップ_MML_手術モジュール_病名</vt:lpstr>
      <vt:lpstr>バックアップ_MML_手術モジュール_カテゴリ名</vt:lpstr>
      <vt:lpstr>バックアップ_MML_手術モジュール_手術法</vt:lpstr>
      <vt:lpstr>バックアップ_MML_手術モジュール_手術要素</vt:lpstr>
      <vt:lpstr>バックアップ_MML_手術モジュール_麻酔法</vt:lpstr>
      <vt:lpstr>バックアップ_MML_報告書情報モジュール_本文</vt:lpstr>
      <vt:lpstr>バックアップ_MML_報告書情報モジュール_検査コメント</vt:lpstr>
      <vt:lpstr>バックアップ_MML_生活習慣情報モジュール_本文</vt:lpstr>
      <vt:lpstr>バックアップ_MML_紹介状モジュール_本文</vt:lpstr>
      <vt:lpstr>バックアップ_MML_紹介状モジュール_注射記録</vt:lpstr>
      <vt:lpstr>バックアップ_MML_紹介状モジュール_注射記録投薬</vt:lpstr>
      <vt:lpstr>バックアップ_MML_紹介状モジュール_注射記録薬剤</vt:lpstr>
      <vt:lpstr>バックアップ_MML_紹介状モジュール_患者情報</vt:lpstr>
      <vt:lpstr>バックアップ_MML_紹介状モジュール_患者情報住所</vt:lpstr>
      <vt:lpstr>バックアップ_MML_紹介状モジュール_処方箋</vt:lpstr>
      <vt:lpstr>バックアップ_MML_紹介状モジュール_処方箋投薬</vt:lpstr>
      <vt:lpstr>バックアップ_MML_紹介状モジュール_処方箋薬剤</vt:lpstr>
      <vt:lpstr>BK_MML_紹介状モジュール_臨床サマリー情報経過記録</vt:lpstr>
      <vt:lpstr>バックアップ_MML_紹介状モジュール_診療科情報</vt:lpstr>
      <vt:lpstr>バックアップ_DPC調査データ_Dファイル</vt:lpstr>
      <vt:lpstr>バックアップ_DPC調査データ_入院EF統合ファイル</vt:lpstr>
      <vt:lpstr>バックアップ_DPC調査データ_外来EF統合ファイル</vt:lpstr>
      <vt:lpstr>バックアップ_DPC調査データ_Hファイル</vt:lpstr>
      <vt:lpstr>バックアップ_DPC調査データ_様式1</vt:lpstr>
      <vt:lpstr>バックアップ_DPC調査データ_様式1_診断情報_併存症</vt:lpstr>
      <vt:lpstr>バックアップ_DPC調査データ_様式1_診断情報_続発症</vt:lpstr>
      <vt:lpstr>バックアップ_医科レセプト_医療機関情報レコード</vt:lpstr>
      <vt:lpstr>バックアップ_医科レセプト_レセプト共通レコード</vt:lpstr>
      <vt:lpstr>バックアップ_医科レセプト_傷病名レコード</vt:lpstr>
      <vt:lpstr>バックアップ_医科レセプト_診療行為レコード</vt:lpstr>
      <vt:lpstr>バックアップ_医科レセプト_診療行為レコード_算定日情報</vt:lpstr>
      <vt:lpstr>バックアップ_医科レセプト_医薬品レコード</vt:lpstr>
      <vt:lpstr>バックアップ_医科レセプト_医薬品レコード_算定日情報</vt:lpstr>
      <vt:lpstr>バックアップ_医科レセプト_臓器提供者レセプト情報レコード</vt:lpstr>
      <vt:lpstr>バックアップ_DPCレセプト_医療機関情報レコード</vt:lpstr>
      <vt:lpstr>バックアップ_DPCレセプト_レセプト共通レコード</vt:lpstr>
      <vt:lpstr>バックアップ_DPCレセプト_診断群分類レコード</vt:lpstr>
      <vt:lpstr>バックアップ_DPCレセプト_傷病レコード</vt:lpstr>
      <vt:lpstr>バックアップ_DPCレセプト_傷病名レコード</vt:lpstr>
      <vt:lpstr>バックアップ_DPCレセプト_診療行為レコード</vt:lpstr>
      <vt:lpstr>バックアップ_DPCレセプト_診療行為レコード_算定日情報</vt:lpstr>
      <vt:lpstr>バックアップ_DPCレセプト_医薬品レコード</vt:lpstr>
      <vt:lpstr>バックアップ_DPCレセプト_医薬品レコード_算定日情報</vt:lpstr>
      <vt:lpstr>バックアップ_DPCレセプト_臓器提供者レセプト情報レコード</vt:lpstr>
      <vt:lpstr>バックアップ_患者情報モジュール_患者情報</vt:lpstr>
      <vt:lpstr>バックアップ_診断履歴情報モジュール_診断履歴情報レコード</vt:lpstr>
      <vt:lpstr>バックアップ_診断履歴情報モジュール_診断病名レコード</vt:lpstr>
      <vt:lpstr>バックアップ_診断履歴情報モジュール_診断分類レコード</vt:lpstr>
      <vt:lpstr>バックアップ_経過記録情報モジュール_経過記録情報レコード</vt:lpstr>
      <vt:lpstr>バックアップ_経過記録情報モジュール_プロブレムレコード</vt:lpstr>
      <vt:lpstr>バックアップ_経過記録情報モジュール_身体所見レコード</vt:lpstr>
      <vt:lpstr>バックアップ_経過記録情報モジュール_アセスメントレコード</vt:lpstr>
      <vt:lpstr>バックアップ_経過記録情報モジュール_外部参照レコード</vt:lpstr>
      <vt:lpstr>バックアップ_臨床サマリーモジュール_臨床サマリー情報レコード</vt:lpstr>
      <vt:lpstr>バックアップ_臨床サマリーモジュール_外来受診レコード</vt:lpstr>
      <vt:lpstr>バックアップ_臨床サマリーモジュール_入院レコード</vt:lpstr>
      <vt:lpstr>バックアップ_臨床サマリーモジュール_経過記録レコード</vt:lpstr>
      <vt:lpstr>バックアップ_臨床サマリーモジュール_検査結果レコード</vt:lpstr>
      <vt:lpstr>バックアップ_検歴情報モジュール_検歴情報</vt:lpstr>
      <vt:lpstr>バックアップ_検歴情報モジュール_検歴検体材料</vt:lpstr>
      <vt:lpstr>バックアップ_検歴情報モジュール_検歴項目情報</vt:lpstr>
      <vt:lpstr>バックアップ_バイタルサインモジュール_バイタルサイン</vt:lpstr>
      <vt:lpstr>バックアップ_バイタルサインモジュール_記録項目</vt:lpstr>
      <vt:lpstr>バックアップ_体温表モジュール_バイタルサイン</vt:lpstr>
      <vt:lpstr>バックアップ_体温表モジュール_記録項目</vt:lpstr>
      <vt:lpstr>組入れ_対象施設</vt:lpstr>
      <vt:lpstr>組入れ_対象疾患</vt:lpstr>
      <vt:lpstr>組入れ_対象処方</vt:lpstr>
      <vt:lpstr>組入れ_対象患者</vt:lpstr>
      <vt:lpstr>患者ID一覧マスタ</vt:lpstr>
      <vt:lpstr>施設マスタ</vt:lpstr>
      <vt:lpstr>患者マスタ</vt:lpstr>
      <vt:lpstr>疾患マスタ</vt:lpstr>
      <vt:lpstr>薬剤マスタ</vt:lpstr>
      <vt:lpstr>診療行為マスタ</vt:lpstr>
      <vt:lpstr>検体検査マスタ</vt:lpstr>
      <vt:lpstr>ベース_処方データ</vt:lpstr>
      <vt:lpstr>ベース_診療行為データ</vt:lpstr>
      <vt:lpstr>ベース_疾患データ</vt:lpstr>
      <vt:lpstr>ベース_入院退院データ</vt:lpstr>
      <vt:lpstr>ベース_患者基本データ</vt:lpstr>
      <vt:lpstr>ベース_MML共通</vt:lpstr>
      <vt:lpstr>ベース_MML_診断履歴情報モジュール_本文</vt:lpstr>
      <vt:lpstr>ベース_MML_診断履歴情報モジュール_病名</vt:lpstr>
      <vt:lpstr>ベース_MML_検歴情報モジュール_本文</vt:lpstr>
      <vt:lpstr>ベース_MML_検歴情報モジュール_報告コメント</vt:lpstr>
      <vt:lpstr>ベース_MML_検歴情報モジュール_検体検査結果情報</vt:lpstr>
      <vt:lpstr>ベース_MML_検歴情報モジュール_検体コメント</vt:lpstr>
      <vt:lpstr>ベース_MML_検歴情報モジュール_検査項目</vt:lpstr>
      <vt:lpstr>ベース_MML_検歴情報モジュール_検査項目コメント</vt:lpstr>
      <vt:lpstr>ベース_MML_処方箋モジュール_本文</vt:lpstr>
      <vt:lpstr>ベース_MML_処方箋モジュール_投薬</vt:lpstr>
      <vt:lpstr>ベース_MML_処方箋モジュール_薬剤</vt:lpstr>
      <vt:lpstr>ベース_DPC調査データ_入院EF統合ファイル</vt:lpstr>
      <vt:lpstr>ベース_DPC調査データ_外来EF統合ファイル</vt:lpstr>
      <vt:lpstr>ベース_DPC調査データ_様式1</vt:lpstr>
      <vt:lpstr>ベース_DPC調査データ_様式1_診断情報_併存症</vt:lpstr>
      <vt:lpstr>ベース_DPC調査データ_様式1_診断情報_続発症</vt:lpstr>
      <vt:lpstr>ベース_診断履歴情報モジュール_診断履歴情報レコード</vt:lpstr>
      <vt:lpstr>ベース_診断履歴情報モジュール_診断病名レコード</vt:lpstr>
      <vt:lpstr>ベース_経過記録情報モジュール_経過記録情報レコード</vt:lpstr>
      <vt:lpstr>ベース_経過記録情報モジュール_プロブレムレコード</vt:lpstr>
      <vt:lpstr>ベース_経過記録情報モジュール_身体所見レコード</vt:lpstr>
      <vt:lpstr>ベース_経過記録情報モジュール_アセスメントレコード</vt:lpstr>
      <vt:lpstr>ベース_経過記録情報モジュール_外部参照レコード</vt:lpstr>
      <vt:lpstr>ベース_臨床サマリーモジュール_臨床サマリー情報レコード</vt:lpstr>
      <vt:lpstr>ベース_臨床サマリーモジュール_外来受診レコード</vt:lpstr>
      <vt:lpstr>ベース_臨床サマリーモジュール_入院レコード</vt:lpstr>
      <vt:lpstr>ベース_臨床サマリーモジュール_経過記録レコード</vt:lpstr>
      <vt:lpstr>ベース_臨床サマリーモジュール_検査結果レコード</vt:lpstr>
      <vt:lpstr>ベース_検歴情報モジュール_検歴情報</vt:lpstr>
      <vt:lpstr>ベース_検歴情報モジュール_検歴検体材料</vt:lpstr>
      <vt:lpstr>ベース_検歴情報モジュール_検歴項目情報</vt:lpstr>
      <vt:lpstr>ベース_バイタルサインモジュール_バイタルサイン</vt:lpstr>
      <vt:lpstr>ベース_バイタルサインモジュール_記録項目</vt:lpstr>
      <vt:lpstr>ベース_体温表モジュール_バイタルサイン</vt:lpstr>
      <vt:lpstr>ベース_体温表モジュール_記録項目</vt:lpstr>
      <vt:lpstr>ワーク_患者基本データ</vt:lpstr>
      <vt:lpstr>ワーク_look_back</vt:lpstr>
      <vt:lpstr>ワーク_疾患データ_DPC</vt:lpstr>
      <vt:lpstr>ワーク_処方データ</vt:lpstr>
      <vt:lpstr>ワーク_バイタル_DPC</vt:lpstr>
      <vt:lpstr>ワーク_バイタル_MML</vt:lpstr>
      <vt:lpstr>ワーク_バイタル</vt:lpstr>
      <vt:lpstr>ワーク_診療行為データ</vt:lpstr>
      <vt:lpstr>ワーク_検体検査データ_スキーマ2</vt:lpstr>
      <vt:lpstr>ワーク_検体検査データ_スキーマ4</vt:lpstr>
      <vt:lpstr>ワーク_検体検査データ</vt:lpstr>
      <vt:lpstr>ワーク_テキスト情報_一時</vt:lpstr>
      <vt:lpstr>ワーク_テキスト情報</vt:lpstr>
      <vt:lpstr>ワーク_処方データ_index</vt:lpstr>
      <vt:lpstr>セレクト_患者データ</vt:lpstr>
      <vt:lpstr>セレクト_検査データ</vt:lpstr>
      <vt:lpstr>セレクト_検査データ_患者背景用</vt:lpstr>
      <vt:lpstr>セレクト_検査データ_カリウム</vt:lpstr>
      <vt:lpstr>セレクト_併用薬データ_患者背景用</vt:lpstr>
      <vt:lpstr>セレクト_合併症有無_CKD_患者背景用</vt:lpstr>
      <vt:lpstr>セレクト_合併症有無_CKD以外_患者背景用</vt:lpstr>
      <vt:lpstr>セレクト_透析有無_患者背景用</vt:lpstr>
      <vt:lpstr>セレクト_バイタル</vt:lpstr>
      <vt:lpstr>デリバリ_患者背景</vt:lpstr>
      <vt:lpstr>デリバリ_患者背景_サマリ</vt:lpstr>
      <vt:lpstr>デリバリ_カリウム平均推移_日別</vt:lpstr>
      <vt:lpstr>デリバリ_カリウム平均推移_日別_lb30以上</vt:lpstr>
      <vt:lpstr>デリバリ_カリウム平均推移_週別</vt:lpstr>
      <vt:lpstr>デリバリ_カリウム平均推移_週別_lb30以上</vt:lpstr>
      <vt:lpstr>デリバリ_カリウム平均推移_月別</vt:lpstr>
      <vt:lpstr>デリバリ_カリウム平均推移_月別_lb30以上</vt:lpstr>
      <vt:lpstr>デリバリ_カリウム平均推移_日別_全患者</vt:lpstr>
      <vt:lpstr>デリバリ_カリウム平均推移_日別_全患者_lb30以上</vt:lpstr>
      <vt:lpstr>デリバリ_カリウム平均推移_週別_全患者</vt:lpstr>
      <vt:lpstr>デリバリ_カリウム平均推移_週別_全患者_lb30以上</vt:lpstr>
      <vt:lpstr>デリバリ_カリウム平均推移_月別_全患者</vt:lpstr>
      <vt:lpstr>デリバリ_カリウム平均推移_月別_全患者_lb30以上</vt:lpstr>
      <vt:lpstr>デリバリ_カリウム平均推移_週別_処方期間別</vt:lpstr>
      <vt:lpstr>デリバリ_カリウム平均推移_週別_処方期間別_lbなし</vt:lpstr>
      <vt:lpstr>デリバリ_カリウム平均推移_週別_処方期間別_lbあり</vt:lpstr>
      <vt:lpstr>デリバリ_カリウム平均推移_週別_処方期間別_lbなし2</vt:lpstr>
      <vt:lpstr>デリバリ_カリウム平均推移_週別_処方期間別_lbあり2</vt:lpstr>
      <vt:lpstr>デリバリ_患者_BMI</vt:lpstr>
      <vt:lpstr>エンティティ一覧!Print_Titles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緒方　一幸</dc:creator>
  <cp:lastModifiedBy>緒方　一幸</cp:lastModifiedBy>
  <cp:lastPrinted>2021-04-12T03:33:57Z</cp:lastPrinted>
  <dcterms:created xsi:type="dcterms:W3CDTF">2019-09-24T09:50:00Z</dcterms:created>
  <dcterms:modified xsi:type="dcterms:W3CDTF">2024-08-15T01:39:28Z</dcterms:modified>
</cp:coreProperties>
</file>